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DieseArbeitsmappe" defaultThemeVersion="166925"/>
  <mc:AlternateContent xmlns:mc="http://schemas.openxmlformats.org/markup-compatibility/2006">
    <mc:Choice Requires="x15">
      <x15ac:absPath xmlns:x15ac="http://schemas.microsoft.com/office/spreadsheetml/2010/11/ac" url="C:\Users\QiLutter-Yin\workspace\production\VBA\StandardAsset\"/>
    </mc:Choice>
  </mc:AlternateContent>
  <xr:revisionPtr revIDLastSave="0" documentId="13_ncr:1_{83BD2E95-66B8-4856-916D-6667610CCAC9}" xr6:coauthVersionLast="47" xr6:coauthVersionMax="47" xr10:uidLastSave="{00000000-0000-0000-0000-000000000000}"/>
  <bookViews>
    <workbookView minimized="1" xWindow="28248" yWindow="2364" windowWidth="23040" windowHeight="12216" activeTab="10" xr2:uid="{A1364283-23B1-4596-9030-EA22E5D21142}"/>
  </bookViews>
  <sheets>
    <sheet name="Cov" sheetId="2" r:id="rId1"/>
    <sheet name="ES" sheetId="17" r:id="rId2"/>
    <sheet name="ICF" sheetId="18" r:id="rId3"/>
    <sheet name="ICFQ" sheetId="37" r:id="rId4"/>
    <sheet name="IC" sheetId="19" r:id="rId5"/>
    <sheet name="FO" sheetId="47" r:id="rId6"/>
    <sheet name="DCF" sheetId="16" r:id="rId7"/>
    <sheet name="POP" sheetId="15" r:id="rId8"/>
    <sheet name="ACF" sheetId="14" r:id="rId9"/>
    <sheet name="AO" sheetId="22" r:id="rId10"/>
    <sheet name="GA" sheetId="4" r:id="rId11"/>
    <sheet name="AA" sheetId="5" r:id="rId12"/>
    <sheet name="TA" sheetId="6" r:id="rId13"/>
    <sheet name="TDCF" sheetId="13" r:id="rId14"/>
    <sheet name="PCF" sheetId="12" r:id="rId15"/>
    <sheet name="IP" sheetId="7" r:id="rId16"/>
    <sheet name="RN" sheetId="8" r:id="rId17"/>
    <sheet name="RL" sheetId="10" r:id="rId18"/>
    <sheet name="LU" sheetId="11" r:id="rId19"/>
    <sheet name="RR" sheetId="1" r:id="rId20"/>
    <sheet name="OV" sheetId="23" r:id="rId21"/>
    <sheet name="AL" sheetId="24" r:id="rId22"/>
    <sheet name="RE" sheetId="25" r:id="rId23"/>
    <sheet name="MA" sheetId="26" r:id="rId24"/>
    <sheet name="CC" sheetId="27" r:id="rId25"/>
    <sheet name="PD" sheetId="28" r:id="rId26"/>
    <sheet name="SU" sheetId="29" r:id="rId27"/>
    <sheet name="CA" sheetId="33" r:id="rId28"/>
    <sheet name="PCA" sheetId="40" r:id="rId29"/>
    <sheet name="LE" sheetId="35" r:id="rId30"/>
    <sheet name="TT" sheetId="36" r:id="rId31"/>
    <sheet name="CV" sheetId="38" r:id="rId32"/>
    <sheet name="BB" sheetId="46" r:id="rId33"/>
    <sheet name="VC" sheetId="34" r:id="rId34"/>
    <sheet name="VO" sheetId="39" state="hidden" r:id="rId35"/>
    <sheet name="IM" sheetId="42" state="hidden" r:id="rId36"/>
    <sheet name="FFO" sheetId="44" state="veryHidden" r:id="rId37"/>
    <sheet name="UWD" sheetId="45" state="veryHidden" r:id="rId38"/>
    <sheet name="Side Calk" sheetId="41" state="hidden" r:id="rId39"/>
    <sheet name="CPI" sheetId="32" state="veryHidden" r:id="rId40"/>
  </sheets>
  <definedNames>
    <definedName name="_xlnm._FilterDatabase" localSheetId="11" hidden="1">AA!$C$12:$AU$15</definedName>
    <definedName name="_xlnm._FilterDatabase" localSheetId="21" hidden="1">AL!$C$8:$GB$113</definedName>
    <definedName name="_xlnm._FilterDatabase" localSheetId="9" hidden="1">AO!$C$17:$EZ$23</definedName>
    <definedName name="_xlnm._FilterDatabase" localSheetId="31" hidden="1">CV!$C$7:$FB$107</definedName>
    <definedName name="_xlnm._FilterDatabase" localSheetId="4" hidden="1">IC!$B$7:$AX$10</definedName>
    <definedName name="_xlnm._FilterDatabase" localSheetId="15" hidden="1">IP!$C$19:$BK$145</definedName>
    <definedName name="_xlnm._FilterDatabase" localSheetId="18" hidden="1">LU!$C$19:$BK$144</definedName>
    <definedName name="_xlnm._FilterDatabase" localSheetId="14" hidden="1">PCF!$C$19:$BY$408</definedName>
    <definedName name="_xlnm._FilterDatabase" localSheetId="17" hidden="1">RL!$C$19:$BK$144</definedName>
    <definedName name="_xlnm._FilterDatabase" localSheetId="16" hidden="1">RN!$C$19:$BK$150</definedName>
    <definedName name="_xlnm._FilterDatabase" localSheetId="19" hidden="1">RR!$C$22:$BM$25</definedName>
    <definedName name="_xlnm._FilterDatabase" localSheetId="12" hidden="1">TA!$C$14:$GH$17</definedName>
    <definedName name="_xlnm._FilterDatabase" localSheetId="13" hidden="1">TDCF!$C$18:$BN$202</definedName>
    <definedName name="_xlnm._FilterDatabase" localSheetId="33" hidden="1">VC!$C$6:$FL$106</definedName>
    <definedName name="_xlnm._FilterDatabase" localSheetId="34" hidden="1">VO!$C$42:$K$45</definedName>
    <definedName name="_xlchart.v1.0" hidden="1">VO!$O$45:$O$45</definedName>
    <definedName name="_xlchart.v1.1" hidden="1">VO!$P$45:$P$45</definedName>
    <definedName name="AICSeniorMacro">AA!$GB$11</definedName>
    <definedName name="AssetList">AL!$B$6:$V$113</definedName>
    <definedName name="_xlnm.Print_Area" localSheetId="8">ACF!$D$8:$BI$173</definedName>
    <definedName name="_xlnm.Print_Area" localSheetId="21">AL!$B$6:$Z$109</definedName>
    <definedName name="_xlnm.Print_Area" localSheetId="27">CA!$A$1:$M$27</definedName>
    <definedName name="_xlnm.Print_Area" localSheetId="24">CC!$A$1:$Q$30</definedName>
    <definedName name="_xlnm.Print_Area" localSheetId="31">CV!$A$1:$AN$109</definedName>
    <definedName name="_xlnm.Print_Area" localSheetId="6">DCF!$A$1:$BI$466</definedName>
    <definedName name="_xlnm.Print_Area" localSheetId="1">ES!$D$7:$O$46,ES!$Q$52:$AF$135</definedName>
    <definedName name="_xlnm.Print_Area" localSheetId="2">ICF!$A$1:$M$45,ICF!$O$4:$Z$23,ICF!$O$32:$Z$39</definedName>
    <definedName name="_xlnm.Print_Area" localSheetId="3">ICFQ!$A$1:$P$45,ICFQ!$R$4:$AF$23,ICFQ!$R$32:$AF$39</definedName>
    <definedName name="_xlnm.Print_Area" localSheetId="23">MA!$A$1:$W$26</definedName>
    <definedName name="_xlnm.Print_Area" localSheetId="20">OV!$L$35:$Y$52</definedName>
    <definedName name="_xlnm.Print_Area" localSheetId="25">PD!$A$1:$K$21,PD!$L$27:$V$44,PD!$X$45:$AH$58,PD!$AJ$59:$AS$70,PD!$AU$71:$BE$76</definedName>
    <definedName name="_xlnm.Print_Area" localSheetId="7">POP!$C$7:$X$69</definedName>
    <definedName name="_xlnm.Print_Area" localSheetId="22">RE!$A$6:$U$32</definedName>
    <definedName name="_xlnm.Print_Area" localSheetId="19">RR!$G$22:$Y$25</definedName>
    <definedName name="_xlnm.Print_Area" localSheetId="26">SU!$A$1:$K$21</definedName>
    <definedName name="_xlnm.Print_Area" localSheetId="30">TT!$A$1:$K$23</definedName>
    <definedName name="_xlnm.Print_Area" localSheetId="33">VC!$A$1:$R$107</definedName>
    <definedName name="ERVFlex">GA!$G$717</definedName>
    <definedName name="GDPflex">GA!$G$718</definedName>
    <definedName name="GDPSeniorMacro">AA!$GA$11</definedName>
    <definedName name="LTPPflex">GA!$G$720</definedName>
    <definedName name="Marginflex">GA!$G$719</definedName>
    <definedName name="Multipleflex">GA!$G$721</definedName>
    <definedName name="PP">GA!$G$10</definedName>
    <definedName name="Quarterflex">GA!$G$722</definedName>
    <definedName name="Sensiinput1">GA!$H$731:$O$738</definedName>
    <definedName name="Sensiinput10">GA!$R$763:$Y$770</definedName>
    <definedName name="Sensiinput11">GA!$AB$763:$AI$770</definedName>
    <definedName name="Sensiinput12">GA!$H$774:$O$781</definedName>
    <definedName name="Sensiinput13">GA!$R$774:$Y$781</definedName>
    <definedName name="Sensiinput14">GA!$AB$774:$AI$781</definedName>
    <definedName name="Sensiinput2">GA!$R$731:$Y$738</definedName>
    <definedName name="Sensiinput3">GA!$AB$731:$AI$738</definedName>
    <definedName name="Sensiinput4">GA!$H$742:$O$749</definedName>
    <definedName name="Sensiinput5">GA!$R$742:$Y$749</definedName>
    <definedName name="Sensiinput6">GA!$AB$742:$AI$749</definedName>
    <definedName name="Sensiinput7">GA!$H$753:$O$760</definedName>
    <definedName name="Sensiinput8">GA!$R$753:$Y$760</definedName>
    <definedName name="Sensiinput9">GA!$AB$753:$AI$760</definedName>
    <definedName name="Sensioutput1">GA!$I$732:$O$738</definedName>
    <definedName name="Sensioutput10">GA!$S$764:$Y$770</definedName>
    <definedName name="Sensioutput11">GA!$AC$764:$AI$770</definedName>
    <definedName name="Sensioutput12">GA!$I$775:$O$781</definedName>
    <definedName name="Sensioutput13">GA!$S$775:$Y$781</definedName>
    <definedName name="Sensioutput14">GA!$AC$775:$AI$781</definedName>
    <definedName name="Sensioutput2">GA!$S$732:$Y$738</definedName>
    <definedName name="Sensioutput3">GA!$AC$732:$AI$738</definedName>
    <definedName name="Sensioutput4">GA!$I$743:$O$749</definedName>
    <definedName name="Sensioutput5">GA!$S$743:$Y$749</definedName>
    <definedName name="Sensioutput6">GA!$AC$743:$AI$749</definedName>
    <definedName name="Sensioutput7">GA!$I$754:$O$760</definedName>
    <definedName name="Sensioutput8">GA!$S$754:$Y$760</definedName>
    <definedName name="Sensioutput9">GA!$AC$754:$AI$760</definedName>
  </definedNames>
  <calcPr calcId="191029" calcMode="manual"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712" i="4" l="1"/>
  <c r="G706" i="4"/>
  <c r="G700" i="4"/>
  <c r="G695" i="4"/>
  <c r="G509" i="4"/>
  <c r="M31" i="7" l="1"/>
  <c r="M30" i="7"/>
  <c r="M29" i="7"/>
  <c r="E2" i="46" l="1"/>
  <c r="CB84" i="28" l="1"/>
  <c r="AB10" i="24" l="1"/>
  <c r="O10" i="24" s="1"/>
  <c r="AB11" i="24"/>
  <c r="O11" i="24" s="1"/>
  <c r="AB12" i="24"/>
  <c r="O12" i="24" s="1"/>
  <c r="AB13" i="24"/>
  <c r="O13" i="24" s="1"/>
  <c r="AB14" i="24"/>
  <c r="O14" i="24" s="1"/>
  <c r="AB15" i="24"/>
  <c r="O15" i="24" s="1"/>
  <c r="AB16" i="24"/>
  <c r="O16" i="24" s="1"/>
  <c r="AB17" i="24"/>
  <c r="O17" i="24" s="1"/>
  <c r="AB18" i="24"/>
  <c r="O18" i="24" s="1"/>
  <c r="AB19" i="24"/>
  <c r="O19" i="24" s="1"/>
  <c r="AB20" i="24"/>
  <c r="O20" i="24" s="1"/>
  <c r="AB21" i="24"/>
  <c r="O21" i="24" s="1"/>
  <c r="AB22" i="24"/>
  <c r="O22" i="24" s="1"/>
  <c r="AB23" i="24"/>
  <c r="O23" i="24" s="1"/>
  <c r="AB24" i="24"/>
  <c r="O24" i="24" s="1"/>
  <c r="AB25" i="24"/>
  <c r="O25" i="24" s="1"/>
  <c r="AB26" i="24"/>
  <c r="O26" i="24" s="1"/>
  <c r="AB27" i="24"/>
  <c r="O27" i="24" s="1"/>
  <c r="AB28" i="24"/>
  <c r="O28" i="24" s="1"/>
  <c r="AB29" i="24"/>
  <c r="O29" i="24" s="1"/>
  <c r="AB30" i="24"/>
  <c r="O30" i="24" s="1"/>
  <c r="AB31" i="24"/>
  <c r="O31" i="24" s="1"/>
  <c r="AB32" i="24"/>
  <c r="O32" i="24" s="1"/>
  <c r="AB33" i="24"/>
  <c r="O33" i="24" s="1"/>
  <c r="AB34" i="24"/>
  <c r="O34" i="24" s="1"/>
  <c r="AB35" i="24"/>
  <c r="O35" i="24" s="1"/>
  <c r="AB36" i="24"/>
  <c r="O36" i="24" s="1"/>
  <c r="AB37" i="24"/>
  <c r="O37" i="24" s="1"/>
  <c r="AB38" i="24"/>
  <c r="O38" i="24" s="1"/>
  <c r="AB39" i="24"/>
  <c r="O39" i="24" s="1"/>
  <c r="AB40" i="24"/>
  <c r="O40" i="24" s="1"/>
  <c r="AB41" i="24"/>
  <c r="O41" i="24" s="1"/>
  <c r="AB42" i="24"/>
  <c r="O42" i="24" s="1"/>
  <c r="AB43" i="24"/>
  <c r="O43" i="24" s="1"/>
  <c r="AB44" i="24"/>
  <c r="O44" i="24" s="1"/>
  <c r="AB45" i="24"/>
  <c r="O45" i="24" s="1"/>
  <c r="AB46" i="24"/>
  <c r="O46" i="24" s="1"/>
  <c r="AB47" i="24"/>
  <c r="O47" i="24" s="1"/>
  <c r="AB48" i="24"/>
  <c r="O48" i="24" s="1"/>
  <c r="AB49" i="24"/>
  <c r="O49" i="24" s="1"/>
  <c r="AB50" i="24"/>
  <c r="O50" i="24" s="1"/>
  <c r="AB51" i="24"/>
  <c r="O51" i="24" s="1"/>
  <c r="AB52" i="24"/>
  <c r="O52" i="24" s="1"/>
  <c r="AB53" i="24"/>
  <c r="O53" i="24" s="1"/>
  <c r="AB54" i="24"/>
  <c r="O54" i="24" s="1"/>
  <c r="AB55" i="24"/>
  <c r="O55" i="24" s="1"/>
  <c r="AB56" i="24"/>
  <c r="O56" i="24" s="1"/>
  <c r="AB57" i="24"/>
  <c r="O57" i="24" s="1"/>
  <c r="AB58" i="24"/>
  <c r="O58" i="24" s="1"/>
  <c r="AB59" i="24"/>
  <c r="O59" i="24" s="1"/>
  <c r="AB60" i="24"/>
  <c r="O60" i="24" s="1"/>
  <c r="AB61" i="24"/>
  <c r="O61" i="24" s="1"/>
  <c r="AB62" i="24"/>
  <c r="O62" i="24" s="1"/>
  <c r="AB63" i="24"/>
  <c r="O63" i="24" s="1"/>
  <c r="AB64" i="24"/>
  <c r="O64" i="24" s="1"/>
  <c r="AB65" i="24"/>
  <c r="O65" i="24" s="1"/>
  <c r="AB66" i="24"/>
  <c r="O66" i="24" s="1"/>
  <c r="AB67" i="24"/>
  <c r="O67" i="24" s="1"/>
  <c r="AB68" i="24"/>
  <c r="O68" i="24" s="1"/>
  <c r="AB69" i="24"/>
  <c r="O69" i="24" s="1"/>
  <c r="AB70" i="24"/>
  <c r="O70" i="24" s="1"/>
  <c r="AB71" i="24"/>
  <c r="O71" i="24" s="1"/>
  <c r="AB72" i="24"/>
  <c r="O72" i="24" s="1"/>
  <c r="AB73" i="24"/>
  <c r="O73" i="24" s="1"/>
  <c r="AB74" i="24"/>
  <c r="O74" i="24" s="1"/>
  <c r="AB75" i="24"/>
  <c r="O75" i="24" s="1"/>
  <c r="AB76" i="24"/>
  <c r="O76" i="24" s="1"/>
  <c r="AB77" i="24"/>
  <c r="O77" i="24" s="1"/>
  <c r="AB78" i="24"/>
  <c r="O78" i="24" s="1"/>
  <c r="AB79" i="24"/>
  <c r="O79" i="24" s="1"/>
  <c r="AB80" i="24"/>
  <c r="O80" i="24" s="1"/>
  <c r="AB81" i="24"/>
  <c r="O81" i="24" s="1"/>
  <c r="AB82" i="24"/>
  <c r="O82" i="24" s="1"/>
  <c r="AB83" i="24"/>
  <c r="O83" i="24" s="1"/>
  <c r="AB84" i="24"/>
  <c r="O84" i="24" s="1"/>
  <c r="AB85" i="24"/>
  <c r="O85" i="24" s="1"/>
  <c r="AB86" i="24"/>
  <c r="O86" i="24" s="1"/>
  <c r="AB87" i="24"/>
  <c r="O87" i="24" s="1"/>
  <c r="AB88" i="24"/>
  <c r="O88" i="24" s="1"/>
  <c r="AB89" i="24"/>
  <c r="O89" i="24" s="1"/>
  <c r="AB90" i="24"/>
  <c r="O90" i="24" s="1"/>
  <c r="AB91" i="24"/>
  <c r="O91" i="24" s="1"/>
  <c r="AB92" i="24"/>
  <c r="O92" i="24" s="1"/>
  <c r="AB93" i="24"/>
  <c r="O93" i="24" s="1"/>
  <c r="AB94" i="24"/>
  <c r="O94" i="24" s="1"/>
  <c r="AB95" i="24"/>
  <c r="O95" i="24" s="1"/>
  <c r="AB96" i="24"/>
  <c r="O96" i="24" s="1"/>
  <c r="AB97" i="24"/>
  <c r="O97" i="24" s="1"/>
  <c r="AB98" i="24"/>
  <c r="O98" i="24" s="1"/>
  <c r="AB99" i="24"/>
  <c r="O99" i="24" s="1"/>
  <c r="AB100" i="24"/>
  <c r="O100" i="24" s="1"/>
  <c r="AB101" i="24"/>
  <c r="O101" i="24" s="1"/>
  <c r="AB102" i="24"/>
  <c r="O102" i="24" s="1"/>
  <c r="AB103" i="24"/>
  <c r="O103" i="24" s="1"/>
  <c r="AB104" i="24"/>
  <c r="O104" i="24" s="1"/>
  <c r="AB105" i="24"/>
  <c r="O105" i="24" s="1"/>
  <c r="AB106" i="24"/>
  <c r="O106" i="24" s="1"/>
  <c r="AB107" i="24"/>
  <c r="O107" i="24" s="1"/>
  <c r="AB108" i="24"/>
  <c r="O108" i="24" s="1"/>
  <c r="AB9" i="24"/>
  <c r="O9" i="24" s="1"/>
  <c r="B113" i="24" l="1"/>
  <c r="P342" i="16"/>
  <c r="C29" i="13"/>
  <c r="C28" i="13"/>
  <c r="C27" i="13"/>
  <c r="E27" i="13"/>
  <c r="G29" i="13"/>
  <c r="E29" i="13"/>
  <c r="G27" i="13"/>
  <c r="E28" i="13" l="1"/>
  <c r="G28" i="13"/>
  <c r="K21" i="8" l="1"/>
  <c r="K22" i="7"/>
  <c r="T15" i="5"/>
  <c r="N22" i="12" s="1"/>
  <c r="T14" i="5"/>
  <c r="K21" i="10" s="1"/>
  <c r="T13" i="5"/>
  <c r="N20" i="12" s="1"/>
  <c r="S11" i="5"/>
  <c r="R11" i="5"/>
  <c r="K22" i="8" l="1"/>
  <c r="K20" i="10"/>
  <c r="K22" i="10"/>
  <c r="K21" i="7"/>
  <c r="N21" i="12"/>
  <c r="K20" i="11"/>
  <c r="K21" i="11"/>
  <c r="K20" i="7"/>
  <c r="K20" i="8"/>
  <c r="K22" i="11"/>
  <c r="G722" i="4"/>
  <c r="G721" i="4"/>
  <c r="G720" i="4"/>
  <c r="G719" i="4"/>
  <c r="G717" i="4"/>
  <c r="BU15" i="5"/>
  <c r="BU14" i="5"/>
  <c r="BU13" i="5"/>
  <c r="BR15" i="5"/>
  <c r="BR14" i="5"/>
  <c r="BR13" i="5"/>
  <c r="BL15" i="5"/>
  <c r="BL14" i="5"/>
  <c r="BL13" i="5"/>
  <c r="H15" i="5" l="1"/>
  <c r="H14" i="5"/>
  <c r="H13" i="5"/>
  <c r="X15" i="5"/>
  <c r="X14" i="5"/>
  <c r="X13" i="5"/>
  <c r="I7" i="40" l="1"/>
  <c r="T7" i="40" s="1"/>
  <c r="CJ85" i="28" l="1"/>
  <c r="CJ84" i="28"/>
  <c r="CJ83" i="28"/>
  <c r="CJ82" i="28"/>
  <c r="CI85" i="28"/>
  <c r="CI84" i="28"/>
  <c r="CI83" i="28"/>
  <c r="CI82" i="28"/>
  <c r="CJ86" i="28" l="1"/>
  <c r="L742" i="4" l="1"/>
  <c r="L786" i="4" s="1"/>
  <c r="M786" i="4" l="1"/>
  <c r="N786" i="4" s="1"/>
  <c r="K786" i="4"/>
  <c r="K6" i="46"/>
  <c r="J786" i="4" l="1"/>
  <c r="O786" i="4"/>
  <c r="R22" i="46"/>
  <c r="M45" i="46"/>
  <c r="M44" i="46"/>
  <c r="M39" i="46"/>
  <c r="M38" i="46"/>
  <c r="M37" i="46"/>
  <c r="M36" i="46"/>
  <c r="M22" i="46"/>
  <c r="M28" i="46"/>
  <c r="M30" i="46"/>
  <c r="M31" i="46"/>
  <c r="M29" i="46"/>
  <c r="M27" i="46"/>
  <c r="M26" i="46"/>
  <c r="M25" i="46"/>
  <c r="M24" i="46"/>
  <c r="H7" i="46"/>
  <c r="J6" i="46"/>
  <c r="I6" i="46"/>
  <c r="H6" i="46"/>
  <c r="G6" i="46"/>
  <c r="F6" i="46"/>
  <c r="E4" i="46"/>
  <c r="D9" i="46"/>
  <c r="K9" i="46" s="1"/>
  <c r="D10" i="46"/>
  <c r="K10" i="46" s="1"/>
  <c r="D11" i="46"/>
  <c r="K11" i="46" s="1"/>
  <c r="D12" i="46"/>
  <c r="K12" i="46" s="1"/>
  <c r="D13" i="46"/>
  <c r="K13" i="46" s="1"/>
  <c r="D14" i="46"/>
  <c r="K14" i="46" s="1"/>
  <c r="D15" i="46"/>
  <c r="K15" i="46" s="1"/>
  <c r="D16" i="46"/>
  <c r="K16" i="46" s="1"/>
  <c r="D17" i="46"/>
  <c r="K17" i="46" s="1"/>
  <c r="D8" i="46"/>
  <c r="K8" i="46" s="1"/>
  <c r="E18" i="46"/>
  <c r="I786" i="4" l="1"/>
  <c r="H560" i="4"/>
  <c r="H558" i="4"/>
  <c r="H552" i="4"/>
  <c r="H550" i="4"/>
  <c r="H544" i="4"/>
  <c r="H542" i="4"/>
  <c r="H536" i="4"/>
  <c r="H534" i="4"/>
  <c r="H528" i="4"/>
  <c r="H526" i="4"/>
  <c r="H565" i="4"/>
  <c r="H564" i="4"/>
  <c r="H563" i="4"/>
  <c r="H562" i="4"/>
  <c r="H561" i="4"/>
  <c r="H559" i="4"/>
  <c r="H557" i="4"/>
  <c r="H556" i="4"/>
  <c r="H555" i="4"/>
  <c r="H554" i="4"/>
  <c r="H553" i="4"/>
  <c r="H551" i="4"/>
  <c r="H549" i="4"/>
  <c r="H548" i="4"/>
  <c r="H547" i="4"/>
  <c r="H546" i="4"/>
  <c r="H545" i="4"/>
  <c r="H543" i="4"/>
  <c r="H541" i="4"/>
  <c r="H540" i="4"/>
  <c r="H539" i="4"/>
  <c r="H538" i="4"/>
  <c r="H537" i="4"/>
  <c r="H535" i="4"/>
  <c r="H533" i="4"/>
  <c r="H532" i="4"/>
  <c r="H531" i="4"/>
  <c r="H530" i="4"/>
  <c r="H529" i="4"/>
  <c r="H527" i="4"/>
  <c r="BR185" i="45"/>
  <c r="BS185" i="45"/>
  <c r="BO183" i="45"/>
  <c r="BO185" i="45"/>
  <c r="BE152" i="45"/>
  <c r="BB153" i="45"/>
  <c r="BB154" i="45"/>
  <c r="BB155" i="45"/>
  <c r="BE156" i="45"/>
  <c r="BG156" i="45"/>
  <c r="BH156" i="45"/>
  <c r="BI156" i="45"/>
  <c r="BJ156" i="45"/>
  <c r="BE157" i="45"/>
  <c r="BG157" i="45"/>
  <c r="BH157" i="45"/>
  <c r="BI157" i="45"/>
  <c r="BJ157" i="45"/>
  <c r="BB158" i="45"/>
  <c r="BB159" i="45"/>
  <c r="AS112" i="45"/>
  <c r="AS113" i="45"/>
  <c r="AS115" i="45"/>
  <c r="AS116" i="45"/>
  <c r="AS117" i="45"/>
  <c r="AS118" i="45"/>
  <c r="AS120" i="45"/>
  <c r="AS122" i="45"/>
  <c r="AS123" i="45"/>
  <c r="AS124" i="45"/>
  <c r="AS125" i="45"/>
  <c r="AS126" i="45"/>
  <c r="AS127" i="45"/>
  <c r="AS128" i="45"/>
  <c r="AS129" i="45"/>
  <c r="AS130" i="45"/>
  <c r="AS131" i="45"/>
  <c r="AS132" i="45"/>
  <c r="AS133" i="45"/>
  <c r="AS134" i="45"/>
  <c r="AS135" i="45"/>
  <c r="AS137" i="45"/>
  <c r="AS139" i="45"/>
  <c r="AS140" i="45"/>
  <c r="AS142" i="45"/>
  <c r="AS143" i="45"/>
  <c r="AS145" i="45"/>
  <c r="AS146" i="45"/>
  <c r="AS147" i="45"/>
  <c r="AZ136" i="45" l="1"/>
  <c r="AZ121" i="45"/>
  <c r="AF6" i="45" l="1"/>
  <c r="AD108" i="45"/>
  <c r="AC108" i="45"/>
  <c r="AB108" i="45"/>
  <c r="AA108" i="45"/>
  <c r="Z108" i="45"/>
  <c r="Y108" i="45"/>
  <c r="V108" i="45"/>
  <c r="U108" i="45"/>
  <c r="T108" i="45"/>
  <c r="S108" i="45"/>
  <c r="W108" i="45" s="1"/>
  <c r="H21" i="4" l="1"/>
  <c r="G24" i="40" l="1"/>
  <c r="G23" i="40"/>
  <c r="G22" i="40"/>
  <c r="G19" i="40"/>
  <c r="G18" i="40"/>
  <c r="G17" i="40"/>
  <c r="G16" i="40"/>
  <c r="O24" i="40"/>
  <c r="O23" i="40"/>
  <c r="O22" i="40"/>
  <c r="O19" i="40"/>
  <c r="O18" i="40"/>
  <c r="O17" i="40"/>
  <c r="O16" i="40"/>
  <c r="O15" i="40"/>
  <c r="G15" i="40"/>
  <c r="O21" i="40"/>
  <c r="G21" i="40"/>
  <c r="O13" i="40"/>
  <c r="G13" i="40"/>
  <c r="O12" i="40"/>
  <c r="G12" i="40"/>
  <c r="O11" i="40"/>
  <c r="O10" i="40"/>
  <c r="IJ15" i="5" l="1"/>
  <c r="IJ14" i="5"/>
  <c r="IJ13" i="5"/>
  <c r="A107" i="45"/>
  <c r="J107" i="45" s="1"/>
  <c r="AJ107" i="45" s="1"/>
  <c r="A106" i="45"/>
  <c r="C106" i="45" s="1"/>
  <c r="A105" i="45"/>
  <c r="A104" i="45"/>
  <c r="A103" i="45"/>
  <c r="A102" i="45"/>
  <c r="A101" i="45"/>
  <c r="A100" i="45"/>
  <c r="C100" i="45" s="1"/>
  <c r="A99" i="45"/>
  <c r="J99" i="45" s="1"/>
  <c r="AJ99" i="45" s="1"/>
  <c r="A98" i="45"/>
  <c r="A97" i="45"/>
  <c r="A96" i="45"/>
  <c r="A95" i="45"/>
  <c r="A94" i="45"/>
  <c r="A93" i="45"/>
  <c r="A92" i="45"/>
  <c r="A91" i="45"/>
  <c r="J91" i="45" s="1"/>
  <c r="AJ91" i="45" s="1"/>
  <c r="A90" i="45"/>
  <c r="A89" i="45"/>
  <c r="A88" i="45"/>
  <c r="A87" i="45"/>
  <c r="J87" i="45" s="1"/>
  <c r="AJ87" i="45" s="1"/>
  <c r="A86" i="45"/>
  <c r="J86" i="45" s="1"/>
  <c r="AJ86" i="45" s="1"/>
  <c r="A85" i="45"/>
  <c r="A84" i="45"/>
  <c r="A83" i="45"/>
  <c r="J83" i="45" s="1"/>
  <c r="AJ83" i="45" s="1"/>
  <c r="A82" i="45"/>
  <c r="A81" i="45"/>
  <c r="A80" i="45"/>
  <c r="A79" i="45"/>
  <c r="J79" i="45" s="1"/>
  <c r="AJ79" i="45" s="1"/>
  <c r="A78" i="45"/>
  <c r="J78" i="45" s="1"/>
  <c r="AJ78" i="45" s="1"/>
  <c r="A77" i="45"/>
  <c r="A76" i="45"/>
  <c r="C76" i="45" s="1"/>
  <c r="A75" i="45"/>
  <c r="J75" i="45" s="1"/>
  <c r="AJ75" i="45" s="1"/>
  <c r="A74" i="45"/>
  <c r="A73" i="45"/>
  <c r="A72" i="45"/>
  <c r="A71" i="45"/>
  <c r="J71" i="45" s="1"/>
  <c r="AJ71" i="45" s="1"/>
  <c r="A70" i="45"/>
  <c r="J70" i="45" s="1"/>
  <c r="AJ70" i="45" s="1"/>
  <c r="A69" i="45"/>
  <c r="J69" i="45" s="1"/>
  <c r="AJ69" i="45" s="1"/>
  <c r="A68" i="45"/>
  <c r="C68" i="45" s="1"/>
  <c r="A67" i="45"/>
  <c r="J67" i="45" s="1"/>
  <c r="AJ67" i="45" s="1"/>
  <c r="A66" i="45"/>
  <c r="A65" i="45"/>
  <c r="A64" i="45"/>
  <c r="J64" i="45" s="1"/>
  <c r="AJ64" i="45" s="1"/>
  <c r="A63" i="45"/>
  <c r="J63" i="45" s="1"/>
  <c r="AJ63" i="45" s="1"/>
  <c r="A62" i="45"/>
  <c r="J62" i="45" s="1"/>
  <c r="AJ62" i="45" s="1"/>
  <c r="A61" i="45"/>
  <c r="J61" i="45" s="1"/>
  <c r="AJ61" i="45" s="1"/>
  <c r="A60" i="45"/>
  <c r="A59" i="45"/>
  <c r="J59" i="45" s="1"/>
  <c r="AJ59" i="45" s="1"/>
  <c r="A58" i="45"/>
  <c r="C58" i="45" s="1"/>
  <c r="A57" i="45"/>
  <c r="A56" i="45"/>
  <c r="A55" i="45"/>
  <c r="J55" i="45" s="1"/>
  <c r="AJ55" i="45" s="1"/>
  <c r="A54" i="45"/>
  <c r="J54" i="45" s="1"/>
  <c r="AJ54" i="45" s="1"/>
  <c r="A53" i="45"/>
  <c r="A52" i="45"/>
  <c r="A51" i="45"/>
  <c r="J51" i="45" s="1"/>
  <c r="AJ51" i="45" s="1"/>
  <c r="A50" i="45"/>
  <c r="A49" i="45"/>
  <c r="A48" i="45"/>
  <c r="A47" i="45"/>
  <c r="J47" i="45" s="1"/>
  <c r="AJ47" i="45" s="1"/>
  <c r="A46" i="45"/>
  <c r="A45" i="45"/>
  <c r="A44" i="45"/>
  <c r="A43" i="45"/>
  <c r="J43" i="45" s="1"/>
  <c r="AJ43" i="45" s="1"/>
  <c r="A42" i="45"/>
  <c r="A41" i="45"/>
  <c r="A40" i="45"/>
  <c r="A39" i="45"/>
  <c r="J39" i="45" s="1"/>
  <c r="AJ39" i="45" s="1"/>
  <c r="A38" i="45"/>
  <c r="A37" i="45"/>
  <c r="J37" i="45" s="1"/>
  <c r="AJ37" i="45" s="1"/>
  <c r="A36" i="45"/>
  <c r="C36" i="45" s="1"/>
  <c r="A35" i="45"/>
  <c r="J35" i="45" s="1"/>
  <c r="AJ35" i="45" s="1"/>
  <c r="A34" i="45"/>
  <c r="A33" i="45"/>
  <c r="A32" i="45"/>
  <c r="J32" i="45" s="1"/>
  <c r="AJ32" i="45" s="1"/>
  <c r="A31" i="45"/>
  <c r="J31" i="45" s="1"/>
  <c r="AJ31" i="45" s="1"/>
  <c r="A30" i="45"/>
  <c r="J30" i="45" s="1"/>
  <c r="AJ30" i="45" s="1"/>
  <c r="A29" i="45"/>
  <c r="J29" i="45" s="1"/>
  <c r="AJ29" i="45" s="1"/>
  <c r="A28" i="45"/>
  <c r="A27" i="45"/>
  <c r="J27" i="45" s="1"/>
  <c r="AJ27" i="45" s="1"/>
  <c r="A26" i="45"/>
  <c r="C26" i="45" s="1"/>
  <c r="A25" i="45"/>
  <c r="A24" i="45"/>
  <c r="A23" i="45"/>
  <c r="J23" i="45" s="1"/>
  <c r="AJ23" i="45" s="1"/>
  <c r="A22" i="45"/>
  <c r="J22" i="45" s="1"/>
  <c r="AJ22" i="45" s="1"/>
  <c r="A21" i="45"/>
  <c r="J21" i="45" s="1"/>
  <c r="AJ21" i="45" s="1"/>
  <c r="A20" i="45"/>
  <c r="A19" i="45"/>
  <c r="J19" i="45" s="1"/>
  <c r="AJ19" i="45" s="1"/>
  <c r="A18" i="45"/>
  <c r="A17" i="45"/>
  <c r="A16" i="45"/>
  <c r="J16" i="45" s="1"/>
  <c r="AJ16" i="45" s="1"/>
  <c r="A15" i="45"/>
  <c r="J15" i="45" s="1"/>
  <c r="AJ15" i="45" s="1"/>
  <c r="A14" i="45"/>
  <c r="J14" i="45" s="1"/>
  <c r="AJ14" i="45" s="1"/>
  <c r="A13" i="45"/>
  <c r="A12" i="45"/>
  <c r="A11" i="45"/>
  <c r="J11" i="45" s="1"/>
  <c r="AJ11" i="45" s="1"/>
  <c r="A10" i="45"/>
  <c r="A9" i="45"/>
  <c r="A8" i="45"/>
  <c r="A1" i="45"/>
  <c r="C12" i="45" l="1"/>
  <c r="C8" i="45"/>
  <c r="J17" i="45"/>
  <c r="AJ17" i="45" s="1"/>
  <c r="J25" i="45"/>
  <c r="AJ25" i="45" s="1"/>
  <c r="J33" i="45"/>
  <c r="AJ33" i="45" s="1"/>
  <c r="J41" i="45"/>
  <c r="AJ41" i="45" s="1"/>
  <c r="J49" i="45"/>
  <c r="AJ49" i="45" s="1"/>
  <c r="J57" i="45"/>
  <c r="AJ57" i="45" s="1"/>
  <c r="J65" i="45"/>
  <c r="AJ65" i="45" s="1"/>
  <c r="J73" i="45"/>
  <c r="AJ73" i="45" s="1"/>
  <c r="J81" i="45"/>
  <c r="AJ81" i="45" s="1"/>
  <c r="J89" i="45"/>
  <c r="AJ89" i="45" s="1"/>
  <c r="J97" i="45"/>
  <c r="AJ97" i="45" s="1"/>
  <c r="J105" i="45"/>
  <c r="AJ105" i="45" s="1"/>
  <c r="C44" i="45"/>
  <c r="J18" i="45"/>
  <c r="AJ18" i="45" s="1"/>
  <c r="J26" i="45"/>
  <c r="AJ26" i="45" s="1"/>
  <c r="J34" i="45"/>
  <c r="AJ34" i="45" s="1"/>
  <c r="J42" i="45"/>
  <c r="AJ42" i="45" s="1"/>
  <c r="J50" i="45"/>
  <c r="AJ50" i="45" s="1"/>
  <c r="J58" i="45"/>
  <c r="AJ58" i="45" s="1"/>
  <c r="J66" i="45"/>
  <c r="AJ66" i="45" s="1"/>
  <c r="J74" i="45"/>
  <c r="AJ74" i="45" s="1"/>
  <c r="J82" i="45"/>
  <c r="AJ82" i="45" s="1"/>
  <c r="J90" i="45"/>
  <c r="AJ90" i="45" s="1"/>
  <c r="J98" i="45"/>
  <c r="AJ98" i="45" s="1"/>
  <c r="J106" i="45"/>
  <c r="AJ106" i="45" s="1"/>
  <c r="C90" i="45"/>
  <c r="J12" i="45"/>
  <c r="AJ12" i="45" s="1"/>
  <c r="J20" i="45"/>
  <c r="AJ20" i="45" s="1"/>
  <c r="J28" i="45"/>
  <c r="AJ28" i="45" s="1"/>
  <c r="J36" i="45"/>
  <c r="AJ36" i="45" s="1"/>
  <c r="J44" i="45"/>
  <c r="AJ44" i="45" s="1"/>
  <c r="J52" i="45"/>
  <c r="AJ52" i="45" s="1"/>
  <c r="J60" i="45"/>
  <c r="AJ60" i="45" s="1"/>
  <c r="J68" i="45"/>
  <c r="AJ68" i="45" s="1"/>
  <c r="J76" i="45"/>
  <c r="AJ76" i="45" s="1"/>
  <c r="J84" i="45"/>
  <c r="AJ84" i="45" s="1"/>
  <c r="J92" i="45"/>
  <c r="AJ92" i="45" s="1"/>
  <c r="J100" i="45"/>
  <c r="AJ100" i="45" s="1"/>
  <c r="C92" i="45"/>
  <c r="J13" i="45"/>
  <c r="AJ13" i="45" s="1"/>
  <c r="J45" i="45"/>
  <c r="AJ45" i="45" s="1"/>
  <c r="J53" i="45"/>
  <c r="AJ53" i="45" s="1"/>
  <c r="J77" i="45"/>
  <c r="AJ77" i="45" s="1"/>
  <c r="J85" i="45"/>
  <c r="AJ85" i="45" s="1"/>
  <c r="J93" i="45"/>
  <c r="AJ93" i="45" s="1"/>
  <c r="J101" i="45"/>
  <c r="AJ101" i="45" s="1"/>
  <c r="C98" i="45"/>
  <c r="J38" i="45"/>
  <c r="AJ38" i="45" s="1"/>
  <c r="J46" i="45"/>
  <c r="AJ46" i="45" s="1"/>
  <c r="J94" i="45"/>
  <c r="AJ94" i="45" s="1"/>
  <c r="J102" i="45"/>
  <c r="AJ102" i="45" s="1"/>
  <c r="J95" i="45"/>
  <c r="AJ95" i="45" s="1"/>
  <c r="J103" i="45"/>
  <c r="AJ103" i="45" s="1"/>
  <c r="J24" i="45"/>
  <c r="AJ24" i="45" s="1"/>
  <c r="J40" i="45"/>
  <c r="AJ40" i="45" s="1"/>
  <c r="J48" i="45"/>
  <c r="AJ48" i="45" s="1"/>
  <c r="J56" i="45"/>
  <c r="AJ56" i="45" s="1"/>
  <c r="J72" i="45"/>
  <c r="AJ72" i="45" s="1"/>
  <c r="J80" i="45"/>
  <c r="AJ80" i="45" s="1"/>
  <c r="J88" i="45"/>
  <c r="AJ88" i="45" s="1"/>
  <c r="J96" i="45"/>
  <c r="AJ96" i="45" s="1"/>
  <c r="J104" i="45"/>
  <c r="AJ104" i="45" s="1"/>
  <c r="C21" i="45"/>
  <c r="C37" i="45"/>
  <c r="C69" i="45"/>
  <c r="C14" i="45"/>
  <c r="C22" i="45"/>
  <c r="C30" i="45"/>
  <c r="C38" i="45"/>
  <c r="C46" i="45"/>
  <c r="C54" i="45"/>
  <c r="C62" i="45"/>
  <c r="C70" i="45"/>
  <c r="C78" i="45"/>
  <c r="C86" i="45"/>
  <c r="C18" i="45"/>
  <c r="C50" i="45"/>
  <c r="C82" i="45"/>
  <c r="C15" i="45"/>
  <c r="C23" i="45"/>
  <c r="C31" i="45"/>
  <c r="C39" i="45"/>
  <c r="C47" i="45"/>
  <c r="C55" i="45"/>
  <c r="C63" i="45"/>
  <c r="C71" i="45"/>
  <c r="C79" i="45"/>
  <c r="C87" i="45"/>
  <c r="C20" i="45"/>
  <c r="C52" i="45"/>
  <c r="C84" i="45"/>
  <c r="C24" i="45"/>
  <c r="C40" i="45"/>
  <c r="C56" i="45"/>
  <c r="C64" i="45"/>
  <c r="C72" i="45"/>
  <c r="C80" i="45"/>
  <c r="C88" i="45"/>
  <c r="C13" i="45"/>
  <c r="C16" i="45"/>
  <c r="C32" i="45"/>
  <c r="C48" i="45"/>
  <c r="C9" i="45"/>
  <c r="C17" i="45"/>
  <c r="C25" i="45"/>
  <c r="C33" i="45"/>
  <c r="C41" i="45"/>
  <c r="C49" i="45"/>
  <c r="C57" i="45"/>
  <c r="C65" i="45"/>
  <c r="C73" i="45"/>
  <c r="C81" i="45"/>
  <c r="C89" i="45"/>
  <c r="C97" i="45"/>
  <c r="C105" i="45"/>
  <c r="C28" i="45"/>
  <c r="C60" i="45"/>
  <c r="C29" i="45"/>
  <c r="C45" i="45"/>
  <c r="C61" i="45"/>
  <c r="C77" i="45"/>
  <c r="C85" i="45"/>
  <c r="C53" i="45"/>
  <c r="C34" i="45"/>
  <c r="C66" i="45"/>
  <c r="C11" i="45"/>
  <c r="C19" i="45"/>
  <c r="C27" i="45"/>
  <c r="C35" i="45"/>
  <c r="C43" i="45"/>
  <c r="C51" i="45"/>
  <c r="C59" i="45"/>
  <c r="C67" i="45"/>
  <c r="C75" i="45"/>
  <c r="C83" i="45"/>
  <c r="C91" i="45"/>
  <c r="C99" i="45"/>
  <c r="C107" i="45"/>
  <c r="C10" i="45"/>
  <c r="C42" i="45"/>
  <c r="C74" i="45"/>
  <c r="C93" i="45"/>
  <c r="C101" i="45"/>
  <c r="C94" i="45"/>
  <c r="C102" i="45"/>
  <c r="C95" i="45"/>
  <c r="C103" i="45"/>
  <c r="C96" i="45"/>
  <c r="C104" i="45"/>
  <c r="BT85" i="28" l="1"/>
  <c r="BT84" i="28"/>
  <c r="BT83" i="28"/>
  <c r="BT82" i="28"/>
  <c r="BT86" i="28" l="1"/>
  <c r="G11" i="40"/>
  <c r="G10" i="40"/>
  <c r="G9" i="40"/>
  <c r="G242" i="4" l="1"/>
  <c r="G201" i="4"/>
  <c r="L28" i="33" l="1"/>
  <c r="L15" i="42" l="1"/>
  <c r="K15" i="42"/>
  <c r="J15" i="42"/>
  <c r="M15" i="42" s="1"/>
  <c r="I15" i="42"/>
  <c r="L14" i="42"/>
  <c r="K14" i="42"/>
  <c r="J14" i="42"/>
  <c r="I14" i="42"/>
  <c r="L13" i="42"/>
  <c r="K13" i="42"/>
  <c r="J13" i="42"/>
  <c r="M13" i="42" s="1"/>
  <c r="I13" i="42"/>
  <c r="L12" i="42"/>
  <c r="K12" i="42"/>
  <c r="J12" i="42"/>
  <c r="I12" i="42"/>
  <c r="M12" i="42" s="1"/>
  <c r="L11" i="42"/>
  <c r="K11" i="42"/>
  <c r="J11" i="42"/>
  <c r="M11" i="42" s="1"/>
  <c r="I11" i="42"/>
  <c r="L10" i="42"/>
  <c r="K10" i="42"/>
  <c r="J10" i="42"/>
  <c r="I10" i="42"/>
  <c r="I16" i="42" s="1"/>
  <c r="L16" i="42"/>
  <c r="K16" i="42"/>
  <c r="J16" i="42"/>
  <c r="M14" i="42"/>
  <c r="M10" i="42" l="1"/>
  <c r="M16" i="42" s="1"/>
  <c r="C14" i="42"/>
  <c r="C13" i="42"/>
  <c r="C12" i="42"/>
  <c r="B15" i="42"/>
  <c r="B14" i="42"/>
  <c r="B13" i="42"/>
  <c r="B12" i="42"/>
  <c r="B11" i="42"/>
  <c r="B10" i="42"/>
  <c r="C10" i="42" s="1"/>
  <c r="C15" i="42" l="1"/>
  <c r="C11" i="42"/>
  <c r="A1" i="42"/>
  <c r="E11" i="15" l="1"/>
  <c r="E24" i="15"/>
  <c r="E10" i="15"/>
  <c r="E23" i="15" l="1"/>
  <c r="O14" i="4" l="1"/>
  <c r="N13" i="4"/>
  <c r="N12" i="4"/>
  <c r="N11" i="4"/>
  <c r="N10" i="4"/>
  <c r="M13" i="4"/>
  <c r="M12" i="4"/>
  <c r="M11" i="4"/>
  <c r="M10" i="4"/>
  <c r="C50" i="15" l="1"/>
  <c r="C49" i="15"/>
  <c r="C48" i="15"/>
  <c r="B69" i="28"/>
  <c r="B68" i="28"/>
  <c r="B67" i="28"/>
  <c r="B66" i="28"/>
  <c r="B65" i="28"/>
  <c r="B64" i="28"/>
  <c r="B63" i="28"/>
  <c r="B62" i="28"/>
  <c r="L157" i="4" l="1"/>
  <c r="M157" i="4"/>
  <c r="N157" i="4"/>
  <c r="O157" i="4"/>
  <c r="R18" i="1" l="1"/>
  <c r="R17" i="1"/>
  <c r="R16" i="1"/>
  <c r="R15" i="1"/>
  <c r="R14" i="1"/>
  <c r="R13" i="1"/>
  <c r="R12" i="1"/>
  <c r="R11" i="1"/>
  <c r="R10" i="1"/>
  <c r="R9" i="1"/>
  <c r="Q18" i="1"/>
  <c r="Q17" i="1"/>
  <c r="Q16" i="1"/>
  <c r="Q15" i="1"/>
  <c r="Q14" i="1"/>
  <c r="Q13" i="1"/>
  <c r="Q12" i="1"/>
  <c r="Q11" i="1"/>
  <c r="B57" i="28"/>
  <c r="C57" i="28" s="1"/>
  <c r="B56" i="28"/>
  <c r="C56" i="28" s="1"/>
  <c r="B55" i="28"/>
  <c r="C55" i="28" s="1"/>
  <c r="B54" i="28"/>
  <c r="C54" i="28" s="1"/>
  <c r="B53" i="28"/>
  <c r="C53" i="28" s="1"/>
  <c r="B52" i="28"/>
  <c r="C52" i="28" s="1"/>
  <c r="B51" i="28"/>
  <c r="C51" i="28" s="1"/>
  <c r="B50" i="28"/>
  <c r="C50" i="28" s="1"/>
  <c r="B49" i="28"/>
  <c r="B48" i="28"/>
  <c r="C48" i="28" s="1"/>
  <c r="O9" i="40" l="1"/>
  <c r="A1" i="40"/>
  <c r="A1" i="33"/>
  <c r="H12" i="33" l="1"/>
  <c r="L10" i="33" l="1"/>
  <c r="L9" i="33"/>
  <c r="L8" i="33"/>
  <c r="L27" i="33"/>
  <c r="L26" i="33"/>
  <c r="L25" i="33"/>
  <c r="L24" i="33"/>
  <c r="L23" i="33"/>
  <c r="L22" i="33"/>
  <c r="L21" i="33"/>
  <c r="L20" i="33"/>
  <c r="L19" i="33"/>
  <c r="L18" i="33"/>
  <c r="L17" i="33"/>
  <c r="L16" i="33"/>
  <c r="L15" i="33"/>
  <c r="L14" i="33"/>
  <c r="D53" i="2" l="1"/>
  <c r="A1" i="4" l="1"/>
  <c r="H508" i="4" l="1"/>
  <c r="V25" i="1" l="1"/>
  <c r="V24" i="1"/>
  <c r="V23" i="1"/>
  <c r="U25" i="1"/>
  <c r="U24" i="1"/>
  <c r="U23" i="1"/>
  <c r="O25" i="1"/>
  <c r="O24" i="1"/>
  <c r="O23" i="1"/>
  <c r="N25" i="1"/>
  <c r="N24" i="1"/>
  <c r="N23" i="1"/>
  <c r="M25" i="1"/>
  <c r="M24" i="1"/>
  <c r="M23" i="1"/>
  <c r="C106" i="34" l="1"/>
  <c r="B9" i="34"/>
  <c r="B10" i="34" s="1"/>
  <c r="B11" i="34" s="1"/>
  <c r="B12" i="34" s="1"/>
  <c r="B13" i="34" s="1"/>
  <c r="B9" i="19"/>
  <c r="B10" i="19" s="1"/>
  <c r="C20" i="22"/>
  <c r="AW20" i="22" s="1"/>
  <c r="C19" i="22"/>
  <c r="AW19" i="22" s="1"/>
  <c r="C18" i="22"/>
  <c r="AW18" i="22" s="1"/>
  <c r="C166" i="13"/>
  <c r="C158" i="13"/>
  <c r="C150" i="13"/>
  <c r="G150" i="13" s="1"/>
  <c r="C142" i="13"/>
  <c r="C134" i="13"/>
  <c r="C126" i="13"/>
  <c r="C118" i="13"/>
  <c r="C110" i="13"/>
  <c r="G110" i="13" s="1"/>
  <c r="C102" i="13"/>
  <c r="C93" i="13"/>
  <c r="G93" i="13" s="1"/>
  <c r="C84" i="13"/>
  <c r="C75" i="13"/>
  <c r="C68" i="13"/>
  <c r="C61" i="13"/>
  <c r="G61" i="13" s="1"/>
  <c r="C54" i="13"/>
  <c r="G54" i="13" s="1"/>
  <c r="C46" i="13"/>
  <c r="C37" i="13"/>
  <c r="C21" i="13"/>
  <c r="L21" i="13" s="1"/>
  <c r="C278" i="12"/>
  <c r="C271" i="12"/>
  <c r="G271" i="12" s="1"/>
  <c r="C263" i="12"/>
  <c r="C255" i="12"/>
  <c r="C245" i="12"/>
  <c r="G245" i="12" s="1"/>
  <c r="C235" i="12"/>
  <c r="G235" i="12" s="1"/>
  <c r="C227" i="12"/>
  <c r="C219" i="12"/>
  <c r="G219" i="12" s="1"/>
  <c r="C211" i="12"/>
  <c r="C201" i="12"/>
  <c r="C194" i="12"/>
  <c r="BB194" i="12" s="1"/>
  <c r="C186" i="12"/>
  <c r="G186" i="12" s="1"/>
  <c r="C179" i="12"/>
  <c r="G179" i="12" s="1"/>
  <c r="C171" i="12"/>
  <c r="C163" i="12"/>
  <c r="G163" i="12" s="1"/>
  <c r="C155" i="12"/>
  <c r="G155" i="12" s="1"/>
  <c r="C148" i="12"/>
  <c r="C141" i="12"/>
  <c r="C134" i="12"/>
  <c r="G134" i="12" s="1"/>
  <c r="C126" i="12"/>
  <c r="C118" i="12"/>
  <c r="G118" i="12" s="1"/>
  <c r="C110" i="12"/>
  <c r="C102" i="12"/>
  <c r="G102" i="12" s="1"/>
  <c r="C94" i="12"/>
  <c r="G94" i="12" s="1"/>
  <c r="C86" i="12"/>
  <c r="C78" i="12"/>
  <c r="C70" i="12"/>
  <c r="G70" i="12" s="1"/>
  <c r="C62" i="12"/>
  <c r="G62" i="12" s="1"/>
  <c r="C54" i="12"/>
  <c r="C46" i="12"/>
  <c r="C38" i="12"/>
  <c r="C30" i="12"/>
  <c r="C22" i="12"/>
  <c r="EW15" i="5"/>
  <c r="EY15" i="5" s="1"/>
  <c r="EZ15" i="5" s="1"/>
  <c r="ES15" i="5"/>
  <c r="FZ15" i="5" s="1"/>
  <c r="EJ15" i="5"/>
  <c r="EL15" i="5" s="1"/>
  <c r="BK263" i="12" s="1"/>
  <c r="EB15" i="5"/>
  <c r="AH15" i="5"/>
  <c r="Y15" i="5"/>
  <c r="W15" i="5"/>
  <c r="S48" i="7"/>
  <c r="S56" i="8"/>
  <c r="C9" i="34" l="1"/>
  <c r="B14" i="34"/>
  <c r="B15" i="34" s="1"/>
  <c r="C13" i="34"/>
  <c r="G255" i="12"/>
  <c r="N78" i="12"/>
  <c r="BO263" i="12"/>
  <c r="M21" i="13"/>
  <c r="G166" i="13"/>
  <c r="C10" i="38"/>
  <c r="C10" i="34"/>
  <c r="C11" i="34"/>
  <c r="C12" i="34"/>
  <c r="C14" i="34"/>
  <c r="C10" i="19"/>
  <c r="H10" i="19" s="1"/>
  <c r="AT10" i="19"/>
  <c r="G10" i="19"/>
  <c r="B19" i="22"/>
  <c r="O19" i="22"/>
  <c r="K19" i="22"/>
  <c r="AB19" i="22"/>
  <c r="G19" i="22"/>
  <c r="H19" i="22" s="1"/>
  <c r="AB20" i="22"/>
  <c r="K20" i="22"/>
  <c r="B20" i="22"/>
  <c r="M20" i="22"/>
  <c r="J20" i="22"/>
  <c r="Z20" i="22"/>
  <c r="I20" i="22"/>
  <c r="E9" i="34" s="1"/>
  <c r="O20" i="22"/>
  <c r="G20" i="22"/>
  <c r="H20" i="22" s="1"/>
  <c r="N20" i="22"/>
  <c r="N19" i="22"/>
  <c r="M19" i="22"/>
  <c r="J19" i="22"/>
  <c r="Z19" i="22"/>
  <c r="I19" i="22"/>
  <c r="G158" i="13"/>
  <c r="G118" i="13"/>
  <c r="G142" i="13"/>
  <c r="G126" i="13"/>
  <c r="G134" i="13"/>
  <c r="G102" i="13"/>
  <c r="G46" i="13"/>
  <c r="G84" i="13"/>
  <c r="G75" i="13"/>
  <c r="G68" i="13"/>
  <c r="G21" i="13"/>
  <c r="G37" i="13"/>
  <c r="G278" i="12"/>
  <c r="G263" i="12"/>
  <c r="BQ263" i="12" s="1"/>
  <c r="BF194" i="12"/>
  <c r="G227" i="12"/>
  <c r="Z194" i="12"/>
  <c r="AP194" i="12"/>
  <c r="G211" i="12"/>
  <c r="AX194" i="12"/>
  <c r="U194" i="12"/>
  <c r="BA194" i="12"/>
  <c r="AC194" i="12"/>
  <c r="G201" i="12"/>
  <c r="AH194" i="12"/>
  <c r="AK194" i="12"/>
  <c r="AS194" i="12"/>
  <c r="W194" i="12"/>
  <c r="AE194" i="12"/>
  <c r="AM194" i="12"/>
  <c r="AU194" i="12"/>
  <c r="BC194" i="12"/>
  <c r="X194" i="12"/>
  <c r="AF194" i="12"/>
  <c r="AN194" i="12"/>
  <c r="AV194" i="12"/>
  <c r="BD194" i="12"/>
  <c r="Y194" i="12"/>
  <c r="AG194" i="12"/>
  <c r="AO194" i="12"/>
  <c r="AW194" i="12"/>
  <c r="BE194" i="12"/>
  <c r="G194" i="12"/>
  <c r="AA194" i="12"/>
  <c r="AI194" i="12"/>
  <c r="AQ194" i="12"/>
  <c r="AY194" i="12"/>
  <c r="BG194" i="12"/>
  <c r="T194" i="12"/>
  <c r="AB194" i="12"/>
  <c r="AJ194" i="12"/>
  <c r="AR194" i="12"/>
  <c r="AZ194" i="12"/>
  <c r="V194" i="12"/>
  <c r="AD194" i="12"/>
  <c r="AL194" i="12"/>
  <c r="AT194" i="12"/>
  <c r="G171" i="12"/>
  <c r="G148" i="12"/>
  <c r="G141" i="12"/>
  <c r="G126" i="12"/>
  <c r="K126" i="12"/>
  <c r="G110" i="12"/>
  <c r="G86" i="12"/>
  <c r="G78" i="12"/>
  <c r="K78" i="12"/>
  <c r="M78" i="12"/>
  <c r="G38" i="12"/>
  <c r="G54" i="12"/>
  <c r="G46" i="12"/>
  <c r="G30" i="12"/>
  <c r="G22" i="12"/>
  <c r="M22" i="12"/>
  <c r="F10" i="19" l="1"/>
  <c r="B16" i="34"/>
  <c r="C15" i="34"/>
  <c r="C11" i="38"/>
  <c r="G10" i="38"/>
  <c r="F10" i="38"/>
  <c r="E10" i="38"/>
  <c r="W10" i="38"/>
  <c r="E10" i="34"/>
  <c r="BS263" i="12"/>
  <c r="BI194" i="12"/>
  <c r="U23" i="39"/>
  <c r="P23" i="39"/>
  <c r="Q23" i="39"/>
  <c r="B17" i="34" l="1"/>
  <c r="C16" i="34"/>
  <c r="G11" i="38"/>
  <c r="F11" i="38"/>
  <c r="E11" i="38"/>
  <c r="W11" i="38"/>
  <c r="C12" i="38"/>
  <c r="E11" i="34"/>
  <c r="T24" i="39"/>
  <c r="P24" i="39"/>
  <c r="B18" i="34" l="1"/>
  <c r="C17" i="34"/>
  <c r="C13" i="38"/>
  <c r="G12" i="38"/>
  <c r="F12" i="38"/>
  <c r="E12" i="38"/>
  <c r="W12" i="38"/>
  <c r="E12" i="34"/>
  <c r="B19" i="34" l="1"/>
  <c r="C18" i="34"/>
  <c r="C14" i="38"/>
  <c r="E13" i="38"/>
  <c r="W13" i="38"/>
  <c r="F13" i="38"/>
  <c r="G13" i="38"/>
  <c r="E13" i="34"/>
  <c r="C19" i="34" l="1"/>
  <c r="B20" i="34"/>
  <c r="C15" i="38"/>
  <c r="G14" i="38"/>
  <c r="F14" i="38"/>
  <c r="W14" i="38"/>
  <c r="E14" i="38"/>
  <c r="E14" i="34"/>
  <c r="O11" i="26"/>
  <c r="B21" i="34" l="1"/>
  <c r="C20" i="34"/>
  <c r="C16" i="38"/>
  <c r="G15" i="38"/>
  <c r="F15" i="38"/>
  <c r="E15" i="38"/>
  <c r="W15" i="38"/>
  <c r="E15" i="34"/>
  <c r="C165" i="13"/>
  <c r="C164" i="13"/>
  <c r="C157" i="13"/>
  <c r="C156" i="13"/>
  <c r="C149" i="13"/>
  <c r="C148" i="13"/>
  <c r="C141" i="13"/>
  <c r="C140" i="13"/>
  <c r="C133" i="13"/>
  <c r="C132" i="13"/>
  <c r="C125" i="13"/>
  <c r="C124" i="13"/>
  <c r="C117" i="13"/>
  <c r="C116" i="13"/>
  <c r="C109" i="13"/>
  <c r="C108" i="13"/>
  <c r="C101" i="13"/>
  <c r="C100" i="13"/>
  <c r="C92" i="13"/>
  <c r="C91" i="13"/>
  <c r="C83" i="13"/>
  <c r="C82" i="13"/>
  <c r="C74" i="13"/>
  <c r="C73" i="13"/>
  <c r="C67" i="13"/>
  <c r="C66" i="13"/>
  <c r="C60" i="13"/>
  <c r="C59" i="13"/>
  <c r="C53" i="13"/>
  <c r="C52" i="13"/>
  <c r="C45" i="13"/>
  <c r="C44" i="13"/>
  <c r="C36" i="13"/>
  <c r="C35" i="13"/>
  <c r="C20" i="13"/>
  <c r="L20" i="13" s="1"/>
  <c r="C19" i="13"/>
  <c r="L19" i="13" s="1"/>
  <c r="C277" i="12"/>
  <c r="C276" i="12"/>
  <c r="C270" i="12"/>
  <c r="C269" i="12"/>
  <c r="C262" i="12"/>
  <c r="C261" i="12"/>
  <c r="C254" i="12"/>
  <c r="C253" i="12"/>
  <c r="C244" i="12"/>
  <c r="C243" i="12"/>
  <c r="C234" i="12"/>
  <c r="C233" i="12"/>
  <c r="C226" i="12"/>
  <c r="C225" i="12"/>
  <c r="C218" i="12"/>
  <c r="C217" i="12"/>
  <c r="C210" i="12"/>
  <c r="C209" i="12"/>
  <c r="C200" i="12"/>
  <c r="C199" i="12"/>
  <c r="C193" i="12"/>
  <c r="C192" i="12"/>
  <c r="C185" i="12"/>
  <c r="C184" i="12"/>
  <c r="C178" i="12"/>
  <c r="C177" i="12"/>
  <c r="C170" i="12"/>
  <c r="C169" i="12"/>
  <c r="C162" i="12"/>
  <c r="C161" i="12"/>
  <c r="C154" i="12"/>
  <c r="C153" i="12"/>
  <c r="C147" i="12"/>
  <c r="C146" i="12"/>
  <c r="C140" i="12"/>
  <c r="C139" i="12"/>
  <c r="C133" i="12"/>
  <c r="C132" i="12"/>
  <c r="C125" i="12"/>
  <c r="C124" i="12"/>
  <c r="C117" i="12"/>
  <c r="C116" i="12"/>
  <c r="C109" i="12"/>
  <c r="C108" i="12"/>
  <c r="C101" i="12"/>
  <c r="C100" i="12"/>
  <c r="C93" i="12"/>
  <c r="C92" i="12"/>
  <c r="C85" i="12"/>
  <c r="C84" i="12"/>
  <c r="C77" i="12"/>
  <c r="C76" i="12"/>
  <c r="C69" i="12"/>
  <c r="C68" i="12"/>
  <c r="C61" i="12"/>
  <c r="C60" i="12"/>
  <c r="C53" i="12"/>
  <c r="C52" i="12"/>
  <c r="C45" i="12"/>
  <c r="C44" i="12"/>
  <c r="C37" i="12"/>
  <c r="C36" i="12"/>
  <c r="C29" i="12"/>
  <c r="C28" i="12"/>
  <c r="C21" i="12"/>
  <c r="C20" i="12"/>
  <c r="G674" i="4"/>
  <c r="O279" i="16" s="1"/>
  <c r="B22" i="34" l="1"/>
  <c r="C21" i="34"/>
  <c r="G16" i="38"/>
  <c r="F16" i="38"/>
  <c r="E16" i="38"/>
  <c r="W16" i="38"/>
  <c r="C17" i="38"/>
  <c r="E16" i="34"/>
  <c r="EW14" i="5"/>
  <c r="EW13" i="5"/>
  <c r="C22" i="34" l="1"/>
  <c r="B23" i="34"/>
  <c r="C18" i="38"/>
  <c r="E17" i="38"/>
  <c r="W17" i="38"/>
  <c r="G17" i="38"/>
  <c r="F17" i="38"/>
  <c r="E17" i="34"/>
  <c r="EB14" i="5"/>
  <c r="EB13" i="5"/>
  <c r="G259" i="4"/>
  <c r="B24" i="34" l="1"/>
  <c r="C23" i="34"/>
  <c r="C19" i="38"/>
  <c r="G18" i="38"/>
  <c r="F18" i="38"/>
  <c r="W18" i="38"/>
  <c r="E18" i="38"/>
  <c r="E18" i="34"/>
  <c r="B25" i="34" l="1"/>
  <c r="C24" i="34"/>
  <c r="C20" i="38"/>
  <c r="G19" i="38"/>
  <c r="F19" i="38"/>
  <c r="E19" i="38"/>
  <c r="W19" i="38"/>
  <c r="E19" i="34"/>
  <c r="G10" i="26"/>
  <c r="B26" i="34" l="1"/>
  <c r="C25" i="34"/>
  <c r="G20" i="38"/>
  <c r="F20" i="38"/>
  <c r="E20" i="38"/>
  <c r="W20" i="38"/>
  <c r="C21" i="38"/>
  <c r="E20" i="34"/>
  <c r="B27" i="34" l="1"/>
  <c r="C26" i="34"/>
  <c r="C22" i="38"/>
  <c r="E21" i="38"/>
  <c r="W21" i="38"/>
  <c r="G21" i="38"/>
  <c r="F21" i="38"/>
  <c r="E21" i="34"/>
  <c r="A1" i="39"/>
  <c r="B28" i="34" l="1"/>
  <c r="C27" i="34"/>
  <c r="G22" i="38"/>
  <c r="F22" i="38"/>
  <c r="W22" i="38"/>
  <c r="E22" i="38"/>
  <c r="C23" i="38"/>
  <c r="E22" i="34"/>
  <c r="G500" i="4"/>
  <c r="H21" i="33" l="1"/>
  <c r="K21" i="33" s="1"/>
  <c r="T15" i="40"/>
  <c r="I15" i="40" s="1"/>
  <c r="B29" i="34"/>
  <c r="C28" i="34"/>
  <c r="C24" i="38"/>
  <c r="G23" i="38"/>
  <c r="F23" i="38"/>
  <c r="E23" i="38"/>
  <c r="W23" i="38"/>
  <c r="E23" i="34"/>
  <c r="G499" i="4"/>
  <c r="AC100" i="17"/>
  <c r="H506" i="4" l="1"/>
  <c r="N15" i="40"/>
  <c r="B30" i="34"/>
  <c r="C29" i="34"/>
  <c r="G24" i="38"/>
  <c r="F24" i="38"/>
  <c r="E24" i="38"/>
  <c r="W24" i="38"/>
  <c r="C25" i="38"/>
  <c r="E24" i="34"/>
  <c r="H142" i="11"/>
  <c r="H141" i="11"/>
  <c r="H140" i="11"/>
  <c r="H139" i="11"/>
  <c r="H138" i="11"/>
  <c r="H137" i="11"/>
  <c r="H136" i="11"/>
  <c r="H135" i="11"/>
  <c r="H134" i="11"/>
  <c r="S21" i="14"/>
  <c r="C30" i="34" l="1"/>
  <c r="B31" i="34"/>
  <c r="E25" i="38"/>
  <c r="W25" i="38"/>
  <c r="G25" i="38"/>
  <c r="F25" i="38"/>
  <c r="C26" i="38"/>
  <c r="E25" i="34"/>
  <c r="BG287" i="12"/>
  <c r="E23" i="22"/>
  <c r="B32" i="34" l="1"/>
  <c r="C31" i="34"/>
  <c r="C27" i="38"/>
  <c r="G26" i="38"/>
  <c r="F26" i="38"/>
  <c r="E26" i="38"/>
  <c r="W26" i="38"/>
  <c r="E26" i="34"/>
  <c r="B33" i="34" l="1"/>
  <c r="C32" i="34"/>
  <c r="G27" i="38"/>
  <c r="F27" i="38"/>
  <c r="E27" i="38"/>
  <c r="W27" i="38"/>
  <c r="C28" i="38"/>
  <c r="E27" i="34"/>
  <c r="G53" i="13"/>
  <c r="G52" i="13"/>
  <c r="B34" i="34" l="1"/>
  <c r="C33" i="34"/>
  <c r="G28" i="38"/>
  <c r="F28" i="38"/>
  <c r="E28" i="38"/>
  <c r="W28" i="38"/>
  <c r="C29" i="38"/>
  <c r="E28" i="34"/>
  <c r="R411" i="16"/>
  <c r="B35" i="34" l="1"/>
  <c r="C34" i="34"/>
  <c r="E29" i="38"/>
  <c r="W29" i="38"/>
  <c r="G29" i="38"/>
  <c r="F29" i="38"/>
  <c r="C30" i="38"/>
  <c r="E29" i="34"/>
  <c r="G680" i="4"/>
  <c r="K678" i="4" s="1"/>
  <c r="B36" i="34" l="1"/>
  <c r="C35" i="34"/>
  <c r="C31" i="38"/>
  <c r="G30" i="38"/>
  <c r="F30" i="38"/>
  <c r="E30" i="38"/>
  <c r="W30" i="38"/>
  <c r="E30" i="34"/>
  <c r="G713" i="4"/>
  <c r="B37" i="34" l="1"/>
  <c r="C36" i="34"/>
  <c r="C32" i="38"/>
  <c r="G31" i="38"/>
  <c r="F31" i="38"/>
  <c r="E31" i="38"/>
  <c r="W31" i="38"/>
  <c r="E31" i="34"/>
  <c r="G708" i="4"/>
  <c r="B38" i="34" l="1"/>
  <c r="C37" i="34"/>
  <c r="G32" i="38"/>
  <c r="F32" i="38"/>
  <c r="E32" i="38"/>
  <c r="W32" i="38"/>
  <c r="C33" i="38"/>
  <c r="E32" i="34"/>
  <c r="G474" i="4"/>
  <c r="B12" i="16"/>
  <c r="B39" i="34" l="1"/>
  <c r="C38" i="34"/>
  <c r="E33" i="38"/>
  <c r="W33" i="38"/>
  <c r="G33" i="38"/>
  <c r="F33" i="38"/>
  <c r="C34" i="38"/>
  <c r="E33" i="34"/>
  <c r="A1" i="6"/>
  <c r="P157" i="4"/>
  <c r="K157" i="4"/>
  <c r="J157" i="4"/>
  <c r="I157" i="4"/>
  <c r="H157" i="4"/>
  <c r="G157" i="4"/>
  <c r="B40" i="34" l="1"/>
  <c r="C39" i="34"/>
  <c r="C35" i="38"/>
  <c r="G34" i="38"/>
  <c r="F34" i="38"/>
  <c r="E34" i="38"/>
  <c r="W34" i="38"/>
  <c r="E34" i="34"/>
  <c r="C109" i="38"/>
  <c r="B41" i="34" l="1"/>
  <c r="C40" i="34"/>
  <c r="G35" i="38"/>
  <c r="F35" i="38"/>
  <c r="E35" i="38"/>
  <c r="W35" i="38"/>
  <c r="C36" i="38"/>
  <c r="E35" i="34"/>
  <c r="C41" i="34" l="1"/>
  <c r="B42" i="34"/>
  <c r="C37" i="38"/>
  <c r="F36" i="38"/>
  <c r="W36" i="38"/>
  <c r="G36" i="38"/>
  <c r="E36" i="38"/>
  <c r="E36" i="34"/>
  <c r="J17" i="29"/>
  <c r="B43" i="34" l="1"/>
  <c r="C42" i="34"/>
  <c r="W37" i="38"/>
  <c r="G37" i="38"/>
  <c r="F37" i="38"/>
  <c r="E37" i="38"/>
  <c r="C38" i="38"/>
  <c r="E37" i="34"/>
  <c r="A1" i="38"/>
  <c r="C9" i="38"/>
  <c r="C8" i="38"/>
  <c r="B44" i="34" l="1"/>
  <c r="C43" i="34"/>
  <c r="G38" i="38"/>
  <c r="F38" i="38"/>
  <c r="E38" i="38"/>
  <c r="W38" i="38"/>
  <c r="F9" i="38"/>
  <c r="W9" i="38"/>
  <c r="G9" i="38"/>
  <c r="E9" i="38"/>
  <c r="C39" i="38"/>
  <c r="E38" i="34"/>
  <c r="G8" i="38"/>
  <c r="F8" i="38"/>
  <c r="W8" i="38"/>
  <c r="E8" i="38"/>
  <c r="L774" i="4"/>
  <c r="L753" i="4"/>
  <c r="F6" i="35"/>
  <c r="B10" i="35"/>
  <c r="D7" i="35"/>
  <c r="B61" i="28"/>
  <c r="B60" i="28"/>
  <c r="B47" i="28"/>
  <c r="B46" i="28"/>
  <c r="B43" i="28"/>
  <c r="B42" i="28"/>
  <c r="B41" i="28"/>
  <c r="B40" i="28"/>
  <c r="B39" i="28"/>
  <c r="B38" i="28"/>
  <c r="B37" i="28"/>
  <c r="B36" i="28"/>
  <c r="B35" i="28"/>
  <c r="B34" i="28"/>
  <c r="B33" i="28"/>
  <c r="C33" i="28" s="1"/>
  <c r="B32" i="28"/>
  <c r="C32" i="28" s="1"/>
  <c r="B31" i="28"/>
  <c r="B30" i="28"/>
  <c r="C30" i="28" s="1"/>
  <c r="B29" i="28"/>
  <c r="B28" i="28"/>
  <c r="EY13" i="5"/>
  <c r="EZ13" i="5" s="1"/>
  <c r="B45" i="34" l="1"/>
  <c r="C44" i="34"/>
  <c r="C40" i="38"/>
  <c r="F39" i="38"/>
  <c r="E39" i="38"/>
  <c r="W39" i="38"/>
  <c r="G39" i="38"/>
  <c r="E39" i="34"/>
  <c r="EY14" i="5"/>
  <c r="EZ14" i="5" s="1"/>
  <c r="ES13" i="5"/>
  <c r="E25" i="15" s="1"/>
  <c r="ES14" i="5"/>
  <c r="EJ13" i="5"/>
  <c r="EL13" i="5" s="1"/>
  <c r="EJ14" i="5"/>
  <c r="EL14" i="5" s="1"/>
  <c r="AH14" i="5"/>
  <c r="AH13" i="5"/>
  <c r="Y14" i="5"/>
  <c r="Y13" i="5"/>
  <c r="W14" i="5"/>
  <c r="W13" i="5"/>
  <c r="BG140" i="14"/>
  <c r="B46" i="34" l="1"/>
  <c r="C45" i="34"/>
  <c r="C41" i="38"/>
  <c r="F40" i="38"/>
  <c r="W40" i="38"/>
  <c r="G40" i="38"/>
  <c r="E40" i="38"/>
  <c r="E40" i="34"/>
  <c r="B47" i="34" l="1"/>
  <c r="C46" i="34"/>
  <c r="W41" i="38"/>
  <c r="G41" i="38"/>
  <c r="F41" i="38"/>
  <c r="E41" i="38"/>
  <c r="C42" i="38"/>
  <c r="E41" i="34"/>
  <c r="H11" i="4"/>
  <c r="G11" i="26"/>
  <c r="BG60" i="14"/>
  <c r="BF60" i="14"/>
  <c r="BE60" i="14"/>
  <c r="BD60"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C47" i="34" l="1"/>
  <c r="B48" i="34"/>
  <c r="C43" i="38"/>
  <c r="G42" i="38"/>
  <c r="F42" i="38"/>
  <c r="E42" i="38"/>
  <c r="W42" i="38"/>
  <c r="E42" i="34"/>
  <c r="E57" i="14"/>
  <c r="B49" i="34" l="1"/>
  <c r="C48" i="34"/>
  <c r="C44" i="38"/>
  <c r="F43" i="38"/>
  <c r="E43" i="38"/>
  <c r="W43" i="38"/>
  <c r="G43" i="38"/>
  <c r="E43" i="34"/>
  <c r="R15" i="14"/>
  <c r="R7" i="16"/>
  <c r="R14" i="14"/>
  <c r="R6" i="16"/>
  <c r="R12" i="14"/>
  <c r="B50" i="34" l="1"/>
  <c r="C49" i="34"/>
  <c r="F44" i="38"/>
  <c r="W44" i="38"/>
  <c r="G44" i="38"/>
  <c r="E44" i="38"/>
  <c r="C45" i="38"/>
  <c r="E44" i="34"/>
  <c r="O15" i="15"/>
  <c r="B51" i="34" l="1"/>
  <c r="C50" i="34"/>
  <c r="W45" i="38"/>
  <c r="G45" i="38"/>
  <c r="F45" i="38"/>
  <c r="E45" i="38"/>
  <c r="C46" i="38"/>
  <c r="E45" i="34"/>
  <c r="E25" i="37"/>
  <c r="C51" i="34" l="1"/>
  <c r="B52" i="34"/>
  <c r="G46" i="38"/>
  <c r="F46" i="38"/>
  <c r="E46" i="38"/>
  <c r="W46" i="38"/>
  <c r="C47" i="38"/>
  <c r="E46" i="34"/>
  <c r="Y107" i="17"/>
  <c r="Y106" i="17"/>
  <c r="Y105" i="17"/>
  <c r="Y104" i="17"/>
  <c r="Y103" i="17"/>
  <c r="Y102" i="17"/>
  <c r="Y101" i="17"/>
  <c r="B53" i="34" l="1"/>
  <c r="C52" i="34"/>
  <c r="C48" i="38"/>
  <c r="F47" i="38"/>
  <c r="E47" i="38"/>
  <c r="W47" i="38"/>
  <c r="G47" i="38"/>
  <c r="E47" i="34"/>
  <c r="A1" i="36"/>
  <c r="A1" i="35"/>
  <c r="GP9" i="6"/>
  <c r="B54" i="34" l="1"/>
  <c r="C53" i="34"/>
  <c r="F48" i="38"/>
  <c r="W48" i="38"/>
  <c r="G48" i="38"/>
  <c r="E48" i="38"/>
  <c r="C49" i="38"/>
  <c r="E48" i="34"/>
  <c r="J16" i="29"/>
  <c r="J15" i="29"/>
  <c r="J12" i="29"/>
  <c r="J10" i="29"/>
  <c r="J9" i="29"/>
  <c r="J8" i="29"/>
  <c r="H14" i="27"/>
  <c r="B55" i="34" l="1"/>
  <c r="C54" i="34"/>
  <c r="C50" i="38"/>
  <c r="W49" i="38"/>
  <c r="G49" i="38"/>
  <c r="F49" i="38"/>
  <c r="E49" i="38"/>
  <c r="E49" i="34"/>
  <c r="H13" i="27"/>
  <c r="H10" i="27"/>
  <c r="H9" i="27"/>
  <c r="H8" i="27"/>
  <c r="H11" i="27"/>
  <c r="N11" i="27"/>
  <c r="E11" i="27"/>
  <c r="B11" i="27"/>
  <c r="G24" i="4"/>
  <c r="K11" i="27" l="1"/>
  <c r="B56" i="34"/>
  <c r="C55" i="34"/>
  <c r="C51" i="38"/>
  <c r="G50" i="38"/>
  <c r="F50" i="38"/>
  <c r="E50" i="38"/>
  <c r="W50" i="38"/>
  <c r="E50" i="34"/>
  <c r="R74" i="16"/>
  <c r="B57" i="34" l="1"/>
  <c r="C56" i="34"/>
  <c r="C52" i="38"/>
  <c r="F51" i="38"/>
  <c r="E51" i="38"/>
  <c r="W51" i="38"/>
  <c r="G51" i="38"/>
  <c r="E51" i="34"/>
  <c r="G723" i="4"/>
  <c r="B58" i="34" l="1"/>
  <c r="C57" i="34"/>
  <c r="G52" i="38"/>
  <c r="F52" i="38"/>
  <c r="E52" i="38"/>
  <c r="W52" i="38"/>
  <c r="C53" i="38"/>
  <c r="E52" i="34"/>
  <c r="C8" i="34"/>
  <c r="C7" i="34"/>
  <c r="A1" i="34"/>
  <c r="B59" i="34" l="1"/>
  <c r="C58" i="34"/>
  <c r="C54" i="38"/>
  <c r="E53" i="38"/>
  <c r="W53" i="38"/>
  <c r="G53" i="38"/>
  <c r="F53" i="38"/>
  <c r="E53" i="34"/>
  <c r="I19" i="29"/>
  <c r="I18" i="29"/>
  <c r="I12" i="29"/>
  <c r="I11" i="29"/>
  <c r="I9" i="29"/>
  <c r="I8" i="29"/>
  <c r="I7" i="29"/>
  <c r="B27" i="27"/>
  <c r="B19" i="27"/>
  <c r="B18" i="27"/>
  <c r="B15" i="27"/>
  <c r="B14" i="27"/>
  <c r="B13" i="27"/>
  <c r="B12" i="27"/>
  <c r="B10" i="27"/>
  <c r="B9" i="27"/>
  <c r="B8" i="27"/>
  <c r="E14" i="27"/>
  <c r="E13" i="27"/>
  <c r="E12" i="27"/>
  <c r="E10" i="27"/>
  <c r="E9" i="27"/>
  <c r="E8" i="27"/>
  <c r="B60" i="34" l="1"/>
  <c r="C59" i="34"/>
  <c r="C55" i="38"/>
  <c r="G54" i="38"/>
  <c r="F54" i="38"/>
  <c r="W54" i="38"/>
  <c r="E54" i="38"/>
  <c r="E54" i="34"/>
  <c r="H21" i="27"/>
  <c r="B61" i="34" l="1"/>
  <c r="C60" i="34"/>
  <c r="C56" i="38"/>
  <c r="G55" i="38"/>
  <c r="F55" i="38"/>
  <c r="E55" i="38"/>
  <c r="W55" i="38"/>
  <c r="E55" i="34"/>
  <c r="H142" i="10"/>
  <c r="H141" i="10"/>
  <c r="H140" i="10"/>
  <c r="H139" i="10"/>
  <c r="H138" i="10"/>
  <c r="H137" i="10"/>
  <c r="H136" i="10"/>
  <c r="H135" i="10"/>
  <c r="H134" i="10"/>
  <c r="C61" i="34" l="1"/>
  <c r="B62" i="34"/>
  <c r="G56" i="38"/>
  <c r="F56" i="38"/>
  <c r="E56" i="38"/>
  <c r="W56" i="38"/>
  <c r="C57" i="38"/>
  <c r="E56" i="34"/>
  <c r="A1" i="16"/>
  <c r="B63" i="34" l="1"/>
  <c r="C62" i="34"/>
  <c r="E57" i="38"/>
  <c r="W57" i="38"/>
  <c r="G57" i="38"/>
  <c r="F57" i="38"/>
  <c r="C58" i="38"/>
  <c r="E57" i="34"/>
  <c r="H7" i="33"/>
  <c r="N21" i="27"/>
  <c r="K21" i="27" s="1"/>
  <c r="N20" i="27"/>
  <c r="N19" i="27"/>
  <c r="N18" i="27"/>
  <c r="N15" i="27"/>
  <c r="N14" i="27"/>
  <c r="K14" i="27" s="1"/>
  <c r="N13" i="27"/>
  <c r="K13" i="27" s="1"/>
  <c r="N12" i="27"/>
  <c r="N10" i="27"/>
  <c r="K10" i="27" s="1"/>
  <c r="N9" i="27"/>
  <c r="K9" i="27" s="1"/>
  <c r="N8" i="27"/>
  <c r="K8" i="27" s="1"/>
  <c r="C63" i="34" l="1"/>
  <c r="B64" i="34"/>
  <c r="C59" i="38"/>
  <c r="G58" i="38"/>
  <c r="F58" i="38"/>
  <c r="E58" i="38"/>
  <c r="W58" i="38"/>
  <c r="E58" i="34"/>
  <c r="D17" i="14"/>
  <c r="B65" i="34" l="1"/>
  <c r="C64" i="34"/>
  <c r="G59" i="38"/>
  <c r="F59" i="38"/>
  <c r="E59" i="38"/>
  <c r="W59" i="38"/>
  <c r="C60" i="38"/>
  <c r="E59" i="34"/>
  <c r="C47" i="15"/>
  <c r="C46" i="15"/>
  <c r="C45" i="15"/>
  <c r="C44" i="15"/>
  <c r="C43" i="15"/>
  <c r="K15" i="11"/>
  <c r="K15" i="10"/>
  <c r="S55" i="8"/>
  <c r="S54" i="8"/>
  <c r="K15" i="8"/>
  <c r="S47" i="7"/>
  <c r="S46" i="7"/>
  <c r="K15" i="7"/>
  <c r="B66" i="34" l="1"/>
  <c r="C65" i="34"/>
  <c r="G60" i="38"/>
  <c r="F60" i="38"/>
  <c r="E60" i="38"/>
  <c r="W60" i="38"/>
  <c r="C61" i="38"/>
  <c r="E60" i="34"/>
  <c r="J7" i="29"/>
  <c r="A1" i="29"/>
  <c r="A1" i="28"/>
  <c r="A1" i="27"/>
  <c r="A1" i="26"/>
  <c r="A1" i="25"/>
  <c r="A1" i="24"/>
  <c r="A1" i="23"/>
  <c r="N30" i="27"/>
  <c r="N24" i="27"/>
  <c r="G662" i="4"/>
  <c r="G661" i="4"/>
  <c r="G590" i="4"/>
  <c r="BB9" i="6"/>
  <c r="B67" i="34" l="1"/>
  <c r="C66" i="34"/>
  <c r="E61" i="38"/>
  <c r="W61" i="38"/>
  <c r="G61" i="38"/>
  <c r="F61" i="38"/>
  <c r="C62" i="38"/>
  <c r="E61" i="34"/>
  <c r="C67" i="34" l="1"/>
  <c r="B68" i="34"/>
  <c r="G62" i="38"/>
  <c r="F62" i="38"/>
  <c r="E62" i="38"/>
  <c r="W62" i="38"/>
  <c r="C63" i="38"/>
  <c r="E62" i="34"/>
  <c r="G24" i="26"/>
  <c r="F9" i="26"/>
  <c r="F8" i="26"/>
  <c r="C68" i="34" l="1"/>
  <c r="B69" i="34"/>
  <c r="C64" i="38"/>
  <c r="G63" i="38"/>
  <c r="E63" i="38"/>
  <c r="W63" i="38"/>
  <c r="F63" i="38"/>
  <c r="E63" i="34"/>
  <c r="S46" i="23"/>
  <c r="S35" i="23"/>
  <c r="B70" i="34" l="1"/>
  <c r="C69" i="34"/>
  <c r="C65" i="38"/>
  <c r="F64" i="38"/>
  <c r="E64" i="38"/>
  <c r="W64" i="38"/>
  <c r="G64" i="38"/>
  <c r="E64" i="34"/>
  <c r="D35" i="14"/>
  <c r="D37" i="14"/>
  <c r="C49" i="16"/>
  <c r="C41" i="16"/>
  <c r="R8" i="1"/>
  <c r="AM135" i="17"/>
  <c r="AL135" i="17"/>
  <c r="AK135" i="17"/>
  <c r="AJ135" i="17"/>
  <c r="AI135" i="17"/>
  <c r="AH135" i="17"/>
  <c r="AG135" i="17"/>
  <c r="AM134" i="17"/>
  <c r="AL134" i="17"/>
  <c r="AK134" i="17"/>
  <c r="AJ134" i="17"/>
  <c r="AI134" i="17"/>
  <c r="AH134" i="17"/>
  <c r="AG134" i="17"/>
  <c r="AM133" i="17"/>
  <c r="AL133" i="17"/>
  <c r="AK133" i="17"/>
  <c r="AJ133" i="17"/>
  <c r="AI133" i="17"/>
  <c r="AH133" i="17"/>
  <c r="AG133" i="17"/>
  <c r="AM132" i="17"/>
  <c r="AL132" i="17"/>
  <c r="AK132" i="17"/>
  <c r="AJ132" i="17"/>
  <c r="AI132" i="17"/>
  <c r="AH132" i="17"/>
  <c r="AG132" i="17"/>
  <c r="AM131" i="17"/>
  <c r="AL131" i="17"/>
  <c r="AK131" i="17"/>
  <c r="AJ131" i="17"/>
  <c r="AI131" i="17"/>
  <c r="AH131" i="17"/>
  <c r="AG131" i="17"/>
  <c r="AM130" i="17"/>
  <c r="AL130" i="17"/>
  <c r="AK130" i="17"/>
  <c r="AJ130" i="17"/>
  <c r="AI130" i="17"/>
  <c r="AH130" i="17"/>
  <c r="AG130" i="17"/>
  <c r="AM129" i="17"/>
  <c r="AL129" i="17"/>
  <c r="AK129" i="17"/>
  <c r="AJ129" i="17"/>
  <c r="AI129" i="17"/>
  <c r="AH129" i="17"/>
  <c r="AG129" i="17"/>
  <c r="AM121" i="17"/>
  <c r="AL121" i="17"/>
  <c r="AK121" i="17"/>
  <c r="AJ121" i="17"/>
  <c r="AI121" i="17"/>
  <c r="AH121" i="17"/>
  <c r="AG121" i="17"/>
  <c r="AM120" i="17"/>
  <c r="AL120" i="17"/>
  <c r="AK120" i="17"/>
  <c r="AJ120" i="17"/>
  <c r="AI120" i="17"/>
  <c r="AH120" i="17"/>
  <c r="AG120" i="17"/>
  <c r="AM119" i="17"/>
  <c r="AL119" i="17"/>
  <c r="AK119" i="17"/>
  <c r="AJ119" i="17"/>
  <c r="AI119" i="17"/>
  <c r="AH119" i="17"/>
  <c r="AG119" i="17"/>
  <c r="AM118" i="17"/>
  <c r="AL118" i="17"/>
  <c r="AK118" i="17"/>
  <c r="AJ118" i="17"/>
  <c r="AI118" i="17"/>
  <c r="AH118" i="17"/>
  <c r="AG118" i="17"/>
  <c r="AM117" i="17"/>
  <c r="AL117" i="17"/>
  <c r="AK117" i="17"/>
  <c r="AJ117" i="17"/>
  <c r="AI117" i="17"/>
  <c r="AH117" i="17"/>
  <c r="AG117" i="17"/>
  <c r="AM116" i="17"/>
  <c r="AL116" i="17"/>
  <c r="AK116" i="17"/>
  <c r="AJ116" i="17"/>
  <c r="AI116" i="17"/>
  <c r="AH116" i="17"/>
  <c r="AG116" i="17"/>
  <c r="AM115" i="17"/>
  <c r="AL115" i="17"/>
  <c r="AK115" i="17"/>
  <c r="AJ115" i="17"/>
  <c r="AI115" i="17"/>
  <c r="AH115" i="17"/>
  <c r="AG115" i="17"/>
  <c r="AM107" i="17"/>
  <c r="AL107" i="17"/>
  <c r="AK107" i="17"/>
  <c r="AJ107" i="17"/>
  <c r="AI107" i="17"/>
  <c r="AH107" i="17"/>
  <c r="AG107" i="17"/>
  <c r="AM106" i="17"/>
  <c r="AL106" i="17"/>
  <c r="AK106" i="17"/>
  <c r="AJ106" i="17"/>
  <c r="AI106" i="17"/>
  <c r="AH106" i="17"/>
  <c r="AG106" i="17"/>
  <c r="AM105" i="17"/>
  <c r="AL105" i="17"/>
  <c r="AK105" i="17"/>
  <c r="AJ105" i="17"/>
  <c r="AI105" i="17"/>
  <c r="AH105" i="17"/>
  <c r="AG105" i="17"/>
  <c r="AM104" i="17"/>
  <c r="AL104" i="17"/>
  <c r="AK104" i="17"/>
  <c r="AJ104" i="17"/>
  <c r="AI104" i="17"/>
  <c r="AH104" i="17"/>
  <c r="AG104" i="17"/>
  <c r="AM103" i="17"/>
  <c r="AL103" i="17"/>
  <c r="AK103" i="17"/>
  <c r="AJ103" i="17"/>
  <c r="AI103" i="17"/>
  <c r="AH103" i="17"/>
  <c r="AG103" i="17"/>
  <c r="AM102" i="17"/>
  <c r="AL102" i="17"/>
  <c r="AK102" i="17"/>
  <c r="AJ102" i="17"/>
  <c r="AI102" i="17"/>
  <c r="AH102" i="17"/>
  <c r="AG102" i="17"/>
  <c r="AM101" i="17"/>
  <c r="AL101" i="17"/>
  <c r="AK101" i="17"/>
  <c r="AJ101" i="17"/>
  <c r="AI101" i="17"/>
  <c r="AH101" i="17"/>
  <c r="AG101" i="17"/>
  <c r="AM94" i="17"/>
  <c r="AL94" i="17"/>
  <c r="AK94" i="17"/>
  <c r="AJ94" i="17"/>
  <c r="AI94" i="17"/>
  <c r="AH94" i="17"/>
  <c r="AG94" i="17"/>
  <c r="AM93" i="17"/>
  <c r="AL93" i="17"/>
  <c r="AK93" i="17"/>
  <c r="AJ93" i="17"/>
  <c r="AI93" i="17"/>
  <c r="AH93" i="17"/>
  <c r="AG93" i="17"/>
  <c r="AM92" i="17"/>
  <c r="AL92" i="17"/>
  <c r="AK92" i="17"/>
  <c r="AJ92" i="17"/>
  <c r="AI92" i="17"/>
  <c r="AH92" i="17"/>
  <c r="AG92" i="17"/>
  <c r="AM91" i="17"/>
  <c r="AL91" i="17"/>
  <c r="AK91" i="17"/>
  <c r="AJ91" i="17"/>
  <c r="AI91" i="17"/>
  <c r="AH91" i="17"/>
  <c r="AG91" i="17"/>
  <c r="AM90" i="17"/>
  <c r="AL90" i="17"/>
  <c r="AK90" i="17"/>
  <c r="AJ90" i="17"/>
  <c r="AI90" i="17"/>
  <c r="AH90" i="17"/>
  <c r="AG90" i="17"/>
  <c r="AM89" i="17"/>
  <c r="AL89" i="17"/>
  <c r="AK89" i="17"/>
  <c r="AJ89" i="17"/>
  <c r="AI89" i="17"/>
  <c r="AH89" i="17"/>
  <c r="AG89" i="17"/>
  <c r="AM88" i="17"/>
  <c r="AL88" i="17"/>
  <c r="AK88" i="17"/>
  <c r="AJ88" i="17"/>
  <c r="AI88" i="17"/>
  <c r="AH88" i="17"/>
  <c r="AG88" i="17"/>
  <c r="AM80" i="17"/>
  <c r="AL80" i="17"/>
  <c r="AK80" i="17"/>
  <c r="AJ80" i="17"/>
  <c r="AI80" i="17"/>
  <c r="AH80" i="17"/>
  <c r="AG80" i="17"/>
  <c r="AM79" i="17"/>
  <c r="AL79" i="17"/>
  <c r="AK79" i="17"/>
  <c r="AJ79" i="17"/>
  <c r="AI79" i="17"/>
  <c r="AH79" i="17"/>
  <c r="AG79" i="17"/>
  <c r="AM78" i="17"/>
  <c r="AL78" i="17"/>
  <c r="AK78" i="17"/>
  <c r="AJ78" i="17"/>
  <c r="AI78" i="17"/>
  <c r="AH78" i="17"/>
  <c r="AG78" i="17"/>
  <c r="AM77" i="17"/>
  <c r="AL77" i="17"/>
  <c r="AK77" i="17"/>
  <c r="AJ77" i="17"/>
  <c r="AI77" i="17"/>
  <c r="AH77" i="17"/>
  <c r="AG77" i="17"/>
  <c r="AM76" i="17"/>
  <c r="AL76" i="17"/>
  <c r="AK76" i="17"/>
  <c r="AJ76" i="17"/>
  <c r="AI76" i="17"/>
  <c r="AH76" i="17"/>
  <c r="AG76" i="17"/>
  <c r="AM75" i="17"/>
  <c r="AL75" i="17"/>
  <c r="AK75" i="17"/>
  <c r="AJ75" i="17"/>
  <c r="AI75" i="17"/>
  <c r="AH75" i="17"/>
  <c r="AG75" i="17"/>
  <c r="AM74" i="17"/>
  <c r="AL74" i="17"/>
  <c r="AK74" i="17"/>
  <c r="AJ74" i="17"/>
  <c r="AI74" i="17"/>
  <c r="AH74" i="17"/>
  <c r="AG74" i="17"/>
  <c r="AM66" i="17"/>
  <c r="AL66" i="17"/>
  <c r="AK66" i="17"/>
  <c r="AJ66" i="17"/>
  <c r="AI66" i="17"/>
  <c r="AH66" i="17"/>
  <c r="AG66" i="17"/>
  <c r="AM65" i="17"/>
  <c r="AL65" i="17"/>
  <c r="AK65" i="17"/>
  <c r="AJ65" i="17"/>
  <c r="AI65" i="17"/>
  <c r="AH65" i="17"/>
  <c r="AG65" i="17"/>
  <c r="AM64" i="17"/>
  <c r="AL64" i="17"/>
  <c r="AK64" i="17"/>
  <c r="AJ64" i="17"/>
  <c r="AI64" i="17"/>
  <c r="AH64" i="17"/>
  <c r="AG64" i="17"/>
  <c r="AM63" i="17"/>
  <c r="AL63" i="17"/>
  <c r="AK63" i="17"/>
  <c r="AJ63" i="17"/>
  <c r="AI63" i="17"/>
  <c r="AH63" i="17"/>
  <c r="AG63" i="17"/>
  <c r="AM62" i="17"/>
  <c r="AL62" i="17"/>
  <c r="AK62" i="17"/>
  <c r="AJ62" i="17"/>
  <c r="AI62" i="17"/>
  <c r="AH62" i="17"/>
  <c r="AG62" i="17"/>
  <c r="AM61" i="17"/>
  <c r="AL61" i="17"/>
  <c r="AK61" i="17"/>
  <c r="AJ61" i="17"/>
  <c r="AI61" i="17"/>
  <c r="AH61" i="17"/>
  <c r="AG61" i="17"/>
  <c r="AM60" i="17"/>
  <c r="AL60" i="17"/>
  <c r="AK60" i="17"/>
  <c r="AJ60" i="17"/>
  <c r="AI60" i="17"/>
  <c r="AH60" i="17"/>
  <c r="AG60" i="17"/>
  <c r="AF135" i="17"/>
  <c r="AE135" i="17"/>
  <c r="AD135" i="17"/>
  <c r="AC135" i="17"/>
  <c r="AB135" i="17"/>
  <c r="AA135" i="17"/>
  <c r="Z135" i="17"/>
  <c r="AF134" i="17"/>
  <c r="AE134" i="17"/>
  <c r="AD134" i="17"/>
  <c r="AC134" i="17"/>
  <c r="AB134" i="17"/>
  <c r="AA134" i="17"/>
  <c r="Z134" i="17"/>
  <c r="AF133" i="17"/>
  <c r="AE133" i="17"/>
  <c r="AD133" i="17"/>
  <c r="AC133" i="17"/>
  <c r="AB133" i="17"/>
  <c r="AA133" i="17"/>
  <c r="Z133" i="17"/>
  <c r="AF132" i="17"/>
  <c r="AE132" i="17"/>
  <c r="AD132" i="17"/>
  <c r="AC132" i="17"/>
  <c r="AB132" i="17"/>
  <c r="AA132" i="17"/>
  <c r="Z132" i="17"/>
  <c r="AF131" i="17"/>
  <c r="AE131" i="17"/>
  <c r="AD131" i="17"/>
  <c r="AC131" i="17"/>
  <c r="AB131" i="17"/>
  <c r="AA131" i="17"/>
  <c r="Z131" i="17"/>
  <c r="AF130" i="17"/>
  <c r="AE130" i="17"/>
  <c r="AD130" i="17"/>
  <c r="AC130" i="17"/>
  <c r="AB130" i="17"/>
  <c r="AA130" i="17"/>
  <c r="Z130" i="17"/>
  <c r="AF129" i="17"/>
  <c r="AE129" i="17"/>
  <c r="AD129" i="17"/>
  <c r="AC129" i="17"/>
  <c r="AB129" i="17"/>
  <c r="AA129" i="17"/>
  <c r="Z129" i="17"/>
  <c r="Y135" i="17"/>
  <c r="X135" i="17"/>
  <c r="W135" i="17"/>
  <c r="V135" i="17"/>
  <c r="U135" i="17"/>
  <c r="T135" i="17"/>
  <c r="S135" i="17"/>
  <c r="Y134" i="17"/>
  <c r="X134" i="17"/>
  <c r="W134" i="17"/>
  <c r="V134" i="17"/>
  <c r="U134" i="17"/>
  <c r="T134" i="17"/>
  <c r="S134" i="17"/>
  <c r="Y133" i="17"/>
  <c r="X133" i="17"/>
  <c r="W133" i="17"/>
  <c r="V133" i="17"/>
  <c r="U133" i="17"/>
  <c r="T133" i="17"/>
  <c r="S133" i="17"/>
  <c r="Y132" i="17"/>
  <c r="X132" i="17"/>
  <c r="W132" i="17"/>
  <c r="V132" i="17"/>
  <c r="U132" i="17"/>
  <c r="T132" i="17"/>
  <c r="S132" i="17"/>
  <c r="Y131" i="17"/>
  <c r="X131" i="17"/>
  <c r="W131" i="17"/>
  <c r="V131" i="17"/>
  <c r="U131" i="17"/>
  <c r="T131" i="17"/>
  <c r="S131" i="17"/>
  <c r="Y130" i="17"/>
  <c r="X130" i="17"/>
  <c r="W130" i="17"/>
  <c r="V130" i="17"/>
  <c r="U130" i="17"/>
  <c r="T130" i="17"/>
  <c r="S130" i="17"/>
  <c r="Y129" i="17"/>
  <c r="X129" i="17"/>
  <c r="W129" i="17"/>
  <c r="V129" i="17"/>
  <c r="U129" i="17"/>
  <c r="T129" i="17"/>
  <c r="S129" i="17"/>
  <c r="R132" i="17"/>
  <c r="AF121" i="17"/>
  <c r="AE121" i="17"/>
  <c r="AD121" i="17"/>
  <c r="AC121" i="17"/>
  <c r="AB121" i="17"/>
  <c r="AA121" i="17"/>
  <c r="Z121" i="17"/>
  <c r="AF120" i="17"/>
  <c r="AE120" i="17"/>
  <c r="AD120" i="17"/>
  <c r="AC120" i="17"/>
  <c r="AB120" i="17"/>
  <c r="AA120" i="17"/>
  <c r="Z120" i="17"/>
  <c r="AF119" i="17"/>
  <c r="AE119" i="17"/>
  <c r="AD119" i="17"/>
  <c r="AC119" i="17"/>
  <c r="AB119" i="17"/>
  <c r="AA119" i="17"/>
  <c r="Z119" i="17"/>
  <c r="AF118" i="17"/>
  <c r="AE118" i="17"/>
  <c r="AD118" i="17"/>
  <c r="AC118" i="17"/>
  <c r="AB118" i="17"/>
  <c r="AA118" i="17"/>
  <c r="Z118" i="17"/>
  <c r="AF117" i="17"/>
  <c r="AE117" i="17"/>
  <c r="AD117" i="17"/>
  <c r="AC117" i="17"/>
  <c r="AB117" i="17"/>
  <c r="AA117" i="17"/>
  <c r="Z117" i="17"/>
  <c r="AF116" i="17"/>
  <c r="AE116" i="17"/>
  <c r="AD116" i="17"/>
  <c r="AC116" i="17"/>
  <c r="AB116" i="17"/>
  <c r="AA116" i="17"/>
  <c r="Z116" i="17"/>
  <c r="AF115" i="17"/>
  <c r="AE115" i="17"/>
  <c r="AD115" i="17"/>
  <c r="AC115" i="17"/>
  <c r="AB115" i="17"/>
  <c r="AA115" i="17"/>
  <c r="Z115" i="17"/>
  <c r="Y121" i="17"/>
  <c r="X121" i="17"/>
  <c r="W121" i="17"/>
  <c r="V121" i="17"/>
  <c r="U121" i="17"/>
  <c r="T121" i="17"/>
  <c r="S121" i="17"/>
  <c r="Y120" i="17"/>
  <c r="X120" i="17"/>
  <c r="W120" i="17"/>
  <c r="V120" i="17"/>
  <c r="U120" i="17"/>
  <c r="T120" i="17"/>
  <c r="S120" i="17"/>
  <c r="Y119" i="17"/>
  <c r="X119" i="17"/>
  <c r="W119" i="17"/>
  <c r="V119" i="17"/>
  <c r="U119" i="17"/>
  <c r="T119" i="17"/>
  <c r="S119" i="17"/>
  <c r="Y118" i="17"/>
  <c r="X118" i="17"/>
  <c r="W118" i="17"/>
  <c r="V118" i="17"/>
  <c r="U118" i="17"/>
  <c r="T118" i="17"/>
  <c r="S118" i="17"/>
  <c r="Y117" i="17"/>
  <c r="X117" i="17"/>
  <c r="W117" i="17"/>
  <c r="V117" i="17"/>
  <c r="U117" i="17"/>
  <c r="T117" i="17"/>
  <c r="S117" i="17"/>
  <c r="Y116" i="17"/>
  <c r="X116" i="17"/>
  <c r="W116" i="17"/>
  <c r="V116" i="17"/>
  <c r="U116" i="17"/>
  <c r="T116" i="17"/>
  <c r="S116" i="17"/>
  <c r="Y115" i="17"/>
  <c r="X115" i="17"/>
  <c r="W115" i="17"/>
  <c r="V115" i="17"/>
  <c r="U115" i="17"/>
  <c r="T115" i="17"/>
  <c r="S115" i="17"/>
  <c r="R118" i="17"/>
  <c r="V114" i="17"/>
  <c r="AF107" i="17"/>
  <c r="AE107" i="17"/>
  <c r="AD107" i="17"/>
  <c r="AC107" i="17"/>
  <c r="AB107" i="17"/>
  <c r="AA107" i="17"/>
  <c r="Z107" i="17"/>
  <c r="AF106" i="17"/>
  <c r="AE106" i="17"/>
  <c r="AD106" i="17"/>
  <c r="AC106" i="17"/>
  <c r="AB106" i="17"/>
  <c r="AA106" i="17"/>
  <c r="Z106" i="17"/>
  <c r="AF105" i="17"/>
  <c r="AE105" i="17"/>
  <c r="AD105" i="17"/>
  <c r="AC105" i="17"/>
  <c r="AB105" i="17"/>
  <c r="AA105" i="17"/>
  <c r="Z105" i="17"/>
  <c r="AF104" i="17"/>
  <c r="AE104" i="17"/>
  <c r="AD104" i="17"/>
  <c r="AC104" i="17"/>
  <c r="AB104" i="17"/>
  <c r="AA104" i="17"/>
  <c r="Z104" i="17"/>
  <c r="AF103" i="17"/>
  <c r="AE103" i="17"/>
  <c r="AD103" i="17"/>
  <c r="AC103" i="17"/>
  <c r="AB103" i="17"/>
  <c r="AA103" i="17"/>
  <c r="Z103" i="17"/>
  <c r="AF102" i="17"/>
  <c r="AE102" i="17"/>
  <c r="AD102" i="17"/>
  <c r="AC102" i="17"/>
  <c r="AB102" i="17"/>
  <c r="AA102" i="17"/>
  <c r="Z102" i="17"/>
  <c r="AF101" i="17"/>
  <c r="AE101" i="17"/>
  <c r="AD101" i="17"/>
  <c r="AC101" i="17"/>
  <c r="AB101" i="17"/>
  <c r="AA101" i="17"/>
  <c r="Z101" i="17"/>
  <c r="AF94" i="17"/>
  <c r="AE94" i="17"/>
  <c r="AD94" i="17"/>
  <c r="AC94" i="17"/>
  <c r="AB94" i="17"/>
  <c r="AA94" i="17"/>
  <c r="Z94" i="17"/>
  <c r="AF93" i="17"/>
  <c r="AE93" i="17"/>
  <c r="AD93" i="17"/>
  <c r="AC93" i="17"/>
  <c r="AB93" i="17"/>
  <c r="AA93" i="17"/>
  <c r="Z93" i="17"/>
  <c r="AF92" i="17"/>
  <c r="AE92" i="17"/>
  <c r="AD92" i="17"/>
  <c r="AC92" i="17"/>
  <c r="AB92" i="17"/>
  <c r="AA92" i="17"/>
  <c r="Z92" i="17"/>
  <c r="AF91" i="17"/>
  <c r="AE91" i="17"/>
  <c r="AD91" i="17"/>
  <c r="AC91" i="17"/>
  <c r="AB91" i="17"/>
  <c r="AA91" i="17"/>
  <c r="Z91" i="17"/>
  <c r="AF90" i="17"/>
  <c r="AE90" i="17"/>
  <c r="AD90" i="17"/>
  <c r="AC90" i="17"/>
  <c r="AB90" i="17"/>
  <c r="AA90" i="17"/>
  <c r="Z90" i="17"/>
  <c r="AF89" i="17"/>
  <c r="AE89" i="17"/>
  <c r="AD89" i="17"/>
  <c r="AC89" i="17"/>
  <c r="AB89" i="17"/>
  <c r="AA89" i="17"/>
  <c r="Z89" i="17"/>
  <c r="AF88" i="17"/>
  <c r="AE88" i="17"/>
  <c r="AD88" i="17"/>
  <c r="AC88" i="17"/>
  <c r="AB88" i="17"/>
  <c r="AA88" i="17"/>
  <c r="Z88" i="17"/>
  <c r="Y94" i="17"/>
  <c r="X94" i="17"/>
  <c r="W94" i="17"/>
  <c r="V94" i="17"/>
  <c r="U94" i="17"/>
  <c r="T94" i="17"/>
  <c r="S94" i="17"/>
  <c r="Y93" i="17"/>
  <c r="X93" i="17"/>
  <c r="W93" i="17"/>
  <c r="V93" i="17"/>
  <c r="U93" i="17"/>
  <c r="T93" i="17"/>
  <c r="S93" i="17"/>
  <c r="Y92" i="17"/>
  <c r="X92" i="17"/>
  <c r="W92" i="17"/>
  <c r="V92" i="17"/>
  <c r="U92" i="17"/>
  <c r="T92" i="17"/>
  <c r="S92" i="17"/>
  <c r="Y91" i="17"/>
  <c r="X91" i="17"/>
  <c r="W91" i="17"/>
  <c r="V91" i="17"/>
  <c r="U91" i="17"/>
  <c r="T91" i="17"/>
  <c r="S91" i="17"/>
  <c r="Y90" i="17"/>
  <c r="X90" i="17"/>
  <c r="W90" i="17"/>
  <c r="V90" i="17"/>
  <c r="U90" i="17"/>
  <c r="T90" i="17"/>
  <c r="S90" i="17"/>
  <c r="Y89" i="17"/>
  <c r="X89" i="17"/>
  <c r="W89" i="17"/>
  <c r="V89" i="17"/>
  <c r="U89" i="17"/>
  <c r="T89" i="17"/>
  <c r="S89" i="17"/>
  <c r="Y88" i="17"/>
  <c r="X88" i="17"/>
  <c r="W88" i="17"/>
  <c r="V88" i="17"/>
  <c r="U88" i="17"/>
  <c r="T88" i="17"/>
  <c r="S88" i="17"/>
  <c r="R91" i="17"/>
  <c r="V87" i="17"/>
  <c r="AF80" i="17"/>
  <c r="AE80" i="17"/>
  <c r="AD80" i="17"/>
  <c r="AC80" i="17"/>
  <c r="AB80" i="17"/>
  <c r="AA80" i="17"/>
  <c r="Z80" i="17"/>
  <c r="AF79" i="17"/>
  <c r="AE79" i="17"/>
  <c r="AD79" i="17"/>
  <c r="AC79" i="17"/>
  <c r="AB79" i="17"/>
  <c r="AA79" i="17"/>
  <c r="Z79" i="17"/>
  <c r="AF78" i="17"/>
  <c r="AE78" i="17"/>
  <c r="AD78" i="17"/>
  <c r="AC78" i="17"/>
  <c r="AB78" i="17"/>
  <c r="AA78" i="17"/>
  <c r="Z78" i="17"/>
  <c r="AF77" i="17"/>
  <c r="AE77" i="17"/>
  <c r="AD77" i="17"/>
  <c r="AC77" i="17"/>
  <c r="AB77" i="17"/>
  <c r="AA77" i="17"/>
  <c r="Z77" i="17"/>
  <c r="AF76" i="17"/>
  <c r="AE76" i="17"/>
  <c r="AD76" i="17"/>
  <c r="AC76" i="17"/>
  <c r="AB76" i="17"/>
  <c r="AA76" i="17"/>
  <c r="Z76" i="17"/>
  <c r="AF75" i="17"/>
  <c r="AE75" i="17"/>
  <c r="AD75" i="17"/>
  <c r="AC75" i="17"/>
  <c r="AB75" i="17"/>
  <c r="AA75" i="17"/>
  <c r="Z75" i="17"/>
  <c r="AF74" i="17"/>
  <c r="AE74" i="17"/>
  <c r="AD74" i="17"/>
  <c r="AC74" i="17"/>
  <c r="AB74" i="17"/>
  <c r="AA74" i="17"/>
  <c r="Z74" i="17"/>
  <c r="Y80" i="17"/>
  <c r="X80" i="17"/>
  <c r="W80" i="17"/>
  <c r="V80" i="17"/>
  <c r="U80" i="17"/>
  <c r="T80" i="17"/>
  <c r="S80" i="17"/>
  <c r="Y79" i="17"/>
  <c r="X79" i="17"/>
  <c r="W79" i="17"/>
  <c r="V79" i="17"/>
  <c r="U79" i="17"/>
  <c r="T79" i="17"/>
  <c r="S79" i="17"/>
  <c r="Y78" i="17"/>
  <c r="X78" i="17"/>
  <c r="W78" i="17"/>
  <c r="V78" i="17"/>
  <c r="U78" i="17"/>
  <c r="T78" i="17"/>
  <c r="S78" i="17"/>
  <c r="Y77" i="17"/>
  <c r="X77" i="17"/>
  <c r="W77" i="17"/>
  <c r="V77" i="17"/>
  <c r="U77" i="17"/>
  <c r="T77" i="17"/>
  <c r="S77" i="17"/>
  <c r="Y76" i="17"/>
  <c r="X76" i="17"/>
  <c r="W76" i="17"/>
  <c r="V76" i="17"/>
  <c r="U76" i="17"/>
  <c r="T76" i="17"/>
  <c r="S76" i="17"/>
  <c r="Y75" i="17"/>
  <c r="X75" i="17"/>
  <c r="W75" i="17"/>
  <c r="V75" i="17"/>
  <c r="U75" i="17"/>
  <c r="T75" i="17"/>
  <c r="S75" i="17"/>
  <c r="Y74" i="17"/>
  <c r="X74" i="17"/>
  <c r="W74" i="17"/>
  <c r="V74" i="17"/>
  <c r="U74" i="17"/>
  <c r="T74" i="17"/>
  <c r="S74" i="17"/>
  <c r="R77" i="17"/>
  <c r="V73" i="17"/>
  <c r="AF66" i="17"/>
  <c r="AF65" i="17"/>
  <c r="AF64" i="17"/>
  <c r="AF63" i="17"/>
  <c r="AF62" i="17"/>
  <c r="AF61" i="17"/>
  <c r="AF60" i="17"/>
  <c r="AE66" i="17"/>
  <c r="AD66" i="17"/>
  <c r="AC66" i="17"/>
  <c r="AB66" i="17"/>
  <c r="AA66" i="17"/>
  <c r="Z66" i="17"/>
  <c r="AE65" i="17"/>
  <c r="AD65" i="17"/>
  <c r="AC65" i="17"/>
  <c r="AB65" i="17"/>
  <c r="AA65" i="17"/>
  <c r="Z65" i="17"/>
  <c r="AE64" i="17"/>
  <c r="AD64" i="17"/>
  <c r="AC64" i="17"/>
  <c r="AB64" i="17"/>
  <c r="AA64" i="17"/>
  <c r="Z64" i="17"/>
  <c r="AE63" i="17"/>
  <c r="AD63" i="17"/>
  <c r="AC63" i="17"/>
  <c r="AB63" i="17"/>
  <c r="AA63" i="17"/>
  <c r="Z63" i="17"/>
  <c r="AE62" i="17"/>
  <c r="AD62" i="17"/>
  <c r="AC62" i="17"/>
  <c r="AB62" i="17"/>
  <c r="AA62" i="17"/>
  <c r="Z62" i="17"/>
  <c r="AE61" i="17"/>
  <c r="AD61" i="17"/>
  <c r="AC61" i="17"/>
  <c r="AB61" i="17"/>
  <c r="AA61" i="17"/>
  <c r="Z61" i="17"/>
  <c r="AE60" i="17"/>
  <c r="AD60" i="17"/>
  <c r="AC60" i="17"/>
  <c r="AB60" i="17"/>
  <c r="AA60" i="17"/>
  <c r="Z60" i="17"/>
  <c r="B71" i="34" l="1"/>
  <c r="C70" i="34"/>
  <c r="C66" i="38"/>
  <c r="W65" i="38"/>
  <c r="F65" i="38"/>
  <c r="E65" i="38"/>
  <c r="G65" i="38"/>
  <c r="E65" i="34"/>
  <c r="Y66" i="17"/>
  <c r="Y65" i="17"/>
  <c r="Y64" i="17"/>
  <c r="Y63" i="17"/>
  <c r="Y62" i="17"/>
  <c r="Y61" i="17"/>
  <c r="Y60" i="17"/>
  <c r="X66" i="17"/>
  <c r="W66" i="17"/>
  <c r="V66" i="17"/>
  <c r="U66" i="17"/>
  <c r="T66" i="17"/>
  <c r="S66" i="17"/>
  <c r="X65" i="17"/>
  <c r="W65" i="17"/>
  <c r="V65" i="17"/>
  <c r="U65" i="17"/>
  <c r="T65" i="17"/>
  <c r="S65" i="17"/>
  <c r="X64" i="17"/>
  <c r="W64" i="17"/>
  <c r="V64" i="17"/>
  <c r="U64" i="17"/>
  <c r="T64" i="17"/>
  <c r="S64" i="17"/>
  <c r="X63" i="17"/>
  <c r="W63" i="17"/>
  <c r="V63" i="17"/>
  <c r="U63" i="17"/>
  <c r="T63" i="17"/>
  <c r="S63" i="17"/>
  <c r="X62" i="17"/>
  <c r="W62" i="17"/>
  <c r="V62" i="17"/>
  <c r="U62" i="17"/>
  <c r="T62" i="17"/>
  <c r="S62" i="17"/>
  <c r="X61" i="17"/>
  <c r="W61" i="17"/>
  <c r="V61" i="17"/>
  <c r="U61" i="17"/>
  <c r="T61" i="17"/>
  <c r="S61" i="17"/>
  <c r="X60" i="17"/>
  <c r="W60" i="17"/>
  <c r="V60" i="17"/>
  <c r="U60" i="17"/>
  <c r="T60" i="17"/>
  <c r="S60" i="17"/>
  <c r="R63" i="17"/>
  <c r="V59" i="17"/>
  <c r="B72" i="34" l="1"/>
  <c r="C71" i="34"/>
  <c r="G66" i="38"/>
  <c r="W66" i="38"/>
  <c r="F66" i="38"/>
  <c r="E66" i="38"/>
  <c r="C67" i="38"/>
  <c r="E66" i="34"/>
  <c r="M77" i="12"/>
  <c r="M76" i="12"/>
  <c r="N77" i="12"/>
  <c r="N76" i="12"/>
  <c r="BG193" i="12"/>
  <c r="BF193" i="12"/>
  <c r="BE193" i="12"/>
  <c r="BD193" i="12"/>
  <c r="BC193" i="12"/>
  <c r="BB193" i="12"/>
  <c r="BA193" i="12"/>
  <c r="AZ193" i="12"/>
  <c r="AY193" i="12"/>
  <c r="AX193" i="12"/>
  <c r="AW193" i="12"/>
  <c r="AV193" i="12"/>
  <c r="AU193" i="12"/>
  <c r="AT193" i="12"/>
  <c r="AS193" i="12"/>
  <c r="AR193" i="12"/>
  <c r="AQ193" i="12"/>
  <c r="AP193" i="12"/>
  <c r="AO193" i="12"/>
  <c r="AN193" i="12"/>
  <c r="AM193" i="12"/>
  <c r="AL193" i="12"/>
  <c r="AK193" i="12"/>
  <c r="AJ193" i="12"/>
  <c r="AI193" i="12"/>
  <c r="AH193" i="12"/>
  <c r="AG193" i="12"/>
  <c r="AF193" i="12"/>
  <c r="AE193" i="12"/>
  <c r="AD193" i="12"/>
  <c r="AC193" i="12"/>
  <c r="AB193" i="12"/>
  <c r="AA193" i="12"/>
  <c r="Z193" i="12"/>
  <c r="Y193" i="12"/>
  <c r="X193" i="12"/>
  <c r="W193" i="12"/>
  <c r="V193" i="12"/>
  <c r="U193" i="12"/>
  <c r="T193" i="12"/>
  <c r="G193" i="12"/>
  <c r="BG192" i="12"/>
  <c r="BF192" i="12"/>
  <c r="BE192" i="12"/>
  <c r="BD192" i="12"/>
  <c r="BC192" i="12"/>
  <c r="BB192" i="12"/>
  <c r="BA192" i="12"/>
  <c r="AZ192" i="12"/>
  <c r="AY192" i="12"/>
  <c r="AX192" i="12"/>
  <c r="AW192" i="12"/>
  <c r="AV192" i="12"/>
  <c r="AU192" i="12"/>
  <c r="AT192" i="12"/>
  <c r="AS192" i="12"/>
  <c r="AR192" i="12"/>
  <c r="AQ192" i="12"/>
  <c r="AP192" i="12"/>
  <c r="AO192" i="12"/>
  <c r="AN192" i="12"/>
  <c r="AM192" i="12"/>
  <c r="AL192" i="12"/>
  <c r="AK192" i="12"/>
  <c r="AJ192" i="12"/>
  <c r="AI192" i="12"/>
  <c r="AH192" i="12"/>
  <c r="AG192" i="12"/>
  <c r="AF192" i="12"/>
  <c r="AE192" i="12"/>
  <c r="AD192" i="12"/>
  <c r="AC192" i="12"/>
  <c r="AB192" i="12"/>
  <c r="AA192" i="12"/>
  <c r="Z192" i="12"/>
  <c r="Y192" i="12"/>
  <c r="X192" i="12"/>
  <c r="W192" i="12"/>
  <c r="V192" i="12"/>
  <c r="U192" i="12"/>
  <c r="T192" i="12"/>
  <c r="G192" i="12"/>
  <c r="B73" i="34" l="1"/>
  <c r="C72" i="34"/>
  <c r="G67" i="38"/>
  <c r="F67" i="38"/>
  <c r="E67" i="38"/>
  <c r="W67" i="38"/>
  <c r="C68" i="38"/>
  <c r="E67" i="34"/>
  <c r="BI193" i="12"/>
  <c r="BI192" i="12"/>
  <c r="AA772" i="4"/>
  <c r="S772" i="4"/>
  <c r="AC772" i="4" s="1"/>
  <c r="R773" i="4"/>
  <c r="AB773" i="4" s="1"/>
  <c r="V774" i="4"/>
  <c r="Q775" i="4"/>
  <c r="AA775" i="4" s="1"/>
  <c r="Q776" i="4"/>
  <c r="AA776" i="4" s="1"/>
  <c r="Q777" i="4"/>
  <c r="AA777" i="4" s="1"/>
  <c r="Q778" i="4"/>
  <c r="AA778" i="4" s="1"/>
  <c r="R778" i="4"/>
  <c r="AB778" i="4" s="1"/>
  <c r="Q779" i="4"/>
  <c r="AA779" i="4" s="1"/>
  <c r="Q780" i="4"/>
  <c r="AA780" i="4" s="1"/>
  <c r="Q781" i="4"/>
  <c r="AA781" i="4" s="1"/>
  <c r="AB767" i="4"/>
  <c r="AB766" i="4"/>
  <c r="K742" i="4"/>
  <c r="U73" i="17" s="1"/>
  <c r="H779" i="4"/>
  <c r="H777" i="4"/>
  <c r="R117" i="17" s="1"/>
  <c r="M774" i="4"/>
  <c r="K774" i="4"/>
  <c r="U114" i="17" s="1"/>
  <c r="G637" i="4"/>
  <c r="B74" i="34" l="1"/>
  <c r="C73" i="34"/>
  <c r="F68" i="38"/>
  <c r="E68" i="38"/>
  <c r="W68" i="38"/>
  <c r="G68" i="38"/>
  <c r="C69" i="38"/>
  <c r="E68" i="34"/>
  <c r="L548" i="4"/>
  <c r="G607" i="4"/>
  <c r="L539" i="4"/>
  <c r="G632" i="4"/>
  <c r="G638" i="4"/>
  <c r="G611" i="4"/>
  <c r="N774" i="4"/>
  <c r="W114" i="17"/>
  <c r="G639" i="4"/>
  <c r="L527" i="4"/>
  <c r="L551" i="4"/>
  <c r="G616" i="4"/>
  <c r="H776" i="4"/>
  <c r="R776" i="4" s="1"/>
  <c r="AB776" i="4" s="1"/>
  <c r="AF774" i="4"/>
  <c r="AJ114" i="17" s="1"/>
  <c r="AC114" i="17"/>
  <c r="L528" i="4"/>
  <c r="G618" i="4"/>
  <c r="H780" i="4"/>
  <c r="R119" i="17"/>
  <c r="U774" i="4"/>
  <c r="G608" i="4"/>
  <c r="L550" i="4"/>
  <c r="L532" i="4"/>
  <c r="L560" i="4"/>
  <c r="G628" i="4"/>
  <c r="AF763" i="4"/>
  <c r="L554" i="4"/>
  <c r="L530" i="4"/>
  <c r="L559" i="4"/>
  <c r="G627" i="4"/>
  <c r="L538" i="4"/>
  <c r="G606" i="4"/>
  <c r="G630" i="4"/>
  <c r="R777" i="4"/>
  <c r="AB777" i="4" s="1"/>
  <c r="R779" i="4"/>
  <c r="AB779" i="4" s="1"/>
  <c r="L540" i="4"/>
  <c r="L562" i="4"/>
  <c r="G619" i="4"/>
  <c r="G640" i="4"/>
  <c r="J774" i="4"/>
  <c r="T114" i="17" s="1"/>
  <c r="L543" i="4"/>
  <c r="L564" i="4"/>
  <c r="G622" i="4"/>
  <c r="AB768" i="4"/>
  <c r="W774" i="4"/>
  <c r="L531" i="4"/>
  <c r="L542" i="4"/>
  <c r="L552" i="4"/>
  <c r="L563" i="4"/>
  <c r="G610" i="4"/>
  <c r="G620" i="4"/>
  <c r="G631" i="4"/>
  <c r="L534" i="4"/>
  <c r="L544" i="4"/>
  <c r="L555" i="4"/>
  <c r="G602" i="4"/>
  <c r="G612" i="4"/>
  <c r="G623" i="4"/>
  <c r="G634" i="4"/>
  <c r="L535" i="4"/>
  <c r="L546" i="4"/>
  <c r="L556" i="4"/>
  <c r="G603" i="4"/>
  <c r="G614" i="4"/>
  <c r="G624" i="4"/>
  <c r="G635" i="4"/>
  <c r="L526" i="4"/>
  <c r="L536" i="4"/>
  <c r="L547" i="4"/>
  <c r="L558" i="4"/>
  <c r="G604" i="4"/>
  <c r="G615" i="4"/>
  <c r="G626" i="4"/>
  <c r="G636" i="4"/>
  <c r="L533" i="4"/>
  <c r="L541" i="4"/>
  <c r="L549" i="4"/>
  <c r="L557" i="4"/>
  <c r="L565" i="4"/>
  <c r="G609" i="4"/>
  <c r="G617" i="4"/>
  <c r="G625" i="4"/>
  <c r="G633" i="4"/>
  <c r="G641" i="4"/>
  <c r="L529" i="4"/>
  <c r="L537" i="4"/>
  <c r="L545" i="4"/>
  <c r="L553" i="4"/>
  <c r="L561" i="4"/>
  <c r="G605" i="4"/>
  <c r="G613" i="4"/>
  <c r="G621" i="4"/>
  <c r="G629" i="4"/>
  <c r="G488" i="4"/>
  <c r="G487" i="4"/>
  <c r="H148" i="8"/>
  <c r="H147" i="8"/>
  <c r="H146" i="8"/>
  <c r="H145" i="8"/>
  <c r="H144" i="8"/>
  <c r="H143" i="8"/>
  <c r="H142" i="8"/>
  <c r="H141" i="8"/>
  <c r="H140" i="8"/>
  <c r="I328" i="12"/>
  <c r="I327" i="12"/>
  <c r="I326" i="12"/>
  <c r="I325" i="12"/>
  <c r="I324" i="12"/>
  <c r="I323" i="12"/>
  <c r="I322" i="12"/>
  <c r="I321" i="12"/>
  <c r="I320" i="12"/>
  <c r="H125" i="7"/>
  <c r="H124" i="7"/>
  <c r="H123" i="7"/>
  <c r="H122" i="7"/>
  <c r="H121" i="7"/>
  <c r="H120" i="7"/>
  <c r="H119" i="7"/>
  <c r="H118" i="7"/>
  <c r="H117" i="7"/>
  <c r="H141" i="7"/>
  <c r="H140" i="7"/>
  <c r="H139" i="7"/>
  <c r="H138" i="7"/>
  <c r="H137" i="7"/>
  <c r="H136" i="7"/>
  <c r="H135" i="7"/>
  <c r="H134" i="7"/>
  <c r="H133" i="7"/>
  <c r="C42" i="15"/>
  <c r="C41" i="15"/>
  <c r="E25" i="18"/>
  <c r="T17" i="40" l="1"/>
  <c r="I17" i="40" s="1"/>
  <c r="W13" i="26"/>
  <c r="B75" i="34"/>
  <c r="C74" i="34"/>
  <c r="H23" i="33"/>
  <c r="K23" i="33" s="1"/>
  <c r="J15" i="5"/>
  <c r="L15" i="5"/>
  <c r="W69" i="38"/>
  <c r="G69" i="38"/>
  <c r="F69" i="38"/>
  <c r="E69" i="38"/>
  <c r="C70" i="38"/>
  <c r="E69" i="34"/>
  <c r="E30" i="37"/>
  <c r="E30" i="18"/>
  <c r="E31" i="37"/>
  <c r="E31" i="18"/>
  <c r="J13" i="5"/>
  <c r="J14" i="5"/>
  <c r="L13" i="5"/>
  <c r="L14" i="5"/>
  <c r="AE763" i="4"/>
  <c r="AG763" i="4"/>
  <c r="AB769" i="4"/>
  <c r="O13" i="26"/>
  <c r="AD763" i="4"/>
  <c r="AH763" i="4"/>
  <c r="AE774" i="4"/>
  <c r="AI114" i="17" s="1"/>
  <c r="AB114" i="17"/>
  <c r="AG774" i="4"/>
  <c r="AK114" i="17" s="1"/>
  <c r="AD114" i="17"/>
  <c r="O774" i="4"/>
  <c r="X114" i="17"/>
  <c r="X774" i="4"/>
  <c r="H781" i="4"/>
  <c r="R120" i="17"/>
  <c r="R780" i="4"/>
  <c r="AB780" i="4" s="1"/>
  <c r="H775" i="4"/>
  <c r="R116" i="17"/>
  <c r="AB765" i="4"/>
  <c r="I774" i="4"/>
  <c r="S114" i="17" s="1"/>
  <c r="T774" i="4"/>
  <c r="N17" i="40" l="1"/>
  <c r="C75" i="34"/>
  <c r="B76" i="34"/>
  <c r="C71" i="38"/>
  <c r="E70" i="38"/>
  <c r="W70" i="38"/>
  <c r="G70" i="38"/>
  <c r="F70" i="38"/>
  <c r="E70" i="34"/>
  <c r="AD774" i="4"/>
  <c r="AH114" i="17" s="1"/>
  <c r="AA114" i="17"/>
  <c r="AB764" i="4"/>
  <c r="AH774" i="4"/>
  <c r="AL114" i="17" s="1"/>
  <c r="AE114" i="17"/>
  <c r="AB770" i="4"/>
  <c r="R775" i="4"/>
  <c r="AB775" i="4" s="1"/>
  <c r="R115" i="17"/>
  <c r="Y774" i="4"/>
  <c r="Y114" i="17"/>
  <c r="R121" i="17"/>
  <c r="R781" i="4"/>
  <c r="AB781" i="4" s="1"/>
  <c r="AI763" i="4"/>
  <c r="S774" i="4"/>
  <c r="EE22" i="22"/>
  <c r="B77" i="34" l="1"/>
  <c r="C76" i="34"/>
  <c r="C72" i="38"/>
  <c r="G71" i="38"/>
  <c r="W71" i="38"/>
  <c r="F71" i="38"/>
  <c r="E71" i="38"/>
  <c r="E71" i="34"/>
  <c r="AI774" i="4"/>
  <c r="AM114" i="17" s="1"/>
  <c r="AF114" i="17"/>
  <c r="AC774" i="4"/>
  <c r="AG114" i="17" s="1"/>
  <c r="Z114" i="17"/>
  <c r="AC763" i="4"/>
  <c r="B78" i="34" l="1"/>
  <c r="C77" i="34"/>
  <c r="E72" i="38"/>
  <c r="W72" i="38"/>
  <c r="G72" i="38"/>
  <c r="F72" i="38"/>
  <c r="C73" i="38"/>
  <c r="E72" i="34"/>
  <c r="E179" i="4"/>
  <c r="E180" i="4"/>
  <c r="E181" i="4"/>
  <c r="E182" i="4"/>
  <c r="E183" i="4"/>
  <c r="E184" i="4"/>
  <c r="E185" i="4"/>
  <c r="E178" i="4"/>
  <c r="B79" i="34" l="1"/>
  <c r="C78" i="34"/>
  <c r="C74" i="38"/>
  <c r="G73" i="38"/>
  <c r="E73" i="38"/>
  <c r="W73" i="38"/>
  <c r="F73" i="38"/>
  <c r="E73" i="34"/>
  <c r="C9" i="19"/>
  <c r="C8" i="19"/>
  <c r="C4" i="19"/>
  <c r="A1" i="19"/>
  <c r="AT9" i="19" l="1"/>
  <c r="B80" i="34"/>
  <c r="C79" i="34"/>
  <c r="C75" i="38"/>
  <c r="E74" i="38"/>
  <c r="F74" i="38"/>
  <c r="W74" i="38"/>
  <c r="G74" i="38"/>
  <c r="E74" i="34"/>
  <c r="AT8" i="19"/>
  <c r="F8" i="19"/>
  <c r="H8" i="19"/>
  <c r="G8" i="19"/>
  <c r="G9" i="19"/>
  <c r="H9" i="19"/>
  <c r="F9" i="19"/>
  <c r="CN84" i="28" l="1"/>
  <c r="B81" i="34"/>
  <c r="C80" i="34"/>
  <c r="C76" i="38"/>
  <c r="G75" i="38"/>
  <c r="F75" i="38"/>
  <c r="W75" i="38"/>
  <c r="E75" i="38"/>
  <c r="E75" i="34"/>
  <c r="U32" i="15"/>
  <c r="D46" i="17"/>
  <c r="AS149" i="45" s="1"/>
  <c r="B82" i="34" l="1"/>
  <c r="C81" i="34"/>
  <c r="E76" i="38"/>
  <c r="W76" i="38"/>
  <c r="F76" i="38"/>
  <c r="G76" i="38"/>
  <c r="C77" i="38"/>
  <c r="E76" i="34"/>
  <c r="S154" i="14"/>
  <c r="T151" i="14" s="1"/>
  <c r="B83" i="34" l="1"/>
  <c r="C82" i="34"/>
  <c r="C78" i="38"/>
  <c r="G77" i="38"/>
  <c r="W77" i="38"/>
  <c r="F77" i="38"/>
  <c r="E77" i="38"/>
  <c r="E77" i="34"/>
  <c r="E19" i="15"/>
  <c r="E18" i="15"/>
  <c r="E20" i="15"/>
  <c r="E17" i="15"/>
  <c r="E1" i="14"/>
  <c r="C83" i="34" l="1"/>
  <c r="B84" i="34"/>
  <c r="Z15" i="5"/>
  <c r="C79" i="38"/>
  <c r="E78" i="38"/>
  <c r="W78" i="38"/>
  <c r="G78" i="38"/>
  <c r="F78" i="38"/>
  <c r="E78" i="34"/>
  <c r="Z13" i="5"/>
  <c r="Z14" i="5"/>
  <c r="B85" i="34" l="1"/>
  <c r="C84" i="34"/>
  <c r="G79" i="38"/>
  <c r="F79" i="38"/>
  <c r="E79" i="38"/>
  <c r="W79" i="38"/>
  <c r="C80" i="38"/>
  <c r="E79" i="34"/>
  <c r="S22" i="14"/>
  <c r="B86" i="34" l="1"/>
  <c r="C85" i="34"/>
  <c r="C81" i="38"/>
  <c r="E80" i="38"/>
  <c r="W80" i="38"/>
  <c r="G80" i="38"/>
  <c r="F80" i="38"/>
  <c r="E80" i="34"/>
  <c r="T13" i="14"/>
  <c r="B87" i="34" l="1"/>
  <c r="C86" i="34"/>
  <c r="C82" i="38"/>
  <c r="G81" i="38"/>
  <c r="W81" i="38"/>
  <c r="F81" i="38"/>
  <c r="E81" i="38"/>
  <c r="E81" i="34"/>
  <c r="B88" i="34" l="1"/>
  <c r="C87" i="34"/>
  <c r="E82" i="38"/>
  <c r="F82" i="38"/>
  <c r="G82" i="38"/>
  <c r="W82" i="38"/>
  <c r="C83" i="38"/>
  <c r="E82" i="34"/>
  <c r="C33" i="15"/>
  <c r="E28" i="15"/>
  <c r="E30" i="15"/>
  <c r="E29" i="15"/>
  <c r="E22" i="15"/>
  <c r="E15" i="15"/>
  <c r="E13" i="15"/>
  <c r="B67" i="15"/>
  <c r="B66" i="15"/>
  <c r="B65" i="15"/>
  <c r="B64" i="15"/>
  <c r="B63" i="15"/>
  <c r="B62" i="15"/>
  <c r="B61" i="15"/>
  <c r="B60" i="15"/>
  <c r="B59" i="15"/>
  <c r="B58" i="15"/>
  <c r="B89" i="34" l="1"/>
  <c r="C88" i="34"/>
  <c r="G83" i="38"/>
  <c r="F83" i="38"/>
  <c r="E83" i="38"/>
  <c r="W83" i="38"/>
  <c r="C84" i="38"/>
  <c r="E83" i="34"/>
  <c r="A1" i="17"/>
  <c r="B4" i="17" s="1"/>
  <c r="C89" i="34" l="1"/>
  <c r="B90" i="34"/>
  <c r="W84" i="38"/>
  <c r="E84" i="38"/>
  <c r="G84" i="38"/>
  <c r="F84" i="38"/>
  <c r="C85" i="38"/>
  <c r="E84" i="34"/>
  <c r="B49" i="17"/>
  <c r="M753" i="4"/>
  <c r="W87" i="17" s="1"/>
  <c r="K753" i="4"/>
  <c r="M742" i="4"/>
  <c r="H791" i="4"/>
  <c r="R790" i="4"/>
  <c r="AB790" i="4" s="1"/>
  <c r="H789" i="4"/>
  <c r="H758" i="4"/>
  <c r="H756" i="4"/>
  <c r="V753" i="4"/>
  <c r="H747" i="4"/>
  <c r="H745" i="4"/>
  <c r="V742" i="4"/>
  <c r="H736" i="4"/>
  <c r="R735" i="4"/>
  <c r="AB735" i="4" s="1"/>
  <c r="H734" i="4"/>
  <c r="V731" i="4"/>
  <c r="M731" i="4"/>
  <c r="W59" i="17" s="1"/>
  <c r="K731" i="4"/>
  <c r="O45" i="17"/>
  <c r="CM249" i="45" s="1"/>
  <c r="CW249" i="45" s="1"/>
  <c r="J44" i="17"/>
  <c r="BX224" i="45" s="1"/>
  <c r="CH224" i="45" s="1"/>
  <c r="J45" i="17"/>
  <c r="BX225" i="45" s="1"/>
  <c r="CH225" i="45" s="1"/>
  <c r="J36" i="17"/>
  <c r="BX216" i="45" s="1"/>
  <c r="CH216" i="45" s="1"/>
  <c r="J38" i="17"/>
  <c r="BX218" i="45" s="1"/>
  <c r="CH218" i="45" s="1"/>
  <c r="J39" i="17"/>
  <c r="BX219" i="45" s="1"/>
  <c r="CH219" i="45" s="1"/>
  <c r="E36" i="17"/>
  <c r="AT139" i="45" s="1"/>
  <c r="AZ139" i="45" s="1"/>
  <c r="B91" i="34" l="1"/>
  <c r="C90" i="34"/>
  <c r="G85" i="38"/>
  <c r="F85" i="38"/>
  <c r="E85" i="38"/>
  <c r="W85" i="38"/>
  <c r="C86" i="38"/>
  <c r="E85" i="34"/>
  <c r="V128" i="17"/>
  <c r="H788" i="4"/>
  <c r="R130" i="17" s="1"/>
  <c r="R131" i="17"/>
  <c r="V786" i="4"/>
  <c r="AC73" i="17"/>
  <c r="H744" i="4"/>
  <c r="R76" i="17"/>
  <c r="R791" i="4"/>
  <c r="AB791" i="4" s="1"/>
  <c r="R133" i="17"/>
  <c r="U731" i="4"/>
  <c r="U59" i="17"/>
  <c r="H748" i="4"/>
  <c r="R78" i="17"/>
  <c r="N742" i="4"/>
  <c r="W73" i="17"/>
  <c r="J753" i="4"/>
  <c r="T87" i="17" s="1"/>
  <c r="U87" i="17"/>
  <c r="AF731" i="4"/>
  <c r="AJ59" i="17" s="1"/>
  <c r="AC59" i="17"/>
  <c r="H755" i="4"/>
  <c r="R90" i="17"/>
  <c r="H737" i="4"/>
  <c r="R65" i="17" s="1"/>
  <c r="R64" i="17"/>
  <c r="AF753" i="4"/>
  <c r="AJ87" i="17" s="1"/>
  <c r="AC87" i="17"/>
  <c r="R734" i="4"/>
  <c r="AB734" i="4" s="1"/>
  <c r="R62" i="17"/>
  <c r="H759" i="4"/>
  <c r="R92" i="17"/>
  <c r="J731" i="4"/>
  <c r="T59" i="17" s="1"/>
  <c r="H792" i="4"/>
  <c r="AF742" i="4"/>
  <c r="AJ73" i="17" s="1"/>
  <c r="U742" i="4"/>
  <c r="R789" i="4"/>
  <c r="AB789" i="4" s="1"/>
  <c r="W742" i="4"/>
  <c r="R736" i="4"/>
  <c r="AB736" i="4" s="1"/>
  <c r="W753" i="4"/>
  <c r="U753" i="4"/>
  <c r="N753" i="4"/>
  <c r="X87" i="17" s="1"/>
  <c r="J742" i="4"/>
  <c r="T73" i="17" s="1"/>
  <c r="H733" i="4"/>
  <c r="R61" i="17" s="1"/>
  <c r="W731" i="4"/>
  <c r="N731" i="4"/>
  <c r="X59" i="17" s="1"/>
  <c r="R788" i="4" l="1"/>
  <c r="AB788" i="4" s="1"/>
  <c r="AG753" i="4"/>
  <c r="AK87" i="17" s="1"/>
  <c r="H787" i="4"/>
  <c r="R787" i="4" s="1"/>
  <c r="AB787" i="4" s="1"/>
  <c r="AE753" i="4"/>
  <c r="AD753" i="4" s="1"/>
  <c r="I753" i="4"/>
  <c r="S87" i="17" s="1"/>
  <c r="C91" i="34"/>
  <c r="B92" i="34"/>
  <c r="U786" i="4"/>
  <c r="AB128" i="17" s="1"/>
  <c r="C87" i="38"/>
  <c r="E86" i="38"/>
  <c r="W86" i="38"/>
  <c r="F86" i="38"/>
  <c r="G86" i="38"/>
  <c r="E86" i="34"/>
  <c r="T731" i="4"/>
  <c r="AD731" i="4" s="1"/>
  <c r="AH59" i="17" s="1"/>
  <c r="I731" i="4"/>
  <c r="S59" i="17" s="1"/>
  <c r="H743" i="4"/>
  <c r="R74" i="17" s="1"/>
  <c r="R75" i="17"/>
  <c r="T753" i="4"/>
  <c r="AB87" i="17"/>
  <c r="H738" i="4"/>
  <c r="H760" i="4"/>
  <c r="R94" i="17" s="1"/>
  <c r="R93" i="17"/>
  <c r="H754" i="4"/>
  <c r="R88" i="17" s="1"/>
  <c r="R89" i="17"/>
  <c r="H749" i="4"/>
  <c r="R80" i="17" s="1"/>
  <c r="R79" i="17"/>
  <c r="W786" i="4"/>
  <c r="AC128" i="17"/>
  <c r="X753" i="4"/>
  <c r="AD87" i="17"/>
  <c r="R737" i="4"/>
  <c r="AB737" i="4" s="1"/>
  <c r="T742" i="4"/>
  <c r="AB73" i="17"/>
  <c r="H793" i="4"/>
  <c r="R134" i="17"/>
  <c r="AE731" i="4"/>
  <c r="AI59" i="17" s="1"/>
  <c r="AB59" i="17"/>
  <c r="AG731" i="4"/>
  <c r="AK59" i="17" s="1"/>
  <c r="AD59" i="17"/>
  <c r="O742" i="4"/>
  <c r="Y73" i="17" s="1"/>
  <c r="X73" i="17"/>
  <c r="X742" i="4"/>
  <c r="AD73" i="17"/>
  <c r="W128" i="17"/>
  <c r="U128" i="17"/>
  <c r="R792" i="4"/>
  <c r="AB792" i="4" s="1"/>
  <c r="AF786" i="4"/>
  <c r="AE742" i="4"/>
  <c r="AG742" i="4"/>
  <c r="O753" i="4"/>
  <c r="Y87" i="17" s="1"/>
  <c r="I742" i="4"/>
  <c r="S73" i="17" s="1"/>
  <c r="H732" i="4"/>
  <c r="R733" i="4"/>
  <c r="AB733" i="4" s="1"/>
  <c r="O731" i="4"/>
  <c r="Y59" i="17" s="1"/>
  <c r="X731" i="4"/>
  <c r="AH753" i="4" l="1"/>
  <c r="AI753" i="4" s="1"/>
  <c r="AM87" i="17" s="1"/>
  <c r="AA59" i="17"/>
  <c r="R129" i="17"/>
  <c r="AI87" i="17"/>
  <c r="T786" i="4"/>
  <c r="S786" i="4" s="1"/>
  <c r="B93" i="34"/>
  <c r="C92" i="34"/>
  <c r="S731" i="4"/>
  <c r="AC731" i="4" s="1"/>
  <c r="AG59" i="17" s="1"/>
  <c r="AJ128" i="17"/>
  <c r="F87" i="38"/>
  <c r="G87" i="38"/>
  <c r="W87" i="38"/>
  <c r="E87" i="38"/>
  <c r="C88" i="38"/>
  <c r="E87" i="34"/>
  <c r="Y128" i="17"/>
  <c r="X128" i="17"/>
  <c r="AD742" i="4"/>
  <c r="AI73" i="17"/>
  <c r="AC753" i="4"/>
  <c r="AG87" i="17" s="1"/>
  <c r="AH87" i="17"/>
  <c r="AH742" i="4"/>
  <c r="AK73" i="17"/>
  <c r="S742" i="4"/>
  <c r="Z73" i="17" s="1"/>
  <c r="AA73" i="17"/>
  <c r="Y753" i="4"/>
  <c r="AF87" i="17" s="1"/>
  <c r="AE87" i="17"/>
  <c r="Y742" i="4"/>
  <c r="AF73" i="17" s="1"/>
  <c r="AE73" i="17"/>
  <c r="R793" i="4"/>
  <c r="AB793" i="4" s="1"/>
  <c r="R135" i="17"/>
  <c r="R738" i="4"/>
  <c r="AB738" i="4" s="1"/>
  <c r="R66" i="17"/>
  <c r="AH731" i="4"/>
  <c r="AL59" i="17" s="1"/>
  <c r="AE59" i="17"/>
  <c r="X786" i="4"/>
  <c r="AD128" i="17"/>
  <c r="R732" i="4"/>
  <c r="AB732" i="4" s="1"/>
  <c r="R60" i="17"/>
  <c r="S128" i="17"/>
  <c r="T128" i="17"/>
  <c r="S753" i="4"/>
  <c r="Z87" i="17" s="1"/>
  <c r="AA87" i="17"/>
  <c r="AG786" i="4"/>
  <c r="AE786" i="4"/>
  <c r="Y731" i="4"/>
  <c r="AL87" i="17" l="1"/>
  <c r="Z59" i="17"/>
  <c r="AA128" i="17"/>
  <c r="B94" i="34"/>
  <c r="C93" i="34"/>
  <c r="Z128" i="17"/>
  <c r="C89" i="38"/>
  <c r="W88" i="38"/>
  <c r="G88" i="38"/>
  <c r="E88" i="38"/>
  <c r="F88" i="38"/>
  <c r="E88" i="34"/>
  <c r="AC742" i="4"/>
  <c r="AG73" i="17" s="1"/>
  <c r="AH73" i="17"/>
  <c r="AH786" i="4"/>
  <c r="AK128" i="17"/>
  <c r="AI731" i="4"/>
  <c r="AM59" i="17" s="1"/>
  <c r="AF59" i="17"/>
  <c r="AD786" i="4"/>
  <c r="AI128" i="17"/>
  <c r="Y786" i="4"/>
  <c r="AE128" i="17"/>
  <c r="AI742" i="4"/>
  <c r="AM73" i="17" s="1"/>
  <c r="AL73" i="17"/>
  <c r="GJ11" i="6"/>
  <c r="E8" i="34"/>
  <c r="O18" i="22"/>
  <c r="N18" i="22"/>
  <c r="M18" i="22"/>
  <c r="K18" i="22"/>
  <c r="J18" i="22"/>
  <c r="I18" i="22"/>
  <c r="G18" i="22"/>
  <c r="B18" i="22"/>
  <c r="B5" i="22"/>
  <c r="A1" i="22"/>
  <c r="E7" i="34" l="1"/>
  <c r="B95" i="34"/>
  <c r="C94" i="34"/>
  <c r="AF128" i="17"/>
  <c r="G89" i="38"/>
  <c r="F89" i="38"/>
  <c r="E89" i="38"/>
  <c r="W89" i="38"/>
  <c r="C90" i="38"/>
  <c r="E89" i="34"/>
  <c r="H18" i="22"/>
  <c r="AC786" i="4"/>
  <c r="AH128" i="17"/>
  <c r="AI786" i="4"/>
  <c r="AL128" i="17"/>
  <c r="B96" i="34" l="1"/>
  <c r="C95" i="34"/>
  <c r="AG128" i="17"/>
  <c r="AM128" i="17"/>
  <c r="E90" i="38"/>
  <c r="W90" i="38"/>
  <c r="G90" i="38"/>
  <c r="F90" i="38"/>
  <c r="C91" i="38"/>
  <c r="O298" i="16"/>
  <c r="P299" i="16"/>
  <c r="G707" i="4"/>
  <c r="R433" i="16"/>
  <c r="O432" i="16"/>
  <c r="O426" i="16"/>
  <c r="T416" i="16"/>
  <c r="O415" i="16"/>
  <c r="R413" i="16"/>
  <c r="R422" i="16" s="1"/>
  <c r="O410" i="16"/>
  <c r="R408" i="16"/>
  <c r="T397" i="16"/>
  <c r="U397" i="16"/>
  <c r="V397" i="16"/>
  <c r="W397" i="16"/>
  <c r="X397" i="16"/>
  <c r="Y397" i="16"/>
  <c r="Z397" i="16"/>
  <c r="AA397" i="16"/>
  <c r="AB397" i="16"/>
  <c r="AC397" i="16"/>
  <c r="AD397" i="16"/>
  <c r="AE397" i="16"/>
  <c r="AF397" i="16"/>
  <c r="AG397" i="16"/>
  <c r="AH397" i="16"/>
  <c r="AI397" i="16"/>
  <c r="AJ397" i="16"/>
  <c r="AK397" i="16"/>
  <c r="AL397" i="16"/>
  <c r="AM397" i="16"/>
  <c r="AN397" i="16"/>
  <c r="AO397" i="16"/>
  <c r="AP397" i="16"/>
  <c r="AQ397" i="16"/>
  <c r="AR397" i="16"/>
  <c r="AS397" i="16"/>
  <c r="AT397" i="16"/>
  <c r="AU397" i="16"/>
  <c r="AV397" i="16"/>
  <c r="AW397" i="16"/>
  <c r="AX397" i="16"/>
  <c r="AY397" i="16"/>
  <c r="AZ397" i="16"/>
  <c r="BA397" i="16"/>
  <c r="BB397" i="16"/>
  <c r="BC397" i="16"/>
  <c r="BD397" i="16"/>
  <c r="BE397" i="16"/>
  <c r="BF397" i="16"/>
  <c r="BG397" i="16"/>
  <c r="T398" i="16"/>
  <c r="U398" i="16"/>
  <c r="V398" i="16"/>
  <c r="W398" i="16"/>
  <c r="X398" i="16"/>
  <c r="Y398" i="16"/>
  <c r="Z398" i="16"/>
  <c r="AA398" i="16"/>
  <c r="AB398" i="16"/>
  <c r="AC398" i="16"/>
  <c r="AD398" i="16"/>
  <c r="AE398" i="16"/>
  <c r="AF398" i="16"/>
  <c r="AG398" i="16"/>
  <c r="AH398" i="16"/>
  <c r="AI398" i="16"/>
  <c r="AJ398" i="16"/>
  <c r="AK398" i="16"/>
  <c r="AL398" i="16"/>
  <c r="AM398" i="16"/>
  <c r="AN398" i="16"/>
  <c r="AO398" i="16"/>
  <c r="AP398" i="16"/>
  <c r="AQ398" i="16"/>
  <c r="AR398" i="16"/>
  <c r="AS398" i="16"/>
  <c r="AT398" i="16"/>
  <c r="AU398" i="16"/>
  <c r="AV398" i="16"/>
  <c r="AW398" i="16"/>
  <c r="AX398" i="16"/>
  <c r="AY398" i="16"/>
  <c r="AZ398" i="16"/>
  <c r="BA398" i="16"/>
  <c r="BB398" i="16"/>
  <c r="BC398" i="16"/>
  <c r="BD398" i="16"/>
  <c r="BE398" i="16"/>
  <c r="BF398" i="16"/>
  <c r="BG398" i="16"/>
  <c r="T399" i="16"/>
  <c r="U399" i="16"/>
  <c r="U401" i="16" s="1"/>
  <c r="V399" i="16"/>
  <c r="W399" i="16"/>
  <c r="X399" i="16"/>
  <c r="Y399" i="16"/>
  <c r="Z399" i="16"/>
  <c r="AA399" i="16"/>
  <c r="AB399" i="16"/>
  <c r="AB401" i="16" s="1"/>
  <c r="AC399" i="16"/>
  <c r="AD399" i="16"/>
  <c r="AE399" i="16"/>
  <c r="AF399" i="16"/>
  <c r="AG399" i="16"/>
  <c r="AH399" i="16"/>
  <c r="AI399" i="16"/>
  <c r="AJ399" i="16"/>
  <c r="AJ401" i="16" s="1"/>
  <c r="AK399" i="16"/>
  <c r="AL399" i="16"/>
  <c r="AM399" i="16"/>
  <c r="AN399" i="16"/>
  <c r="AO399" i="16"/>
  <c r="AP399" i="16"/>
  <c r="AQ399" i="16"/>
  <c r="AR399" i="16"/>
  <c r="AS399" i="16"/>
  <c r="AS401" i="16" s="1"/>
  <c r="AT399" i="16"/>
  <c r="AT401" i="16" s="1"/>
  <c r="AU399" i="16"/>
  <c r="AV399" i="16"/>
  <c r="AW399" i="16"/>
  <c r="AX399" i="16"/>
  <c r="AY399" i="16"/>
  <c r="AZ399" i="16"/>
  <c r="AZ401" i="16" s="1"/>
  <c r="BA399" i="16"/>
  <c r="BA401" i="16" s="1"/>
  <c r="BB399" i="16"/>
  <c r="BB401" i="16" s="1"/>
  <c r="BC399" i="16"/>
  <c r="BD399" i="16"/>
  <c r="BE399" i="16"/>
  <c r="BF399" i="16"/>
  <c r="BG399" i="16"/>
  <c r="T401" i="16"/>
  <c r="X401" i="16"/>
  <c r="C389" i="16"/>
  <c r="C390" i="16"/>
  <c r="C391" i="16"/>
  <c r="C393" i="16"/>
  <c r="C394" i="16"/>
  <c r="C388" i="16"/>
  <c r="C381" i="16"/>
  <c r="C382" i="16"/>
  <c r="C383" i="16"/>
  <c r="C380" i="16"/>
  <c r="C373" i="16"/>
  <c r="C374" i="16"/>
  <c r="C375" i="16"/>
  <c r="C376" i="16"/>
  <c r="C377" i="16"/>
  <c r="C372" i="16"/>
  <c r="T353" i="16"/>
  <c r="O363" i="16"/>
  <c r="B97" i="34" l="1"/>
  <c r="C96" i="34"/>
  <c r="W401" i="16"/>
  <c r="E90" i="34"/>
  <c r="C92" i="38"/>
  <c r="F91" i="38"/>
  <c r="E91" i="38"/>
  <c r="W91" i="38"/>
  <c r="G91" i="38"/>
  <c r="Z401" i="16"/>
  <c r="V401" i="16"/>
  <c r="Y401" i="16"/>
  <c r="R424" i="16"/>
  <c r="R428" i="16" s="1"/>
  <c r="AN401" i="16"/>
  <c r="BD401" i="16"/>
  <c r="AV401" i="16"/>
  <c r="AF401" i="16"/>
  <c r="AW401" i="16"/>
  <c r="AC401" i="16"/>
  <c r="AR401" i="16"/>
  <c r="BE401" i="16"/>
  <c r="AO401" i="16"/>
  <c r="AG401" i="16"/>
  <c r="BC401" i="16"/>
  <c r="AU401" i="16"/>
  <c r="AM401" i="16"/>
  <c r="AE401" i="16"/>
  <c r="AL401" i="16"/>
  <c r="AD401" i="16"/>
  <c r="BG401" i="16"/>
  <c r="AY401" i="16"/>
  <c r="AI401" i="16"/>
  <c r="AK401" i="16"/>
  <c r="BF401" i="16"/>
  <c r="AX401" i="16"/>
  <c r="AP401" i="16"/>
  <c r="AH401" i="16"/>
  <c r="AQ401" i="16"/>
  <c r="AA401" i="16"/>
  <c r="R285" i="16"/>
  <c r="R286" i="16" s="1"/>
  <c r="E91" i="34" l="1"/>
  <c r="B98" i="34"/>
  <c r="C97" i="34"/>
  <c r="C93" i="38"/>
  <c r="G92" i="38"/>
  <c r="W92" i="38"/>
  <c r="F92" i="38"/>
  <c r="E92" i="38"/>
  <c r="R434" i="16"/>
  <c r="R436" i="16"/>
  <c r="G650" i="4"/>
  <c r="G689" i="4"/>
  <c r="G688" i="4"/>
  <c r="O282" i="16" s="1"/>
  <c r="G684" i="4"/>
  <c r="G679" i="4"/>
  <c r="G678" i="4"/>
  <c r="G664" i="4"/>
  <c r="O257" i="16" s="1"/>
  <c r="G659" i="4"/>
  <c r="G658" i="4"/>
  <c r="G673" i="4"/>
  <c r="G672" i="4"/>
  <c r="G671" i="4"/>
  <c r="G654" i="4"/>
  <c r="G666" i="4"/>
  <c r="G656" i="4"/>
  <c r="G655" i="4"/>
  <c r="G649" i="4"/>
  <c r="O234" i="16"/>
  <c r="G702" i="4"/>
  <c r="E92" i="34" l="1"/>
  <c r="B99" i="34"/>
  <c r="C98" i="34"/>
  <c r="GQ15" i="5"/>
  <c r="GS15" i="5" s="1"/>
  <c r="L166" i="13" s="1"/>
  <c r="GP9" i="5"/>
  <c r="C94" i="38"/>
  <c r="F93" i="38"/>
  <c r="E93" i="38"/>
  <c r="W93" i="38"/>
  <c r="G93" i="38"/>
  <c r="GQ13" i="5"/>
  <c r="GS13" i="5" s="1"/>
  <c r="L164" i="13" s="1"/>
  <c r="GQ14" i="5"/>
  <c r="GS14" i="5" s="1"/>
  <c r="L165" i="13" s="1"/>
  <c r="P235" i="16"/>
  <c r="O276" i="16"/>
  <c r="O278" i="16"/>
  <c r="O283" i="16"/>
  <c r="O266" i="16"/>
  <c r="O269" i="16"/>
  <c r="P314" i="16"/>
  <c r="P311" i="16"/>
  <c r="G701" i="4"/>
  <c r="G696" i="4"/>
  <c r="O164" i="16"/>
  <c r="G648" i="4"/>
  <c r="O82" i="16" s="1"/>
  <c r="E93" i="34" l="1"/>
  <c r="C99" i="34"/>
  <c r="B100" i="34"/>
  <c r="O277" i="16"/>
  <c r="S277" i="16" s="1"/>
  <c r="GO9" i="5"/>
  <c r="Q19" i="18"/>
  <c r="T19" i="37"/>
  <c r="W94" i="38"/>
  <c r="E94" i="38"/>
  <c r="F94" i="38"/>
  <c r="G94" i="38"/>
  <c r="C95" i="38"/>
  <c r="E94" i="34"/>
  <c r="H20" i="27"/>
  <c r="K20" i="27" s="1"/>
  <c r="P165" i="16"/>
  <c r="S214" i="16"/>
  <c r="T210" i="16" s="1"/>
  <c r="E603" i="4"/>
  <c r="E604" i="4" s="1"/>
  <c r="E605" i="4" s="1"/>
  <c r="E606" i="4" s="1"/>
  <c r="E607" i="4" s="1"/>
  <c r="E608" i="4" s="1"/>
  <c r="E609" i="4" s="1"/>
  <c r="E610" i="4" s="1"/>
  <c r="E611" i="4" s="1"/>
  <c r="E612" i="4" s="1"/>
  <c r="E613" i="4" s="1"/>
  <c r="E614" i="4" s="1"/>
  <c r="E615" i="4" s="1"/>
  <c r="E616" i="4" s="1"/>
  <c r="E617" i="4" s="1"/>
  <c r="E618" i="4" s="1"/>
  <c r="E619" i="4" s="1"/>
  <c r="E620" i="4" s="1"/>
  <c r="E621" i="4" s="1"/>
  <c r="E622" i="4" s="1"/>
  <c r="E623" i="4" s="1"/>
  <c r="E624" i="4" s="1"/>
  <c r="E625" i="4" s="1"/>
  <c r="E626" i="4" s="1"/>
  <c r="E627" i="4" s="1"/>
  <c r="E628" i="4" s="1"/>
  <c r="E629" i="4" s="1"/>
  <c r="E630" i="4" s="1"/>
  <c r="E631" i="4" s="1"/>
  <c r="E632" i="4" s="1"/>
  <c r="E633" i="4" s="1"/>
  <c r="E634" i="4" s="1"/>
  <c r="E635" i="4" s="1"/>
  <c r="E636" i="4" s="1"/>
  <c r="E637" i="4" s="1"/>
  <c r="E638" i="4" s="1"/>
  <c r="E639" i="4" s="1"/>
  <c r="E640" i="4" s="1"/>
  <c r="E641" i="4" s="1"/>
  <c r="G599" i="4"/>
  <c r="G594" i="4"/>
  <c r="G592" i="4"/>
  <c r="W17" i="26" s="1"/>
  <c r="G591" i="4"/>
  <c r="G586" i="4"/>
  <c r="W14" i="26" s="1"/>
  <c r="G584" i="4"/>
  <c r="W16" i="26" s="1"/>
  <c r="G583" i="4"/>
  <c r="W15" i="26" s="1"/>
  <c r="G576" i="4"/>
  <c r="G572" i="4"/>
  <c r="G511" i="4"/>
  <c r="O196" i="16" s="1"/>
  <c r="G510" i="4"/>
  <c r="O195" i="16" s="1"/>
  <c r="G508" i="4"/>
  <c r="O197" i="16" s="1"/>
  <c r="G506" i="4"/>
  <c r="S201" i="16" s="1"/>
  <c r="G505" i="4"/>
  <c r="V565" i="4"/>
  <c r="V564" i="4"/>
  <c r="V563" i="4"/>
  <c r="V562" i="4"/>
  <c r="V561" i="4"/>
  <c r="V560" i="4"/>
  <c r="V559" i="4"/>
  <c r="V558" i="4"/>
  <c r="V557" i="4"/>
  <c r="V556" i="4"/>
  <c r="V555" i="4"/>
  <c r="V554" i="4"/>
  <c r="V553" i="4"/>
  <c r="V552" i="4"/>
  <c r="V551" i="4"/>
  <c r="V550" i="4"/>
  <c r="V549" i="4"/>
  <c r="V548" i="4"/>
  <c r="V547" i="4"/>
  <c r="V546" i="4"/>
  <c r="V545" i="4"/>
  <c r="V544" i="4"/>
  <c r="V543" i="4"/>
  <c r="V542" i="4"/>
  <c r="V541" i="4"/>
  <c r="V540" i="4"/>
  <c r="V539" i="4"/>
  <c r="V538" i="4"/>
  <c r="V537" i="4"/>
  <c r="V536" i="4"/>
  <c r="V535" i="4"/>
  <c r="V534" i="4"/>
  <c r="V533" i="4"/>
  <c r="V532" i="4"/>
  <c r="V531" i="4"/>
  <c r="V530" i="4"/>
  <c r="V529" i="4"/>
  <c r="V528" i="4"/>
  <c r="V527" i="4"/>
  <c r="V526" i="4"/>
  <c r="Q565" i="4"/>
  <c r="Q564" i="4"/>
  <c r="Q563" i="4"/>
  <c r="Q562" i="4"/>
  <c r="Q561" i="4"/>
  <c r="Q560" i="4"/>
  <c r="Q559" i="4"/>
  <c r="Q558" i="4"/>
  <c r="Q557" i="4"/>
  <c r="Q556" i="4"/>
  <c r="Q555" i="4"/>
  <c r="Q554" i="4"/>
  <c r="Q553" i="4"/>
  <c r="Q552" i="4"/>
  <c r="Q551" i="4"/>
  <c r="Q550" i="4"/>
  <c r="Q549" i="4"/>
  <c r="Q548" i="4"/>
  <c r="Q547" i="4"/>
  <c r="Q546" i="4"/>
  <c r="Q545" i="4"/>
  <c r="Q544" i="4"/>
  <c r="Q543" i="4"/>
  <c r="Q542" i="4"/>
  <c r="Q541" i="4"/>
  <c r="Q540" i="4"/>
  <c r="Q539" i="4"/>
  <c r="Q538" i="4"/>
  <c r="Q537" i="4"/>
  <c r="Q536" i="4"/>
  <c r="Q535" i="4"/>
  <c r="Q534" i="4"/>
  <c r="Q533" i="4"/>
  <c r="Q532" i="4"/>
  <c r="Q531" i="4"/>
  <c r="Q530" i="4"/>
  <c r="Q529" i="4"/>
  <c r="Q528" i="4"/>
  <c r="Q527" i="4"/>
  <c r="Q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26" i="4"/>
  <c r="G523" i="4"/>
  <c r="E527" i="4"/>
  <c r="E528" i="4" s="1"/>
  <c r="E529" i="4" s="1"/>
  <c r="E530" i="4" s="1"/>
  <c r="E531" i="4" s="1"/>
  <c r="E532" i="4" s="1"/>
  <c r="E533" i="4" s="1"/>
  <c r="E534" i="4" s="1"/>
  <c r="E535" i="4" s="1"/>
  <c r="E536" i="4" s="1"/>
  <c r="E537" i="4" s="1"/>
  <c r="E538" i="4" s="1"/>
  <c r="E539" i="4" s="1"/>
  <c r="E540" i="4" s="1"/>
  <c r="E541" i="4" s="1"/>
  <c r="E542" i="4" s="1"/>
  <c r="E543" i="4" s="1"/>
  <c r="E544" i="4" s="1"/>
  <c r="E545" i="4" s="1"/>
  <c r="E546" i="4" s="1"/>
  <c r="E547" i="4" s="1"/>
  <c r="E548" i="4" s="1"/>
  <c r="E549" i="4" s="1"/>
  <c r="E550" i="4" s="1"/>
  <c r="E551" i="4" s="1"/>
  <c r="E552" i="4" s="1"/>
  <c r="E553" i="4" s="1"/>
  <c r="E554" i="4" s="1"/>
  <c r="E555" i="4" s="1"/>
  <c r="E556" i="4" s="1"/>
  <c r="E557" i="4" s="1"/>
  <c r="E558" i="4" s="1"/>
  <c r="E559" i="4" s="1"/>
  <c r="E560" i="4" s="1"/>
  <c r="E561" i="4" s="1"/>
  <c r="E562" i="4" s="1"/>
  <c r="E563" i="4" s="1"/>
  <c r="E564" i="4" s="1"/>
  <c r="E565" i="4" s="1"/>
  <c r="G495" i="4"/>
  <c r="G154" i="12"/>
  <c r="G153" i="12"/>
  <c r="G162" i="12"/>
  <c r="G161" i="12"/>
  <c r="W8" i="26" l="1"/>
  <c r="T19" i="40"/>
  <c r="I19" i="40" s="1"/>
  <c r="N19" i="40" s="1"/>
  <c r="O194" i="16"/>
  <c r="BI201" i="16"/>
  <c r="T18" i="40"/>
  <c r="I18" i="40" s="1"/>
  <c r="O14" i="26"/>
  <c r="C100" i="34"/>
  <c r="B101" i="34"/>
  <c r="O16" i="26"/>
  <c r="S399" i="16"/>
  <c r="BI277" i="16"/>
  <c r="R26" i="18"/>
  <c r="U26" i="37"/>
  <c r="E32" i="37"/>
  <c r="GJ15" i="5"/>
  <c r="GL15" i="5" s="1"/>
  <c r="K150" i="13" s="1"/>
  <c r="H24" i="33"/>
  <c r="K24" i="33" s="1"/>
  <c r="H22" i="33"/>
  <c r="K22" i="33" s="1"/>
  <c r="H25" i="33"/>
  <c r="K25" i="33" s="1"/>
  <c r="O15" i="26"/>
  <c r="U13" i="37"/>
  <c r="C96" i="38"/>
  <c r="F95" i="38"/>
  <c r="W95" i="38"/>
  <c r="G95" i="38"/>
  <c r="E95" i="38"/>
  <c r="E95" i="34"/>
  <c r="E140" i="14"/>
  <c r="GJ13" i="5"/>
  <c r="GL13" i="5" s="1"/>
  <c r="K148" i="13" s="1"/>
  <c r="GJ14" i="5"/>
  <c r="GL14" i="5" s="1"/>
  <c r="K149" i="13" s="1"/>
  <c r="E36" i="37"/>
  <c r="O224" i="16"/>
  <c r="S227" i="16"/>
  <c r="BI227" i="16" s="1"/>
  <c r="E36" i="18"/>
  <c r="E32" i="18"/>
  <c r="O223" i="16"/>
  <c r="E161" i="14"/>
  <c r="E139" i="14"/>
  <c r="R72" i="16"/>
  <c r="C53" i="16"/>
  <c r="C51" i="16"/>
  <c r="C47" i="16"/>
  <c r="C42" i="16"/>
  <c r="C43" i="16"/>
  <c r="C44" i="16"/>
  <c r="C40" i="16"/>
  <c r="S16" i="16"/>
  <c r="R8" i="16"/>
  <c r="R427" i="16" s="1"/>
  <c r="R5" i="16"/>
  <c r="R2" i="16"/>
  <c r="A4" i="16"/>
  <c r="P10" i="16"/>
  <c r="P9" i="16"/>
  <c r="T8" i="16"/>
  <c r="S8" i="16"/>
  <c r="P8" i="16"/>
  <c r="P7" i="16"/>
  <c r="P6" i="16"/>
  <c r="P5" i="16"/>
  <c r="D3" i="47" s="1"/>
  <c r="P4" i="16"/>
  <c r="D2" i="47" s="1"/>
  <c r="P3" i="16"/>
  <c r="S2" i="16"/>
  <c r="U334" i="16" l="1"/>
  <c r="Y334" i="16" s="1"/>
  <c r="T38" i="17" s="1"/>
  <c r="N18" i="40"/>
  <c r="T16" i="40"/>
  <c r="I16" i="40" s="1"/>
  <c r="B102" i="34"/>
  <c r="C101" i="34"/>
  <c r="R13" i="18"/>
  <c r="G96" i="38"/>
  <c r="W96" i="38"/>
  <c r="F96" i="38"/>
  <c r="E96" i="38"/>
  <c r="C97" i="38"/>
  <c r="E96" i="34"/>
  <c r="S397" i="16"/>
  <c r="S398" i="16"/>
  <c r="S229" i="16"/>
  <c r="R429" i="16"/>
  <c r="R435" i="16" s="1"/>
  <c r="T427" i="16"/>
  <c r="B174" i="16"/>
  <c r="N16" i="40" l="1"/>
  <c r="O38" i="17"/>
  <c r="CM242" i="45" s="1"/>
  <c r="CW242" i="45" s="1"/>
  <c r="B103" i="34"/>
  <c r="C102" i="34"/>
  <c r="F97" i="38"/>
  <c r="E97" i="38"/>
  <c r="G97" i="38"/>
  <c r="W97" i="38"/>
  <c r="C98" i="38"/>
  <c r="E97" i="34"/>
  <c r="S401" i="16"/>
  <c r="S408" i="16" s="1"/>
  <c r="B318" i="16"/>
  <c r="B345" i="16" s="1"/>
  <c r="R430" i="16"/>
  <c r="S427" i="16" s="1"/>
  <c r="R437" i="16"/>
  <c r="R438" i="16" s="1"/>
  <c r="S433" i="16" s="1"/>
  <c r="B104" i="34" l="1"/>
  <c r="C103" i="34"/>
  <c r="C99" i="38"/>
  <c r="W98" i="38"/>
  <c r="E98" i="38"/>
  <c r="G98" i="38"/>
  <c r="F98" i="38"/>
  <c r="E98" i="34"/>
  <c r="B446" i="16"/>
  <c r="R440" i="16"/>
  <c r="G165" i="13"/>
  <c r="G164" i="13"/>
  <c r="G157" i="13"/>
  <c r="G156" i="13"/>
  <c r="G149" i="13"/>
  <c r="G148" i="13"/>
  <c r="G141" i="13"/>
  <c r="G140" i="13"/>
  <c r="G133" i="13"/>
  <c r="G132" i="13"/>
  <c r="G125" i="13"/>
  <c r="G124" i="13"/>
  <c r="G494" i="4"/>
  <c r="G518" i="4"/>
  <c r="G516" i="4"/>
  <c r="G515" i="4"/>
  <c r="G475" i="4"/>
  <c r="G117" i="13"/>
  <c r="G116" i="13"/>
  <c r="G109" i="13"/>
  <c r="G108" i="13"/>
  <c r="G101" i="13"/>
  <c r="G100" i="13"/>
  <c r="G92" i="13"/>
  <c r="G91" i="13"/>
  <c r="O83" i="16" l="1"/>
  <c r="H18" i="27"/>
  <c r="J14" i="29"/>
  <c r="J13" i="29"/>
  <c r="B105" i="34"/>
  <c r="C105" i="34" s="1"/>
  <c r="C104" i="34"/>
  <c r="FH15" i="5"/>
  <c r="FJ15" i="5" s="1"/>
  <c r="M201" i="12" s="1"/>
  <c r="O17" i="26"/>
  <c r="GF15" i="5"/>
  <c r="GH15" i="5" s="1"/>
  <c r="L134" i="13" s="1"/>
  <c r="O8" i="26"/>
  <c r="H19" i="27"/>
  <c r="K19" i="27" s="1"/>
  <c r="F99" i="38"/>
  <c r="W99" i="38"/>
  <c r="G99" i="38"/>
  <c r="E99" i="38"/>
  <c r="C100" i="38"/>
  <c r="E99" i="34"/>
  <c r="FH14" i="5"/>
  <c r="FJ14" i="5" s="1"/>
  <c r="FH13" i="5"/>
  <c r="FJ13" i="5" s="1"/>
  <c r="GF13" i="5"/>
  <c r="GH13" i="5" s="1"/>
  <c r="GF14" i="5"/>
  <c r="GH14" i="5" s="1"/>
  <c r="K18" i="27"/>
  <c r="U12" i="37"/>
  <c r="GC9" i="5"/>
  <c r="G577" i="4"/>
  <c r="G7" i="29"/>
  <c r="R12" i="18"/>
  <c r="L133" i="13"/>
  <c r="GD9" i="5"/>
  <c r="G83" i="13"/>
  <c r="G82" i="13"/>
  <c r="G74" i="13"/>
  <c r="G73" i="13"/>
  <c r="G67" i="13"/>
  <c r="G66" i="13"/>
  <c r="G60" i="13"/>
  <c r="G59" i="13"/>
  <c r="G45" i="13"/>
  <c r="G44" i="13"/>
  <c r="G36" i="13"/>
  <c r="G35" i="13"/>
  <c r="G20" i="13"/>
  <c r="G19" i="13"/>
  <c r="P10" i="13"/>
  <c r="P9" i="13"/>
  <c r="T8" i="13"/>
  <c r="S8" i="13"/>
  <c r="P8" i="13"/>
  <c r="P7" i="13"/>
  <c r="P6" i="13"/>
  <c r="P5" i="13"/>
  <c r="P4" i="13"/>
  <c r="P3" i="13"/>
  <c r="S2" i="13"/>
  <c r="A1" i="13"/>
  <c r="C107" i="34" l="1"/>
  <c r="O9" i="26"/>
  <c r="G100" i="38"/>
  <c r="W100" i="38"/>
  <c r="E100" i="38"/>
  <c r="F100" i="38"/>
  <c r="C101" i="38"/>
  <c r="E100" i="34"/>
  <c r="L132" i="13"/>
  <c r="B12" i="13"/>
  <c r="B16" i="13" s="1"/>
  <c r="U382" i="12"/>
  <c r="U137" i="16" s="1"/>
  <c r="U393" i="16" s="1"/>
  <c r="V382" i="12"/>
  <c r="V137" i="16" s="1"/>
  <c r="V393" i="16" s="1"/>
  <c r="W382" i="12"/>
  <c r="W137" i="16" s="1"/>
  <c r="W393" i="16" s="1"/>
  <c r="X382" i="12"/>
  <c r="X137" i="16" s="1"/>
  <c r="Y382" i="12"/>
  <c r="Y137" i="16" s="1"/>
  <c r="Y393" i="16" s="1"/>
  <c r="Z382" i="12"/>
  <c r="Z137" i="16" s="1"/>
  <c r="Z393" i="16" s="1"/>
  <c r="AA382" i="12"/>
  <c r="AA137" i="16" s="1"/>
  <c r="AA393" i="16" s="1"/>
  <c r="AB382" i="12"/>
  <c r="AB137" i="16" s="1"/>
  <c r="AC382" i="12"/>
  <c r="AC137" i="16" s="1"/>
  <c r="AC393" i="16" s="1"/>
  <c r="AD382" i="12"/>
  <c r="AD137" i="16" s="1"/>
  <c r="AD393" i="16" s="1"/>
  <c r="AE382" i="12"/>
  <c r="AE137" i="16" s="1"/>
  <c r="AE393" i="16" s="1"/>
  <c r="AF382" i="12"/>
  <c r="AF137" i="16" s="1"/>
  <c r="AG382" i="12"/>
  <c r="AG137" i="16" s="1"/>
  <c r="AG393" i="16" s="1"/>
  <c r="AH382" i="12"/>
  <c r="AH137" i="16" s="1"/>
  <c r="AH393" i="16" s="1"/>
  <c r="AI382" i="12"/>
  <c r="AI137" i="16" s="1"/>
  <c r="AI393" i="16" s="1"/>
  <c r="AJ382" i="12"/>
  <c r="AJ137" i="16" s="1"/>
  <c r="AK382" i="12"/>
  <c r="AK137" i="16" s="1"/>
  <c r="AK393" i="16" s="1"/>
  <c r="AL382" i="12"/>
  <c r="AL137" i="16" s="1"/>
  <c r="AL393" i="16" s="1"/>
  <c r="AM382" i="12"/>
  <c r="AM137" i="16" s="1"/>
  <c r="AM393" i="16" s="1"/>
  <c r="AN382" i="12"/>
  <c r="AN137" i="16" s="1"/>
  <c r="AO382" i="12"/>
  <c r="AO137" i="16" s="1"/>
  <c r="AO393" i="16" s="1"/>
  <c r="AP382" i="12"/>
  <c r="AP137" i="16" s="1"/>
  <c r="AP393" i="16" s="1"/>
  <c r="AQ382" i="12"/>
  <c r="AQ137" i="16" s="1"/>
  <c r="AQ393" i="16" s="1"/>
  <c r="AR382" i="12"/>
  <c r="AR137" i="16" s="1"/>
  <c r="AS382" i="12"/>
  <c r="AS137" i="16" s="1"/>
  <c r="AS393" i="16" s="1"/>
  <c r="AT382" i="12"/>
  <c r="AT137" i="16" s="1"/>
  <c r="AT393" i="16" s="1"/>
  <c r="AU382" i="12"/>
  <c r="AU137" i="16" s="1"/>
  <c r="AU393" i="16" s="1"/>
  <c r="AV382" i="12"/>
  <c r="AV137" i="16" s="1"/>
  <c r="AW382" i="12"/>
  <c r="AW137" i="16" s="1"/>
  <c r="AW393" i="16" s="1"/>
  <c r="AX382" i="12"/>
  <c r="AX137" i="16" s="1"/>
  <c r="AX393" i="16" s="1"/>
  <c r="AY382" i="12"/>
  <c r="AY137" i="16" s="1"/>
  <c r="AY393" i="16" s="1"/>
  <c r="AZ382" i="12"/>
  <c r="AZ137" i="16" s="1"/>
  <c r="BA382" i="12"/>
  <c r="BA137" i="16" s="1"/>
  <c r="BA393" i="16" s="1"/>
  <c r="BB382" i="12"/>
  <c r="BB137" i="16" s="1"/>
  <c r="BB393" i="16" s="1"/>
  <c r="BC382" i="12"/>
  <c r="BC137" i="16" s="1"/>
  <c r="BC393" i="16" s="1"/>
  <c r="BD382" i="12"/>
  <c r="BD137" i="16" s="1"/>
  <c r="BE382" i="12"/>
  <c r="BE137" i="16" s="1"/>
  <c r="BE393" i="16" s="1"/>
  <c r="BF382" i="12"/>
  <c r="BF137" i="16" s="1"/>
  <c r="BF393" i="16" s="1"/>
  <c r="BG382" i="12"/>
  <c r="BG137" i="16" s="1"/>
  <c r="BG393" i="16" s="1"/>
  <c r="T382" i="12"/>
  <c r="T137" i="16" s="1"/>
  <c r="B24" i="13" l="1"/>
  <c r="C102" i="38"/>
  <c r="F101" i="38"/>
  <c r="E101" i="38"/>
  <c r="W101" i="38"/>
  <c r="G101" i="38"/>
  <c r="E101" i="34"/>
  <c r="BI137" i="16"/>
  <c r="BD393" i="16"/>
  <c r="AV393" i="16"/>
  <c r="AN393" i="16"/>
  <c r="AF393" i="16"/>
  <c r="X393" i="16"/>
  <c r="AZ393" i="16"/>
  <c r="AR393" i="16"/>
  <c r="AJ393" i="16"/>
  <c r="AB393" i="16"/>
  <c r="T393" i="16"/>
  <c r="B32" i="13"/>
  <c r="C103" i="38" l="1"/>
  <c r="E102" i="38"/>
  <c r="W102" i="38"/>
  <c r="G102" i="38"/>
  <c r="F102" i="38"/>
  <c r="E102" i="34"/>
  <c r="B40" i="13"/>
  <c r="C104" i="38" l="1"/>
  <c r="G103" i="38"/>
  <c r="F103" i="38"/>
  <c r="E103" i="38"/>
  <c r="W103" i="38"/>
  <c r="E103" i="34"/>
  <c r="B49" i="13"/>
  <c r="B56" i="13" s="1"/>
  <c r="B63" i="13" s="1"/>
  <c r="C105" i="38" l="1"/>
  <c r="G104" i="38"/>
  <c r="E104" i="38"/>
  <c r="W104" i="38"/>
  <c r="F104" i="38"/>
  <c r="E104" i="34"/>
  <c r="B70" i="13"/>
  <c r="B78" i="13" s="1"/>
  <c r="B87" i="13" s="1"/>
  <c r="B96" i="13" s="1"/>
  <c r="B105" i="13" s="1"/>
  <c r="B113" i="13" s="1"/>
  <c r="B121" i="13" s="1"/>
  <c r="B129" i="13" s="1"/>
  <c r="B137" i="13" s="1"/>
  <c r="B145" i="13" s="1"/>
  <c r="B153" i="13" s="1"/>
  <c r="C107" i="38" l="1"/>
  <c r="G105" i="38"/>
  <c r="F105" i="38"/>
  <c r="E105" i="38"/>
  <c r="W105" i="38"/>
  <c r="C106" i="38"/>
  <c r="E105" i="34"/>
  <c r="B161" i="13"/>
  <c r="B169" i="13" s="1"/>
  <c r="B188" i="13" s="1"/>
  <c r="B202" i="13" s="1"/>
  <c r="E22" i="22" l="1"/>
  <c r="BZ84" i="28"/>
  <c r="CA84" i="28"/>
  <c r="CM84" i="28" s="1"/>
  <c r="E106" i="34"/>
  <c r="BW84" i="28"/>
  <c r="BX84" i="28"/>
  <c r="CD84" i="28"/>
  <c r="CC84" i="28"/>
  <c r="BU84" i="28"/>
  <c r="BV84" i="28"/>
  <c r="CO84" i="28" s="1"/>
  <c r="G107" i="38"/>
  <c r="F107" i="38"/>
  <c r="E107" i="38"/>
  <c r="W107" i="38"/>
  <c r="E106" i="38"/>
  <c r="W106" i="38"/>
  <c r="G106" i="38"/>
  <c r="F106" i="38"/>
  <c r="S36" i="23"/>
  <c r="M12" i="23" s="1"/>
  <c r="E9" i="17"/>
  <c r="AT112" i="45" s="1"/>
  <c r="AZ112" i="45" s="1"/>
  <c r="K320" i="12"/>
  <c r="K321" i="12"/>
  <c r="K322" i="12"/>
  <c r="K323" i="12"/>
  <c r="K324" i="12"/>
  <c r="K325" i="12"/>
  <c r="K326" i="12"/>
  <c r="K327" i="12"/>
  <c r="K328" i="12"/>
  <c r="I319" i="12"/>
  <c r="K319" i="12" s="1"/>
  <c r="BG284" i="12"/>
  <c r="G270" i="12"/>
  <c r="G269" i="12"/>
  <c r="G261" i="12"/>
  <c r="BQ261" i="12" s="1"/>
  <c r="G262" i="12"/>
  <c r="BQ262" i="12" s="1"/>
  <c r="G277" i="12"/>
  <c r="G276" i="12"/>
  <c r="BR259" i="12"/>
  <c r="BK262" i="12"/>
  <c r="BK261" i="12"/>
  <c r="G485" i="4"/>
  <c r="G484" i="4"/>
  <c r="G254" i="12"/>
  <c r="G253" i="12"/>
  <c r="G244" i="12"/>
  <c r="G243" i="12"/>
  <c r="G234" i="12"/>
  <c r="G233" i="12"/>
  <c r="G226" i="12"/>
  <c r="G225" i="12"/>
  <c r="G218" i="12"/>
  <c r="G217" i="12"/>
  <c r="CE84" i="28" l="1"/>
  <c r="BY84" i="28"/>
  <c r="CF84" i="28"/>
  <c r="BG27" i="16"/>
  <c r="E114" i="14"/>
  <c r="ES15" i="22"/>
  <c r="E115" i="14"/>
  <c r="ET15" i="22"/>
  <c r="I389" i="12"/>
  <c r="O148" i="16"/>
  <c r="I390" i="12"/>
  <c r="O149" i="16"/>
  <c r="G210" i="12"/>
  <c r="G209" i="12"/>
  <c r="FN11" i="5"/>
  <c r="FM11" i="5"/>
  <c r="G200" i="12"/>
  <c r="G199" i="12"/>
  <c r="FD11" i="5"/>
  <c r="FC11" i="5"/>
  <c r="G479" i="4"/>
  <c r="G478" i="4"/>
  <c r="G477" i="4"/>
  <c r="G185" i="12"/>
  <c r="G184" i="12"/>
  <c r="G178" i="12"/>
  <c r="G177" i="12"/>
  <c r="CG84" i="28" l="1"/>
  <c r="FR15" i="5"/>
  <c r="FT15" i="5" s="1"/>
  <c r="M211" i="12" s="1"/>
  <c r="N211" i="12"/>
  <c r="FR13" i="5"/>
  <c r="FT13" i="5" s="1"/>
  <c r="M209" i="12" s="1"/>
  <c r="FR14" i="5"/>
  <c r="FT14" i="5" s="1"/>
  <c r="M210" i="12" s="1"/>
  <c r="M199" i="12"/>
  <c r="M200" i="12"/>
  <c r="N210" i="12"/>
  <c r="N209" i="12"/>
  <c r="G170" i="12"/>
  <c r="G169" i="12"/>
  <c r="G147" i="12"/>
  <c r="G146" i="12"/>
  <c r="G140" i="12"/>
  <c r="G139" i="12"/>
  <c r="G133" i="12"/>
  <c r="G132" i="12"/>
  <c r="K125" i="12"/>
  <c r="K124" i="12"/>
  <c r="G125" i="12"/>
  <c r="G124" i="12"/>
  <c r="G427" i="4"/>
  <c r="G432" i="4"/>
  <c r="G435" i="4"/>
  <c r="G436" i="4"/>
  <c r="G438" i="4"/>
  <c r="G439" i="4"/>
  <c r="G440" i="4"/>
  <c r="BS262" i="12"/>
  <c r="BS261" i="12"/>
  <c r="G117" i="12"/>
  <c r="G116" i="12"/>
  <c r="G109" i="12"/>
  <c r="G108" i="12"/>
  <c r="G101" i="12"/>
  <c r="G100" i="12"/>
  <c r="G37" i="12"/>
  <c r="G36" i="12"/>
  <c r="G93" i="12"/>
  <c r="G92" i="12"/>
  <c r="G23" i="26" l="1"/>
  <c r="D10" i="44"/>
  <c r="CD15" i="5"/>
  <c r="CF15" i="5" s="1"/>
  <c r="L84" i="13" s="1"/>
  <c r="CA15" i="5"/>
  <c r="CC15" i="5" s="1"/>
  <c r="AT12" i="19"/>
  <c r="C12" i="19"/>
  <c r="CD14" i="5"/>
  <c r="CF14" i="5" s="1"/>
  <c r="CD13" i="5"/>
  <c r="CF13" i="5" s="1"/>
  <c r="CA14" i="5"/>
  <c r="CC14" i="5" s="1"/>
  <c r="CA13" i="5"/>
  <c r="CC13" i="5" s="1"/>
  <c r="S443" i="16"/>
  <c r="R443" i="16"/>
  <c r="R442" i="16"/>
  <c r="G85" i="12"/>
  <c r="G84" i="12"/>
  <c r="K77" i="12"/>
  <c r="K76" i="12"/>
  <c r="G77" i="12"/>
  <c r="G76" i="12"/>
  <c r="N46" i="13" l="1"/>
  <c r="K84" i="13"/>
  <c r="G69" i="12"/>
  <c r="G68" i="12"/>
  <c r="G53" i="12"/>
  <c r="G52" i="12"/>
  <c r="G45" i="12"/>
  <c r="G44" i="12"/>
  <c r="G61" i="12"/>
  <c r="G60" i="12"/>
  <c r="G29" i="12"/>
  <c r="G28" i="12"/>
  <c r="S8" i="12" l="1"/>
  <c r="G21" i="12"/>
  <c r="G20" i="12"/>
  <c r="P10" i="12"/>
  <c r="P9" i="12"/>
  <c r="T8" i="12"/>
  <c r="P8" i="12"/>
  <c r="P7" i="12"/>
  <c r="P6" i="12"/>
  <c r="P5" i="12"/>
  <c r="P4" i="12"/>
  <c r="P3" i="12"/>
  <c r="S2" i="12"/>
  <c r="A1" i="12"/>
  <c r="F140" i="11"/>
  <c r="F136" i="11"/>
  <c r="H133" i="11"/>
  <c r="P10" i="11"/>
  <c r="P9" i="11"/>
  <c r="T8" i="11"/>
  <c r="S8" i="11"/>
  <c r="P8" i="11"/>
  <c r="P7" i="11"/>
  <c r="P6" i="11"/>
  <c r="P5" i="11"/>
  <c r="P4" i="11"/>
  <c r="P3" i="11"/>
  <c r="S2" i="11"/>
  <c r="A1" i="11"/>
  <c r="B12" i="11" l="1"/>
  <c r="B17" i="11" s="1"/>
  <c r="B12" i="12"/>
  <c r="F135" i="11"/>
  <c r="F139" i="11"/>
  <c r="F133" i="11"/>
  <c r="F137" i="11"/>
  <c r="F141" i="11"/>
  <c r="F134" i="11"/>
  <c r="F138" i="11"/>
  <c r="F142" i="11"/>
  <c r="H133" i="10"/>
  <c r="P10" i="10"/>
  <c r="P9" i="10"/>
  <c r="T8" i="10"/>
  <c r="S8" i="10"/>
  <c r="P8" i="10"/>
  <c r="P7" i="10"/>
  <c r="P6" i="10"/>
  <c r="P5" i="10"/>
  <c r="P4" i="10"/>
  <c r="P3" i="10"/>
  <c r="S2" i="10"/>
  <c r="A1" i="10"/>
  <c r="F140" i="8"/>
  <c r="F143" i="8"/>
  <c r="F144" i="8"/>
  <c r="F145" i="8"/>
  <c r="F146" i="8"/>
  <c r="F147" i="8"/>
  <c r="F148" i="8"/>
  <c r="H139" i="8"/>
  <c r="B12" i="10" l="1"/>
  <c r="B17" i="10" s="1"/>
  <c r="B25" i="11"/>
  <c r="B34" i="11" s="1"/>
  <c r="B43" i="11" s="1"/>
  <c r="B17" i="12"/>
  <c r="B25" i="12" s="1"/>
  <c r="F135" i="10"/>
  <c r="F133" i="10"/>
  <c r="F139" i="10"/>
  <c r="F136" i="10"/>
  <c r="F140" i="10"/>
  <c r="F137" i="10"/>
  <c r="F141" i="10"/>
  <c r="F134" i="10"/>
  <c r="F138" i="10"/>
  <c r="F142" i="10"/>
  <c r="F142" i="8"/>
  <c r="F141" i="8"/>
  <c r="F139" i="8"/>
  <c r="B33" i="12" l="1"/>
  <c r="B52" i="11"/>
  <c r="B61" i="11" s="1"/>
  <c r="B25" i="10"/>
  <c r="B34" i="10" s="1"/>
  <c r="B43" i="10" s="1"/>
  <c r="B41" i="12" l="1"/>
  <c r="B49" i="12" s="1"/>
  <c r="B57" i="12" s="1"/>
  <c r="B65" i="12" s="1"/>
  <c r="B73" i="12" s="1"/>
  <c r="B81" i="12" s="1"/>
  <c r="B89" i="12" s="1"/>
  <c r="B97" i="12" s="1"/>
  <c r="B105" i="12" s="1"/>
  <c r="B113" i="12" s="1"/>
  <c r="B121" i="12" s="1"/>
  <c r="B129" i="12" s="1"/>
  <c r="B70" i="11"/>
  <c r="B52" i="10"/>
  <c r="B136" i="12" l="1"/>
  <c r="B79" i="11"/>
  <c r="B61" i="10"/>
  <c r="B143" i="12" l="1"/>
  <c r="B150" i="12" s="1"/>
  <c r="B158" i="12" s="1"/>
  <c r="B88" i="11"/>
  <c r="B70" i="10"/>
  <c r="B166" i="12" l="1"/>
  <c r="B174" i="12" s="1"/>
  <c r="B97" i="11"/>
  <c r="B105" i="11" s="1"/>
  <c r="B79" i="10"/>
  <c r="B88" i="10" s="1"/>
  <c r="B97" i="10" s="1"/>
  <c r="B105" i="10" s="1"/>
  <c r="B113" i="10" s="1"/>
  <c r="B122" i="10" s="1"/>
  <c r="B181" i="12" l="1"/>
  <c r="B189" i="12" s="1"/>
  <c r="B196" i="12" s="1"/>
  <c r="B113" i="11"/>
  <c r="B122" i="11" s="1"/>
  <c r="B131" i="11" s="1"/>
  <c r="B131" i="10"/>
  <c r="B204" i="12" l="1"/>
  <c r="B214" i="12" s="1"/>
  <c r="B222" i="12" s="1"/>
  <c r="B230" i="12" s="1"/>
  <c r="B238" i="12" s="1"/>
  <c r="B248" i="12" s="1"/>
  <c r="B258" i="12" s="1"/>
  <c r="B266" i="12" l="1"/>
  <c r="B273" i="12" s="1"/>
  <c r="DM9" i="6"/>
  <c r="DM8" i="6"/>
  <c r="GE13" i="6"/>
  <c r="GD13" i="6"/>
  <c r="FW13" i="6"/>
  <c r="FV13" i="6"/>
  <c r="FQ13" i="6"/>
  <c r="FP13" i="6"/>
  <c r="FK13" i="6"/>
  <c r="FJ13" i="6"/>
  <c r="FC13" i="6"/>
  <c r="FB13" i="6"/>
  <c r="FB8" i="6"/>
  <c r="DR13" i="6"/>
  <c r="DQ13" i="6"/>
  <c r="EU13" i="6"/>
  <c r="ET13" i="6"/>
  <c r="EM13" i="6"/>
  <c r="EL13" i="6"/>
  <c r="EG13" i="6"/>
  <c r="EF13" i="6"/>
  <c r="DZ13" i="6"/>
  <c r="DY13" i="6"/>
  <c r="DQ8" i="6"/>
  <c r="G148" i="4"/>
  <c r="U33" i="15" s="1"/>
  <c r="G146" i="4"/>
  <c r="G21" i="26" s="1"/>
  <c r="DJ13" i="6"/>
  <c r="DI13" i="6"/>
  <c r="DB13" i="6"/>
  <c r="DA13" i="6"/>
  <c r="E186" i="4"/>
  <c r="E177" i="4"/>
  <c r="CV13" i="6"/>
  <c r="CU13" i="6"/>
  <c r="CM8" i="6"/>
  <c r="CP13" i="6"/>
  <c r="CO13" i="6"/>
  <c r="CF8" i="6"/>
  <c r="CH13" i="6"/>
  <c r="CG13" i="6"/>
  <c r="BY13" i="6"/>
  <c r="BX13" i="6"/>
  <c r="BV13" i="6"/>
  <c r="BU13" i="6"/>
  <c r="BR13" i="6"/>
  <c r="BQ13" i="6"/>
  <c r="BS9" i="6"/>
  <c r="BM13" i="6"/>
  <c r="BL13" i="6"/>
  <c r="BD12" i="6"/>
  <c r="BB12" i="6"/>
  <c r="P10" i="8"/>
  <c r="P9" i="8"/>
  <c r="T8" i="8"/>
  <c r="S8" i="8"/>
  <c r="P8" i="8"/>
  <c r="P7" i="8"/>
  <c r="P6" i="8"/>
  <c r="P5" i="8"/>
  <c r="P4" i="8"/>
  <c r="P3" i="8"/>
  <c r="S2" i="8"/>
  <c r="A1" i="8"/>
  <c r="F133" i="7"/>
  <c r="K293" i="12" s="1"/>
  <c r="F136" i="7"/>
  <c r="K296" i="12" s="1"/>
  <c r="F137" i="7"/>
  <c r="K297" i="12" s="1"/>
  <c r="F138" i="7"/>
  <c r="K298" i="12" s="1"/>
  <c r="F139" i="7"/>
  <c r="K299" i="12" s="1"/>
  <c r="F140" i="7"/>
  <c r="K300" i="12" s="1"/>
  <c r="F141" i="7"/>
  <c r="K301" i="12" s="1"/>
  <c r="H132" i="7"/>
  <c r="F118" i="7"/>
  <c r="F119" i="7"/>
  <c r="F120" i="7"/>
  <c r="F121" i="7"/>
  <c r="F122" i="7"/>
  <c r="F123" i="7"/>
  <c r="F124" i="7"/>
  <c r="H116" i="7"/>
  <c r="F116" i="7" s="1"/>
  <c r="R7" i="1"/>
  <c r="Q8" i="1"/>
  <c r="Q9" i="1"/>
  <c r="Q10" i="1"/>
  <c r="Q7" i="1"/>
  <c r="K315" i="12" l="1"/>
  <c r="K307" i="12"/>
  <c r="K314" i="12"/>
  <c r="K313" i="12"/>
  <c r="K312" i="12"/>
  <c r="K311" i="12"/>
  <c r="K310" i="12"/>
  <c r="B12" i="8"/>
  <c r="B17" i="8" s="1"/>
  <c r="B25" i="8" s="1"/>
  <c r="B34" i="8" s="1"/>
  <c r="B281" i="12"/>
  <c r="F146" i="4"/>
  <c r="K14" i="12" s="1"/>
  <c r="T14" i="12" s="1"/>
  <c r="E22" i="14"/>
  <c r="F132" i="7"/>
  <c r="K292" i="12" s="1"/>
  <c r="F135" i="7"/>
  <c r="K295" i="12" s="1"/>
  <c r="F134" i="7"/>
  <c r="K294" i="12" s="1"/>
  <c r="F125" i="7"/>
  <c r="F117" i="7"/>
  <c r="P6" i="7"/>
  <c r="P7" i="7"/>
  <c r="T22" i="14" l="1"/>
  <c r="K308" i="12"/>
  <c r="K309" i="12"/>
  <c r="B42" i="8"/>
  <c r="B50" i="8" s="1"/>
  <c r="B58" i="8" s="1"/>
  <c r="K306" i="12"/>
  <c r="K14" i="13"/>
  <c r="T14" i="13" s="1"/>
  <c r="U14" i="13" s="1"/>
  <c r="V14" i="13" s="1"/>
  <c r="W14" i="13" s="1"/>
  <c r="X14" i="13" s="1"/>
  <c r="Y14" i="13" s="1"/>
  <c r="Z14" i="13" s="1"/>
  <c r="AA14" i="13" s="1"/>
  <c r="AB14" i="13" s="1"/>
  <c r="AC14" i="13" s="1"/>
  <c r="AD14" i="13" s="1"/>
  <c r="AE14" i="13" s="1"/>
  <c r="AF14" i="13" s="1"/>
  <c r="AG14" i="13" s="1"/>
  <c r="AH14" i="13" s="1"/>
  <c r="AI14" i="13" s="1"/>
  <c r="AJ14" i="13" s="1"/>
  <c r="AK14" i="13" s="1"/>
  <c r="AL14" i="13" s="1"/>
  <c r="AM14" i="13" s="1"/>
  <c r="AN14" i="13" s="1"/>
  <c r="AO14" i="13" s="1"/>
  <c r="AP14" i="13" s="1"/>
  <c r="AQ14" i="13" s="1"/>
  <c r="AR14" i="13" s="1"/>
  <c r="AS14" i="13" s="1"/>
  <c r="AT14" i="13" s="1"/>
  <c r="AU14" i="13" s="1"/>
  <c r="AV14" i="13" s="1"/>
  <c r="AW14" i="13" s="1"/>
  <c r="AX14" i="13" s="1"/>
  <c r="AY14" i="13" s="1"/>
  <c r="AZ14" i="13" s="1"/>
  <c r="BA14" i="13" s="1"/>
  <c r="BB14" i="13" s="1"/>
  <c r="BC14" i="13" s="1"/>
  <c r="BD14" i="13" s="1"/>
  <c r="BE14" i="13" s="1"/>
  <c r="BF14" i="13" s="1"/>
  <c r="BG14" i="13" s="1"/>
  <c r="U14" i="12"/>
  <c r="T16" i="16"/>
  <c r="AC9" i="6"/>
  <c r="AD13" i="6"/>
  <c r="AC13" i="6"/>
  <c r="FC8" i="6" l="1"/>
  <c r="U16" i="16"/>
  <c r="U22" i="14"/>
  <c r="V14" i="12"/>
  <c r="B67" i="8"/>
  <c r="B76" i="8" s="1"/>
  <c r="DR8" i="6"/>
  <c r="CN8" i="6"/>
  <c r="BC9" i="6"/>
  <c r="CG8" i="6"/>
  <c r="BT9" i="6"/>
  <c r="AD9" i="6"/>
  <c r="T10" i="6"/>
  <c r="T11" i="6"/>
  <c r="T9" i="6"/>
  <c r="V16" i="16" l="1"/>
  <c r="V22" i="14"/>
  <c r="W14" i="12"/>
  <c r="B85" i="8"/>
  <c r="W16" i="16" l="1"/>
  <c r="W22" i="14"/>
  <c r="X14" i="12"/>
  <c r="B94" i="8"/>
  <c r="B103" i="8" s="1"/>
  <c r="B111" i="8" s="1"/>
  <c r="BO261" i="12"/>
  <c r="DW11" i="5"/>
  <c r="DV11" i="5"/>
  <c r="DT11" i="5"/>
  <c r="DS11" i="5"/>
  <c r="DQ11" i="5"/>
  <c r="DP11" i="5"/>
  <c r="DN11" i="5"/>
  <c r="DM11" i="5"/>
  <c r="DJ11" i="5"/>
  <c r="DI11" i="5"/>
  <c r="DG11" i="5"/>
  <c r="DF11" i="5"/>
  <c r="DD11" i="5"/>
  <c r="DC11" i="5"/>
  <c r="DA11" i="5"/>
  <c r="CZ11" i="5"/>
  <c r="CW11" i="5"/>
  <c r="CV11" i="5"/>
  <c r="CT11" i="5"/>
  <c r="CS11" i="5"/>
  <c r="CQ11" i="5"/>
  <c r="CP11" i="5"/>
  <c r="CN11" i="5"/>
  <c r="CM11" i="5"/>
  <c r="CI11" i="5"/>
  <c r="CH11" i="5"/>
  <c r="L83" i="13"/>
  <c r="L82" i="13"/>
  <c r="X16" i="16" l="1"/>
  <c r="X22" i="14"/>
  <c r="M21" i="12"/>
  <c r="FZ14" i="5"/>
  <c r="M20" i="13"/>
  <c r="BO262" i="12"/>
  <c r="M20" i="12"/>
  <c r="FZ13" i="5"/>
  <c r="M19" i="13"/>
  <c r="Y14" i="12"/>
  <c r="K83" i="13"/>
  <c r="N45" i="13"/>
  <c r="K82" i="13"/>
  <c r="N44" i="13"/>
  <c r="B119" i="8"/>
  <c r="B128" i="8" s="1"/>
  <c r="Y16" i="16" l="1"/>
  <c r="Y22" i="14"/>
  <c r="Z14" i="12"/>
  <c r="B137" i="8"/>
  <c r="G145" i="4"/>
  <c r="E285" i="4"/>
  <c r="E286" i="4" s="1"/>
  <c r="E261" i="4"/>
  <c r="H259" i="4" s="1"/>
  <c r="E251" i="4"/>
  <c r="E252" i="4" s="1"/>
  <c r="E234" i="4"/>
  <c r="E235" i="4" s="1"/>
  <c r="E210" i="4"/>
  <c r="E211" i="4" s="1"/>
  <c r="E193" i="4"/>
  <c r="E194" i="4" s="1"/>
  <c r="E21" i="14" l="1"/>
  <c r="H18" i="33"/>
  <c r="G20" i="26"/>
  <c r="F145" i="4"/>
  <c r="Z16" i="16"/>
  <c r="Z22" i="14"/>
  <c r="AA14" i="12"/>
  <c r="E195" i="4"/>
  <c r="E196" i="4" s="1"/>
  <c r="E287" i="4"/>
  <c r="E288" i="4" s="1"/>
  <c r="E212" i="4"/>
  <c r="E213" i="4" s="1"/>
  <c r="E236" i="4"/>
  <c r="E237" i="4" s="1"/>
  <c r="E253" i="4"/>
  <c r="E254" i="4" s="1"/>
  <c r="E262" i="4"/>
  <c r="I259" i="4" s="1"/>
  <c r="K14" i="11" l="1"/>
  <c r="T14" i="11" s="1"/>
  <c r="K14" i="10"/>
  <c r="T14" i="10" s="1"/>
  <c r="K14" i="8"/>
  <c r="T14" i="8" s="1"/>
  <c r="K14" i="7"/>
  <c r="T14" i="7" s="1"/>
  <c r="B364" i="32"/>
  <c r="B365" i="32" s="1"/>
  <c r="B366" i="32" s="1"/>
  <c r="B367" i="32" s="1"/>
  <c r="B368" i="32" s="1"/>
  <c r="B369" i="32" s="1"/>
  <c r="B370" i="32" s="1"/>
  <c r="B371" i="32" s="1"/>
  <c r="B372" i="32" s="1"/>
  <c r="B373" i="32" s="1"/>
  <c r="B374" i="32" s="1"/>
  <c r="B375" i="32" s="1"/>
  <c r="B376" i="32" s="1"/>
  <c r="B377" i="32" s="1"/>
  <c r="B378" i="32" s="1"/>
  <c r="B379" i="32" s="1"/>
  <c r="B380" i="32" s="1"/>
  <c r="B381" i="32" s="1"/>
  <c r="B382" i="32" s="1"/>
  <c r="B383" i="32" s="1"/>
  <c r="B384" i="32" s="1"/>
  <c r="B385" i="32" s="1"/>
  <c r="B386" i="32" s="1"/>
  <c r="B387" i="32" s="1"/>
  <c r="B388" i="32" s="1"/>
  <c r="B389" i="32" s="1"/>
  <c r="B390" i="32" s="1"/>
  <c r="B391" i="32" s="1"/>
  <c r="B392" i="32" s="1"/>
  <c r="B393" i="32" s="1"/>
  <c r="B394" i="32" s="1"/>
  <c r="B395" i="32" s="1"/>
  <c r="B396" i="32" s="1"/>
  <c r="B397" i="32" s="1"/>
  <c r="B398" i="32" s="1"/>
  <c r="B399" i="32" s="1"/>
  <c r="B400" i="32" s="1"/>
  <c r="B401" i="32" s="1"/>
  <c r="B402" i="32" s="1"/>
  <c r="B403" i="32" s="1"/>
  <c r="B404" i="32" s="1"/>
  <c r="B405" i="32" s="1"/>
  <c r="B406" i="32" s="1"/>
  <c r="B407" i="32" s="1"/>
  <c r="B408" i="32" s="1"/>
  <c r="B409" i="32" s="1"/>
  <c r="B410" i="32" s="1"/>
  <c r="B411" i="32" s="1"/>
  <c r="B412" i="32" s="1"/>
  <c r="B413" i="32" s="1"/>
  <c r="B414" i="32" s="1"/>
  <c r="B415" i="32" s="1"/>
  <c r="B416" i="32" s="1"/>
  <c r="B417" i="32" s="1"/>
  <c r="B418" i="32" s="1"/>
  <c r="B419" i="32" s="1"/>
  <c r="B420" i="32" s="1"/>
  <c r="B421" i="32" s="1"/>
  <c r="B422" i="32" s="1"/>
  <c r="B423" i="32" s="1"/>
  <c r="B424" i="32" s="1"/>
  <c r="B425" i="32" s="1"/>
  <c r="B426" i="32" s="1"/>
  <c r="B427" i="32" s="1"/>
  <c r="B428" i="32" s="1"/>
  <c r="B429" i="32" s="1"/>
  <c r="B430" i="32" s="1"/>
  <c r="B431" i="32" s="1"/>
  <c r="B432" i="32" s="1"/>
  <c r="B433" i="32" s="1"/>
  <c r="B434" i="32" s="1"/>
  <c r="B435" i="32" s="1"/>
  <c r="B436" i="32" s="1"/>
  <c r="B437" i="32" s="1"/>
  <c r="B438" i="32" s="1"/>
  <c r="B439" i="32" s="1"/>
  <c r="B440" i="32" s="1"/>
  <c r="B441" i="32" s="1"/>
  <c r="B442" i="32" s="1"/>
  <c r="B443" i="32" s="1"/>
  <c r="B444" i="32" s="1"/>
  <c r="B445" i="32" s="1"/>
  <c r="B446" i="32" s="1"/>
  <c r="B447" i="32" s="1"/>
  <c r="B448" i="32" s="1"/>
  <c r="B449" i="32" s="1"/>
  <c r="B450" i="32" s="1"/>
  <c r="B451" i="32" s="1"/>
  <c r="B452" i="32" s="1"/>
  <c r="B453" i="32" s="1"/>
  <c r="B454" i="32" s="1"/>
  <c r="B455" i="32" s="1"/>
  <c r="B456" i="32" s="1"/>
  <c r="B457" i="32" s="1"/>
  <c r="B458" i="32" s="1"/>
  <c r="B459" i="32" s="1"/>
  <c r="B460" i="32" s="1"/>
  <c r="B461" i="32" s="1"/>
  <c r="B462" i="32" s="1"/>
  <c r="B463" i="32" s="1"/>
  <c r="B464" i="32" s="1"/>
  <c r="B465" i="32" s="1"/>
  <c r="B466" i="32" s="1"/>
  <c r="B467" i="32" s="1"/>
  <c r="B468" i="32" s="1"/>
  <c r="B469" i="32" s="1"/>
  <c r="B470" i="32" s="1"/>
  <c r="B471" i="32" s="1"/>
  <c r="B472" i="32" s="1"/>
  <c r="B473" i="32" s="1"/>
  <c r="B474" i="32" s="1"/>
  <c r="B475" i="32" s="1"/>
  <c r="B476" i="32" s="1"/>
  <c r="B477" i="32" s="1"/>
  <c r="B478" i="32" s="1"/>
  <c r="B479" i="32" s="1"/>
  <c r="B480" i="32" s="1"/>
  <c r="B481" i="32" s="1"/>
  <c r="B482" i="32" s="1"/>
  <c r="B483" i="32" s="1"/>
  <c r="B484" i="32" s="1"/>
  <c r="B485" i="32" s="1"/>
  <c r="B486" i="32" s="1"/>
  <c r="B487" i="32" s="1"/>
  <c r="B488" i="32" s="1"/>
  <c r="B489" i="32" s="1"/>
  <c r="B490" i="32" s="1"/>
  <c r="B491" i="32" s="1"/>
  <c r="B492" i="32" s="1"/>
  <c r="B493" i="32" s="1"/>
  <c r="B494" i="32" s="1"/>
  <c r="B495" i="32" s="1"/>
  <c r="B496" i="32" s="1"/>
  <c r="B497" i="32" s="1"/>
  <c r="B498" i="32" s="1"/>
  <c r="B499" i="32" s="1"/>
  <c r="B500" i="32" s="1"/>
  <c r="B501" i="32" s="1"/>
  <c r="B502" i="32" s="1"/>
  <c r="B503" i="32" s="1"/>
  <c r="B504" i="32" s="1"/>
  <c r="B505" i="32" s="1"/>
  <c r="B506" i="32" s="1"/>
  <c r="B507" i="32" s="1"/>
  <c r="B508" i="32" s="1"/>
  <c r="B509" i="32" s="1"/>
  <c r="B510" i="32" s="1"/>
  <c r="B511" i="32" s="1"/>
  <c r="B512" i="32" s="1"/>
  <c r="B513" i="32" s="1"/>
  <c r="B514" i="32" s="1"/>
  <c r="B515" i="32" s="1"/>
  <c r="B516" i="32" s="1"/>
  <c r="B517" i="32" s="1"/>
  <c r="B518" i="32" s="1"/>
  <c r="B519" i="32" s="1"/>
  <c r="B520" i="32" s="1"/>
  <c r="B521" i="32" s="1"/>
  <c r="B522" i="32" s="1"/>
  <c r="B523" i="32" s="1"/>
  <c r="B524" i="32" s="1"/>
  <c r="B525" i="32" s="1"/>
  <c r="B526" i="32" s="1"/>
  <c r="B527" i="32" s="1"/>
  <c r="B528" i="32" s="1"/>
  <c r="B529" i="32" s="1"/>
  <c r="B530" i="32" s="1"/>
  <c r="B531" i="32" s="1"/>
  <c r="B532" i="32" s="1"/>
  <c r="B533" i="32" s="1"/>
  <c r="B534" i="32" s="1"/>
  <c r="B535" i="32" s="1"/>
  <c r="B536" i="32" s="1"/>
  <c r="B537" i="32" s="1"/>
  <c r="B538" i="32" s="1"/>
  <c r="B539" i="32" s="1"/>
  <c r="B540" i="32" s="1"/>
  <c r="B541" i="32" s="1"/>
  <c r="B542" i="32" s="1"/>
  <c r="B543" i="32" s="1"/>
  <c r="B544" i="32" s="1"/>
  <c r="B545" i="32" s="1"/>
  <c r="B546" i="32" s="1"/>
  <c r="B547" i="32" s="1"/>
  <c r="B548" i="32" s="1"/>
  <c r="B549" i="32" s="1"/>
  <c r="B550" i="32" s="1"/>
  <c r="B551" i="32" s="1"/>
  <c r="B552" i="32" s="1"/>
  <c r="B553" i="32" s="1"/>
  <c r="B554" i="32" s="1"/>
  <c r="B555" i="32" s="1"/>
  <c r="B556" i="32" s="1"/>
  <c r="B557" i="32" s="1"/>
  <c r="B558" i="32" s="1"/>
  <c r="B559" i="32" s="1"/>
  <c r="B560" i="32" s="1"/>
  <c r="B561" i="32" s="1"/>
  <c r="B562" i="32" s="1"/>
  <c r="B563" i="32" s="1"/>
  <c r="B564" i="32" s="1"/>
  <c r="B565" i="32" s="1"/>
  <c r="B566" i="32" s="1"/>
  <c r="B567" i="32" s="1"/>
  <c r="B568" i="32" s="1"/>
  <c r="B569" i="32" s="1"/>
  <c r="B570" i="32" s="1"/>
  <c r="B571" i="32" s="1"/>
  <c r="B572" i="32" s="1"/>
  <c r="B573" i="32" s="1"/>
  <c r="B574" i="32" s="1"/>
  <c r="B575" i="32" s="1"/>
  <c r="B576" i="32" s="1"/>
  <c r="B577" i="32" s="1"/>
  <c r="B578" i="32" s="1"/>
  <c r="B579" i="32" s="1"/>
  <c r="B580" i="32" s="1"/>
  <c r="B581" i="32" s="1"/>
  <c r="B582" i="32" s="1"/>
  <c r="B583" i="32" s="1"/>
  <c r="B584" i="32" s="1"/>
  <c r="B585" i="32" s="1"/>
  <c r="B586" i="32" s="1"/>
  <c r="B587" i="32" s="1"/>
  <c r="B588" i="32" s="1"/>
  <c r="B589" i="32" s="1"/>
  <c r="B590" i="32" s="1"/>
  <c r="B591" i="32" s="1"/>
  <c r="B592" i="32" s="1"/>
  <c r="B593" i="32" s="1"/>
  <c r="B594" i="32" s="1"/>
  <c r="B595" i="32" s="1"/>
  <c r="B596" i="32" s="1"/>
  <c r="B597" i="32" s="1"/>
  <c r="B598" i="32" s="1"/>
  <c r="B599" i="32" s="1"/>
  <c r="B600" i="32" s="1"/>
  <c r="B601" i="32" s="1"/>
  <c r="B602" i="32" s="1"/>
  <c r="B603" i="32" s="1"/>
  <c r="B604" i="32" s="1"/>
  <c r="B605" i="32" s="1"/>
  <c r="B606" i="32" s="1"/>
  <c r="B607" i="32" s="1"/>
  <c r="B608" i="32" s="1"/>
  <c r="B609" i="32" s="1"/>
  <c r="B610" i="32" s="1"/>
  <c r="B611" i="32" s="1"/>
  <c r="B612" i="32" s="1"/>
  <c r="B613" i="32" s="1"/>
  <c r="B614" i="32" s="1"/>
  <c r="B615" i="32" s="1"/>
  <c r="B616" i="32" s="1"/>
  <c r="B617" i="32" s="1"/>
  <c r="B618" i="32" s="1"/>
  <c r="B619" i="32" s="1"/>
  <c r="B620" i="32" s="1"/>
  <c r="B621" i="32" s="1"/>
  <c r="B622" i="32" s="1"/>
  <c r="B623" i="32" s="1"/>
  <c r="B624" i="32" s="1"/>
  <c r="B625" i="32" s="1"/>
  <c r="B626" i="32" s="1"/>
  <c r="B627" i="32" s="1"/>
  <c r="B628" i="32" s="1"/>
  <c r="B629" i="32" s="1"/>
  <c r="B630" i="32" s="1"/>
  <c r="B631" i="32" s="1"/>
  <c r="B632" i="32" s="1"/>
  <c r="B633" i="32" s="1"/>
  <c r="B634" i="32" s="1"/>
  <c r="B635" i="32" s="1"/>
  <c r="B636" i="32" s="1"/>
  <c r="B637" i="32" s="1"/>
  <c r="B638" i="32" s="1"/>
  <c r="B639" i="32" s="1"/>
  <c r="B640" i="32" s="1"/>
  <c r="B641" i="32" s="1"/>
  <c r="B642" i="32" s="1"/>
  <c r="B643" i="32" s="1"/>
  <c r="B644" i="32" s="1"/>
  <c r="B645" i="32" s="1"/>
  <c r="B646" i="32" s="1"/>
  <c r="B647" i="32" s="1"/>
  <c r="B648" i="32" s="1"/>
  <c r="B649" i="32" s="1"/>
  <c r="B650" i="32" s="1"/>
  <c r="B651" i="32" s="1"/>
  <c r="B652" i="32" s="1"/>
  <c r="B653" i="32" s="1"/>
  <c r="B654" i="32" s="1"/>
  <c r="B655" i="32" s="1"/>
  <c r="B656" i="32" s="1"/>
  <c r="B657" i="32" s="1"/>
  <c r="B658" i="32" s="1"/>
  <c r="B659" i="32" s="1"/>
  <c r="B660" i="32" s="1"/>
  <c r="B661" i="32" s="1"/>
  <c r="B662" i="32" s="1"/>
  <c r="B663" i="32" s="1"/>
  <c r="B664" i="32" s="1"/>
  <c r="B665" i="32" s="1"/>
  <c r="B666" i="32" s="1"/>
  <c r="B667" i="32" s="1"/>
  <c r="B668" i="32" s="1"/>
  <c r="B669" i="32" s="1"/>
  <c r="B670" i="32" s="1"/>
  <c r="B671" i="32" s="1"/>
  <c r="B672" i="32" s="1"/>
  <c r="B673" i="32" s="1"/>
  <c r="B674" i="32" s="1"/>
  <c r="B675" i="32" s="1"/>
  <c r="B676" i="32" s="1"/>
  <c r="B677" i="32" s="1"/>
  <c r="B678" i="32" s="1"/>
  <c r="B679" i="32" s="1"/>
  <c r="B680" i="32" s="1"/>
  <c r="B681" i="32" s="1"/>
  <c r="B682" i="32" s="1"/>
  <c r="B683" i="32" s="1"/>
  <c r="B684" i="32" s="1"/>
  <c r="B685" i="32" s="1"/>
  <c r="B686" i="32" s="1"/>
  <c r="B687" i="32" s="1"/>
  <c r="B688" i="32" s="1"/>
  <c r="B689" i="32" s="1"/>
  <c r="B690" i="32" s="1"/>
  <c r="B691" i="32" s="1"/>
  <c r="B692" i="32" s="1"/>
  <c r="B693" i="32" s="1"/>
  <c r="B694" i="32" s="1"/>
  <c r="B695" i="32" s="1"/>
  <c r="B696" i="32" s="1"/>
  <c r="B697" i="32" s="1"/>
  <c r="B698" i="32" s="1"/>
  <c r="B699" i="32" s="1"/>
  <c r="B700" i="32" s="1"/>
  <c r="B701" i="32" s="1"/>
  <c r="B702" i="32" s="1"/>
  <c r="B703" i="32" s="1"/>
  <c r="B704" i="32" s="1"/>
  <c r="B705" i="32" s="1"/>
  <c r="B706" i="32" s="1"/>
  <c r="B707" i="32" s="1"/>
  <c r="B708" i="32" s="1"/>
  <c r="B709" i="32" s="1"/>
  <c r="B710" i="32" s="1"/>
  <c r="B711" i="32" s="1"/>
  <c r="B712" i="32" s="1"/>
  <c r="B713" i="32" s="1"/>
  <c r="B714" i="32" s="1"/>
  <c r="B715" i="32" s="1"/>
  <c r="B716" i="32" s="1"/>
  <c r="B717" i="32" s="1"/>
  <c r="B718" i="32" s="1"/>
  <c r="B719" i="32" s="1"/>
  <c r="B720" i="32" s="1"/>
  <c r="B721" i="32" s="1"/>
  <c r="B722" i="32" s="1"/>
  <c r="B723" i="32" s="1"/>
  <c r="B724" i="32" s="1"/>
  <c r="B725" i="32" s="1"/>
  <c r="B726" i="32" s="1"/>
  <c r="B727" i="32" s="1"/>
  <c r="B728" i="32" s="1"/>
  <c r="B729" i="32" s="1"/>
  <c r="B730" i="32" s="1"/>
  <c r="B731" i="32" s="1"/>
  <c r="B732" i="32" s="1"/>
  <c r="B733" i="32" s="1"/>
  <c r="B734" i="32" s="1"/>
  <c r="B735" i="32" s="1"/>
  <c r="B736" i="32" s="1"/>
  <c r="B737" i="32" s="1"/>
  <c r="B738" i="32" s="1"/>
  <c r="B739" i="32" s="1"/>
  <c r="B740" i="32" s="1"/>
  <c r="B741" i="32" s="1"/>
  <c r="B742" i="32" s="1"/>
  <c r="B743" i="32" s="1"/>
  <c r="B744" i="32" s="1"/>
  <c r="B745" i="32" s="1"/>
  <c r="B746" i="32" s="1"/>
  <c r="B747" i="32" s="1"/>
  <c r="B748" i="32" s="1"/>
  <c r="B749" i="32" s="1"/>
  <c r="B750" i="32" s="1"/>
  <c r="B751" i="32" s="1"/>
  <c r="B752" i="32" s="1"/>
  <c r="B753" i="32" s="1"/>
  <c r="B754" i="32" s="1"/>
  <c r="B755" i="32" s="1"/>
  <c r="B756" i="32" s="1"/>
  <c r="B757" i="32" s="1"/>
  <c r="B758" i="32" s="1"/>
  <c r="B759" i="32" s="1"/>
  <c r="B760" i="32" s="1"/>
  <c r="B761" i="32" s="1"/>
  <c r="B762" i="32" s="1"/>
  <c r="B763" i="32" s="1"/>
  <c r="B764" i="32" s="1"/>
  <c r="B765" i="32" s="1"/>
  <c r="B766" i="32" s="1"/>
  <c r="B767" i="32" s="1"/>
  <c r="B768" i="32" s="1"/>
  <c r="B769" i="32" s="1"/>
  <c r="B770" i="32" s="1"/>
  <c r="B771" i="32" s="1"/>
  <c r="B772" i="32" s="1"/>
  <c r="B773" i="32" s="1"/>
  <c r="B774" i="32" s="1"/>
  <c r="B775" i="32" s="1"/>
  <c r="B776" i="32" s="1"/>
  <c r="B777" i="32" s="1"/>
  <c r="B778" i="32" s="1"/>
  <c r="B779" i="32" s="1"/>
  <c r="B780" i="32" s="1"/>
  <c r="B781" i="32" s="1"/>
  <c r="B782" i="32" s="1"/>
  <c r="B783" i="32" s="1"/>
  <c r="B784" i="32" s="1"/>
  <c r="B785" i="32" s="1"/>
  <c r="B786" i="32" s="1"/>
  <c r="B787" i="32" s="1"/>
  <c r="B788" i="32" s="1"/>
  <c r="B789" i="32" s="1"/>
  <c r="B790" i="32" s="1"/>
  <c r="B791" i="32" s="1"/>
  <c r="B792" i="32" s="1"/>
  <c r="B793" i="32" s="1"/>
  <c r="B794" i="32" s="1"/>
  <c r="B795" i="32" s="1"/>
  <c r="B796" i="32" s="1"/>
  <c r="B797" i="32" s="1"/>
  <c r="B798" i="32" s="1"/>
  <c r="B799" i="32" s="1"/>
  <c r="B800" i="32" s="1"/>
  <c r="B801" i="32" s="1"/>
  <c r="B802" i="32" s="1"/>
  <c r="B803" i="32" s="1"/>
  <c r="B804" i="32" s="1"/>
  <c r="B805" i="32" s="1"/>
  <c r="B806" i="32" s="1"/>
  <c r="B807" i="32" s="1"/>
  <c r="B808" i="32" s="1"/>
  <c r="B809" i="32" s="1"/>
  <c r="B810" i="32" s="1"/>
  <c r="B811" i="32" s="1"/>
  <c r="B812" i="32" s="1"/>
  <c r="B813" i="32" s="1"/>
  <c r="B814" i="32" s="1"/>
  <c r="B815" i="32" s="1"/>
  <c r="B816" i="32" s="1"/>
  <c r="B817" i="32" s="1"/>
  <c r="B818" i="32" s="1"/>
  <c r="B819" i="32" s="1"/>
  <c r="B820" i="32" s="1"/>
  <c r="B821" i="32" s="1"/>
  <c r="B822" i="32" s="1"/>
  <c r="B823" i="32" s="1"/>
  <c r="B824" i="32" s="1"/>
  <c r="B825" i="32" s="1"/>
  <c r="B826" i="32" s="1"/>
  <c r="B827" i="32" s="1"/>
  <c r="B828" i="32" s="1"/>
  <c r="B829" i="32" s="1"/>
  <c r="B830" i="32" s="1"/>
  <c r="B831" i="32" s="1"/>
  <c r="B832" i="32" s="1"/>
  <c r="B833" i="32" s="1"/>
  <c r="B834" i="32" s="1"/>
  <c r="B835" i="32" s="1"/>
  <c r="B836" i="32" s="1"/>
  <c r="B837" i="32" s="1"/>
  <c r="B838" i="32" s="1"/>
  <c r="B839" i="32" s="1"/>
  <c r="B840" i="32" s="1"/>
  <c r="B841" i="32" s="1"/>
  <c r="B842" i="32" s="1"/>
  <c r="B843" i="32" s="1"/>
  <c r="B844" i="32" s="1"/>
  <c r="B845" i="32" s="1"/>
  <c r="B846" i="32" s="1"/>
  <c r="B847" i="32" s="1"/>
  <c r="B848" i="32" s="1"/>
  <c r="B849" i="32" s="1"/>
  <c r="B850" i="32" s="1"/>
  <c r="B851" i="32" s="1"/>
  <c r="B852" i="32" s="1"/>
  <c r="B853" i="32" s="1"/>
  <c r="B854" i="32" s="1"/>
  <c r="B855" i="32" s="1"/>
  <c r="B856" i="32" s="1"/>
  <c r="B857" i="32" s="1"/>
  <c r="B858" i="32" s="1"/>
  <c r="B859" i="32" s="1"/>
  <c r="B860" i="32" s="1"/>
  <c r="B861" i="32" s="1"/>
  <c r="B862" i="32" s="1"/>
  <c r="B863" i="32" s="1"/>
  <c r="B864" i="32" s="1"/>
  <c r="B865" i="32" s="1"/>
  <c r="B866" i="32" s="1"/>
  <c r="B867" i="32" s="1"/>
  <c r="B868" i="32" s="1"/>
  <c r="B869" i="32" s="1"/>
  <c r="B870" i="32" s="1"/>
  <c r="B871" i="32" s="1"/>
  <c r="B872" i="32" s="1"/>
  <c r="B873" i="32" s="1"/>
  <c r="B874" i="32" s="1"/>
  <c r="B875" i="32" s="1"/>
  <c r="B876" i="32" s="1"/>
  <c r="B877" i="32" s="1"/>
  <c r="B878" i="32" s="1"/>
  <c r="B879" i="32" s="1"/>
  <c r="B880" i="32" s="1"/>
  <c r="B881" i="32" s="1"/>
  <c r="B882" i="32" s="1"/>
  <c r="B883" i="32" s="1"/>
  <c r="B884" i="32" s="1"/>
  <c r="B885" i="32" s="1"/>
  <c r="B886" i="32" s="1"/>
  <c r="B887" i="32" s="1"/>
  <c r="B888" i="32" s="1"/>
  <c r="B889" i="32" s="1"/>
  <c r="B890" i="32" s="1"/>
  <c r="B891" i="32" s="1"/>
  <c r="B892" i="32" s="1"/>
  <c r="B893" i="32" s="1"/>
  <c r="B894" i="32" s="1"/>
  <c r="B895" i="32" s="1"/>
  <c r="B896" i="32" s="1"/>
  <c r="B897" i="32" s="1"/>
  <c r="B898" i="32" s="1"/>
  <c r="B899" i="32" s="1"/>
  <c r="B900" i="32" s="1"/>
  <c r="B901" i="32" s="1"/>
  <c r="B902" i="32" s="1"/>
  <c r="B903" i="32" s="1"/>
  <c r="B904" i="32" s="1"/>
  <c r="B905" i="32" s="1"/>
  <c r="B906" i="32" s="1"/>
  <c r="B907" i="32" s="1"/>
  <c r="B908" i="32" s="1"/>
  <c r="B909" i="32" s="1"/>
  <c r="B910" i="32" s="1"/>
  <c r="B911" i="32" s="1"/>
  <c r="B912" i="32" s="1"/>
  <c r="B913" i="32" s="1"/>
  <c r="B914" i="32" s="1"/>
  <c r="B915" i="32" s="1"/>
  <c r="B916" i="32" s="1"/>
  <c r="B917" i="32" s="1"/>
  <c r="B918" i="32" s="1"/>
  <c r="B919" i="32" s="1"/>
  <c r="B920" i="32" s="1"/>
  <c r="B921" i="32" s="1"/>
  <c r="B922" i="32" s="1"/>
  <c r="B923" i="32" s="1"/>
  <c r="B924" i="32" s="1"/>
  <c r="B925" i="32" s="1"/>
  <c r="B926" i="32" s="1"/>
  <c r="B927" i="32" s="1"/>
  <c r="B928" i="32" s="1"/>
  <c r="B929" i="32" s="1"/>
  <c r="B930" i="32" s="1"/>
  <c r="B931" i="32" s="1"/>
  <c r="B932" i="32" s="1"/>
  <c r="B933" i="32" s="1"/>
  <c r="B934" i="32" s="1"/>
  <c r="B935" i="32" s="1"/>
  <c r="B936" i="32" s="1"/>
  <c r="B937" i="32" s="1"/>
  <c r="B938" i="32" s="1"/>
  <c r="B939" i="32" s="1"/>
  <c r="B940" i="32" s="1"/>
  <c r="B941" i="32" s="1"/>
  <c r="B942" i="32" s="1"/>
  <c r="B943" i="32" s="1"/>
  <c r="B944" i="32" s="1"/>
  <c r="B945" i="32" s="1"/>
  <c r="B946" i="32" s="1"/>
  <c r="B947" i="32" s="1"/>
  <c r="B948" i="32" s="1"/>
  <c r="B949" i="32" s="1"/>
  <c r="B950" i="32" s="1"/>
  <c r="B951" i="32" s="1"/>
  <c r="B952" i="32" s="1"/>
  <c r="B953" i="32" s="1"/>
  <c r="B954" i="32" s="1"/>
  <c r="B955" i="32" s="1"/>
  <c r="B956" i="32" s="1"/>
  <c r="B957" i="32" s="1"/>
  <c r="B958" i="32" s="1"/>
  <c r="B959" i="32" s="1"/>
  <c r="B960" i="32" s="1"/>
  <c r="B961" i="32" s="1"/>
  <c r="B962" i="32" s="1"/>
  <c r="B963" i="32" s="1"/>
  <c r="B964" i="32" s="1"/>
  <c r="B965" i="32" s="1"/>
  <c r="B966" i="32" s="1"/>
  <c r="B967" i="32" s="1"/>
  <c r="B968" i="32" s="1"/>
  <c r="B969" i="32" s="1"/>
  <c r="B970" i="32" s="1"/>
  <c r="B971" i="32" s="1"/>
  <c r="B972" i="32" s="1"/>
  <c r="B973" i="32" s="1"/>
  <c r="B974" i="32" s="1"/>
  <c r="B975" i="32" s="1"/>
  <c r="B976" i="32" s="1"/>
  <c r="B977" i="32" s="1"/>
  <c r="B978" i="32" s="1"/>
  <c r="B979" i="32" s="1"/>
  <c r="B980" i="32" s="1"/>
  <c r="B981" i="32" s="1"/>
  <c r="B982" i="32" s="1"/>
  <c r="B983" i="32" s="1"/>
  <c r="B984" i="32" s="1"/>
  <c r="B985" i="32" s="1"/>
  <c r="B986" i="32" s="1"/>
  <c r="B987" i="32" s="1"/>
  <c r="B988" i="32" s="1"/>
  <c r="B989" i="32" s="1"/>
  <c r="B990" i="32" s="1"/>
  <c r="B991" i="32" s="1"/>
  <c r="B992" i="32" s="1"/>
  <c r="B993" i="32" s="1"/>
  <c r="B994" i="32" s="1"/>
  <c r="B995" i="32" s="1"/>
  <c r="B996" i="32" s="1"/>
  <c r="B997" i="32" s="1"/>
  <c r="B998" i="32" s="1"/>
  <c r="B999" i="32" s="1"/>
  <c r="B1000" i="32" s="1"/>
  <c r="B1001" i="32" s="1"/>
  <c r="B1002" i="32" s="1"/>
  <c r="B1003" i="32" s="1"/>
  <c r="B1004" i="32" s="1"/>
  <c r="B1005" i="32" s="1"/>
  <c r="B1006" i="32" s="1"/>
  <c r="B1007" i="32" s="1"/>
  <c r="B1008" i="32" s="1"/>
  <c r="B1009" i="32" s="1"/>
  <c r="B1010" i="32" s="1"/>
  <c r="B1011" i="32" s="1"/>
  <c r="B1012" i="32" s="1"/>
  <c r="B1013" i="32" s="1"/>
  <c r="B1014" i="32" s="1"/>
  <c r="B1015" i="32" s="1"/>
  <c r="B1016" i="32" s="1"/>
  <c r="B1017" i="32" s="1"/>
  <c r="B1018" i="32" s="1"/>
  <c r="B1019" i="32" s="1"/>
  <c r="B1020" i="32" s="1"/>
  <c r="B1021" i="32" s="1"/>
  <c r="B1022" i="32" s="1"/>
  <c r="B1023" i="32" s="1"/>
  <c r="B1024" i="32" s="1"/>
  <c r="B1025" i="32" s="1"/>
  <c r="B1026" i="32" s="1"/>
  <c r="B1027" i="32" s="1"/>
  <c r="B1028" i="32" s="1"/>
  <c r="B1029" i="32" s="1"/>
  <c r="B1030" i="32" s="1"/>
  <c r="B1031" i="32" s="1"/>
  <c r="B1032" i="32" s="1"/>
  <c r="B1033" i="32" s="1"/>
  <c r="B1034" i="32" s="1"/>
  <c r="B1035" i="32" s="1"/>
  <c r="B1036" i="32" s="1"/>
  <c r="B1037" i="32" s="1"/>
  <c r="B1038" i="32" s="1"/>
  <c r="B1039" i="32" s="1"/>
  <c r="B1040" i="32" s="1"/>
  <c r="B1041" i="32" s="1"/>
  <c r="B1042" i="32" s="1"/>
  <c r="B1043" i="32" s="1"/>
  <c r="B1044" i="32" s="1"/>
  <c r="B1045" i="32" s="1"/>
  <c r="B1046" i="32" s="1"/>
  <c r="B1047" i="32" s="1"/>
  <c r="B1048" i="32" s="1"/>
  <c r="B1049" i="32" s="1"/>
  <c r="B1050" i="32" s="1"/>
  <c r="B1051" i="32" s="1"/>
  <c r="B1052" i="32" s="1"/>
  <c r="B1053" i="32" s="1"/>
  <c r="B1054" i="32" s="1"/>
  <c r="B1055" i="32" s="1"/>
  <c r="B1056" i="32" s="1"/>
  <c r="B1057" i="32" s="1"/>
  <c r="B1058" i="32" s="1"/>
  <c r="B1059" i="32" s="1"/>
  <c r="B1060" i="32" s="1"/>
  <c r="B1061" i="32" s="1"/>
  <c r="B1062" i="32" s="1"/>
  <c r="B1063" i="32" s="1"/>
  <c r="B1064" i="32" s="1"/>
  <c r="B1065" i="32" s="1"/>
  <c r="B1066" i="32" s="1"/>
  <c r="B1067" i="32" s="1"/>
  <c r="B1068" i="32" s="1"/>
  <c r="B1069" i="32" s="1"/>
  <c r="B1070" i="32" s="1"/>
  <c r="B1071" i="32" s="1"/>
  <c r="B1072" i="32" s="1"/>
  <c r="B1073" i="32" s="1"/>
  <c r="B1074" i="32" s="1"/>
  <c r="B1075" i="32" s="1"/>
  <c r="B1076" i="32" s="1"/>
  <c r="B1077" i="32" s="1"/>
  <c r="B1078" i="32" s="1"/>
  <c r="B1079" i="32" s="1"/>
  <c r="B1080" i="32" s="1"/>
  <c r="B1081" i="32" s="1"/>
  <c r="B1082" i="32" s="1"/>
  <c r="B1083" i="32" s="1"/>
  <c r="B1084" i="32" s="1"/>
  <c r="B1085" i="32" s="1"/>
  <c r="B1086" i="32" s="1"/>
  <c r="B1087" i="32" s="1"/>
  <c r="B1088" i="32" s="1"/>
  <c r="B1089" i="32" s="1"/>
  <c r="B1090" i="32" s="1"/>
  <c r="B1091" i="32" s="1"/>
  <c r="B1092" i="32" s="1"/>
  <c r="B1093" i="32" s="1"/>
  <c r="B1094" i="32" s="1"/>
  <c r="B1095" i="32" s="1"/>
  <c r="B1096" i="32" s="1"/>
  <c r="B1097" i="32" s="1"/>
  <c r="B1098" i="32" s="1"/>
  <c r="B1099" i="32" s="1"/>
  <c r="B1100" i="32" s="1"/>
  <c r="B1101" i="32" s="1"/>
  <c r="B1102" i="32" s="1"/>
  <c r="B1103" i="32" s="1"/>
  <c r="B1104" i="32" s="1"/>
  <c r="B1105" i="32" s="1"/>
  <c r="B1106" i="32" s="1"/>
  <c r="B1107" i="32" s="1"/>
  <c r="B1108" i="32" s="1"/>
  <c r="B1109" i="32" s="1"/>
  <c r="B1110" i="32" s="1"/>
  <c r="B1111" i="32" s="1"/>
  <c r="B1112" i="32" s="1"/>
  <c r="B1113" i="32" s="1"/>
  <c r="B1114" i="32" s="1"/>
  <c r="B1115" i="32" s="1"/>
  <c r="B1116" i="32" s="1"/>
  <c r="B1117" i="32" s="1"/>
  <c r="B1118" i="32" s="1"/>
  <c r="B1119" i="32" s="1"/>
  <c r="B1120" i="32" s="1"/>
  <c r="B1121" i="32" s="1"/>
  <c r="B1122" i="32" s="1"/>
  <c r="B1123" i="32" s="1"/>
  <c r="B1124" i="32" s="1"/>
  <c r="B1125" i="32" s="1"/>
  <c r="B1126" i="32" s="1"/>
  <c r="B1127" i="32" s="1"/>
  <c r="B1128" i="32" s="1"/>
  <c r="B1129" i="32" s="1"/>
  <c r="B1130" i="32" s="1"/>
  <c r="B1131" i="32" s="1"/>
  <c r="B1132" i="32" s="1"/>
  <c r="B1133" i="32" s="1"/>
  <c r="B1134" i="32" s="1"/>
  <c r="B1135" i="32" s="1"/>
  <c r="B1136" i="32" s="1"/>
  <c r="B1137" i="32" s="1"/>
  <c r="B1138" i="32" s="1"/>
  <c r="B1139" i="32" s="1"/>
  <c r="B1140" i="32" s="1"/>
  <c r="B1141" i="32" s="1"/>
  <c r="B1142" i="32" s="1"/>
  <c r="B1143" i="32" s="1"/>
  <c r="B1144" i="32" s="1"/>
  <c r="B1145" i="32" s="1"/>
  <c r="B1146" i="32" s="1"/>
  <c r="B1147" i="32" s="1"/>
  <c r="B1148" i="32" s="1"/>
  <c r="B1149" i="32" s="1"/>
  <c r="B1150" i="32" s="1"/>
  <c r="B1151" i="32" s="1"/>
  <c r="B1152" i="32" s="1"/>
  <c r="B1153" i="32" s="1"/>
  <c r="B1154" i="32" s="1"/>
  <c r="B1155" i="32" s="1"/>
  <c r="B1156" i="32" s="1"/>
  <c r="B1157" i="32" s="1"/>
  <c r="B1158" i="32" s="1"/>
  <c r="B1159" i="32" s="1"/>
  <c r="B1160" i="32" s="1"/>
  <c r="B1161" i="32" s="1"/>
  <c r="B1162" i="32" s="1"/>
  <c r="B1163" i="32" s="1"/>
  <c r="B1164" i="32" s="1"/>
  <c r="B1165" i="32" s="1"/>
  <c r="B1166" i="32" s="1"/>
  <c r="B1167" i="32" s="1"/>
  <c r="B1168" i="32" s="1"/>
  <c r="B1169" i="32" s="1"/>
  <c r="B1170" i="32" s="1"/>
  <c r="B1171" i="32" s="1"/>
  <c r="B1172" i="32" s="1"/>
  <c r="B1173" i="32" s="1"/>
  <c r="B1174" i="32" s="1"/>
  <c r="B1175" i="32" s="1"/>
  <c r="B1176" i="32" s="1"/>
  <c r="B1177" i="32" s="1"/>
  <c r="B1178" i="32" s="1"/>
  <c r="B1179" i="32" s="1"/>
  <c r="B1180" i="32" s="1"/>
  <c r="B1181" i="32" s="1"/>
  <c r="B1182" i="32" s="1"/>
  <c r="B1183" i="32" s="1"/>
  <c r="B1184" i="32" s="1"/>
  <c r="B1185" i="32" s="1"/>
  <c r="B1186" i="32" s="1"/>
  <c r="B1187" i="32" s="1"/>
  <c r="B1188" i="32" s="1"/>
  <c r="B1189" i="32" s="1"/>
  <c r="B1190" i="32" s="1"/>
  <c r="B1191" i="32" s="1"/>
  <c r="B1192" i="32" s="1"/>
  <c r="B1193" i="32" s="1"/>
  <c r="B1194" i="32" s="1"/>
  <c r="B1195" i="32" s="1"/>
  <c r="B1196" i="32" s="1"/>
  <c r="B1197" i="32" s="1"/>
  <c r="B1198" i="32" s="1"/>
  <c r="B1199" i="32" s="1"/>
  <c r="B1200" i="32" s="1"/>
  <c r="B1201" i="32" s="1"/>
  <c r="B1202" i="32" s="1"/>
  <c r="B1203" i="32" s="1"/>
  <c r="B1204" i="32" s="1"/>
  <c r="B1205" i="32" s="1"/>
  <c r="B1206" i="32" s="1"/>
  <c r="B1207" i="32" s="1"/>
  <c r="B1208" i="32" s="1"/>
  <c r="B1209" i="32" s="1"/>
  <c r="B1210" i="32" s="1"/>
  <c r="B1211" i="32" s="1"/>
  <c r="B1212" i="32" s="1"/>
  <c r="B1213" i="32" s="1"/>
  <c r="B1214" i="32" s="1"/>
  <c r="B1215" i="32" s="1"/>
  <c r="B1216" i="32" s="1"/>
  <c r="B1217" i="32" s="1"/>
  <c r="B1218" i="32" s="1"/>
  <c r="B1219" i="32" s="1"/>
  <c r="B1220" i="32" s="1"/>
  <c r="B1221" i="32" s="1"/>
  <c r="B1222" i="32" s="1"/>
  <c r="B1223" i="32" s="1"/>
  <c r="B1224" i="32" s="1"/>
  <c r="B1225" i="32" s="1"/>
  <c r="B1226" i="32" s="1"/>
  <c r="B1227" i="32" s="1"/>
  <c r="B1228" i="32" s="1"/>
  <c r="B1229" i="32" s="1"/>
  <c r="B1230" i="32" s="1"/>
  <c r="B1231" i="32" s="1"/>
  <c r="B1232" i="32" s="1"/>
  <c r="B1233" i="32" s="1"/>
  <c r="B1234" i="32" s="1"/>
  <c r="B1235" i="32" s="1"/>
  <c r="B1236" i="32" s="1"/>
  <c r="B1237" i="32" s="1"/>
  <c r="B1238" i="32" s="1"/>
  <c r="B1239" i="32" s="1"/>
  <c r="B1240" i="32" s="1"/>
  <c r="B1241" i="32" s="1"/>
  <c r="B1242" i="32" s="1"/>
  <c r="B1243" i="32" s="1"/>
  <c r="B1244" i="32" s="1"/>
  <c r="B1245" i="32" s="1"/>
  <c r="B1246" i="32" s="1"/>
  <c r="B1247" i="32" s="1"/>
  <c r="B1248" i="32" s="1"/>
  <c r="B1249" i="32" s="1"/>
  <c r="B1250" i="32" s="1"/>
  <c r="B1251" i="32" s="1"/>
  <c r="B1252" i="32" s="1"/>
  <c r="B1253" i="32" s="1"/>
  <c r="B1254" i="32" s="1"/>
  <c r="B1255" i="32" s="1"/>
  <c r="B1256" i="32" s="1"/>
  <c r="B1257" i="32" s="1"/>
  <c r="B1258" i="32" s="1"/>
  <c r="B1259" i="32" s="1"/>
  <c r="B1260" i="32" s="1"/>
  <c r="B1261" i="32" s="1"/>
  <c r="B1262" i="32" s="1"/>
  <c r="B1263" i="32" s="1"/>
  <c r="B1264" i="32" s="1"/>
  <c r="B1265" i="32" s="1"/>
  <c r="B1266" i="32" s="1"/>
  <c r="B1267" i="32" s="1"/>
  <c r="B1268" i="32" s="1"/>
  <c r="B1269" i="32" s="1"/>
  <c r="B1270" i="32" s="1"/>
  <c r="B1271" i="32" s="1"/>
  <c r="B1272" i="32" s="1"/>
  <c r="B1273" i="32" s="1"/>
  <c r="B1274" i="32" s="1"/>
  <c r="B1275" i="32" s="1"/>
  <c r="B1276" i="32" s="1"/>
  <c r="B1277" i="32" s="1"/>
  <c r="B1278" i="32" s="1"/>
  <c r="B1279" i="32" s="1"/>
  <c r="B1280" i="32" s="1"/>
  <c r="B1281" i="32" s="1"/>
  <c r="B1282" i="32" s="1"/>
  <c r="B1283" i="32" s="1"/>
  <c r="B1284" i="32" s="1"/>
  <c r="B1285" i="32" s="1"/>
  <c r="B1286" i="32" s="1"/>
  <c r="B1287" i="32" s="1"/>
  <c r="B1288" i="32" s="1"/>
  <c r="B1289" i="32" s="1"/>
  <c r="B1290" i="32" s="1"/>
  <c r="B1291" i="32" s="1"/>
  <c r="B1292" i="32" s="1"/>
  <c r="B1293" i="32" s="1"/>
  <c r="B1294" i="32" s="1"/>
  <c r="B1295" i="32" s="1"/>
  <c r="B1296" i="32" s="1"/>
  <c r="B1297" i="32" s="1"/>
  <c r="B1298" i="32" s="1"/>
  <c r="B1299" i="32" s="1"/>
  <c r="B1300" i="32" s="1"/>
  <c r="B1301" i="32" s="1"/>
  <c r="B1302" i="32" s="1"/>
  <c r="B1303" i="32" s="1"/>
  <c r="B1304" i="32" s="1"/>
  <c r="B1305" i="32" s="1"/>
  <c r="B1306" i="32" s="1"/>
  <c r="B1307" i="32" s="1"/>
  <c r="B1308" i="32" s="1"/>
  <c r="B1309" i="32" s="1"/>
  <c r="B1310" i="32" s="1"/>
  <c r="B1311" i="32" s="1"/>
  <c r="B1312" i="32" s="1"/>
  <c r="B1313" i="32" s="1"/>
  <c r="B1314" i="32" s="1"/>
  <c r="B1315" i="32" s="1"/>
  <c r="B1316" i="32" s="1"/>
  <c r="B1317" i="32" s="1"/>
  <c r="B1318" i="32" s="1"/>
  <c r="B1319" i="32" s="1"/>
  <c r="B1320" i="32" s="1"/>
  <c r="B1321" i="32" s="1"/>
  <c r="B1322" i="32" s="1"/>
  <c r="B1323" i="32" s="1"/>
  <c r="B1324" i="32" s="1"/>
  <c r="B1325" i="32" s="1"/>
  <c r="B1326" i="32" s="1"/>
  <c r="B1327" i="32" s="1"/>
  <c r="B1328" i="32" s="1"/>
  <c r="B1329" i="32" s="1"/>
  <c r="B1330" i="32" s="1"/>
  <c r="B1331" i="32" s="1"/>
  <c r="B1332" i="32" s="1"/>
  <c r="B1333" i="32" s="1"/>
  <c r="B1334" i="32" s="1"/>
  <c r="B1335" i="32" s="1"/>
  <c r="B1336" i="32" s="1"/>
  <c r="B1337" i="32" s="1"/>
  <c r="B1338" i="32" s="1"/>
  <c r="B1339" i="32" s="1"/>
  <c r="B1340" i="32" s="1"/>
  <c r="B1341" i="32" s="1"/>
  <c r="B1342" i="32" s="1"/>
  <c r="B1343" i="32" s="1"/>
  <c r="B1344" i="32" s="1"/>
  <c r="B1345" i="32" s="1"/>
  <c r="B1346" i="32" s="1"/>
  <c r="B1347" i="32" s="1"/>
  <c r="B1348" i="32" s="1"/>
  <c r="B1349" i="32" s="1"/>
  <c r="B1350" i="32" s="1"/>
  <c r="B1351" i="32" s="1"/>
  <c r="B1352" i="32" s="1"/>
  <c r="B1353" i="32" s="1"/>
  <c r="B1354" i="32" s="1"/>
  <c r="B1355" i="32" s="1"/>
  <c r="B1356" i="32" s="1"/>
  <c r="B1357" i="32" s="1"/>
  <c r="B1358" i="32" s="1"/>
  <c r="B1359" i="32" s="1"/>
  <c r="B1360" i="32" s="1"/>
  <c r="B1361" i="32" s="1"/>
  <c r="B1362" i="32" s="1"/>
  <c r="B1363" i="32" s="1"/>
  <c r="B1364" i="32" s="1"/>
  <c r="B1365" i="32" s="1"/>
  <c r="B1366" i="32" s="1"/>
  <c r="B1367" i="32" s="1"/>
  <c r="B1368" i="32" s="1"/>
  <c r="B1369" i="32" s="1"/>
  <c r="B1370" i="32" s="1"/>
  <c r="B1371" i="32" s="1"/>
  <c r="B1372" i="32" s="1"/>
  <c r="B1373" i="32" s="1"/>
  <c r="B1374" i="32" s="1"/>
  <c r="B1375" i="32" s="1"/>
  <c r="B1376" i="32" s="1"/>
  <c r="B1377" i="32" s="1"/>
  <c r="B1378" i="32" s="1"/>
  <c r="B1379" i="32" s="1"/>
  <c r="B1380" i="32" s="1"/>
  <c r="B1381" i="32" s="1"/>
  <c r="B1382" i="32" s="1"/>
  <c r="B1383" i="32" s="1"/>
  <c r="B1384" i="32" s="1"/>
  <c r="B1385" i="32" s="1"/>
  <c r="B1386" i="32" s="1"/>
  <c r="B1387" i="32" s="1"/>
  <c r="B1388" i="32" s="1"/>
  <c r="B1389" i="32" s="1"/>
  <c r="B1390" i="32" s="1"/>
  <c r="B1391" i="32" s="1"/>
  <c r="B1392" i="32" s="1"/>
  <c r="B1393" i="32" s="1"/>
  <c r="B1394" i="32" s="1"/>
  <c r="B1395" i="32" s="1"/>
  <c r="B1396" i="32" s="1"/>
  <c r="B1397" i="32" s="1"/>
  <c r="B1398" i="32" s="1"/>
  <c r="B1399" i="32" s="1"/>
  <c r="B1400" i="32" s="1"/>
  <c r="B1401" i="32" s="1"/>
  <c r="B1402" i="32" s="1"/>
  <c r="B1403" i="32" s="1"/>
  <c r="B1404" i="32" s="1"/>
  <c r="B1405" i="32" s="1"/>
  <c r="B1406" i="32" s="1"/>
  <c r="B1407" i="32" s="1"/>
  <c r="B1408" i="32" s="1"/>
  <c r="B1409" i="32" s="1"/>
  <c r="B1410" i="32" s="1"/>
  <c r="B1411" i="32" s="1"/>
  <c r="B1412" i="32" s="1"/>
  <c r="B1413" i="32" s="1"/>
  <c r="B1414" i="32" s="1"/>
  <c r="B1415" i="32" s="1"/>
  <c r="B1416" i="32" s="1"/>
  <c r="B1417" i="32" s="1"/>
  <c r="B1418" i="32" s="1"/>
  <c r="B1419" i="32" s="1"/>
  <c r="B1420" i="32" s="1"/>
  <c r="B1421" i="32" s="1"/>
  <c r="B1422" i="32" s="1"/>
  <c r="B1423" i="32" s="1"/>
  <c r="B1424" i="32" s="1"/>
  <c r="B1425" i="32" s="1"/>
  <c r="B1426" i="32" s="1"/>
  <c r="B1427" i="32" s="1"/>
  <c r="B1428" i="32" s="1"/>
  <c r="B1429" i="32" s="1"/>
  <c r="B1430" i="32" s="1"/>
  <c r="B1431" i="32" s="1"/>
  <c r="B1432" i="32" s="1"/>
  <c r="B1433" i="32" s="1"/>
  <c r="B1434" i="32" s="1"/>
  <c r="B1435" i="32" s="1"/>
  <c r="B1436" i="32" s="1"/>
  <c r="B1437" i="32" s="1"/>
  <c r="B1438" i="32" s="1"/>
  <c r="B1439" i="32" s="1"/>
  <c r="B1440" i="32" s="1"/>
  <c r="B1441" i="32" s="1"/>
  <c r="B1442" i="32" s="1"/>
  <c r="B1443" i="32" s="1"/>
  <c r="B1444" i="32" s="1"/>
  <c r="B1445" i="32" s="1"/>
  <c r="B1446" i="32" s="1"/>
  <c r="B1447" i="32" s="1"/>
  <c r="B1448" i="32" s="1"/>
  <c r="B1449" i="32" s="1"/>
  <c r="B1450" i="32" s="1"/>
  <c r="B1451" i="32" s="1"/>
  <c r="B1452" i="32" s="1"/>
  <c r="B1453" i="32" s="1"/>
  <c r="B1454" i="32" s="1"/>
  <c r="B1455" i="32" s="1"/>
  <c r="B1456" i="32" s="1"/>
  <c r="B1457" i="32" s="1"/>
  <c r="B1458" i="32" s="1"/>
  <c r="B1459" i="32" s="1"/>
  <c r="B1460" i="32" s="1"/>
  <c r="B1461" i="32" s="1"/>
  <c r="B1462" i="32" s="1"/>
  <c r="B1463" i="32" s="1"/>
  <c r="B1464" i="32" s="1"/>
  <c r="B1465" i="32" s="1"/>
  <c r="B1466" i="32" s="1"/>
  <c r="B1467" i="32" s="1"/>
  <c r="B1468" i="32" s="1"/>
  <c r="B1469" i="32" s="1"/>
  <c r="B1470" i="32" s="1"/>
  <c r="B1471" i="32" s="1"/>
  <c r="B1472" i="32" s="1"/>
  <c r="B1473" i="32" s="1"/>
  <c r="B1474" i="32" s="1"/>
  <c r="B1475" i="32" s="1"/>
  <c r="B1476" i="32" s="1"/>
  <c r="B1477" i="32" s="1"/>
  <c r="B1478" i="32" s="1"/>
  <c r="B1479" i="32" s="1"/>
  <c r="B1480" i="32" s="1"/>
  <c r="B1481" i="32" s="1"/>
  <c r="B1482" i="32" s="1"/>
  <c r="B1483" i="32" s="1"/>
  <c r="B1484" i="32" s="1"/>
  <c r="B1485" i="32" s="1"/>
  <c r="B1486" i="32" s="1"/>
  <c r="B1487" i="32" s="1"/>
  <c r="B1488" i="32" s="1"/>
  <c r="B1489" i="32" s="1"/>
  <c r="B1490" i="32" s="1"/>
  <c r="B1491" i="32" s="1"/>
  <c r="B1492" i="32" s="1"/>
  <c r="B1493" i="32" s="1"/>
  <c r="B1494" i="32" s="1"/>
  <c r="B1495" i="32" s="1"/>
  <c r="B1496" i="32" s="1"/>
  <c r="B1497" i="32" s="1"/>
  <c r="B1498" i="32" s="1"/>
  <c r="B1499" i="32" s="1"/>
  <c r="B1500" i="32" s="1"/>
  <c r="B1501" i="32" s="1"/>
  <c r="B1502" i="32" s="1"/>
  <c r="B1503" i="32" s="1"/>
  <c r="B1504" i="32" s="1"/>
  <c r="B1505" i="32" s="1"/>
  <c r="B1506" i="32" s="1"/>
  <c r="B1507" i="32" s="1"/>
  <c r="B1508" i="32" s="1"/>
  <c r="B1509" i="32" s="1"/>
  <c r="B1510" i="32" s="1"/>
  <c r="B1511" i="32" s="1"/>
  <c r="B1512" i="32" s="1"/>
  <c r="B1513" i="32" s="1"/>
  <c r="B1514" i="32" s="1"/>
  <c r="B1515" i="32" s="1"/>
  <c r="B1516" i="32" s="1"/>
  <c r="B1517" i="32" s="1"/>
  <c r="B1518" i="32" s="1"/>
  <c r="B1519" i="32" s="1"/>
  <c r="B1520" i="32" s="1"/>
  <c r="B1521" i="32" s="1"/>
  <c r="B1522" i="32" s="1"/>
  <c r="B1523" i="32" s="1"/>
  <c r="B1524" i="32" s="1"/>
  <c r="B1525" i="32" s="1"/>
  <c r="B1526" i="32" s="1"/>
  <c r="B1527" i="32" s="1"/>
  <c r="B1528" i="32" s="1"/>
  <c r="B1529" i="32" s="1"/>
  <c r="B1530" i="32" s="1"/>
  <c r="B1531" i="32" s="1"/>
  <c r="B1532" i="32" s="1"/>
  <c r="B1533" i="32" s="1"/>
  <c r="B1534" i="32" s="1"/>
  <c r="B1535" i="32" s="1"/>
  <c r="B1536" i="32" s="1"/>
  <c r="B1537" i="32" s="1"/>
  <c r="B1538" i="32" s="1"/>
  <c r="B1539" i="32" s="1"/>
  <c r="B1540" i="32" s="1"/>
  <c r="B1541" i="32" s="1"/>
  <c r="B1542" i="32" s="1"/>
  <c r="B1543" i="32" s="1"/>
  <c r="B1544" i="32" s="1"/>
  <c r="B1545" i="32" s="1"/>
  <c r="B1546" i="32" s="1"/>
  <c r="B1547" i="32" s="1"/>
  <c r="B1548" i="32" s="1"/>
  <c r="B1549" i="32" s="1"/>
  <c r="B1550" i="32" s="1"/>
  <c r="B1551" i="32" s="1"/>
  <c r="B1552" i="32" s="1"/>
  <c r="B1553" i="32" s="1"/>
  <c r="B1554" i="32" s="1"/>
  <c r="B1555" i="32" s="1"/>
  <c r="B1556" i="32" s="1"/>
  <c r="B1557" i="32" s="1"/>
  <c r="B1558" i="32" s="1"/>
  <c r="B1559" i="32" s="1"/>
  <c r="B1560" i="32" s="1"/>
  <c r="B1561" i="32" s="1"/>
  <c r="B1562" i="32" s="1"/>
  <c r="B1563" i="32" s="1"/>
  <c r="B1564" i="32" s="1"/>
  <c r="B1565" i="32" s="1"/>
  <c r="B1566" i="32" s="1"/>
  <c r="B1567" i="32" s="1"/>
  <c r="B1568" i="32" s="1"/>
  <c r="B1569" i="32" s="1"/>
  <c r="B1570" i="32" s="1"/>
  <c r="B1571" i="32" s="1"/>
  <c r="B1572" i="32" s="1"/>
  <c r="B1573" i="32" s="1"/>
  <c r="B1574" i="32" s="1"/>
  <c r="B1575" i="32" s="1"/>
  <c r="B1576" i="32" s="1"/>
  <c r="B1577" i="32" s="1"/>
  <c r="B1578" i="32" s="1"/>
  <c r="B1579" i="32" s="1"/>
  <c r="B1580" i="32" s="1"/>
  <c r="B1581" i="32" s="1"/>
  <c r="B1582" i="32" s="1"/>
  <c r="B1583" i="32" s="1"/>
  <c r="B1584" i="32" s="1"/>
  <c r="B1585" i="32" s="1"/>
  <c r="B1586" i="32" s="1"/>
  <c r="B1587" i="32" s="1"/>
  <c r="B1588" i="32" s="1"/>
  <c r="B1589" i="32" s="1"/>
  <c r="B1590" i="32" s="1"/>
  <c r="B1591" i="32" s="1"/>
  <c r="B1592" i="32" s="1"/>
  <c r="B1593" i="32" s="1"/>
  <c r="B1594" i="32" s="1"/>
  <c r="B1595" i="32" s="1"/>
  <c r="B1596" i="32" s="1"/>
  <c r="B1597" i="32" s="1"/>
  <c r="B1598" i="32" s="1"/>
  <c r="B1599" i="32" s="1"/>
  <c r="B1600" i="32" s="1"/>
  <c r="B1601" i="32" s="1"/>
  <c r="B1602" i="32" s="1"/>
  <c r="B1603" i="32" s="1"/>
  <c r="B1604" i="32" s="1"/>
  <c r="B1605" i="32" s="1"/>
  <c r="B1606" i="32" s="1"/>
  <c r="B1607" i="32" s="1"/>
  <c r="B1608" i="32" s="1"/>
  <c r="B1609" i="32" s="1"/>
  <c r="B1610" i="32" s="1"/>
  <c r="B1611" i="32" s="1"/>
  <c r="B1612" i="32" s="1"/>
  <c r="B1613" i="32" s="1"/>
  <c r="B1614" i="32" s="1"/>
  <c r="B1615" i="32" s="1"/>
  <c r="B1616" i="32" s="1"/>
  <c r="B1617" i="32" s="1"/>
  <c r="B1618" i="32" s="1"/>
  <c r="B1619" i="32" s="1"/>
  <c r="B1620" i="32" s="1"/>
  <c r="B1621" i="32" s="1"/>
  <c r="B1622" i="32" s="1"/>
  <c r="B1623" i="32" s="1"/>
  <c r="B1624" i="32" s="1"/>
  <c r="B1625" i="32" s="1"/>
  <c r="B1626" i="32" s="1"/>
  <c r="B1627" i="32" s="1"/>
  <c r="B1628" i="32" s="1"/>
  <c r="B1629" i="32" s="1"/>
  <c r="B1630" i="32" s="1"/>
  <c r="B1631" i="32" s="1"/>
  <c r="B1632" i="32" s="1"/>
  <c r="B1633" i="32" s="1"/>
  <c r="B1634" i="32" s="1"/>
  <c r="B1635" i="32" s="1"/>
  <c r="B1636" i="32" s="1"/>
  <c r="B1637" i="32" s="1"/>
  <c r="B1638" i="32" s="1"/>
  <c r="B1639" i="32" s="1"/>
  <c r="B1640" i="32" s="1"/>
  <c r="B1641" i="32" s="1"/>
  <c r="B1642" i="32" s="1"/>
  <c r="B1643" i="32" s="1"/>
  <c r="B1644" i="32" s="1"/>
  <c r="B1645" i="32" s="1"/>
  <c r="B1646" i="32" s="1"/>
  <c r="B1647" i="32" s="1"/>
  <c r="B1648" i="32" s="1"/>
  <c r="B1649" i="32" s="1"/>
  <c r="B1650" i="32" s="1"/>
  <c r="B1651" i="32" s="1"/>
  <c r="B1652" i="32" s="1"/>
  <c r="B1653" i="32" s="1"/>
  <c r="B1654" i="32" s="1"/>
  <c r="B1655" i="32" s="1"/>
  <c r="B1656" i="32" s="1"/>
  <c r="B1657" i="32" s="1"/>
  <c r="B1658" i="32" s="1"/>
  <c r="B1659" i="32" s="1"/>
  <c r="B1660" i="32" s="1"/>
  <c r="B1661" i="32" s="1"/>
  <c r="B1662" i="32" s="1"/>
  <c r="B1663" i="32" s="1"/>
  <c r="B1664" i="32" s="1"/>
  <c r="B1665" i="32" s="1"/>
  <c r="B1666" i="32" s="1"/>
  <c r="B1667" i="32" s="1"/>
  <c r="B1668" i="32" s="1"/>
  <c r="B1669" i="32" s="1"/>
  <c r="B1670" i="32" s="1"/>
  <c r="B1671" i="32" s="1"/>
  <c r="B1672" i="32" s="1"/>
  <c r="B1673" i="32" s="1"/>
  <c r="B1674" i="32" s="1"/>
  <c r="B1675" i="32" s="1"/>
  <c r="B1676" i="32" s="1"/>
  <c r="B1677" i="32" s="1"/>
  <c r="B1678" i="32" s="1"/>
  <c r="B1679" i="32" s="1"/>
  <c r="B1680" i="32" s="1"/>
  <c r="B1681" i="32" s="1"/>
  <c r="B1682" i="32" s="1"/>
  <c r="B1683" i="32" s="1"/>
  <c r="B1684" i="32" s="1"/>
  <c r="B1685" i="32" s="1"/>
  <c r="B1686" i="32" s="1"/>
  <c r="B1687" i="32" s="1"/>
  <c r="B1688" i="32" s="1"/>
  <c r="B1689" i="32" s="1"/>
  <c r="B1690" i="32" s="1"/>
  <c r="B1691" i="32" s="1"/>
  <c r="B1692" i="32" s="1"/>
  <c r="B1693" i="32" s="1"/>
  <c r="B1694" i="32" s="1"/>
  <c r="B1695" i="32" s="1"/>
  <c r="B1696" i="32" s="1"/>
  <c r="B1697" i="32" s="1"/>
  <c r="B1698" i="32" s="1"/>
  <c r="B1699" i="32" s="1"/>
  <c r="B1700" i="32" s="1"/>
  <c r="B1701" i="32" s="1"/>
  <c r="B1702" i="32" s="1"/>
  <c r="B1703" i="32" s="1"/>
  <c r="B1704" i="32" s="1"/>
  <c r="B1705" i="32" s="1"/>
  <c r="B1706" i="32" s="1"/>
  <c r="B1707" i="32" s="1"/>
  <c r="B1708" i="32" s="1"/>
  <c r="B1709" i="32" s="1"/>
  <c r="B1710" i="32" s="1"/>
  <c r="B1711" i="32" s="1"/>
  <c r="B1712" i="32" s="1"/>
  <c r="B1713" i="32" s="1"/>
  <c r="B1714" i="32" s="1"/>
  <c r="B1715" i="32" s="1"/>
  <c r="B1716" i="32" s="1"/>
  <c r="B1717" i="32" s="1"/>
  <c r="B1718" i="32" s="1"/>
  <c r="B1719" i="32" s="1"/>
  <c r="B1720" i="32" s="1"/>
  <c r="B1721" i="32" s="1"/>
  <c r="B1722" i="32" s="1"/>
  <c r="B1723" i="32" s="1"/>
  <c r="B1724" i="32" s="1"/>
  <c r="B1725" i="32" s="1"/>
  <c r="B1726" i="32" s="1"/>
  <c r="B1727" i="32" s="1"/>
  <c r="B1728" i="32" s="1"/>
  <c r="B1729" i="32" s="1"/>
  <c r="B1730" i="32" s="1"/>
  <c r="B1731" i="32" s="1"/>
  <c r="B1732" i="32" s="1"/>
  <c r="B1733" i="32" s="1"/>
  <c r="B1734" i="32" s="1"/>
  <c r="B1735" i="32" s="1"/>
  <c r="B1736" i="32" s="1"/>
  <c r="B1737" i="32" s="1"/>
  <c r="B1738" i="32" s="1"/>
  <c r="B1739" i="32" s="1"/>
  <c r="B1740" i="32" s="1"/>
  <c r="B1741" i="32" s="1"/>
  <c r="B1742" i="32" s="1"/>
  <c r="B1743" i="32" s="1"/>
  <c r="B1744" i="32" s="1"/>
  <c r="B1745" i="32" s="1"/>
  <c r="B1746" i="32" s="1"/>
  <c r="E263" i="4"/>
  <c r="AA16" i="16"/>
  <c r="AA22" i="14"/>
  <c r="AB14" i="12"/>
  <c r="T15" i="7" l="1"/>
  <c r="T21" i="14"/>
  <c r="E264" i="4"/>
  <c r="K259" i="4" s="1"/>
  <c r="J259" i="4"/>
  <c r="U14" i="10"/>
  <c r="T15" i="10"/>
  <c r="U14" i="7"/>
  <c r="U14" i="8"/>
  <c r="T15" i="8"/>
  <c r="U14" i="11"/>
  <c r="T15" i="11"/>
  <c r="AB16" i="16"/>
  <c r="AB22" i="14"/>
  <c r="AC14" i="12"/>
  <c r="E219" i="4"/>
  <c r="E220" i="4"/>
  <c r="E271" i="4" s="1"/>
  <c r="E221" i="4"/>
  <c r="E272" i="4" s="1"/>
  <c r="E222" i="4"/>
  <c r="E273" i="4" s="1"/>
  <c r="E223" i="4"/>
  <c r="E274" i="4" s="1"/>
  <c r="E224" i="4"/>
  <c r="E275" i="4" s="1"/>
  <c r="E225" i="4"/>
  <c r="E276" i="4" s="1"/>
  <c r="E226" i="4"/>
  <c r="E277" i="4" s="1"/>
  <c r="E227" i="4"/>
  <c r="E278" i="4" s="1"/>
  <c r="E218" i="4"/>
  <c r="E169" i="4"/>
  <c r="E170" i="4" s="1"/>
  <c r="E159" i="4"/>
  <c r="E160" i="4" s="1"/>
  <c r="G134" i="4"/>
  <c r="G135" i="4"/>
  <c r="EX8" i="6" s="1"/>
  <c r="G136" i="4"/>
  <c r="EX9" i="6" s="1"/>
  <c r="G137" i="4"/>
  <c r="GH8" i="6" s="1"/>
  <c r="G138" i="4"/>
  <c r="GH9" i="6" s="1"/>
  <c r="G133" i="4"/>
  <c r="G131" i="4"/>
  <c r="G119" i="4"/>
  <c r="BH15" i="5" l="1"/>
  <c r="BJ15" i="5" s="1"/>
  <c r="K86" i="12" s="1"/>
  <c r="CL15" i="5"/>
  <c r="U15" i="7"/>
  <c r="U21" i="14"/>
  <c r="BH14" i="5"/>
  <c r="BJ14" i="5" s="1"/>
  <c r="K85" i="12" s="1"/>
  <c r="BH13" i="5"/>
  <c r="BJ13" i="5" s="1"/>
  <c r="K84" i="12" s="1"/>
  <c r="CL14" i="5"/>
  <c r="CL13" i="5"/>
  <c r="E171" i="4"/>
  <c r="E172" i="4" s="1"/>
  <c r="V14" i="11"/>
  <c r="U15" i="11"/>
  <c r="U15" i="8"/>
  <c r="V14" i="8"/>
  <c r="V14" i="7"/>
  <c r="U15" i="10"/>
  <c r="V14" i="10"/>
  <c r="E161" i="4"/>
  <c r="E162" i="4" s="1"/>
  <c r="AC16" i="16"/>
  <c r="AC22" i="14"/>
  <c r="AD14" i="12"/>
  <c r="E269" i="4"/>
  <c r="E270" i="4"/>
  <c r="L167" i="4"/>
  <c r="L191" i="4" s="1"/>
  <c r="L232" i="4"/>
  <c r="L249" i="4"/>
  <c r="L208" i="4"/>
  <c r="L283" i="4" s="1"/>
  <c r="T8" i="7"/>
  <c r="S8" i="7"/>
  <c r="S2" i="7"/>
  <c r="P4" i="7"/>
  <c r="P5" i="7"/>
  <c r="P8" i="7"/>
  <c r="P9" i="7"/>
  <c r="P10" i="7"/>
  <c r="P3" i="7"/>
  <c r="A1" i="7"/>
  <c r="X11" i="5"/>
  <c r="V11" i="5"/>
  <c r="O11" i="5"/>
  <c r="N11" i="5"/>
  <c r="H11" i="5"/>
  <c r="G11" i="5"/>
  <c r="I8" i="5"/>
  <c r="K107" i="45" l="1"/>
  <c r="AK107" i="45" s="1"/>
  <c r="K105" i="45"/>
  <c r="AK105" i="45" s="1"/>
  <c r="K103" i="45"/>
  <c r="AK103" i="45" s="1"/>
  <c r="K101" i="45"/>
  <c r="AK101" i="45" s="1"/>
  <c r="K99" i="45"/>
  <c r="AK99" i="45" s="1"/>
  <c r="K97" i="45"/>
  <c r="AK97" i="45" s="1"/>
  <c r="K95" i="45"/>
  <c r="AK95" i="45" s="1"/>
  <c r="K93" i="45"/>
  <c r="AK93" i="45" s="1"/>
  <c r="K106" i="45"/>
  <c r="AK106" i="45" s="1"/>
  <c r="K104" i="45"/>
  <c r="AK104" i="45" s="1"/>
  <c r="K102" i="45"/>
  <c r="AK102" i="45" s="1"/>
  <c r="K100" i="45"/>
  <c r="AK100" i="45" s="1"/>
  <c r="K98" i="45"/>
  <c r="AK98" i="45" s="1"/>
  <c r="K96" i="45"/>
  <c r="AK96" i="45" s="1"/>
  <c r="K94" i="45"/>
  <c r="AK94" i="45" s="1"/>
  <c r="K86" i="45"/>
  <c r="AK86" i="45" s="1"/>
  <c r="K84" i="45"/>
  <c r="AK84" i="45" s="1"/>
  <c r="K82" i="45"/>
  <c r="AK82" i="45" s="1"/>
  <c r="K80" i="45"/>
  <c r="AK80" i="45" s="1"/>
  <c r="K78" i="45"/>
  <c r="AK78" i="45" s="1"/>
  <c r="K76" i="45"/>
  <c r="AK76" i="45" s="1"/>
  <c r="K74" i="45"/>
  <c r="AK74" i="45" s="1"/>
  <c r="K72" i="45"/>
  <c r="AK72" i="45" s="1"/>
  <c r="K91" i="45"/>
  <c r="AK91" i="45" s="1"/>
  <c r="K90" i="45"/>
  <c r="AK90" i="45" s="1"/>
  <c r="K85" i="45"/>
  <c r="AK85" i="45" s="1"/>
  <c r="K83" i="45"/>
  <c r="AK83" i="45" s="1"/>
  <c r="K81" i="45"/>
  <c r="AK81" i="45" s="1"/>
  <c r="K79" i="45"/>
  <c r="AK79" i="45" s="1"/>
  <c r="K77" i="45"/>
  <c r="AK77" i="45" s="1"/>
  <c r="K75" i="45"/>
  <c r="AK75" i="45" s="1"/>
  <c r="K73" i="45"/>
  <c r="AK73" i="45" s="1"/>
  <c r="K87" i="45"/>
  <c r="AK87" i="45" s="1"/>
  <c r="K92" i="45"/>
  <c r="AK92" i="45" s="1"/>
  <c r="K89" i="45"/>
  <c r="AK89" i="45" s="1"/>
  <c r="K88" i="45"/>
  <c r="AK88" i="45" s="1"/>
  <c r="K69" i="45"/>
  <c r="AK69" i="45" s="1"/>
  <c r="K67" i="45"/>
  <c r="AK67" i="45" s="1"/>
  <c r="K65" i="45"/>
  <c r="AK65" i="45" s="1"/>
  <c r="K63" i="45"/>
  <c r="AK63" i="45" s="1"/>
  <c r="K61" i="45"/>
  <c r="AK61" i="45" s="1"/>
  <c r="K59" i="45"/>
  <c r="AK59" i="45" s="1"/>
  <c r="K57" i="45"/>
  <c r="AK57" i="45" s="1"/>
  <c r="K55" i="45"/>
  <c r="AK55" i="45" s="1"/>
  <c r="K70" i="45"/>
  <c r="AK70" i="45" s="1"/>
  <c r="K68" i="45"/>
  <c r="AK68" i="45" s="1"/>
  <c r="K66" i="45"/>
  <c r="AK66" i="45" s="1"/>
  <c r="K64" i="45"/>
  <c r="AK64" i="45" s="1"/>
  <c r="K62" i="45"/>
  <c r="AK62" i="45" s="1"/>
  <c r="K60" i="45"/>
  <c r="AK60" i="45" s="1"/>
  <c r="K58" i="45"/>
  <c r="AK58" i="45" s="1"/>
  <c r="K56" i="45"/>
  <c r="AK56" i="45" s="1"/>
  <c r="K54" i="45"/>
  <c r="AK54" i="45" s="1"/>
  <c r="K52" i="45"/>
  <c r="AK52" i="45" s="1"/>
  <c r="K50" i="45"/>
  <c r="AK50" i="45" s="1"/>
  <c r="K48" i="45"/>
  <c r="AK48" i="45" s="1"/>
  <c r="K71" i="45"/>
  <c r="AK71" i="45" s="1"/>
  <c r="K39" i="45"/>
  <c r="AK39" i="45" s="1"/>
  <c r="K37" i="45"/>
  <c r="AK37" i="45" s="1"/>
  <c r="K35" i="45"/>
  <c r="AK35" i="45" s="1"/>
  <c r="K33" i="45"/>
  <c r="AK33" i="45" s="1"/>
  <c r="K31" i="45"/>
  <c r="AK31" i="45" s="1"/>
  <c r="K29" i="45"/>
  <c r="AK29" i="45" s="1"/>
  <c r="K27" i="45"/>
  <c r="AK27" i="45" s="1"/>
  <c r="K42" i="45"/>
  <c r="AK42" i="45" s="1"/>
  <c r="K53" i="45"/>
  <c r="AK53" i="45" s="1"/>
  <c r="K45" i="45"/>
  <c r="AK45" i="45" s="1"/>
  <c r="K51" i="45"/>
  <c r="AK51" i="45" s="1"/>
  <c r="K47" i="45"/>
  <c r="AK47" i="45" s="1"/>
  <c r="K43" i="45"/>
  <c r="AK43" i="45" s="1"/>
  <c r="K40" i="45"/>
  <c r="AK40" i="45" s="1"/>
  <c r="K38" i="45"/>
  <c r="AK38" i="45" s="1"/>
  <c r="K36" i="45"/>
  <c r="AK36" i="45" s="1"/>
  <c r="K34" i="45"/>
  <c r="AK34" i="45" s="1"/>
  <c r="K32" i="45"/>
  <c r="AK32" i="45" s="1"/>
  <c r="K30" i="45"/>
  <c r="AK30" i="45" s="1"/>
  <c r="K28" i="45"/>
  <c r="AK28" i="45" s="1"/>
  <c r="K26" i="45"/>
  <c r="AK26" i="45" s="1"/>
  <c r="K49" i="45"/>
  <c r="AK49" i="45" s="1"/>
  <c r="K46" i="45"/>
  <c r="AK46" i="45" s="1"/>
  <c r="K41" i="45"/>
  <c r="AK41" i="45" s="1"/>
  <c r="K44" i="45"/>
  <c r="AK44" i="45" s="1"/>
  <c r="K24" i="45"/>
  <c r="AK24" i="45" s="1"/>
  <c r="K19" i="45"/>
  <c r="AK19" i="45" s="1"/>
  <c r="K17" i="45"/>
  <c r="AK17" i="45" s="1"/>
  <c r="K15" i="45"/>
  <c r="AK15" i="45" s="1"/>
  <c r="K13" i="45"/>
  <c r="AK13" i="45" s="1"/>
  <c r="K11" i="45"/>
  <c r="AK11" i="45" s="1"/>
  <c r="P15" i="5"/>
  <c r="O235" i="12" s="1"/>
  <c r="M15" i="5"/>
  <c r="J10" i="45" s="1"/>
  <c r="AJ10" i="45" s="1"/>
  <c r="K25" i="45"/>
  <c r="AK25" i="45" s="1"/>
  <c r="K21" i="45"/>
  <c r="AK21" i="45" s="1"/>
  <c r="K20" i="45"/>
  <c r="AK20" i="45" s="1"/>
  <c r="K18" i="45"/>
  <c r="AK18" i="45" s="1"/>
  <c r="K16" i="45"/>
  <c r="AK16" i="45" s="1"/>
  <c r="K14" i="45"/>
  <c r="AK14" i="45" s="1"/>
  <c r="K12" i="45"/>
  <c r="AK12" i="45" s="1"/>
  <c r="AA15" i="5"/>
  <c r="K10" i="45" s="1"/>
  <c r="AK10" i="45" s="1"/>
  <c r="K23" i="45"/>
  <c r="AK23" i="45" s="1"/>
  <c r="K22" i="45"/>
  <c r="AK22" i="45" s="1"/>
  <c r="V15" i="7"/>
  <c r="V21" i="14"/>
  <c r="P14" i="5"/>
  <c r="O234" i="12" s="1"/>
  <c r="P13" i="5"/>
  <c r="O233" i="12" s="1"/>
  <c r="M13" i="5"/>
  <c r="J8" i="45" s="1"/>
  <c r="AJ8" i="45" s="1"/>
  <c r="M14" i="5"/>
  <c r="J9" i="45" s="1"/>
  <c r="AJ9" i="45" s="1"/>
  <c r="AA13" i="5"/>
  <c r="K8" i="45" s="1"/>
  <c r="AK8" i="45" s="1"/>
  <c r="AA14" i="5"/>
  <c r="K9" i="45" s="1"/>
  <c r="AK9" i="45" s="1"/>
  <c r="W14" i="7"/>
  <c r="W14" i="8"/>
  <c r="V15" i="8"/>
  <c r="W14" i="10"/>
  <c r="V15" i="10"/>
  <c r="V15" i="11"/>
  <c r="W14" i="11"/>
  <c r="B12" i="7"/>
  <c r="B17" i="7" s="1"/>
  <c r="B25" i="7" s="1"/>
  <c r="B34" i="7" s="1"/>
  <c r="FC8" i="5"/>
  <c r="AD16" i="16"/>
  <c r="AD22" i="14"/>
  <c r="E70" i="14"/>
  <c r="AE14" i="12"/>
  <c r="CM8" i="5"/>
  <c r="DA8" i="5"/>
  <c r="CI8" i="5"/>
  <c r="M167" i="4"/>
  <c r="M191" i="4" s="1"/>
  <c r="M232" i="4"/>
  <c r="M208" i="4"/>
  <c r="M283" i="4" s="1"/>
  <c r="M249" i="4"/>
  <c r="J167" i="4"/>
  <c r="J191" i="4" s="1"/>
  <c r="J232" i="4"/>
  <c r="J249" i="4"/>
  <c r="J208" i="4"/>
  <c r="J283" i="4" s="1"/>
  <c r="G167" i="4"/>
  <c r="G249" i="4"/>
  <c r="G208" i="4"/>
  <c r="G232" i="4"/>
  <c r="N167" i="4"/>
  <c r="N191" i="4" s="1"/>
  <c r="N208" i="4"/>
  <c r="N283" i="4" s="1"/>
  <c r="N232" i="4"/>
  <c r="N249" i="4"/>
  <c r="O167" i="4"/>
  <c r="O191" i="4" s="1"/>
  <c r="O208" i="4"/>
  <c r="O283" i="4" s="1"/>
  <c r="O249" i="4"/>
  <c r="O232" i="4"/>
  <c r="H167" i="4"/>
  <c r="H191" i="4" s="1"/>
  <c r="H208" i="4"/>
  <c r="H283" i="4" s="1"/>
  <c r="H249" i="4"/>
  <c r="H232" i="4"/>
  <c r="P167" i="4"/>
  <c r="P191" i="4" s="1"/>
  <c r="P249" i="4"/>
  <c r="P208" i="4"/>
  <c r="P283" i="4" s="1"/>
  <c r="P232" i="4"/>
  <c r="I167" i="4"/>
  <c r="I191" i="4" s="1"/>
  <c r="I249" i="4"/>
  <c r="I208" i="4"/>
  <c r="I283" i="4" s="1"/>
  <c r="I232" i="4"/>
  <c r="K167" i="4"/>
  <c r="K191" i="4" s="1"/>
  <c r="K232" i="4"/>
  <c r="K249" i="4"/>
  <c r="K208" i="4"/>
  <c r="K283" i="4" s="1"/>
  <c r="J8" i="5"/>
  <c r="Y8" i="19" l="1"/>
  <c r="K30" i="12"/>
  <c r="Y10" i="19"/>
  <c r="K21" i="13"/>
  <c r="K37" i="13"/>
  <c r="K22" i="12"/>
  <c r="DU20" i="22"/>
  <c r="DT20" i="22" s="1"/>
  <c r="DW20" i="22" s="1"/>
  <c r="DU19" i="22"/>
  <c r="DT19" i="22" s="1"/>
  <c r="DW19" i="22" s="1"/>
  <c r="M235" i="12"/>
  <c r="Y9" i="19"/>
  <c r="CJ15" i="5"/>
  <c r="DE15" i="5"/>
  <c r="DB15" i="5"/>
  <c r="DK15" i="5"/>
  <c r="DH15" i="5"/>
  <c r="CX15" i="5"/>
  <c r="CU15" i="5"/>
  <c r="CR15" i="5"/>
  <c r="CO15" i="5"/>
  <c r="DX15" i="5"/>
  <c r="DU15" i="5"/>
  <c r="DR15" i="5"/>
  <c r="DO15" i="5"/>
  <c r="W15" i="7"/>
  <c r="W21" i="14"/>
  <c r="CJ14" i="5"/>
  <c r="CJ13" i="5"/>
  <c r="CN8" i="5"/>
  <c r="CO13" i="5"/>
  <c r="CO14" i="5"/>
  <c r="M234" i="12"/>
  <c r="W15" i="10"/>
  <c r="X14" i="10"/>
  <c r="W15" i="11"/>
  <c r="X14" i="11"/>
  <c r="W15" i="8"/>
  <c r="X14" i="8"/>
  <c r="X14" i="7"/>
  <c r="B42" i="7"/>
  <c r="B52" i="7" s="1"/>
  <c r="M233" i="12"/>
  <c r="DR13" i="5"/>
  <c r="DX14" i="5"/>
  <c r="DO13" i="5"/>
  <c r="DU13" i="5"/>
  <c r="DO14" i="5"/>
  <c r="DR14" i="5"/>
  <c r="DX13" i="5"/>
  <c r="DU14" i="5"/>
  <c r="G191" i="4"/>
  <c r="AE16" i="16"/>
  <c r="AE22" i="14"/>
  <c r="X31" i="15"/>
  <c r="DU18" i="22"/>
  <c r="AF14" i="12"/>
  <c r="K36" i="13"/>
  <c r="K20" i="13"/>
  <c r="K19" i="13"/>
  <c r="K35" i="13"/>
  <c r="G283" i="4"/>
  <c r="K29" i="12"/>
  <c r="K21" i="12"/>
  <c r="K28" i="12"/>
  <c r="K20" i="12"/>
  <c r="DK13" i="5"/>
  <c r="DB14" i="5"/>
  <c r="DB13" i="5"/>
  <c r="DH14" i="5"/>
  <c r="DE13" i="5"/>
  <c r="DH13" i="5"/>
  <c r="FD8" i="5"/>
  <c r="DE14" i="5"/>
  <c r="DK14" i="5"/>
  <c r="CX14" i="5"/>
  <c r="CX13" i="5"/>
  <c r="CU14" i="5"/>
  <c r="CU13" i="5"/>
  <c r="DB8" i="5"/>
  <c r="CR14" i="5"/>
  <c r="CR13" i="5"/>
  <c r="CJ8" i="5"/>
  <c r="A1" i="5"/>
  <c r="G125" i="4"/>
  <c r="E27" i="37" s="1"/>
  <c r="G126" i="4"/>
  <c r="G124" i="4"/>
  <c r="G123" i="4"/>
  <c r="G122" i="4"/>
  <c r="G121" i="4"/>
  <c r="G15" i="26" s="1"/>
  <c r="G120" i="4"/>
  <c r="G118" i="4"/>
  <c r="BC8" i="5" s="1"/>
  <c r="L97" i="4"/>
  <c r="K95" i="4"/>
  <c r="M95" i="4"/>
  <c r="T10" i="14" s="1"/>
  <c r="L95" i="4"/>
  <c r="S10" i="14" s="1"/>
  <c r="J4" i="4"/>
  <c r="I4" i="4"/>
  <c r="H4" i="4"/>
  <c r="O72" i="16"/>
  <c r="B6" i="4"/>
  <c r="BW15" i="5" l="1"/>
  <c r="BY15" i="5" s="1"/>
  <c r="K141" i="12" s="1"/>
  <c r="BQ15" i="5"/>
  <c r="BS15" i="5" s="1"/>
  <c r="K94" i="12" s="1"/>
  <c r="BN15" i="5"/>
  <c r="BT15" i="5"/>
  <c r="BV15" i="5" s="1"/>
  <c r="K118" i="12" s="1"/>
  <c r="BK15" i="5"/>
  <c r="BM15" i="5" s="1"/>
  <c r="K148" i="12"/>
  <c r="AG14" i="12"/>
  <c r="X15" i="7"/>
  <c r="X21" i="14"/>
  <c r="R3" i="16"/>
  <c r="R10" i="14"/>
  <c r="S12" i="14"/>
  <c r="G14" i="26"/>
  <c r="BK14" i="5"/>
  <c r="BM14" i="5" s="1"/>
  <c r="K101" i="12" s="1"/>
  <c r="BK13" i="5"/>
  <c r="BM13" i="5" s="1"/>
  <c r="K100" i="12" s="1"/>
  <c r="BN14" i="5"/>
  <c r="BN13" i="5"/>
  <c r="BQ14" i="5"/>
  <c r="BS14" i="5" s="1"/>
  <c r="K93" i="12" s="1"/>
  <c r="BQ13" i="5"/>
  <c r="BS13" i="5" s="1"/>
  <c r="K92" i="12" s="1"/>
  <c r="G16" i="26"/>
  <c r="BT14" i="5"/>
  <c r="BV14" i="5" s="1"/>
  <c r="K117" i="12" s="1"/>
  <c r="BT13" i="5"/>
  <c r="BV13" i="5" s="1"/>
  <c r="K116" i="12" s="1"/>
  <c r="BW13" i="5"/>
  <c r="BY13" i="5" s="1"/>
  <c r="K139" i="12" s="1"/>
  <c r="BW14" i="5"/>
  <c r="BY14" i="5" s="1"/>
  <c r="K140" i="12" s="1"/>
  <c r="X15" i="8"/>
  <c r="Y14" i="8"/>
  <c r="Y14" i="11"/>
  <c r="X15" i="11"/>
  <c r="Y14" i="7"/>
  <c r="X15" i="10"/>
  <c r="Y14" i="10"/>
  <c r="H127" i="4"/>
  <c r="E27" i="18"/>
  <c r="G17" i="26"/>
  <c r="O124" i="16"/>
  <c r="E92" i="14"/>
  <c r="O123" i="16"/>
  <c r="E91" i="14"/>
  <c r="AF16" i="16"/>
  <c r="AF22" i="14"/>
  <c r="DT18" i="22"/>
  <c r="DW18" i="22" s="1"/>
  <c r="S5" i="13"/>
  <c r="S5" i="16"/>
  <c r="F3" i="47" s="1"/>
  <c r="T3" i="13"/>
  <c r="T3" i="16"/>
  <c r="S3" i="13"/>
  <c r="S3" i="16"/>
  <c r="F2" i="47" s="1"/>
  <c r="K153" i="12"/>
  <c r="O125" i="16"/>
  <c r="K147" i="12"/>
  <c r="K146" i="12"/>
  <c r="K96" i="4"/>
  <c r="K107" i="4" s="1"/>
  <c r="K101" i="4"/>
  <c r="R9" i="16" s="1"/>
  <c r="S3" i="12"/>
  <c r="L101" i="4"/>
  <c r="S3" i="11"/>
  <c r="S3" i="10"/>
  <c r="S3" i="8"/>
  <c r="M101" i="4"/>
  <c r="T9" i="7" s="1"/>
  <c r="T3" i="12"/>
  <c r="T3" i="11"/>
  <c r="T3" i="10"/>
  <c r="T3" i="8"/>
  <c r="S5" i="12"/>
  <c r="S5" i="11"/>
  <c r="S5" i="10"/>
  <c r="S5" i="8"/>
  <c r="B61" i="7"/>
  <c r="B70" i="7" s="1"/>
  <c r="B79" i="7" s="1"/>
  <c r="M97" i="4"/>
  <c r="T12" i="14" s="1"/>
  <c r="S5" i="7"/>
  <c r="L96" i="4"/>
  <c r="S11" i="14" s="1"/>
  <c r="S3" i="7"/>
  <c r="M96" i="4"/>
  <c r="T11" i="14" s="1"/>
  <c r="T3" i="7"/>
  <c r="C8" i="4"/>
  <c r="M106" i="4"/>
  <c r="BM3" i="16" s="1"/>
  <c r="K106" i="4"/>
  <c r="L106" i="4"/>
  <c r="B26" i="4"/>
  <c r="N100" i="4" l="1"/>
  <c r="U13" i="14" s="1"/>
  <c r="K102" i="12"/>
  <c r="AG22" i="14"/>
  <c r="AH14" i="12"/>
  <c r="AG16" i="16"/>
  <c r="Y15" i="7"/>
  <c r="Y21" i="14"/>
  <c r="C13" i="4"/>
  <c r="C28" i="4" s="1"/>
  <c r="M102" i="4"/>
  <c r="T10" i="13" s="1"/>
  <c r="R4" i="16"/>
  <c r="R11" i="14"/>
  <c r="E26" i="18"/>
  <c r="E26" i="37"/>
  <c r="Y15" i="11"/>
  <c r="Z14" i="11"/>
  <c r="Z14" i="10"/>
  <c r="Y15" i="10"/>
  <c r="Z14" i="8"/>
  <c r="Y15" i="8"/>
  <c r="Z14" i="7"/>
  <c r="K102" i="4"/>
  <c r="R10" i="16" s="1"/>
  <c r="T135" i="14"/>
  <c r="T157" i="14"/>
  <c r="AH16" i="16"/>
  <c r="M107" i="4"/>
  <c r="N106" i="4" s="1"/>
  <c r="BN3" i="16" s="1"/>
  <c r="BM10" i="14"/>
  <c r="E79" i="14"/>
  <c r="E82" i="14"/>
  <c r="E80" i="14"/>
  <c r="T5" i="13"/>
  <c r="T5" i="16"/>
  <c r="T9" i="13"/>
  <c r="T9" i="16"/>
  <c r="T4" i="13"/>
  <c r="T4" i="16"/>
  <c r="H2" i="47" s="1"/>
  <c r="S9" i="13"/>
  <c r="S9" i="16"/>
  <c r="S4" i="13"/>
  <c r="S4" i="16"/>
  <c r="T5" i="12"/>
  <c r="T5" i="11"/>
  <c r="T5" i="10"/>
  <c r="T5" i="8"/>
  <c r="B49" i="4"/>
  <c r="B114" i="4" s="1"/>
  <c r="T4" i="11"/>
  <c r="T4" i="12"/>
  <c r="T4" i="10"/>
  <c r="T4" i="8"/>
  <c r="M99" i="4"/>
  <c r="T15" i="14" s="1"/>
  <c r="L102" i="4"/>
  <c r="S4" i="11"/>
  <c r="S4" i="12"/>
  <c r="S4" i="10"/>
  <c r="S4" i="8"/>
  <c r="M98" i="4"/>
  <c r="T14" i="14" s="1"/>
  <c r="L99" i="4"/>
  <c r="S15" i="14" s="1"/>
  <c r="S9" i="12"/>
  <c r="S9" i="11"/>
  <c r="S9" i="10"/>
  <c r="S9" i="8"/>
  <c r="L98" i="4"/>
  <c r="S14" i="14" s="1"/>
  <c r="T9" i="12"/>
  <c r="T9" i="11"/>
  <c r="T9" i="10"/>
  <c r="T9" i="8"/>
  <c r="B88" i="7"/>
  <c r="B97" i="7" s="1"/>
  <c r="L107" i="4"/>
  <c r="L108" i="4" s="1"/>
  <c r="N95" i="4"/>
  <c r="U10" i="14" s="1"/>
  <c r="T4" i="7"/>
  <c r="S9" i="7"/>
  <c r="S4" i="7"/>
  <c r="N97" i="4"/>
  <c r="U12" i="14" s="1"/>
  <c r="T5" i="7"/>
  <c r="K108" i="4"/>
  <c r="K109" i="4"/>
  <c r="T10" i="10" l="1"/>
  <c r="H3" i="47"/>
  <c r="T188" i="16"/>
  <c r="T190" i="16" s="1"/>
  <c r="T189" i="16"/>
  <c r="T184" i="16"/>
  <c r="T22" i="12"/>
  <c r="T20" i="12"/>
  <c r="T21" i="12"/>
  <c r="T21" i="13"/>
  <c r="T29" i="13" s="1"/>
  <c r="T19" i="13"/>
  <c r="T27" i="13" s="1"/>
  <c r="T20" i="13"/>
  <c r="T28" i="13" s="1"/>
  <c r="U8" i="8"/>
  <c r="T10" i="11"/>
  <c r="U8" i="10"/>
  <c r="T10" i="7"/>
  <c r="U8" i="11"/>
  <c r="T10" i="16"/>
  <c r="U8" i="12"/>
  <c r="U8" i="16"/>
  <c r="U8" i="7"/>
  <c r="U8" i="13"/>
  <c r="T10" i="8"/>
  <c r="B141" i="4"/>
  <c r="T10" i="12"/>
  <c r="T37" i="13"/>
  <c r="AI14" i="12"/>
  <c r="AH22" i="14"/>
  <c r="T30" i="12"/>
  <c r="Z15" i="7"/>
  <c r="Z21" i="14"/>
  <c r="T158" i="14"/>
  <c r="AA14" i="8"/>
  <c r="Z15" i="8"/>
  <c r="Z15" i="10"/>
  <c r="AA14" i="10"/>
  <c r="AA14" i="7"/>
  <c r="Z15" i="11"/>
  <c r="AA14" i="11"/>
  <c r="T213" i="16"/>
  <c r="BM11" i="14"/>
  <c r="BM4" i="16"/>
  <c r="W2" i="47" s="1"/>
  <c r="U135" i="14"/>
  <c r="U157" i="14"/>
  <c r="N107" i="4"/>
  <c r="O106" i="4" s="1"/>
  <c r="BN10" i="14"/>
  <c r="AI16" i="16"/>
  <c r="AI22" i="14"/>
  <c r="T362" i="16"/>
  <c r="T218" i="16"/>
  <c r="T36" i="13"/>
  <c r="S7" i="13"/>
  <c r="S7" i="16"/>
  <c r="U3" i="13"/>
  <c r="U3" i="16"/>
  <c r="T35" i="13"/>
  <c r="S6" i="13"/>
  <c r="S6" i="16"/>
  <c r="T7" i="13"/>
  <c r="T7" i="16"/>
  <c r="U5" i="13"/>
  <c r="U5" i="16"/>
  <c r="S10" i="13"/>
  <c r="S10" i="16"/>
  <c r="T6" i="13"/>
  <c r="T6" i="16"/>
  <c r="AJ14" i="12"/>
  <c r="B291" i="4"/>
  <c r="U5" i="12"/>
  <c r="U5" i="11"/>
  <c r="U5" i="10"/>
  <c r="U5" i="8"/>
  <c r="T6" i="12"/>
  <c r="T6" i="11"/>
  <c r="T6" i="10"/>
  <c r="T6" i="8"/>
  <c r="T6" i="7"/>
  <c r="S10" i="7"/>
  <c r="S10" i="11"/>
  <c r="S10" i="12"/>
  <c r="S10" i="10"/>
  <c r="S10" i="8"/>
  <c r="L109" i="4"/>
  <c r="T28" i="12"/>
  <c r="T29" i="12"/>
  <c r="S7" i="12"/>
  <c r="S7" i="11"/>
  <c r="S7" i="10"/>
  <c r="S7" i="8"/>
  <c r="S7" i="7"/>
  <c r="U3" i="11"/>
  <c r="N101" i="4"/>
  <c r="U3" i="12"/>
  <c r="U3" i="10"/>
  <c r="U3" i="8"/>
  <c r="S6" i="12"/>
  <c r="S6" i="11"/>
  <c r="S6" i="10"/>
  <c r="S6" i="8"/>
  <c r="S6" i="7"/>
  <c r="T7" i="11"/>
  <c r="T7" i="12"/>
  <c r="T7" i="10"/>
  <c r="T7" i="8"/>
  <c r="T7" i="7"/>
  <c r="B106" i="7"/>
  <c r="B114" i="7" s="1"/>
  <c r="B130" i="7" s="1"/>
  <c r="O97" i="4"/>
  <c r="U5" i="7"/>
  <c r="N96" i="4"/>
  <c r="U11" i="14" s="1"/>
  <c r="U3" i="7"/>
  <c r="O100" i="4"/>
  <c r="V13" i="14" s="1"/>
  <c r="I3" i="47" l="1"/>
  <c r="U189" i="16"/>
  <c r="U184" i="16"/>
  <c r="U188" i="16"/>
  <c r="U190" i="16" s="1"/>
  <c r="U21" i="12"/>
  <c r="U20" i="12"/>
  <c r="U22" i="12"/>
  <c r="U21" i="13"/>
  <c r="U29" i="13" s="1"/>
  <c r="U20" i="13"/>
  <c r="U28" i="13" s="1"/>
  <c r="U19" i="13"/>
  <c r="U27" i="13" s="1"/>
  <c r="U37" i="13"/>
  <c r="T126" i="12"/>
  <c r="T78" i="12"/>
  <c r="BH20" i="22" s="1"/>
  <c r="U30" i="12"/>
  <c r="AA15" i="7"/>
  <c r="AA21" i="14"/>
  <c r="V12" i="14"/>
  <c r="V157" i="14" s="1"/>
  <c r="AB14" i="7"/>
  <c r="T76" i="12"/>
  <c r="AA15" i="8"/>
  <c r="AB14" i="8"/>
  <c r="T77" i="12"/>
  <c r="BH19" i="22" s="1"/>
  <c r="AA15" i="10"/>
  <c r="AB14" i="10"/>
  <c r="AA15" i="11"/>
  <c r="AB14" i="11"/>
  <c r="U213" i="16"/>
  <c r="U362" i="16"/>
  <c r="BN11" i="14"/>
  <c r="BN4" i="16"/>
  <c r="X2" i="47" s="1"/>
  <c r="BO10" i="14"/>
  <c r="BO3" i="16"/>
  <c r="T217" i="16"/>
  <c r="T219" i="16" s="1"/>
  <c r="AJ16" i="16"/>
  <c r="AJ22" i="14"/>
  <c r="U35" i="13"/>
  <c r="U218" i="16"/>
  <c r="U36" i="13"/>
  <c r="V8" i="13"/>
  <c r="V8" i="16"/>
  <c r="U4" i="13"/>
  <c r="U4" i="16"/>
  <c r="I2" i="47" s="1"/>
  <c r="U217" i="16"/>
  <c r="V5" i="13"/>
  <c r="V5" i="16"/>
  <c r="U9" i="13"/>
  <c r="U9" i="16"/>
  <c r="B470" i="4"/>
  <c r="B482" i="4" s="1"/>
  <c r="B490" i="4" s="1"/>
  <c r="B568" i="4" s="1"/>
  <c r="B644" i="4" s="1"/>
  <c r="B686" i="4" s="1"/>
  <c r="T125" i="12"/>
  <c r="BJ19" i="22" s="1"/>
  <c r="T124" i="12"/>
  <c r="AK14" i="12"/>
  <c r="U9" i="12"/>
  <c r="U9" i="11"/>
  <c r="U9" i="10"/>
  <c r="U9" i="8"/>
  <c r="V8" i="12"/>
  <c r="V8" i="11"/>
  <c r="V8" i="10"/>
  <c r="V8" i="8"/>
  <c r="U4" i="12"/>
  <c r="U4" i="11"/>
  <c r="U4" i="10"/>
  <c r="U4" i="8"/>
  <c r="N99" i="4"/>
  <c r="U15" i="14" s="1"/>
  <c r="N98" i="4"/>
  <c r="U14" i="14" s="1"/>
  <c r="U28" i="12"/>
  <c r="U29" i="12"/>
  <c r="V5" i="12"/>
  <c r="V5" i="11"/>
  <c r="V5" i="10"/>
  <c r="V5" i="8"/>
  <c r="P100" i="4"/>
  <c r="W13" i="14" s="1"/>
  <c r="V8" i="7"/>
  <c r="O95" i="4"/>
  <c r="V10" i="14" s="1"/>
  <c r="U4" i="7"/>
  <c r="N102" i="4"/>
  <c r="U9" i="7"/>
  <c r="P97" i="4"/>
  <c r="V5" i="7"/>
  <c r="O107" i="4"/>
  <c r="J3" i="47" l="1"/>
  <c r="V189" i="16"/>
  <c r="V184" i="16"/>
  <c r="V188" i="16"/>
  <c r="V190" i="16" s="1"/>
  <c r="V22" i="12"/>
  <c r="V21" i="12"/>
  <c r="V20" i="12"/>
  <c r="V21" i="13"/>
  <c r="V29" i="13" s="1"/>
  <c r="V19" i="13"/>
  <c r="V27" i="13" s="1"/>
  <c r="V20" i="13"/>
  <c r="V28" i="13" s="1"/>
  <c r="V71" i="16"/>
  <c r="V75" i="16" s="1"/>
  <c r="BJ20" i="22"/>
  <c r="T220" i="16"/>
  <c r="H16" i="47" s="1"/>
  <c r="V135" i="14"/>
  <c r="W109" i="38"/>
  <c r="V37" i="13"/>
  <c r="U126" i="12"/>
  <c r="V30" i="12"/>
  <c r="AB15" i="7"/>
  <c r="AB21" i="14"/>
  <c r="W12" i="14"/>
  <c r="W157" i="14" s="1"/>
  <c r="AC14" i="7"/>
  <c r="AB15" i="10"/>
  <c r="AC14" i="10"/>
  <c r="AB15" i="11"/>
  <c r="AC14" i="11"/>
  <c r="AC14" i="8"/>
  <c r="AB15" i="8"/>
  <c r="V213" i="16"/>
  <c r="V362" i="16"/>
  <c r="BO11" i="14"/>
  <c r="BO4" i="16"/>
  <c r="Y2" i="47" s="1"/>
  <c r="AK16" i="16"/>
  <c r="AK22" i="14"/>
  <c r="U219" i="16"/>
  <c r="B691" i="4"/>
  <c r="B715" i="4" s="1"/>
  <c r="B725" i="4" s="1"/>
  <c r="V218" i="16"/>
  <c r="V36" i="13"/>
  <c r="V35" i="13"/>
  <c r="U6" i="13"/>
  <c r="U6" i="16"/>
  <c r="U7" i="13"/>
  <c r="U7" i="16"/>
  <c r="U10" i="13"/>
  <c r="U10" i="16"/>
  <c r="W5" i="13"/>
  <c r="W5" i="16"/>
  <c r="V3" i="13"/>
  <c r="V3" i="16"/>
  <c r="W8" i="13"/>
  <c r="W8" i="16"/>
  <c r="U125" i="12"/>
  <c r="U124" i="12"/>
  <c r="AL14" i="12"/>
  <c r="V28" i="12"/>
  <c r="V29" i="12"/>
  <c r="U6" i="12"/>
  <c r="U6" i="11"/>
  <c r="U6" i="10"/>
  <c r="U6" i="8"/>
  <c r="U6" i="7"/>
  <c r="W5" i="12"/>
  <c r="W5" i="11"/>
  <c r="W5" i="10"/>
  <c r="W5" i="8"/>
  <c r="O101" i="4"/>
  <c r="V3" i="12"/>
  <c r="V3" i="11"/>
  <c r="V3" i="10"/>
  <c r="V3" i="8"/>
  <c r="W8" i="12"/>
  <c r="W8" i="11"/>
  <c r="W8" i="10"/>
  <c r="W8" i="8"/>
  <c r="U7" i="11"/>
  <c r="U7" i="12"/>
  <c r="U7" i="10"/>
  <c r="U7" i="8"/>
  <c r="U7" i="7"/>
  <c r="U10" i="7"/>
  <c r="U10" i="11"/>
  <c r="U10" i="12"/>
  <c r="U10" i="10"/>
  <c r="U10" i="8"/>
  <c r="O96" i="4"/>
  <c r="V11" i="14" s="1"/>
  <c r="V3" i="7"/>
  <c r="Q97" i="4"/>
  <c r="X12" i="14" s="1"/>
  <c r="W5" i="7"/>
  <c r="Q100" i="4"/>
  <c r="X13" i="14" s="1"/>
  <c r="W8" i="7"/>
  <c r="P106" i="4"/>
  <c r="BP3" i="16" s="1"/>
  <c r="V217" i="16" l="1"/>
  <c r="K3" i="47"/>
  <c r="W189" i="16"/>
  <c r="W184" i="16"/>
  <c r="W188" i="16"/>
  <c r="W22" i="12"/>
  <c r="W21" i="12"/>
  <c r="W20" i="12"/>
  <c r="V76" i="16"/>
  <c r="W21" i="13"/>
  <c r="W29" i="13" s="1"/>
  <c r="W20" i="13"/>
  <c r="W28" i="13" s="1"/>
  <c r="W19" i="13"/>
  <c r="W27" i="13" s="1"/>
  <c r="W71" i="16"/>
  <c r="W75" i="16" s="1"/>
  <c r="W135" i="14"/>
  <c r="W37" i="13"/>
  <c r="V126" i="12"/>
  <c r="U78" i="12"/>
  <c r="W30" i="12"/>
  <c r="AC15" i="7"/>
  <c r="AC21" i="14"/>
  <c r="AD14" i="11"/>
  <c r="AC15" i="11"/>
  <c r="U77" i="12"/>
  <c r="U76" i="12"/>
  <c r="AD14" i="7"/>
  <c r="AD14" i="10"/>
  <c r="AC15" i="10"/>
  <c r="AD14" i="8"/>
  <c r="AC15" i="8"/>
  <c r="W213" i="16"/>
  <c r="W362" i="16"/>
  <c r="X157" i="14"/>
  <c r="X135" i="14"/>
  <c r="AL16" i="16"/>
  <c r="AL22" i="14"/>
  <c r="P107" i="4"/>
  <c r="Q106" i="4" s="1"/>
  <c r="BQ3" i="16" s="1"/>
  <c r="BP10" i="14"/>
  <c r="W218" i="16"/>
  <c r="V219" i="16"/>
  <c r="W35" i="13"/>
  <c r="X5" i="13"/>
  <c r="X5" i="16"/>
  <c r="V4" i="13"/>
  <c r="V4" i="16"/>
  <c r="J2" i="47" s="1"/>
  <c r="W36" i="13"/>
  <c r="V9" i="13"/>
  <c r="V9" i="16"/>
  <c r="W217" i="16"/>
  <c r="X8" i="13"/>
  <c r="X8" i="16"/>
  <c r="X427" i="16" s="1"/>
  <c r="V124" i="12"/>
  <c r="AM14" i="12"/>
  <c r="V125" i="12"/>
  <c r="X8" i="12"/>
  <c r="X8" i="11"/>
  <c r="X8" i="10"/>
  <c r="X8" i="8"/>
  <c r="X5" i="11"/>
  <c r="X5" i="12"/>
  <c r="X5" i="10"/>
  <c r="X5" i="8"/>
  <c r="V9" i="12"/>
  <c r="V9" i="11"/>
  <c r="V9" i="10"/>
  <c r="V9" i="8"/>
  <c r="V4" i="12"/>
  <c r="V4" i="11"/>
  <c r="V4" i="10"/>
  <c r="V4" i="8"/>
  <c r="O99" i="4"/>
  <c r="V15" i="14" s="1"/>
  <c r="O98" i="4"/>
  <c r="V14" i="14" s="1"/>
  <c r="W28" i="12"/>
  <c r="W29" i="12"/>
  <c r="R97" i="4"/>
  <c r="Y12" i="14" s="1"/>
  <c r="X5" i="7"/>
  <c r="P95" i="4"/>
  <c r="W10" i="14" s="1"/>
  <c r="V4" i="7"/>
  <c r="O102" i="4"/>
  <c r="V9" i="7"/>
  <c r="R100" i="4"/>
  <c r="Y13" i="14" s="1"/>
  <c r="X8" i="7"/>
  <c r="W190" i="16" l="1"/>
  <c r="X22" i="12"/>
  <c r="X21" i="12"/>
  <c r="X20" i="12"/>
  <c r="X184" i="16"/>
  <c r="L3" i="47"/>
  <c r="X189" i="16"/>
  <c r="X188" i="16"/>
  <c r="W76" i="16"/>
  <c r="X21" i="13"/>
  <c r="X29" i="13" s="1"/>
  <c r="X20" i="13"/>
  <c r="X28" i="13" s="1"/>
  <c r="X19" i="13"/>
  <c r="X27" i="13" s="1"/>
  <c r="X71" i="16"/>
  <c r="X37" i="13"/>
  <c r="W126" i="12"/>
  <c r="X30" i="12"/>
  <c r="AD15" i="7"/>
  <c r="AD21" i="14"/>
  <c r="AE14" i="10"/>
  <c r="AD15" i="10"/>
  <c r="AE14" i="7"/>
  <c r="AE14" i="11"/>
  <c r="AD15" i="11"/>
  <c r="AE14" i="8"/>
  <c r="AD15" i="8"/>
  <c r="X213" i="16"/>
  <c r="X362" i="16"/>
  <c r="BP11" i="14"/>
  <c r="BP4" i="16"/>
  <c r="Z2" i="47" s="1"/>
  <c r="AM16" i="16"/>
  <c r="AM22" i="14"/>
  <c r="Q107" i="4"/>
  <c r="R106" i="4" s="1"/>
  <c r="BR3" i="16" s="1"/>
  <c r="BQ10" i="14"/>
  <c r="Y157" i="14"/>
  <c r="Y135" i="14"/>
  <c r="X36" i="13"/>
  <c r="X218" i="16"/>
  <c r="W219" i="16"/>
  <c r="X35" i="13"/>
  <c r="Y8" i="13"/>
  <c r="Y8" i="16"/>
  <c r="V10" i="13"/>
  <c r="V10" i="16"/>
  <c r="W3" i="13"/>
  <c r="W3" i="16"/>
  <c r="Y5" i="13"/>
  <c r="Y5" i="16"/>
  <c r="V6" i="13"/>
  <c r="V6" i="16"/>
  <c r="V7" i="13"/>
  <c r="V7" i="16"/>
  <c r="AN14" i="12"/>
  <c r="W124" i="12"/>
  <c r="W125" i="12"/>
  <c r="V7" i="11"/>
  <c r="V7" i="12"/>
  <c r="V7" i="10"/>
  <c r="V7" i="8"/>
  <c r="V7" i="7"/>
  <c r="V10" i="7"/>
  <c r="V10" i="12"/>
  <c r="V10" i="11"/>
  <c r="V10" i="10"/>
  <c r="V10" i="8"/>
  <c r="Y8" i="12"/>
  <c r="Y8" i="11"/>
  <c r="Y8" i="10"/>
  <c r="Y8" i="8"/>
  <c r="X28" i="12"/>
  <c r="X29" i="12"/>
  <c r="W3" i="12"/>
  <c r="P101" i="4"/>
  <c r="W3" i="11"/>
  <c r="W3" i="10"/>
  <c r="W3" i="8"/>
  <c r="Y5" i="11"/>
  <c r="Y5" i="12"/>
  <c r="Y5" i="10"/>
  <c r="Y5" i="8"/>
  <c r="V6" i="11"/>
  <c r="V6" i="12"/>
  <c r="V6" i="10"/>
  <c r="V6" i="8"/>
  <c r="V6" i="7"/>
  <c r="P96" i="4"/>
  <c r="W11" i="14" s="1"/>
  <c r="W3" i="7"/>
  <c r="S97" i="4"/>
  <c r="Z12" i="14" s="1"/>
  <c r="Y5" i="7"/>
  <c r="S100" i="4"/>
  <c r="Z13" i="14" s="1"/>
  <c r="Y8" i="7"/>
  <c r="X190" i="16" l="1"/>
  <c r="Y189" i="16"/>
  <c r="Y184" i="16"/>
  <c r="Y188" i="16"/>
  <c r="M3" i="47"/>
  <c r="Y22" i="12"/>
  <c r="Y21" i="12"/>
  <c r="Y20" i="12"/>
  <c r="X217" i="16"/>
  <c r="Y21" i="13"/>
  <c r="Y29" i="13" s="1"/>
  <c r="Y20" i="13"/>
  <c r="Y28" i="13" s="1"/>
  <c r="Y19" i="13"/>
  <c r="Y27" i="13" s="1"/>
  <c r="Y71" i="16"/>
  <c r="Y75" i="16" s="1"/>
  <c r="X75" i="16"/>
  <c r="Y37" i="13"/>
  <c r="X126" i="12"/>
  <c r="V78" i="12"/>
  <c r="Y30" i="12"/>
  <c r="AE15" i="7"/>
  <c r="AE21" i="14"/>
  <c r="V77" i="12"/>
  <c r="V76" i="12"/>
  <c r="AF14" i="11"/>
  <c r="AE15" i="11"/>
  <c r="AF14" i="10"/>
  <c r="AE15" i="10"/>
  <c r="AF14" i="8"/>
  <c r="AE15" i="8"/>
  <c r="AF14" i="7"/>
  <c r="Y213" i="16"/>
  <c r="Y362" i="16"/>
  <c r="BQ11" i="14"/>
  <c r="BQ4" i="16"/>
  <c r="AA2" i="47" s="1"/>
  <c r="Z157" i="14"/>
  <c r="Z135" i="14"/>
  <c r="R107" i="4"/>
  <c r="S106" i="4" s="1"/>
  <c r="BS3" i="16" s="1"/>
  <c r="BR10" i="14"/>
  <c r="AN16" i="16"/>
  <c r="AN22" i="14"/>
  <c r="Y218" i="16"/>
  <c r="X219" i="16"/>
  <c r="Z5" i="13"/>
  <c r="Z5" i="16"/>
  <c r="Z8" i="13"/>
  <c r="Z8" i="16"/>
  <c r="W4" i="13"/>
  <c r="W4" i="16"/>
  <c r="K2" i="47" s="1"/>
  <c r="Y217" i="16"/>
  <c r="Y35" i="13"/>
  <c r="Y36" i="13"/>
  <c r="W9" i="13"/>
  <c r="W9" i="16"/>
  <c r="X125" i="12"/>
  <c r="X124" i="12"/>
  <c r="AO14" i="12"/>
  <c r="Z8" i="12"/>
  <c r="Z8" i="11"/>
  <c r="Z8" i="10"/>
  <c r="Z8" i="8"/>
  <c r="W4" i="12"/>
  <c r="W4" i="11"/>
  <c r="W4" i="10"/>
  <c r="W4" i="8"/>
  <c r="P99" i="4"/>
  <c r="W15" i="14" s="1"/>
  <c r="P98" i="4"/>
  <c r="W14" i="14" s="1"/>
  <c r="Z5" i="11"/>
  <c r="Z5" i="12"/>
  <c r="Z5" i="10"/>
  <c r="Z5" i="8"/>
  <c r="Y28" i="12"/>
  <c r="Y29" i="12"/>
  <c r="W9" i="12"/>
  <c r="W9" i="11"/>
  <c r="W9" i="10"/>
  <c r="W9" i="8"/>
  <c r="T100" i="4"/>
  <c r="AA13" i="14" s="1"/>
  <c r="Z8" i="7"/>
  <c r="T97" i="4"/>
  <c r="AA12" i="14" s="1"/>
  <c r="Z5" i="7"/>
  <c r="Q95" i="4"/>
  <c r="X10" i="14" s="1"/>
  <c r="W4" i="7"/>
  <c r="P102" i="4"/>
  <c r="W9" i="7"/>
  <c r="M108" i="4"/>
  <c r="M109" i="4"/>
  <c r="Z188" i="16" l="1"/>
  <c r="Z184" i="16"/>
  <c r="Z189" i="16"/>
  <c r="N3" i="47"/>
  <c r="Z22" i="12"/>
  <c r="Z21" i="12"/>
  <c r="Z20" i="12"/>
  <c r="Y190" i="16"/>
  <c r="Y76" i="16"/>
  <c r="X76" i="16"/>
  <c r="Z21" i="13"/>
  <c r="Z29" i="13" s="1"/>
  <c r="Z20" i="13"/>
  <c r="Z28" i="13" s="1"/>
  <c r="Z19" i="13"/>
  <c r="Z27" i="13" s="1"/>
  <c r="Z71" i="16"/>
  <c r="Z75" i="16" s="1"/>
  <c r="Z37" i="13"/>
  <c r="Y126" i="12"/>
  <c r="Z30" i="12"/>
  <c r="AF15" i="7"/>
  <c r="AF21" i="14"/>
  <c r="AG14" i="7"/>
  <c r="AG14" i="11"/>
  <c r="AF15" i="11"/>
  <c r="AG14" i="8"/>
  <c r="AF15" i="8"/>
  <c r="AG14" i="10"/>
  <c r="AF15" i="10"/>
  <c r="Z213" i="16"/>
  <c r="Z362" i="16"/>
  <c r="BM13" i="14"/>
  <c r="BM6" i="16"/>
  <c r="BM12" i="14"/>
  <c r="BM5" i="16"/>
  <c r="BR11" i="14"/>
  <c r="BR4" i="16"/>
  <c r="AO16" i="16"/>
  <c r="AO22" i="14"/>
  <c r="S107" i="4"/>
  <c r="T106" i="4" s="1"/>
  <c r="BT3" i="16" s="1"/>
  <c r="BS10" i="14"/>
  <c r="AA157" i="14"/>
  <c r="AA135" i="14"/>
  <c r="Y219" i="16"/>
  <c r="Z218" i="16"/>
  <c r="Z35" i="13"/>
  <c r="Z36" i="13"/>
  <c r="X3" i="13"/>
  <c r="X3" i="16"/>
  <c r="W6" i="13"/>
  <c r="W6" i="16"/>
  <c r="W7" i="13"/>
  <c r="W7" i="16"/>
  <c r="W10" i="13"/>
  <c r="W10" i="16"/>
  <c r="AA5" i="13"/>
  <c r="AA5" i="16"/>
  <c r="AA8" i="13"/>
  <c r="AA8" i="16"/>
  <c r="Z217" i="16"/>
  <c r="Y124" i="12"/>
  <c r="AP14" i="12"/>
  <c r="Y125" i="12"/>
  <c r="X3" i="12"/>
  <c r="Q101" i="4"/>
  <c r="X3" i="11"/>
  <c r="X3" i="10"/>
  <c r="X3" i="8"/>
  <c r="AA8" i="11"/>
  <c r="AA8" i="12"/>
  <c r="AA8" i="10"/>
  <c r="AA8" i="8"/>
  <c r="W6" i="11"/>
  <c r="W6" i="12"/>
  <c r="W6" i="10"/>
  <c r="W6" i="8"/>
  <c r="W6" i="7"/>
  <c r="AA5" i="12"/>
  <c r="AA5" i="11"/>
  <c r="AA5" i="10"/>
  <c r="AA5" i="8"/>
  <c r="W7" i="12"/>
  <c r="W7" i="11"/>
  <c r="W7" i="10"/>
  <c r="W7" i="8"/>
  <c r="W7" i="7"/>
  <c r="W10" i="7"/>
  <c r="W10" i="12"/>
  <c r="W10" i="11"/>
  <c r="W10" i="10"/>
  <c r="W10" i="8"/>
  <c r="Z29" i="12"/>
  <c r="Z28" i="12"/>
  <c r="U97" i="4"/>
  <c r="AB12" i="14" s="1"/>
  <c r="AA5" i="7"/>
  <c r="Q96" i="4"/>
  <c r="X11" i="14" s="1"/>
  <c r="X3" i="7"/>
  <c r="U100" i="4"/>
  <c r="AB13" i="14" s="1"/>
  <c r="AA8" i="7"/>
  <c r="AA22" i="12" l="1"/>
  <c r="AA21" i="12"/>
  <c r="AA20" i="12"/>
  <c r="Z190" i="16"/>
  <c r="AA188" i="16"/>
  <c r="AA184" i="16"/>
  <c r="O3" i="47"/>
  <c r="AA189" i="16"/>
  <c r="W3" i="47"/>
  <c r="Z76" i="16"/>
  <c r="AA21" i="13"/>
  <c r="AA29" i="13" s="1"/>
  <c r="AA20" i="13"/>
  <c r="AA28" i="13" s="1"/>
  <c r="AA19" i="13"/>
  <c r="AA27" i="13" s="1"/>
  <c r="AA71" i="16"/>
  <c r="AA75" i="16" s="1"/>
  <c r="AA37" i="13"/>
  <c r="Z126" i="12"/>
  <c r="W78" i="12"/>
  <c r="AA30" i="12"/>
  <c r="AG15" i="7"/>
  <c r="AG21" i="14"/>
  <c r="AH14" i="11"/>
  <c r="AG15" i="11"/>
  <c r="AH14" i="8"/>
  <c r="AG15" i="8"/>
  <c r="W77" i="12"/>
  <c r="W76" i="12"/>
  <c r="AH14" i="7"/>
  <c r="AH14" i="10"/>
  <c r="AG15" i="10"/>
  <c r="AA213" i="16"/>
  <c r="AA362" i="16"/>
  <c r="BM210" i="16"/>
  <c r="BS11" i="14"/>
  <c r="BS4" i="16"/>
  <c r="AP16" i="16"/>
  <c r="AP22" i="14"/>
  <c r="T107" i="4"/>
  <c r="U106" i="4" s="1"/>
  <c r="BU3" i="16" s="1"/>
  <c r="BT10" i="14"/>
  <c r="AB157" i="14"/>
  <c r="AB135" i="14"/>
  <c r="Z219" i="16"/>
  <c r="AA218" i="16"/>
  <c r="AA35" i="13"/>
  <c r="AA36" i="13"/>
  <c r="AB5" i="13"/>
  <c r="AB5" i="16"/>
  <c r="X4" i="13"/>
  <c r="X4" i="16"/>
  <c r="L2" i="47" s="1"/>
  <c r="AB8" i="13"/>
  <c r="AB8" i="16"/>
  <c r="AB427" i="16" s="1"/>
  <c r="X9" i="13"/>
  <c r="X9" i="16"/>
  <c r="AA217" i="16"/>
  <c r="Z125" i="12"/>
  <c r="AQ14" i="12"/>
  <c r="Z124" i="12"/>
  <c r="AA28" i="12"/>
  <c r="AA29" i="12"/>
  <c r="AB8" i="11"/>
  <c r="AB8" i="12"/>
  <c r="AB8" i="10"/>
  <c r="AB8" i="8"/>
  <c r="X4" i="12"/>
  <c r="X4" i="11"/>
  <c r="X4" i="10"/>
  <c r="X4" i="8"/>
  <c r="Q99" i="4"/>
  <c r="X15" i="14" s="1"/>
  <c r="Q98" i="4"/>
  <c r="X14" i="14" s="1"/>
  <c r="X9" i="12"/>
  <c r="X9" i="11"/>
  <c r="X9" i="10"/>
  <c r="X9" i="8"/>
  <c r="AB5" i="12"/>
  <c r="AB5" i="11"/>
  <c r="AB5" i="10"/>
  <c r="AB5" i="8"/>
  <c r="V100" i="4"/>
  <c r="AC13" i="14" s="1"/>
  <c r="AB8" i="7"/>
  <c r="V97" i="4"/>
  <c r="AC12" i="14" s="1"/>
  <c r="AB5" i="7"/>
  <c r="R95" i="4"/>
  <c r="Y10" i="14" s="1"/>
  <c r="X4" i="7"/>
  <c r="X9" i="7"/>
  <c r="Q102" i="4"/>
  <c r="AA190" i="16" l="1"/>
  <c r="P3" i="47"/>
  <c r="AB189" i="16"/>
  <c r="AB184" i="16"/>
  <c r="AB188" i="16"/>
  <c r="AB20" i="12"/>
  <c r="AB21" i="12"/>
  <c r="AB22" i="12"/>
  <c r="AA76" i="16"/>
  <c r="AB21" i="13"/>
  <c r="AB29" i="13" s="1"/>
  <c r="AB20" i="13"/>
  <c r="AB28" i="13" s="1"/>
  <c r="AB19" i="13"/>
  <c r="AB27" i="13" s="1"/>
  <c r="AB71" i="16"/>
  <c r="AB75" i="16" s="1"/>
  <c r="AB37" i="13"/>
  <c r="AA126" i="12"/>
  <c r="AB30" i="12"/>
  <c r="AH15" i="7"/>
  <c r="AH21" i="14"/>
  <c r="AB213" i="16"/>
  <c r="AI14" i="11"/>
  <c r="AH15" i="11"/>
  <c r="AI14" i="7"/>
  <c r="AI14" i="8"/>
  <c r="AH15" i="8"/>
  <c r="AI14" i="10"/>
  <c r="AH15" i="10"/>
  <c r="AB362" i="16"/>
  <c r="BT11" i="14"/>
  <c r="BT4" i="16"/>
  <c r="U107" i="4"/>
  <c r="V106" i="4" s="1"/>
  <c r="BV3" i="16" s="1"/>
  <c r="BU10" i="14"/>
  <c r="AC135" i="14"/>
  <c r="AC157" i="14"/>
  <c r="AQ16" i="16"/>
  <c r="AQ22" i="14"/>
  <c r="AA219" i="16"/>
  <c r="AB218" i="16"/>
  <c r="AB35" i="13"/>
  <c r="X10" i="13"/>
  <c r="X10" i="16"/>
  <c r="AB36" i="13"/>
  <c r="X6" i="13"/>
  <c r="X6" i="16"/>
  <c r="X7" i="13"/>
  <c r="X7" i="16"/>
  <c r="AC5" i="13"/>
  <c r="AC5" i="16"/>
  <c r="AB217" i="16"/>
  <c r="Y3" i="13"/>
  <c r="Y3" i="16"/>
  <c r="AC8" i="13"/>
  <c r="AC8" i="16"/>
  <c r="AR14" i="12"/>
  <c r="AA125" i="12"/>
  <c r="AA124" i="12"/>
  <c r="AB29" i="12"/>
  <c r="AB28" i="12"/>
  <c r="X10" i="7"/>
  <c r="X10" i="12"/>
  <c r="X10" i="11"/>
  <c r="X10" i="10"/>
  <c r="X10" i="8"/>
  <c r="Y3" i="12"/>
  <c r="R101" i="4"/>
  <c r="Y3" i="11"/>
  <c r="Y3" i="10"/>
  <c r="Y3" i="8"/>
  <c r="AC8" i="12"/>
  <c r="AC8" i="11"/>
  <c r="AC8" i="10"/>
  <c r="AC8" i="8"/>
  <c r="X6" i="11"/>
  <c r="X6" i="12"/>
  <c r="X6" i="10"/>
  <c r="X6" i="8"/>
  <c r="X6" i="7"/>
  <c r="AC5" i="12"/>
  <c r="AC5" i="11"/>
  <c r="AC5" i="10"/>
  <c r="AC5" i="8"/>
  <c r="X7" i="12"/>
  <c r="X7" i="11"/>
  <c r="X7" i="10"/>
  <c r="X7" i="8"/>
  <c r="X7" i="7"/>
  <c r="R96" i="4"/>
  <c r="Y11" i="14" s="1"/>
  <c r="Y3" i="7"/>
  <c r="W100" i="4"/>
  <c r="AD13" i="14" s="1"/>
  <c r="AC8" i="7"/>
  <c r="W97" i="4"/>
  <c r="AD12" i="14" s="1"/>
  <c r="AC5" i="7"/>
  <c r="AB190" i="16" l="1"/>
  <c r="Q3" i="47"/>
  <c r="AC189" i="16"/>
  <c r="AC184" i="16"/>
  <c r="AC188" i="16"/>
  <c r="AC20" i="12"/>
  <c r="AC22" i="12"/>
  <c r="AC21" i="12"/>
  <c r="AB76" i="16"/>
  <c r="AC21" i="13"/>
  <c r="AC29" i="13" s="1"/>
  <c r="AC20" i="13"/>
  <c r="AC28" i="13" s="1"/>
  <c r="AC19" i="13"/>
  <c r="AC27" i="13" s="1"/>
  <c r="AC71" i="16"/>
  <c r="AC75" i="16" s="1"/>
  <c r="AC37" i="13"/>
  <c r="AB126" i="12"/>
  <c r="X78" i="12"/>
  <c r="AC30" i="12"/>
  <c r="AI15" i="7"/>
  <c r="AI21" i="14"/>
  <c r="AC213" i="16"/>
  <c r="X76" i="12"/>
  <c r="X77" i="12"/>
  <c r="AJ14" i="8"/>
  <c r="AI15" i="8"/>
  <c r="AJ14" i="7"/>
  <c r="AJ14" i="10"/>
  <c r="AI15" i="10"/>
  <c r="AJ14" i="11"/>
  <c r="AI15" i="11"/>
  <c r="AC362" i="16"/>
  <c r="BU11" i="14"/>
  <c r="BU4" i="16"/>
  <c r="AD135" i="14"/>
  <c r="AD157" i="14"/>
  <c r="AR16" i="16"/>
  <c r="AR22" i="14"/>
  <c r="V107" i="4"/>
  <c r="BV10" i="14"/>
  <c r="AB219" i="16"/>
  <c r="AC218" i="16"/>
  <c r="AC35" i="13"/>
  <c r="AC36" i="13"/>
  <c r="AD5" i="13"/>
  <c r="AD5" i="16"/>
  <c r="Y4" i="13"/>
  <c r="Y4" i="16"/>
  <c r="M2" i="47" s="1"/>
  <c r="AC217" i="16"/>
  <c r="AD8" i="13"/>
  <c r="AD8" i="16"/>
  <c r="Y9" i="13"/>
  <c r="Y9" i="16"/>
  <c r="AS14" i="12"/>
  <c r="AB125" i="12"/>
  <c r="AB124" i="12"/>
  <c r="AC29" i="12"/>
  <c r="AC28" i="12"/>
  <c r="Y9" i="12"/>
  <c r="Y9" i="11"/>
  <c r="Y9" i="10"/>
  <c r="Y9" i="8"/>
  <c r="AD5" i="12"/>
  <c r="AD5" i="11"/>
  <c r="AD5" i="10"/>
  <c r="AD5" i="8"/>
  <c r="Y4" i="12"/>
  <c r="Y4" i="11"/>
  <c r="Y4" i="10"/>
  <c r="Y4" i="8"/>
  <c r="R99" i="4"/>
  <c r="Y15" i="14" s="1"/>
  <c r="R98" i="4"/>
  <c r="Y14" i="14" s="1"/>
  <c r="AD8" i="12"/>
  <c r="AD8" i="11"/>
  <c r="AD8" i="10"/>
  <c r="AD8" i="8"/>
  <c r="X100" i="4"/>
  <c r="AE13" i="14" s="1"/>
  <c r="AD8" i="7"/>
  <c r="X97" i="4"/>
  <c r="AE12" i="14" s="1"/>
  <c r="AD5" i="7"/>
  <c r="S95" i="4"/>
  <c r="Z10" i="14" s="1"/>
  <c r="Y4" i="7"/>
  <c r="Y9" i="7"/>
  <c r="R102" i="4"/>
  <c r="AC190" i="16" l="1"/>
  <c r="AD22" i="12"/>
  <c r="AD21" i="12"/>
  <c r="AD20" i="12"/>
  <c r="R3" i="47"/>
  <c r="AD189" i="16"/>
  <c r="AD184" i="16"/>
  <c r="AD188" i="16"/>
  <c r="AD190" i="16" s="1"/>
  <c r="AC76" i="16"/>
  <c r="AD21" i="13"/>
  <c r="AD29" i="13" s="1"/>
  <c r="AD20" i="13"/>
  <c r="AD28" i="13" s="1"/>
  <c r="AD19" i="13"/>
  <c r="AD27" i="13" s="1"/>
  <c r="AD71" i="16"/>
  <c r="AD75" i="16" s="1"/>
  <c r="AD37" i="13"/>
  <c r="AC126" i="12"/>
  <c r="AD30" i="12"/>
  <c r="AJ15" i="7"/>
  <c r="AJ21" i="14"/>
  <c r="AD213" i="16"/>
  <c r="AK14" i="11"/>
  <c r="AJ15" i="11"/>
  <c r="AK14" i="7"/>
  <c r="AK14" i="8"/>
  <c r="AJ15" i="8"/>
  <c r="AK14" i="10"/>
  <c r="AJ15" i="10"/>
  <c r="AD362" i="16"/>
  <c r="BV11" i="14"/>
  <c r="BV4" i="16"/>
  <c r="AE135" i="14"/>
  <c r="AE157" i="14"/>
  <c r="AS16" i="16"/>
  <c r="AS22" i="14"/>
  <c r="AC219" i="16"/>
  <c r="AD36" i="13"/>
  <c r="AD35" i="13"/>
  <c r="AD218" i="16"/>
  <c r="Y6" i="13"/>
  <c r="Y6" i="16"/>
  <c r="Y10" i="13"/>
  <c r="Y10" i="16"/>
  <c r="Y7" i="13"/>
  <c r="Y7" i="16"/>
  <c r="Z3" i="13"/>
  <c r="Z3" i="16"/>
  <c r="AE8" i="13"/>
  <c r="AE8" i="16"/>
  <c r="AD217" i="16"/>
  <c r="AE5" i="13"/>
  <c r="AE5" i="16"/>
  <c r="AT14" i="12"/>
  <c r="AC124" i="12"/>
  <c r="AC125" i="12"/>
  <c r="Y10" i="7"/>
  <c r="Y10" i="11"/>
  <c r="Y10" i="12"/>
  <c r="Y10" i="10"/>
  <c r="Y10" i="8"/>
  <c r="S101" i="4"/>
  <c r="Z3" i="12"/>
  <c r="Z3" i="11"/>
  <c r="Z3" i="10"/>
  <c r="Z3" i="8"/>
  <c r="AE8" i="12"/>
  <c r="AE8" i="11"/>
  <c r="AE8" i="10"/>
  <c r="AE8" i="8"/>
  <c r="Y6" i="12"/>
  <c r="Y6" i="11"/>
  <c r="Y6" i="10"/>
  <c r="Y6" i="8"/>
  <c r="Y6" i="7"/>
  <c r="Y7" i="12"/>
  <c r="Y7" i="11"/>
  <c r="Y7" i="10"/>
  <c r="Y7" i="8"/>
  <c r="Y7" i="7"/>
  <c r="AE5" i="12"/>
  <c r="AE5" i="11"/>
  <c r="AE5" i="10"/>
  <c r="AE5" i="8"/>
  <c r="AD28" i="12"/>
  <c r="AD29" i="12"/>
  <c r="Y97" i="4"/>
  <c r="AF12" i="14" s="1"/>
  <c r="AE5" i="7"/>
  <c r="S96" i="4"/>
  <c r="Z11" i="14" s="1"/>
  <c r="Z3" i="7"/>
  <c r="Y100" i="4"/>
  <c r="AF13" i="14" s="1"/>
  <c r="AE8" i="7"/>
  <c r="G24" i="1"/>
  <c r="C24" i="1" s="1"/>
  <c r="H24" i="1"/>
  <c r="I24" i="1"/>
  <c r="J24" i="1"/>
  <c r="K24" i="1"/>
  <c r="L24" i="1"/>
  <c r="P24" i="1"/>
  <c r="Q24" i="1"/>
  <c r="R24" i="1"/>
  <c r="S24" i="1"/>
  <c r="T24" i="1"/>
  <c r="W24" i="1"/>
  <c r="X24" i="1"/>
  <c r="Y24" i="1"/>
  <c r="G25" i="1"/>
  <c r="C25" i="1" s="1"/>
  <c r="H25" i="1"/>
  <c r="I25" i="1"/>
  <c r="J25" i="1"/>
  <c r="K25" i="1"/>
  <c r="L25" i="1"/>
  <c r="P25" i="1"/>
  <c r="Q25" i="1"/>
  <c r="R25" i="1"/>
  <c r="S25" i="1"/>
  <c r="T25" i="1"/>
  <c r="W25" i="1"/>
  <c r="X25" i="1"/>
  <c r="Y25" i="1"/>
  <c r="H23" i="1"/>
  <c r="I23" i="1"/>
  <c r="J23" i="1"/>
  <c r="K23" i="1"/>
  <c r="L23" i="1"/>
  <c r="P23" i="1"/>
  <c r="Q23" i="1"/>
  <c r="R23" i="1"/>
  <c r="S23" i="1"/>
  <c r="T23" i="1"/>
  <c r="W23" i="1"/>
  <c r="X23" i="1"/>
  <c r="Y23" i="1"/>
  <c r="G23" i="1"/>
  <c r="C23" i="1" s="1"/>
  <c r="S3" i="47" l="1"/>
  <c r="AE189" i="16"/>
  <c r="AE184" i="16"/>
  <c r="AE188" i="16"/>
  <c r="AE22" i="12"/>
  <c r="AE21" i="12"/>
  <c r="AE20" i="12"/>
  <c r="AD76" i="16"/>
  <c r="AE21" i="13"/>
  <c r="AE29" i="13" s="1"/>
  <c r="AE20" i="13"/>
  <c r="AE28" i="13" s="1"/>
  <c r="AE19" i="13"/>
  <c r="AE27" i="13" s="1"/>
  <c r="AE71" i="16"/>
  <c r="AE75" i="16" s="1"/>
  <c r="B24" i="1"/>
  <c r="P25" i="46"/>
  <c r="E5" i="46"/>
  <c r="AE15" i="5"/>
  <c r="AE14" i="5"/>
  <c r="AE13" i="5"/>
  <c r="AC15" i="5"/>
  <c r="AC14" i="5"/>
  <c r="AC13" i="5"/>
  <c r="P14" i="4"/>
  <c r="P13" i="4"/>
  <c r="P12" i="4"/>
  <c r="P11" i="4"/>
  <c r="P10" i="4"/>
  <c r="D23" i="1"/>
  <c r="C21" i="11"/>
  <c r="D24" i="1"/>
  <c r="D25" i="1"/>
  <c r="C111" i="7"/>
  <c r="J111" i="7" s="1"/>
  <c r="C94" i="7"/>
  <c r="J94" i="7" s="1"/>
  <c r="C103" i="7"/>
  <c r="C85" i="7"/>
  <c r="J85" i="7" s="1"/>
  <c r="C45" i="39"/>
  <c r="C67" i="7"/>
  <c r="J67" i="7" s="1"/>
  <c r="C58" i="7"/>
  <c r="J58" i="7" s="1"/>
  <c r="C17" i="6"/>
  <c r="C48" i="7"/>
  <c r="J48" i="7" s="1"/>
  <c r="C40" i="7"/>
  <c r="J40" i="7" s="1"/>
  <c r="C76" i="7"/>
  <c r="J76" i="7" s="1"/>
  <c r="C31" i="7"/>
  <c r="J31" i="7" s="1"/>
  <c r="C22" i="7"/>
  <c r="C116" i="8"/>
  <c r="J116" i="8" s="1"/>
  <c r="C100" i="8"/>
  <c r="C91" i="8"/>
  <c r="J91" i="8" s="1"/>
  <c r="C134" i="8"/>
  <c r="J134" i="8" s="1"/>
  <c r="C73" i="8"/>
  <c r="J73" i="8" s="1"/>
  <c r="C82" i="8"/>
  <c r="J82" i="8" s="1"/>
  <c r="C56" i="8"/>
  <c r="J56" i="8" s="1"/>
  <c r="C124" i="8"/>
  <c r="J124" i="8" s="1"/>
  <c r="C48" i="8"/>
  <c r="J48" i="8" s="1"/>
  <c r="C108" i="8"/>
  <c r="J108" i="8" s="1"/>
  <c r="C31" i="8"/>
  <c r="J31" i="8" s="1"/>
  <c r="C40" i="8"/>
  <c r="J40" i="8" s="1"/>
  <c r="C102" i="10"/>
  <c r="J102" i="10" s="1"/>
  <c r="C128" i="10"/>
  <c r="J128" i="10" s="1"/>
  <c r="C118" i="10"/>
  <c r="J118" i="10" s="1"/>
  <c r="C22" i="8"/>
  <c r="C67" i="10"/>
  <c r="J67" i="10" s="1"/>
  <c r="C64" i="8"/>
  <c r="J64" i="8" s="1"/>
  <c r="C110" i="10"/>
  <c r="J110" i="10" s="1"/>
  <c r="C94" i="10"/>
  <c r="C58" i="10"/>
  <c r="J58" i="10" s="1"/>
  <c r="C85" i="10"/>
  <c r="J85" i="10" s="1"/>
  <c r="C49" i="10"/>
  <c r="J49" i="10" s="1"/>
  <c r="C128" i="11"/>
  <c r="J128" i="11" s="1"/>
  <c r="C40" i="10"/>
  <c r="J40" i="10" s="1"/>
  <c r="C31" i="10"/>
  <c r="J31" i="10" s="1"/>
  <c r="C22" i="10"/>
  <c r="C76" i="10"/>
  <c r="J76" i="10" s="1"/>
  <c r="C102" i="11"/>
  <c r="J102" i="11" s="1"/>
  <c r="C94" i="11"/>
  <c r="C110" i="11"/>
  <c r="J110" i="11" s="1"/>
  <c r="C76" i="11"/>
  <c r="J76" i="11" s="1"/>
  <c r="C40" i="11"/>
  <c r="J40" i="11" s="1"/>
  <c r="C85" i="11"/>
  <c r="J85" i="11" s="1"/>
  <c r="C67" i="11"/>
  <c r="J67" i="11" s="1"/>
  <c r="C31" i="11"/>
  <c r="J31" i="11" s="1"/>
  <c r="C58" i="11"/>
  <c r="J58" i="11" s="1"/>
  <c r="C22" i="11"/>
  <c r="C49" i="11"/>
  <c r="J49" i="11" s="1"/>
  <c r="J21" i="11"/>
  <c r="M21" i="11"/>
  <c r="AE21" i="11" s="1"/>
  <c r="AE37" i="13"/>
  <c r="AD126" i="12"/>
  <c r="Y78" i="12"/>
  <c r="AE30" i="12"/>
  <c r="B25" i="1"/>
  <c r="C118" i="11"/>
  <c r="J118" i="11" s="1"/>
  <c r="C43" i="39"/>
  <c r="C15" i="6"/>
  <c r="C109" i="7"/>
  <c r="J109" i="7" s="1"/>
  <c r="C101" i="7"/>
  <c r="C92" i="7"/>
  <c r="C83" i="7"/>
  <c r="C74" i="7"/>
  <c r="J74" i="7" s="1"/>
  <c r="C65" i="7"/>
  <c r="J65" i="7" s="1"/>
  <c r="C56" i="7"/>
  <c r="J56" i="7" s="1"/>
  <c r="C46" i="7"/>
  <c r="J46" i="7" s="1"/>
  <c r="C38" i="7"/>
  <c r="J38" i="7" s="1"/>
  <c r="C29" i="7"/>
  <c r="J29" i="7" s="1"/>
  <c r="C122" i="8"/>
  <c r="C114" i="8"/>
  <c r="J114" i="8" s="1"/>
  <c r="C106" i="8"/>
  <c r="J106" i="8" s="1"/>
  <c r="C20" i="7"/>
  <c r="C132" i="8"/>
  <c r="J132" i="8" s="1"/>
  <c r="C98" i="8"/>
  <c r="C89" i="8"/>
  <c r="C80" i="8"/>
  <c r="J80" i="8" s="1"/>
  <c r="C71" i="8"/>
  <c r="J71" i="8" s="1"/>
  <c r="C62" i="8"/>
  <c r="J62" i="8" s="1"/>
  <c r="C54" i="8"/>
  <c r="J54" i="8" s="1"/>
  <c r="C46" i="8"/>
  <c r="J46" i="8" s="1"/>
  <c r="C38" i="8"/>
  <c r="J38" i="8" s="1"/>
  <c r="C29" i="8"/>
  <c r="J29" i="8" s="1"/>
  <c r="C20" i="8"/>
  <c r="C126" i="10"/>
  <c r="J126" i="10" s="1"/>
  <c r="C116" i="10"/>
  <c r="J116" i="10" s="1"/>
  <c r="C108" i="10"/>
  <c r="J108" i="10" s="1"/>
  <c r="C100" i="10"/>
  <c r="J100" i="10" s="1"/>
  <c r="C92" i="10"/>
  <c r="C83" i="10"/>
  <c r="C74" i="10"/>
  <c r="J74" i="10" s="1"/>
  <c r="C65" i="10"/>
  <c r="J65" i="10" s="1"/>
  <c r="C56" i="10"/>
  <c r="J56" i="10" s="1"/>
  <c r="C47" i="10"/>
  <c r="J47" i="10" s="1"/>
  <c r="C38" i="10"/>
  <c r="J38" i="10" s="1"/>
  <c r="C29" i="10"/>
  <c r="J29" i="10" s="1"/>
  <c r="C20" i="10"/>
  <c r="C126" i="11"/>
  <c r="J126" i="11" s="1"/>
  <c r="C116" i="11"/>
  <c r="J116" i="11" s="1"/>
  <c r="C108" i="11"/>
  <c r="J108" i="11" s="1"/>
  <c r="C100" i="11"/>
  <c r="J100" i="11" s="1"/>
  <c r="C92" i="11"/>
  <c r="C83" i="11"/>
  <c r="C74" i="11"/>
  <c r="J74" i="11" s="1"/>
  <c r="C65" i="11"/>
  <c r="J65" i="11" s="1"/>
  <c r="C56" i="11"/>
  <c r="J56" i="11" s="1"/>
  <c r="C47" i="11"/>
  <c r="J47" i="11" s="1"/>
  <c r="C38" i="11"/>
  <c r="J38" i="11" s="1"/>
  <c r="C29" i="11"/>
  <c r="J29" i="11" s="1"/>
  <c r="C20" i="11"/>
  <c r="C42" i="28"/>
  <c r="C38" i="28"/>
  <c r="C35" i="28"/>
  <c r="C44" i="39"/>
  <c r="C16" i="6"/>
  <c r="C75" i="7"/>
  <c r="J75" i="7" s="1"/>
  <c r="C102" i="7"/>
  <c r="C110" i="7"/>
  <c r="J110" i="7" s="1"/>
  <c r="C57" i="7"/>
  <c r="J57" i="7" s="1"/>
  <c r="C47" i="7"/>
  <c r="J47" i="7" s="1"/>
  <c r="C39" i="7"/>
  <c r="J39" i="7" s="1"/>
  <c r="C30" i="7"/>
  <c r="J30" i="7" s="1"/>
  <c r="C21" i="7"/>
  <c r="C133" i="8"/>
  <c r="J133" i="8" s="1"/>
  <c r="C66" i="7"/>
  <c r="J66" i="7" s="1"/>
  <c r="C93" i="7"/>
  <c r="J93" i="7" s="1"/>
  <c r="C123" i="8"/>
  <c r="J123" i="8" s="1"/>
  <c r="C115" i="8"/>
  <c r="J115" i="8" s="1"/>
  <c r="C107" i="8"/>
  <c r="J107" i="8" s="1"/>
  <c r="C84" i="7"/>
  <c r="J84" i="7" s="1"/>
  <c r="C63" i="8"/>
  <c r="J63" i="8" s="1"/>
  <c r="C72" i="8"/>
  <c r="J72" i="8" s="1"/>
  <c r="C55" i="8"/>
  <c r="J55" i="8" s="1"/>
  <c r="C81" i="8"/>
  <c r="J81" i="8" s="1"/>
  <c r="C90" i="8"/>
  <c r="J90" i="8" s="1"/>
  <c r="C99" i="8"/>
  <c r="C30" i="8"/>
  <c r="J30" i="8" s="1"/>
  <c r="C127" i="10"/>
  <c r="J127" i="10" s="1"/>
  <c r="C117" i="10"/>
  <c r="J117" i="10" s="1"/>
  <c r="C109" i="10"/>
  <c r="J109" i="10" s="1"/>
  <c r="C21" i="8"/>
  <c r="C101" i="10"/>
  <c r="J101" i="10" s="1"/>
  <c r="C39" i="8"/>
  <c r="J39" i="8" s="1"/>
  <c r="C93" i="10"/>
  <c r="C84" i="10"/>
  <c r="J84" i="10" s="1"/>
  <c r="C75" i="10"/>
  <c r="J75" i="10" s="1"/>
  <c r="C66" i="10"/>
  <c r="J66" i="10" s="1"/>
  <c r="C57" i="10"/>
  <c r="J57" i="10" s="1"/>
  <c r="C48" i="10"/>
  <c r="J48" i="10" s="1"/>
  <c r="C39" i="10"/>
  <c r="J39" i="10" s="1"/>
  <c r="C30" i="10"/>
  <c r="J30" i="10" s="1"/>
  <c r="C21" i="10"/>
  <c r="C127" i="11"/>
  <c r="J127" i="11" s="1"/>
  <c r="C117" i="11"/>
  <c r="J117" i="11" s="1"/>
  <c r="C47" i="8"/>
  <c r="J47" i="8" s="1"/>
  <c r="C109" i="11"/>
  <c r="J109" i="11" s="1"/>
  <c r="C93" i="11"/>
  <c r="C101" i="11"/>
  <c r="J101" i="11" s="1"/>
  <c r="C75" i="11"/>
  <c r="J75" i="11" s="1"/>
  <c r="C84" i="11"/>
  <c r="J84" i="11" s="1"/>
  <c r="C30" i="11"/>
  <c r="J30" i="11" s="1"/>
  <c r="C57" i="11"/>
  <c r="J57" i="11" s="1"/>
  <c r="C39" i="11"/>
  <c r="J39" i="11" s="1"/>
  <c r="C66" i="11"/>
  <c r="J66" i="11" s="1"/>
  <c r="C48" i="11"/>
  <c r="J48" i="11" s="1"/>
  <c r="B23" i="1"/>
  <c r="AK15" i="7"/>
  <c r="AK21" i="14"/>
  <c r="AE213" i="16"/>
  <c r="AL14" i="8"/>
  <c r="AK15" i="8"/>
  <c r="AL14" i="11"/>
  <c r="AK15" i="11"/>
  <c r="Y76" i="12"/>
  <c r="Y77" i="12"/>
  <c r="AL14" i="7"/>
  <c r="AL14" i="10"/>
  <c r="AK15" i="10"/>
  <c r="D59" i="25"/>
  <c r="D39" i="25"/>
  <c r="D55" i="25"/>
  <c r="D43" i="25"/>
  <c r="D44" i="25"/>
  <c r="D51" i="25"/>
  <c r="D52" i="25"/>
  <c r="D56" i="25"/>
  <c r="D58" i="25"/>
  <c r="D40" i="25"/>
  <c r="D48" i="25"/>
  <c r="D41" i="25"/>
  <c r="D49" i="25"/>
  <c r="D57" i="25"/>
  <c r="D53" i="25"/>
  <c r="D54" i="25"/>
  <c r="D47" i="25"/>
  <c r="D42" i="25"/>
  <c r="D45" i="25"/>
  <c r="D46" i="25"/>
  <c r="D50" i="25"/>
  <c r="D38" i="25"/>
  <c r="C59" i="25"/>
  <c r="C55" i="25"/>
  <c r="C51" i="25"/>
  <c r="C39" i="25"/>
  <c r="C38" i="25"/>
  <c r="C49" i="25"/>
  <c r="C41" i="25"/>
  <c r="C58" i="25"/>
  <c r="C54" i="25"/>
  <c r="C50" i="25"/>
  <c r="C46" i="25"/>
  <c r="C42" i="25"/>
  <c r="C53" i="25"/>
  <c r="C45" i="25"/>
  <c r="C43" i="25"/>
  <c r="C57" i="25"/>
  <c r="C56" i="25"/>
  <c r="C52" i="25"/>
  <c r="C48" i="25"/>
  <c r="C44" i="25"/>
  <c r="C40" i="25"/>
  <c r="C47" i="25"/>
  <c r="AE362" i="16"/>
  <c r="AF157" i="14"/>
  <c r="AF135" i="14"/>
  <c r="AT16" i="16"/>
  <c r="AT22" i="14"/>
  <c r="AE36" i="13"/>
  <c r="AE218" i="16"/>
  <c r="AD219" i="16"/>
  <c r="AE35" i="13"/>
  <c r="AE217" i="16"/>
  <c r="Z4" i="13"/>
  <c r="Z4" i="16"/>
  <c r="N2" i="47" s="1"/>
  <c r="AF8" i="13"/>
  <c r="AF8" i="16"/>
  <c r="Z9" i="13"/>
  <c r="Z9" i="16"/>
  <c r="AF5" i="13"/>
  <c r="AF5" i="16"/>
  <c r="AD125" i="12"/>
  <c r="AU14" i="12"/>
  <c r="AD124" i="12"/>
  <c r="Z4" i="11"/>
  <c r="Z4" i="12"/>
  <c r="Z4" i="10"/>
  <c r="Z4" i="8"/>
  <c r="S99" i="4"/>
  <c r="Z15" i="14" s="1"/>
  <c r="S98" i="4"/>
  <c r="Z14" i="14" s="1"/>
  <c r="AF5" i="11"/>
  <c r="AF5" i="12"/>
  <c r="AF5" i="10"/>
  <c r="AF5" i="8"/>
  <c r="AE29" i="12"/>
  <c r="AE28" i="12"/>
  <c r="AF8" i="12"/>
  <c r="AF8" i="11"/>
  <c r="AF8" i="10"/>
  <c r="AF8" i="8"/>
  <c r="Z9" i="12"/>
  <c r="Z9" i="11"/>
  <c r="Z9" i="10"/>
  <c r="Z9" i="8"/>
  <c r="E24" i="1"/>
  <c r="D21" i="11" s="1"/>
  <c r="Z100" i="4"/>
  <c r="AG13" i="14" s="1"/>
  <c r="AF8" i="7"/>
  <c r="T95" i="4"/>
  <c r="AA10" i="14" s="1"/>
  <c r="Z4" i="7"/>
  <c r="Z9" i="7"/>
  <c r="S102" i="4"/>
  <c r="Z97" i="4"/>
  <c r="AG12" i="14" s="1"/>
  <c r="AF5" i="7"/>
  <c r="B5" i="2"/>
  <c r="B3" i="2"/>
  <c r="Q52" i="17" s="1"/>
  <c r="AA20" i="1"/>
  <c r="C4" i="1"/>
  <c r="A2" i="1"/>
  <c r="A1" i="1"/>
  <c r="AF71" i="16" l="1"/>
  <c r="AF189" i="16"/>
  <c r="AF184" i="16"/>
  <c r="AF188" i="16"/>
  <c r="AF190" i="16" s="1"/>
  <c r="AE190" i="16"/>
  <c r="AF22" i="12"/>
  <c r="AF21" i="12"/>
  <c r="AF20" i="12"/>
  <c r="T21" i="11"/>
  <c r="U21" i="11"/>
  <c r="V21" i="11"/>
  <c r="W21" i="11"/>
  <c r="X21" i="11"/>
  <c r="Y21" i="11"/>
  <c r="Z21" i="11"/>
  <c r="AA21" i="11"/>
  <c r="AB21" i="11"/>
  <c r="AC21" i="11"/>
  <c r="AD21" i="11"/>
  <c r="AF21" i="11"/>
  <c r="AE76" i="16"/>
  <c r="AF21" i="13"/>
  <c r="AF29" i="13" s="1"/>
  <c r="AF19" i="13"/>
  <c r="AF27" i="13" s="1"/>
  <c r="AF20" i="13"/>
  <c r="AF28" i="13" s="1"/>
  <c r="AF75" i="16"/>
  <c r="B56" i="45"/>
  <c r="D55" i="34"/>
  <c r="D56" i="38"/>
  <c r="B25" i="45"/>
  <c r="D24" i="34"/>
  <c r="D25" i="38"/>
  <c r="B89" i="45"/>
  <c r="D88" i="34"/>
  <c r="D89" i="38"/>
  <c r="B103" i="45"/>
  <c r="D102" i="34"/>
  <c r="D103" i="38"/>
  <c r="B58" i="45"/>
  <c r="D57" i="34"/>
  <c r="D58" i="38"/>
  <c r="B19" i="45"/>
  <c r="D18" i="34"/>
  <c r="D19" i="38"/>
  <c r="B83" i="45"/>
  <c r="D82" i="34"/>
  <c r="D83" i="38"/>
  <c r="B31" i="45"/>
  <c r="D30" i="34"/>
  <c r="D31" i="38"/>
  <c r="B44" i="45"/>
  <c r="D43" i="34"/>
  <c r="D44" i="38"/>
  <c r="E8" i="19"/>
  <c r="E4" i="14"/>
  <c r="E14" i="15"/>
  <c r="E4" i="15"/>
  <c r="F18" i="22"/>
  <c r="B21" i="45"/>
  <c r="D20" i="34"/>
  <c r="D21" i="38"/>
  <c r="B85" i="45"/>
  <c r="D84" i="34"/>
  <c r="D85" i="38"/>
  <c r="B23" i="45"/>
  <c r="D22" i="34"/>
  <c r="D23" i="38"/>
  <c r="B46" i="45"/>
  <c r="D45" i="34"/>
  <c r="D46" i="38"/>
  <c r="F20" i="22"/>
  <c r="E10" i="19"/>
  <c r="B64" i="45"/>
  <c r="D63" i="34"/>
  <c r="D64" i="38"/>
  <c r="B33" i="45"/>
  <c r="D32" i="34"/>
  <c r="D33" i="38"/>
  <c r="B97" i="45"/>
  <c r="D96" i="34"/>
  <c r="D97" i="38"/>
  <c r="B66" i="45"/>
  <c r="D65" i="34"/>
  <c r="D66" i="38"/>
  <c r="B27" i="45"/>
  <c r="D26" i="34"/>
  <c r="D27" i="38"/>
  <c r="B91" i="45"/>
  <c r="D90" i="34"/>
  <c r="D91" i="38"/>
  <c r="B87" i="45"/>
  <c r="D86" i="34"/>
  <c r="D87" i="38"/>
  <c r="B52" i="45"/>
  <c r="D51" i="34"/>
  <c r="D52" i="38"/>
  <c r="B29" i="45"/>
  <c r="D28" i="34"/>
  <c r="D29" i="38"/>
  <c r="B93" i="45"/>
  <c r="D92" i="34"/>
  <c r="D93" i="38"/>
  <c r="B79" i="45"/>
  <c r="D78" i="34"/>
  <c r="D79" i="38"/>
  <c r="B54" i="45"/>
  <c r="D53" i="34"/>
  <c r="D54" i="38"/>
  <c r="J83" i="11"/>
  <c r="J83" i="7"/>
  <c r="B8" i="45"/>
  <c r="E52" i="13"/>
  <c r="D8" i="38"/>
  <c r="D7" i="34"/>
  <c r="E192" i="12"/>
  <c r="D8" i="19"/>
  <c r="E3" i="14"/>
  <c r="E12" i="15"/>
  <c r="E3" i="15"/>
  <c r="C7" i="15" s="1"/>
  <c r="E18" i="22"/>
  <c r="E161" i="12"/>
  <c r="E153" i="12"/>
  <c r="E156" i="13"/>
  <c r="E140" i="13"/>
  <c r="E124" i="13"/>
  <c r="E108" i="13"/>
  <c r="E116" i="13"/>
  <c r="E100" i="13"/>
  <c r="E91" i="13"/>
  <c r="E164" i="13"/>
  <c r="E148" i="13"/>
  <c r="E132" i="13"/>
  <c r="E73" i="13"/>
  <c r="E59" i="13"/>
  <c r="E35" i="13"/>
  <c r="E19" i="13"/>
  <c r="E82" i="13"/>
  <c r="E66" i="13"/>
  <c r="E44" i="13"/>
  <c r="E217" i="12"/>
  <c r="E269" i="12"/>
  <c r="E276" i="12"/>
  <c r="E261" i="12"/>
  <c r="E253" i="12"/>
  <c r="E233" i="12"/>
  <c r="E243" i="12"/>
  <c r="E225" i="12"/>
  <c r="E177" i="12"/>
  <c r="E199" i="12"/>
  <c r="E184" i="12"/>
  <c r="E209" i="12"/>
  <c r="E116" i="12"/>
  <c r="E169" i="12"/>
  <c r="E124" i="12"/>
  <c r="E36" i="12"/>
  <c r="E146" i="12"/>
  <c r="E100" i="12"/>
  <c r="E108" i="12"/>
  <c r="E132" i="12"/>
  <c r="E139" i="12"/>
  <c r="E92" i="12"/>
  <c r="E84" i="12"/>
  <c r="E76" i="12"/>
  <c r="E60" i="12"/>
  <c r="E52" i="12"/>
  <c r="E44" i="12"/>
  <c r="E68" i="12"/>
  <c r="E28" i="12"/>
  <c r="E20" i="12"/>
  <c r="B72" i="45"/>
  <c r="D71" i="34"/>
  <c r="D72" i="38"/>
  <c r="B41" i="45"/>
  <c r="D40" i="34"/>
  <c r="D41" i="38"/>
  <c r="B105" i="45"/>
  <c r="D104" i="34"/>
  <c r="D105" i="38"/>
  <c r="B10" i="45"/>
  <c r="E148" i="12"/>
  <c r="E46" i="13"/>
  <c r="E278" i="12"/>
  <c r="E118" i="13"/>
  <c r="E150" i="13"/>
  <c r="E54" i="13"/>
  <c r="E271" i="12"/>
  <c r="E235" i="12"/>
  <c r="E134" i="12"/>
  <c r="E86" i="12"/>
  <c r="E54" i="12"/>
  <c r="E21" i="13"/>
  <c r="E163" i="12"/>
  <c r="E110" i="12"/>
  <c r="E134" i="13"/>
  <c r="E38" i="12"/>
  <c r="E84" i="13"/>
  <c r="E245" i="12"/>
  <c r="E227" i="12"/>
  <c r="E211" i="12"/>
  <c r="E171" i="12"/>
  <c r="E102" i="12"/>
  <c r="E102" i="13"/>
  <c r="E93" i="13"/>
  <c r="E186" i="12"/>
  <c r="E126" i="13"/>
  <c r="E158" i="13"/>
  <c r="D9" i="34"/>
  <c r="E142" i="13"/>
  <c r="E68" i="13"/>
  <c r="E194" i="12"/>
  <c r="E201" i="12"/>
  <c r="E179" i="12"/>
  <c r="E94" i="12"/>
  <c r="E78" i="12"/>
  <c r="E255" i="12"/>
  <c r="E110" i="13"/>
  <c r="E263" i="12"/>
  <c r="E155" i="12"/>
  <c r="E22" i="12"/>
  <c r="E141" i="12"/>
  <c r="E166" i="13"/>
  <c r="E61" i="13"/>
  <c r="E219" i="12"/>
  <c r="E126" i="12"/>
  <c r="E118" i="12"/>
  <c r="E62" i="12"/>
  <c r="E46" i="12"/>
  <c r="E75" i="13"/>
  <c r="E20" i="22"/>
  <c r="E37" i="13"/>
  <c r="E70" i="12"/>
  <c r="E30" i="12"/>
  <c r="D10" i="38"/>
  <c r="D10" i="19"/>
  <c r="B74" i="45"/>
  <c r="D73" i="34"/>
  <c r="D74" i="38"/>
  <c r="B35" i="45"/>
  <c r="D34" i="34"/>
  <c r="D35" i="38"/>
  <c r="B99" i="45"/>
  <c r="D98" i="34"/>
  <c r="D99" i="38"/>
  <c r="B60" i="45"/>
  <c r="D59" i="34"/>
  <c r="D60" i="38"/>
  <c r="B37" i="45"/>
  <c r="D36" i="34"/>
  <c r="D37" i="38"/>
  <c r="B101" i="45"/>
  <c r="D100" i="34"/>
  <c r="D101" i="38"/>
  <c r="B62" i="45"/>
  <c r="D61" i="34"/>
  <c r="D62" i="38"/>
  <c r="J92" i="7"/>
  <c r="B16" i="45"/>
  <c r="D15" i="34"/>
  <c r="D16" i="38"/>
  <c r="B80" i="45"/>
  <c r="D79" i="34"/>
  <c r="D80" i="38"/>
  <c r="B55" i="45"/>
  <c r="D54" i="34"/>
  <c r="D55" i="38"/>
  <c r="B49" i="45"/>
  <c r="D48" i="34"/>
  <c r="D49" i="38"/>
  <c r="B18" i="45"/>
  <c r="D17" i="34"/>
  <c r="D18" i="38"/>
  <c r="B82" i="45"/>
  <c r="D81" i="34"/>
  <c r="D82" i="38"/>
  <c r="B39" i="45"/>
  <c r="D38" i="34"/>
  <c r="D39" i="38"/>
  <c r="B43" i="45"/>
  <c r="D42" i="34"/>
  <c r="D43" i="38"/>
  <c r="B107" i="45"/>
  <c r="D106" i="34"/>
  <c r="D107" i="38"/>
  <c r="B68" i="45"/>
  <c r="D67" i="34"/>
  <c r="D68" i="38"/>
  <c r="B45" i="45"/>
  <c r="D44" i="34"/>
  <c r="D45" i="38"/>
  <c r="F19" i="22"/>
  <c r="E9" i="19"/>
  <c r="B70" i="45"/>
  <c r="D69" i="34"/>
  <c r="D70" i="38"/>
  <c r="B24" i="45"/>
  <c r="D23" i="34"/>
  <c r="D24" i="38"/>
  <c r="B88" i="45"/>
  <c r="D87" i="34"/>
  <c r="D88" i="38"/>
  <c r="B57" i="45"/>
  <c r="D56" i="34"/>
  <c r="D57" i="38"/>
  <c r="B26" i="45"/>
  <c r="D25" i="34"/>
  <c r="D26" i="38"/>
  <c r="B90" i="45"/>
  <c r="D89" i="34"/>
  <c r="D90" i="38"/>
  <c r="B95" i="45"/>
  <c r="D94" i="34"/>
  <c r="D95" i="38"/>
  <c r="B51" i="45"/>
  <c r="D50" i="34"/>
  <c r="D51" i="38"/>
  <c r="B12" i="45"/>
  <c r="D11" i="34"/>
  <c r="D12" i="38"/>
  <c r="B76" i="45"/>
  <c r="D75" i="34"/>
  <c r="D76" i="38"/>
  <c r="B53" i="45"/>
  <c r="D52" i="34"/>
  <c r="D53" i="38"/>
  <c r="B14" i="45"/>
  <c r="D13" i="34"/>
  <c r="D14" i="38"/>
  <c r="B78" i="45"/>
  <c r="D77" i="34"/>
  <c r="D78" i="38"/>
  <c r="J89" i="8"/>
  <c r="B32" i="45"/>
  <c r="D31" i="34"/>
  <c r="D32" i="38"/>
  <c r="B96" i="45"/>
  <c r="D95" i="34"/>
  <c r="D96" i="38"/>
  <c r="B65" i="45"/>
  <c r="D64" i="34"/>
  <c r="D65" i="38"/>
  <c r="B34" i="45"/>
  <c r="D33" i="34"/>
  <c r="D34" i="38"/>
  <c r="B98" i="45"/>
  <c r="D97" i="34"/>
  <c r="D98" i="38"/>
  <c r="B59" i="45"/>
  <c r="D58" i="34"/>
  <c r="D59" i="38"/>
  <c r="B20" i="45"/>
  <c r="D19" i="34"/>
  <c r="D20" i="38"/>
  <c r="B84" i="45"/>
  <c r="D83" i="34"/>
  <c r="D84" i="38"/>
  <c r="B71" i="45"/>
  <c r="D70" i="34"/>
  <c r="D71" i="38"/>
  <c r="B61" i="45"/>
  <c r="D60" i="34"/>
  <c r="D61" i="38"/>
  <c r="B22" i="45"/>
  <c r="D21" i="34"/>
  <c r="D22" i="38"/>
  <c r="B86" i="45"/>
  <c r="D85" i="34"/>
  <c r="D86" i="38"/>
  <c r="B15" i="45"/>
  <c r="D14" i="34"/>
  <c r="D15" i="38"/>
  <c r="B40" i="45"/>
  <c r="D39" i="34"/>
  <c r="D40" i="38"/>
  <c r="B104" i="45"/>
  <c r="D103" i="34"/>
  <c r="D104" i="38"/>
  <c r="B9" i="45"/>
  <c r="E19" i="22"/>
  <c r="E53" i="13"/>
  <c r="D9" i="38"/>
  <c r="D8" i="34"/>
  <c r="E193" i="12"/>
  <c r="D9" i="19"/>
  <c r="E154" i="12"/>
  <c r="E162" i="12"/>
  <c r="E165" i="13"/>
  <c r="E149" i="13"/>
  <c r="E133" i="13"/>
  <c r="E109" i="13"/>
  <c r="E92" i="13"/>
  <c r="E157" i="13"/>
  <c r="E141" i="13"/>
  <c r="E125" i="13"/>
  <c r="E101" i="13"/>
  <c r="E117" i="13"/>
  <c r="E60" i="13"/>
  <c r="E74" i="13"/>
  <c r="E36" i="13"/>
  <c r="E20" i="13"/>
  <c r="E83" i="13"/>
  <c r="E67" i="13"/>
  <c r="E45" i="13"/>
  <c r="E254" i="12"/>
  <c r="E234" i="12"/>
  <c r="E218" i="12"/>
  <c r="E277" i="12"/>
  <c r="E262" i="12"/>
  <c r="E244" i="12"/>
  <c r="E226" i="12"/>
  <c r="E270" i="12"/>
  <c r="E185" i="12"/>
  <c r="E178" i="12"/>
  <c r="E210" i="12"/>
  <c r="E200" i="12"/>
  <c r="E170" i="12"/>
  <c r="E140" i="12"/>
  <c r="E109" i="12"/>
  <c r="E147" i="12"/>
  <c r="E133" i="12"/>
  <c r="E125" i="12"/>
  <c r="E37" i="12"/>
  <c r="E117" i="12"/>
  <c r="E101" i="12"/>
  <c r="E93" i="12"/>
  <c r="E85" i="12"/>
  <c r="E77" i="12"/>
  <c r="E61" i="12"/>
  <c r="E53" i="12"/>
  <c r="E29" i="12"/>
  <c r="E45" i="12"/>
  <c r="E69" i="12"/>
  <c r="E21" i="12"/>
  <c r="B73" i="45"/>
  <c r="D72" i="34"/>
  <c r="D73" i="38"/>
  <c r="B42" i="45"/>
  <c r="D41" i="34"/>
  <c r="D42" i="38"/>
  <c r="B106" i="45"/>
  <c r="D105" i="34"/>
  <c r="D106" i="38"/>
  <c r="B67" i="45"/>
  <c r="D66" i="34"/>
  <c r="D67" i="38"/>
  <c r="B28" i="45"/>
  <c r="D27" i="34"/>
  <c r="D28" i="38"/>
  <c r="B92" i="45"/>
  <c r="D91" i="34"/>
  <c r="D92" i="38"/>
  <c r="B69" i="45"/>
  <c r="D68" i="34"/>
  <c r="D69" i="38"/>
  <c r="B30" i="45"/>
  <c r="D29" i="34"/>
  <c r="D30" i="38"/>
  <c r="B94" i="45"/>
  <c r="D93" i="34"/>
  <c r="D94" i="38"/>
  <c r="J83" i="10"/>
  <c r="B63" i="45"/>
  <c r="D62" i="34"/>
  <c r="D63" i="38"/>
  <c r="B48" i="45"/>
  <c r="D47" i="34"/>
  <c r="D48" i="38"/>
  <c r="B17" i="45"/>
  <c r="D16" i="34"/>
  <c r="D17" i="38"/>
  <c r="B81" i="45"/>
  <c r="D80" i="34"/>
  <c r="D81" i="38"/>
  <c r="B47" i="45"/>
  <c r="D46" i="34"/>
  <c r="D47" i="38"/>
  <c r="B50" i="45"/>
  <c r="D49" i="34"/>
  <c r="D50" i="38"/>
  <c r="B11" i="45"/>
  <c r="D10" i="34"/>
  <c r="D11" i="38"/>
  <c r="B75" i="45"/>
  <c r="D74" i="34"/>
  <c r="D75" i="38"/>
  <c r="B36" i="45"/>
  <c r="D35" i="34"/>
  <c r="D36" i="38"/>
  <c r="B100" i="45"/>
  <c r="D99" i="34"/>
  <c r="D100" i="38"/>
  <c r="B13" i="45"/>
  <c r="D12" i="34"/>
  <c r="D13" i="38"/>
  <c r="B77" i="45"/>
  <c r="D76" i="34"/>
  <c r="D77" i="38"/>
  <c r="B38" i="45"/>
  <c r="D37" i="34"/>
  <c r="D38" i="38"/>
  <c r="B102" i="45"/>
  <c r="D101" i="34"/>
  <c r="D102" i="38"/>
  <c r="F44" i="39"/>
  <c r="E44" i="39"/>
  <c r="F43" i="39"/>
  <c r="E43" i="39"/>
  <c r="F45" i="39"/>
  <c r="E45" i="39"/>
  <c r="D35" i="2"/>
  <c r="J22" i="11"/>
  <c r="M22" i="11"/>
  <c r="AF22" i="11" s="1"/>
  <c r="J94" i="11"/>
  <c r="O94" i="11"/>
  <c r="J103" i="7"/>
  <c r="P103" i="7"/>
  <c r="J22" i="10"/>
  <c r="M22" i="10"/>
  <c r="F17" i="6"/>
  <c r="P17" i="6" s="1"/>
  <c r="J100" i="8"/>
  <c r="Q100" i="8"/>
  <c r="J94" i="10"/>
  <c r="O94" i="10"/>
  <c r="J22" i="8"/>
  <c r="M22" i="8"/>
  <c r="J22" i="7"/>
  <c r="M22" i="7"/>
  <c r="AF37" i="13"/>
  <c r="AE126" i="12"/>
  <c r="CH20" i="22" s="1"/>
  <c r="AF30" i="12"/>
  <c r="C39" i="28"/>
  <c r="C37" i="28"/>
  <c r="C34" i="28"/>
  <c r="J21" i="10"/>
  <c r="M21" i="10"/>
  <c r="J93" i="10"/>
  <c r="O93" i="10"/>
  <c r="J99" i="8"/>
  <c r="Q99" i="8"/>
  <c r="C29" i="28"/>
  <c r="C31" i="28"/>
  <c r="J98" i="8"/>
  <c r="Q98" i="8"/>
  <c r="F15" i="6"/>
  <c r="C41" i="28"/>
  <c r="C36" i="28"/>
  <c r="C43" i="28"/>
  <c r="J20" i="10"/>
  <c r="M20" i="10"/>
  <c r="J92" i="10"/>
  <c r="O92" i="10"/>
  <c r="J20" i="7"/>
  <c r="M20" i="7"/>
  <c r="AF20" i="7" s="1"/>
  <c r="J93" i="11"/>
  <c r="O93" i="11"/>
  <c r="J21" i="8"/>
  <c r="M21" i="8"/>
  <c r="J102" i="7"/>
  <c r="P102" i="7"/>
  <c r="D44" i="39"/>
  <c r="D16" i="6"/>
  <c r="D110" i="7"/>
  <c r="D102" i="7"/>
  <c r="D93" i="7"/>
  <c r="D84" i="7"/>
  <c r="D75" i="7"/>
  <c r="D66" i="7"/>
  <c r="D57" i="7"/>
  <c r="D47" i="7"/>
  <c r="D39" i="7"/>
  <c r="D30" i="7"/>
  <c r="D21" i="7"/>
  <c r="D133" i="8"/>
  <c r="D123" i="8"/>
  <c r="D115" i="8"/>
  <c r="D107" i="8"/>
  <c r="D99" i="8"/>
  <c r="D90" i="8"/>
  <c r="D81" i="8"/>
  <c r="D72" i="8"/>
  <c r="D63" i="8"/>
  <c r="D55" i="8"/>
  <c r="D47" i="8"/>
  <c r="D39" i="8"/>
  <c r="D21" i="8"/>
  <c r="D30" i="8"/>
  <c r="D117" i="10"/>
  <c r="D75" i="10"/>
  <c r="D66" i="10"/>
  <c r="D57" i="10"/>
  <c r="D48" i="10"/>
  <c r="D39" i="10"/>
  <c r="D30" i="10"/>
  <c r="D21" i="10"/>
  <c r="D127" i="11"/>
  <c r="D117" i="11"/>
  <c r="D109" i="11"/>
  <c r="D127" i="10"/>
  <c r="D93" i="10"/>
  <c r="D101" i="10"/>
  <c r="D84" i="10"/>
  <c r="D109" i="10"/>
  <c r="D101" i="11"/>
  <c r="D93" i="11"/>
  <c r="D84" i="11"/>
  <c r="D75" i="11"/>
  <c r="D66" i="11"/>
  <c r="D57" i="11"/>
  <c r="D48" i="11"/>
  <c r="D39" i="11"/>
  <c r="D30" i="11"/>
  <c r="J21" i="7"/>
  <c r="M21" i="7"/>
  <c r="F16" i="6"/>
  <c r="O16" i="6" s="1"/>
  <c r="J20" i="11"/>
  <c r="M20" i="11"/>
  <c r="AF20" i="11" s="1"/>
  <c r="J92" i="11"/>
  <c r="O92" i="11"/>
  <c r="J122" i="8"/>
  <c r="C40" i="28"/>
  <c r="J101" i="7"/>
  <c r="P101" i="7"/>
  <c r="J20" i="8"/>
  <c r="M20" i="8"/>
  <c r="AF20" i="8" s="1"/>
  <c r="AL15" i="7"/>
  <c r="AL21" i="14"/>
  <c r="AF213" i="16"/>
  <c r="AF427" i="16"/>
  <c r="AM14" i="10"/>
  <c r="AL15" i="10"/>
  <c r="AM14" i="8"/>
  <c r="AL15" i="8"/>
  <c r="AM14" i="7"/>
  <c r="AM14" i="11"/>
  <c r="AL15" i="11"/>
  <c r="E23" i="1"/>
  <c r="AF362" i="16"/>
  <c r="AU16" i="16"/>
  <c r="AU22" i="14"/>
  <c r="AG157" i="14"/>
  <c r="AG135" i="14"/>
  <c r="AE219" i="16"/>
  <c r="AF218" i="16"/>
  <c r="AF35" i="13"/>
  <c r="AF36" i="13"/>
  <c r="AG8" i="13"/>
  <c r="AG8" i="16"/>
  <c r="Z10" i="13"/>
  <c r="Z10" i="16"/>
  <c r="Z6" i="13"/>
  <c r="Z6" i="16"/>
  <c r="Z7" i="13"/>
  <c r="Z7" i="16"/>
  <c r="AG5" i="13"/>
  <c r="AG5" i="16"/>
  <c r="AA3" i="13"/>
  <c r="AA3" i="16"/>
  <c r="AE124" i="12"/>
  <c r="CH18" i="22" s="1"/>
  <c r="AE125" i="12"/>
  <c r="CH19" i="22" s="1"/>
  <c r="AV14" i="12"/>
  <c r="Z6" i="12"/>
  <c r="Z6" i="11"/>
  <c r="Z6" i="10"/>
  <c r="Z6" i="8"/>
  <c r="Z6" i="7"/>
  <c r="AG5" i="11"/>
  <c r="AG5" i="12"/>
  <c r="AG5" i="10"/>
  <c r="AG5" i="8"/>
  <c r="AA3" i="12"/>
  <c r="T101" i="4"/>
  <c r="AA3" i="11"/>
  <c r="AA3" i="10"/>
  <c r="AA3" i="8"/>
  <c r="Z7" i="12"/>
  <c r="Z7" i="11"/>
  <c r="Z7" i="10"/>
  <c r="Z7" i="8"/>
  <c r="Z7" i="7"/>
  <c r="AG8" i="12"/>
  <c r="AG8" i="11"/>
  <c r="AG8" i="10"/>
  <c r="AG8" i="8"/>
  <c r="Z10" i="7"/>
  <c r="Z10" i="11"/>
  <c r="Z10" i="12"/>
  <c r="Z10" i="10"/>
  <c r="Z10" i="8"/>
  <c r="AF29" i="12"/>
  <c r="AF28" i="12"/>
  <c r="E25" i="1"/>
  <c r="AA100" i="4"/>
  <c r="AH13" i="14" s="1"/>
  <c r="AG8" i="7"/>
  <c r="AA97" i="4"/>
  <c r="AH12" i="14" s="1"/>
  <c r="AG5" i="7"/>
  <c r="T96" i="4"/>
  <c r="AA11" i="14" s="1"/>
  <c r="AA3" i="7"/>
  <c r="AG22" i="8" l="1"/>
  <c r="AG21" i="8"/>
  <c r="AG20" i="8"/>
  <c r="AG22" i="7"/>
  <c r="AG21" i="7"/>
  <c r="AG20" i="7"/>
  <c r="AG189" i="16"/>
  <c r="AG184" i="16"/>
  <c r="AG188" i="16"/>
  <c r="T21" i="10"/>
  <c r="U21" i="10"/>
  <c r="V21" i="10"/>
  <c r="W21" i="10"/>
  <c r="X21" i="10"/>
  <c r="Y21" i="10"/>
  <c r="Z21" i="10"/>
  <c r="AA21" i="10"/>
  <c r="AB21" i="10"/>
  <c r="AC21" i="10"/>
  <c r="AD21" i="10"/>
  <c r="AE21" i="10"/>
  <c r="T22" i="7"/>
  <c r="U22" i="7"/>
  <c r="V22" i="7"/>
  <c r="W22" i="7"/>
  <c r="X22" i="7"/>
  <c r="Y22" i="7"/>
  <c r="Z22" i="7"/>
  <c r="AA22" i="7"/>
  <c r="AB22" i="7"/>
  <c r="AC22" i="7"/>
  <c r="AD22" i="7"/>
  <c r="AE22" i="7"/>
  <c r="AG22" i="12"/>
  <c r="AG21" i="12"/>
  <c r="AG20" i="12"/>
  <c r="T22" i="10"/>
  <c r="U22" i="10"/>
  <c r="V22" i="10"/>
  <c r="W22" i="10"/>
  <c r="X22" i="10"/>
  <c r="Y22" i="10"/>
  <c r="Z22" i="10"/>
  <c r="AA22" i="10"/>
  <c r="AB22" i="10"/>
  <c r="AC22" i="10"/>
  <c r="AD22" i="10"/>
  <c r="AE22" i="10"/>
  <c r="T21" i="7"/>
  <c r="U21" i="7"/>
  <c r="V21" i="7"/>
  <c r="W21" i="7"/>
  <c r="X21" i="7"/>
  <c r="Y21" i="7"/>
  <c r="Z21" i="7"/>
  <c r="AA21" i="7"/>
  <c r="AB21" i="7"/>
  <c r="AC21" i="7"/>
  <c r="AD21" i="7"/>
  <c r="AE21" i="7"/>
  <c r="T21" i="8"/>
  <c r="U21" i="8"/>
  <c r="V21" i="8"/>
  <c r="W21" i="8"/>
  <c r="X21" i="8"/>
  <c r="Y21" i="8"/>
  <c r="Z21" i="8"/>
  <c r="AA21" i="8"/>
  <c r="AB21" i="8"/>
  <c r="AC21" i="8"/>
  <c r="AD21" i="8"/>
  <c r="AE21" i="8"/>
  <c r="T20" i="10"/>
  <c r="U20" i="10"/>
  <c r="V20" i="10"/>
  <c r="W20" i="10"/>
  <c r="X20" i="10"/>
  <c r="Y20" i="10"/>
  <c r="Z20" i="10"/>
  <c r="AA20" i="10"/>
  <c r="AB20" i="10"/>
  <c r="AC20" i="10"/>
  <c r="AD20" i="10"/>
  <c r="AE20" i="10"/>
  <c r="T22" i="8"/>
  <c r="U22" i="8"/>
  <c r="V22" i="8"/>
  <c r="W22" i="8"/>
  <c r="X22" i="8"/>
  <c r="Y22" i="8"/>
  <c r="Z22" i="8"/>
  <c r="AA22" i="8"/>
  <c r="AB22" i="8"/>
  <c r="AC22" i="8"/>
  <c r="AD22" i="8"/>
  <c r="AE22" i="8"/>
  <c r="AF20" i="10"/>
  <c r="AG22" i="10"/>
  <c r="AG21" i="10"/>
  <c r="AG20" i="10"/>
  <c r="AF21" i="10"/>
  <c r="AF22" i="10"/>
  <c r="AG22" i="11"/>
  <c r="AG21" i="11"/>
  <c r="AG20" i="11"/>
  <c r="T20" i="7"/>
  <c r="U20" i="7"/>
  <c r="V20" i="7"/>
  <c r="W20" i="7"/>
  <c r="X20" i="7"/>
  <c r="Y20" i="7"/>
  <c r="Z20" i="7"/>
  <c r="AA20" i="7"/>
  <c r="AB20" i="7"/>
  <c r="AC20" i="7"/>
  <c r="AD20" i="7"/>
  <c r="AE20" i="7"/>
  <c r="AF21" i="8"/>
  <c r="AF21" i="7"/>
  <c r="T20" i="8"/>
  <c r="U20" i="8"/>
  <c r="V20" i="8"/>
  <c r="W20" i="8"/>
  <c r="X20" i="8"/>
  <c r="Y20" i="8"/>
  <c r="Z20" i="8"/>
  <c r="AA20" i="8"/>
  <c r="AB20" i="8"/>
  <c r="AC20" i="8"/>
  <c r="AD20" i="8"/>
  <c r="AE20" i="8"/>
  <c r="T20" i="11"/>
  <c r="U20" i="11"/>
  <c r="V20" i="11"/>
  <c r="W20" i="11"/>
  <c r="X20" i="11"/>
  <c r="Y20" i="11"/>
  <c r="Z20" i="11"/>
  <c r="AA20" i="11"/>
  <c r="AB20" i="11"/>
  <c r="AC20" i="11"/>
  <c r="AD20" i="11"/>
  <c r="AE20" i="11"/>
  <c r="T22" i="11"/>
  <c r="U22" i="11"/>
  <c r="V22" i="11"/>
  <c r="W22" i="11"/>
  <c r="X22" i="11"/>
  <c r="Y22" i="11"/>
  <c r="Z22" i="11"/>
  <c r="AA22" i="11"/>
  <c r="AB22" i="11"/>
  <c r="AC22" i="11"/>
  <c r="AD22" i="11"/>
  <c r="AE22" i="11"/>
  <c r="AF22" i="8"/>
  <c r="AF22" i="7"/>
  <c r="AF76" i="16"/>
  <c r="AG21" i="13"/>
  <c r="AG29" i="13" s="1"/>
  <c r="AG20" i="13"/>
  <c r="AG28" i="13" s="1"/>
  <c r="AG19" i="13"/>
  <c r="AG27" i="13" s="1"/>
  <c r="N17" i="6"/>
  <c r="F21" i="11"/>
  <c r="F30" i="7"/>
  <c r="F39" i="7"/>
  <c r="D8" i="14"/>
  <c r="F66" i="7"/>
  <c r="O15" i="6"/>
  <c r="D23" i="36"/>
  <c r="F21" i="7"/>
  <c r="F84" i="7"/>
  <c r="F57" i="7"/>
  <c r="P16" i="6"/>
  <c r="AZ17" i="6"/>
  <c r="CD17" i="6"/>
  <c r="CF17" i="6" s="1"/>
  <c r="CI17" i="6" s="1"/>
  <c r="O17" i="6"/>
  <c r="D45" i="39"/>
  <c r="D17" i="6"/>
  <c r="D103" i="7"/>
  <c r="F103" i="7" s="1"/>
  <c r="D85" i="7"/>
  <c r="F85" i="7" s="1"/>
  <c r="D94" i="7"/>
  <c r="F94" i="7" s="1"/>
  <c r="D67" i="7"/>
  <c r="F67" i="7" s="1"/>
  <c r="D111" i="7"/>
  <c r="F111" i="7" s="1"/>
  <c r="D76" i="7"/>
  <c r="F76" i="7" s="1"/>
  <c r="D48" i="7"/>
  <c r="F48" i="7" s="1"/>
  <c r="D31" i="7"/>
  <c r="F31" i="7" s="1"/>
  <c r="D40" i="7"/>
  <c r="F40" i="7" s="1"/>
  <c r="D22" i="7"/>
  <c r="F22" i="7" s="1"/>
  <c r="D58" i="7"/>
  <c r="F58" i="7" s="1"/>
  <c r="D124" i="8"/>
  <c r="F124" i="8" s="1"/>
  <c r="D134" i="8"/>
  <c r="F134" i="8" s="1"/>
  <c r="D91" i="8"/>
  <c r="F91" i="8" s="1"/>
  <c r="D82" i="8"/>
  <c r="F82" i="8" s="1"/>
  <c r="D73" i="8"/>
  <c r="F73" i="8" s="1"/>
  <c r="D116" i="8"/>
  <c r="F116" i="8" s="1"/>
  <c r="D100" i="8"/>
  <c r="F100" i="8" s="1"/>
  <c r="D56" i="8"/>
  <c r="F56" i="8" s="1"/>
  <c r="D48" i="8"/>
  <c r="F48" i="8" s="1"/>
  <c r="D108" i="8"/>
  <c r="F108" i="8" s="1"/>
  <c r="D31" i="8"/>
  <c r="F31" i="8" s="1"/>
  <c r="D40" i="8"/>
  <c r="F40" i="8" s="1"/>
  <c r="D102" i="10"/>
  <c r="F102" i="10" s="1"/>
  <c r="D128" i="10"/>
  <c r="F128" i="10" s="1"/>
  <c r="D118" i="10"/>
  <c r="F118" i="10" s="1"/>
  <c r="D64" i="8"/>
  <c r="F64" i="8" s="1"/>
  <c r="D22" i="8"/>
  <c r="F22" i="8" s="1"/>
  <c r="D110" i="10"/>
  <c r="F110" i="10" s="1"/>
  <c r="D94" i="10"/>
  <c r="F94" i="10" s="1"/>
  <c r="D58" i="10"/>
  <c r="F58" i="10" s="1"/>
  <c r="D85" i="10"/>
  <c r="F85" i="10" s="1"/>
  <c r="D76" i="10"/>
  <c r="F76" i="10" s="1"/>
  <c r="D40" i="10"/>
  <c r="F40" i="10" s="1"/>
  <c r="D31" i="10"/>
  <c r="F31" i="10" s="1"/>
  <c r="D67" i="10"/>
  <c r="F67" i="10" s="1"/>
  <c r="D49" i="10"/>
  <c r="F49" i="10" s="1"/>
  <c r="D94" i="11"/>
  <c r="F94" i="11" s="1"/>
  <c r="D22" i="10"/>
  <c r="F22" i="10" s="1"/>
  <c r="D110" i="11"/>
  <c r="F110" i="11" s="1"/>
  <c r="D128" i="11"/>
  <c r="F128" i="11" s="1"/>
  <c r="D102" i="11"/>
  <c r="F102" i="11" s="1"/>
  <c r="D67" i="11"/>
  <c r="F67" i="11" s="1"/>
  <c r="D31" i="11"/>
  <c r="F31" i="11" s="1"/>
  <c r="D85" i="11"/>
  <c r="F85" i="11" s="1"/>
  <c r="D49" i="11"/>
  <c r="F49" i="11" s="1"/>
  <c r="D76" i="11"/>
  <c r="F76" i="11" s="1"/>
  <c r="D58" i="11"/>
  <c r="F58" i="11" s="1"/>
  <c r="D22" i="11"/>
  <c r="F22" i="11" s="1"/>
  <c r="D40" i="11"/>
  <c r="F40" i="11" s="1"/>
  <c r="J17" i="6"/>
  <c r="M17" i="6"/>
  <c r="S17" i="6"/>
  <c r="I17" i="6"/>
  <c r="K17" i="6"/>
  <c r="R17" i="6"/>
  <c r="AN15" i="5" s="1"/>
  <c r="L17" i="6"/>
  <c r="CZ17" i="6"/>
  <c r="DC17" i="6" s="1"/>
  <c r="U17" i="6"/>
  <c r="EK17" i="6"/>
  <c r="EN17" i="6" s="1"/>
  <c r="BH17" i="6"/>
  <c r="BJ17" i="6" s="1"/>
  <c r="FU17" i="6"/>
  <c r="FX17" i="6" s="1"/>
  <c r="BZ17" i="6"/>
  <c r="BS17" i="6"/>
  <c r="BN17" i="6"/>
  <c r="BW17" i="6"/>
  <c r="AE17" i="6"/>
  <c r="EE17" i="6"/>
  <c r="ES17" i="6"/>
  <c r="CT17" i="6"/>
  <c r="FO17" i="6"/>
  <c r="DP17" i="6"/>
  <c r="FA17" i="6"/>
  <c r="DH17" i="6"/>
  <c r="AG37" i="13"/>
  <c r="AF126" i="12"/>
  <c r="Z78" i="12"/>
  <c r="AG30" i="12"/>
  <c r="N16" i="6"/>
  <c r="AZ16" i="6"/>
  <c r="CD16" i="6"/>
  <c r="CF16" i="6" s="1"/>
  <c r="CI16" i="6" s="1"/>
  <c r="P15" i="6"/>
  <c r="D43" i="39"/>
  <c r="D15" i="6"/>
  <c r="N84" i="10" s="1"/>
  <c r="D109" i="7"/>
  <c r="F109" i="7" s="1"/>
  <c r="D101" i="7"/>
  <c r="F101" i="7" s="1"/>
  <c r="D92" i="7"/>
  <c r="D83" i="7"/>
  <c r="D74" i="7"/>
  <c r="D65" i="7"/>
  <c r="D56" i="7"/>
  <c r="D38" i="7"/>
  <c r="D46" i="7"/>
  <c r="F46" i="7" s="1"/>
  <c r="D20" i="7"/>
  <c r="F20" i="7" s="1"/>
  <c r="D132" i="8"/>
  <c r="D29" i="7"/>
  <c r="D98" i="8"/>
  <c r="D114" i="8"/>
  <c r="F114" i="8" s="1"/>
  <c r="D89" i="8"/>
  <c r="D80" i="8"/>
  <c r="K80" i="8" s="1"/>
  <c r="D71" i="8"/>
  <c r="F71" i="8" s="1"/>
  <c r="D62" i="8"/>
  <c r="F62" i="8" s="1"/>
  <c r="D54" i="8"/>
  <c r="D122" i="8"/>
  <c r="D106" i="8"/>
  <c r="D46" i="8"/>
  <c r="D38" i="8"/>
  <c r="D29" i="8"/>
  <c r="K29" i="8" s="1"/>
  <c r="D20" i="8"/>
  <c r="F20" i="8" s="1"/>
  <c r="D126" i="10"/>
  <c r="F126" i="10" s="1"/>
  <c r="D116" i="10"/>
  <c r="F116" i="10" s="1"/>
  <c r="D108" i="10"/>
  <c r="F108" i="10" s="1"/>
  <c r="D100" i="10"/>
  <c r="D92" i="10"/>
  <c r="F92" i="10" s="1"/>
  <c r="D83" i="10"/>
  <c r="F83" i="10" s="1"/>
  <c r="D74" i="10"/>
  <c r="K74" i="10" s="1"/>
  <c r="D65" i="10"/>
  <c r="F65" i="10" s="1"/>
  <c r="D56" i="10"/>
  <c r="F56" i="10" s="1"/>
  <c r="D47" i="10"/>
  <c r="F47" i="10" s="1"/>
  <c r="D38" i="10"/>
  <c r="F38" i="10" s="1"/>
  <c r="D29" i="10"/>
  <c r="D20" i="10"/>
  <c r="D126" i="11"/>
  <c r="F126" i="11" s="1"/>
  <c r="D116" i="11"/>
  <c r="F116" i="11" s="1"/>
  <c r="D108" i="11"/>
  <c r="F108" i="11" s="1"/>
  <c r="D100" i="11"/>
  <c r="F100" i="11" s="1"/>
  <c r="D92" i="11"/>
  <c r="F92" i="11" s="1"/>
  <c r="D83" i="11"/>
  <c r="F83" i="11" s="1"/>
  <c r="D74" i="11"/>
  <c r="F74" i="11" s="1"/>
  <c r="D65" i="11"/>
  <c r="F65" i="11" s="1"/>
  <c r="D56" i="11"/>
  <c r="F56" i="11" s="1"/>
  <c r="D47" i="11"/>
  <c r="K47" i="11" s="1"/>
  <c r="D38" i="11"/>
  <c r="F38" i="11" s="1"/>
  <c r="D29" i="11"/>
  <c r="F29" i="11" s="1"/>
  <c r="D20" i="11"/>
  <c r="F20" i="11" s="1"/>
  <c r="K48" i="11"/>
  <c r="K84" i="10"/>
  <c r="AQ16" i="6"/>
  <c r="AG16" i="6"/>
  <c r="AJ16" i="6" s="1"/>
  <c r="I44" i="39" s="1"/>
  <c r="AO16" i="6"/>
  <c r="AB16" i="6"/>
  <c r="GJ16" i="6" s="1"/>
  <c r="W16" i="6"/>
  <c r="Y16" i="6"/>
  <c r="AA16" i="6" s="1"/>
  <c r="V16" i="6"/>
  <c r="AP16" i="6"/>
  <c r="D118" i="11"/>
  <c r="F118" i="11" s="1"/>
  <c r="K16" i="6"/>
  <c r="BN16" i="6"/>
  <c r="M66" i="10" s="1"/>
  <c r="BS16" i="6"/>
  <c r="BZ16" i="6"/>
  <c r="O117" i="11" s="1"/>
  <c r="FU16" i="6"/>
  <c r="FX16" i="6" s="1"/>
  <c r="AE16" i="6"/>
  <c r="M16" i="6"/>
  <c r="BW16" i="6"/>
  <c r="EK16" i="6"/>
  <c r="EN16" i="6" s="1"/>
  <c r="J16" i="6"/>
  <c r="CZ16" i="6"/>
  <c r="DC16" i="6" s="1"/>
  <c r="R16" i="6"/>
  <c r="AN14" i="5" s="1"/>
  <c r="I16" i="6"/>
  <c r="BH16" i="6"/>
  <c r="BJ16" i="6" s="1"/>
  <c r="U16" i="6"/>
  <c r="L16" i="6"/>
  <c r="S16" i="6"/>
  <c r="ES16" i="6"/>
  <c r="DP16" i="6"/>
  <c r="CT16" i="6"/>
  <c r="DH16" i="6"/>
  <c r="FA16" i="6"/>
  <c r="EE16" i="6"/>
  <c r="FO16" i="6"/>
  <c r="K101" i="10"/>
  <c r="K39" i="10"/>
  <c r="K39" i="8"/>
  <c r="K57" i="7"/>
  <c r="N15" i="6"/>
  <c r="K66" i="11"/>
  <c r="K93" i="10"/>
  <c r="K48" i="10"/>
  <c r="K47" i="8"/>
  <c r="F47" i="8"/>
  <c r="K115" i="8"/>
  <c r="K75" i="11"/>
  <c r="K127" i="10"/>
  <c r="K57" i="10"/>
  <c r="K123" i="8"/>
  <c r="M75" i="7"/>
  <c r="K84" i="11"/>
  <c r="K109" i="11"/>
  <c r="K63" i="8"/>
  <c r="K133" i="8"/>
  <c r="BW15" i="6"/>
  <c r="FU15" i="6"/>
  <c r="FX15" i="6" s="1"/>
  <c r="AE15" i="6"/>
  <c r="EK15" i="6"/>
  <c r="EN15" i="6" s="1"/>
  <c r="BN15" i="6"/>
  <c r="BZ15" i="6"/>
  <c r="L15" i="6"/>
  <c r="S15" i="6"/>
  <c r="R15" i="6"/>
  <c r="AN13" i="5" s="1"/>
  <c r="CZ15" i="6"/>
  <c r="DC15" i="6" s="1"/>
  <c r="M15" i="6"/>
  <c r="I15" i="6"/>
  <c r="BS15" i="6"/>
  <c r="K15" i="6"/>
  <c r="U15" i="6"/>
  <c r="J15" i="6"/>
  <c r="EE15" i="6"/>
  <c r="DP15" i="6"/>
  <c r="FA15" i="6"/>
  <c r="CT15" i="6"/>
  <c r="DH15" i="6"/>
  <c r="FO15" i="6"/>
  <c r="ES15" i="6"/>
  <c r="K117" i="11"/>
  <c r="M117" i="11"/>
  <c r="K75" i="10"/>
  <c r="K72" i="8"/>
  <c r="N93" i="7"/>
  <c r="O93" i="7"/>
  <c r="K93" i="7"/>
  <c r="K30" i="11"/>
  <c r="K127" i="11"/>
  <c r="M117" i="10"/>
  <c r="K117" i="10"/>
  <c r="K81" i="8"/>
  <c r="K30" i="7"/>
  <c r="AZ15" i="6"/>
  <c r="K39" i="11"/>
  <c r="K109" i="10"/>
  <c r="K30" i="8"/>
  <c r="P90" i="8"/>
  <c r="K39" i="7"/>
  <c r="K110" i="7"/>
  <c r="CD15" i="6"/>
  <c r="CF15" i="6" s="1"/>
  <c r="CI15" i="6" s="1"/>
  <c r="AM15" i="7"/>
  <c r="AM21" i="14"/>
  <c r="AG213" i="16"/>
  <c r="AN14" i="10"/>
  <c r="AM15" i="10"/>
  <c r="F55" i="8"/>
  <c r="F54" i="8"/>
  <c r="Z77" i="12"/>
  <c r="Z76" i="12"/>
  <c r="AN14" i="7"/>
  <c r="AN14" i="8"/>
  <c r="AM15" i="8"/>
  <c r="AN14" i="11"/>
  <c r="AM15" i="11"/>
  <c r="F47" i="7"/>
  <c r="F117" i="11"/>
  <c r="F101" i="11"/>
  <c r="F84" i="11"/>
  <c r="F66" i="11"/>
  <c r="F48" i="11"/>
  <c r="F30" i="11"/>
  <c r="F127" i="11"/>
  <c r="F109" i="11"/>
  <c r="F93" i="11"/>
  <c r="F75" i="11"/>
  <c r="F57" i="11"/>
  <c r="F39" i="11"/>
  <c r="F123" i="8"/>
  <c r="F66" i="10"/>
  <c r="F122" i="8"/>
  <c r="F117" i="10"/>
  <c r="F48" i="10"/>
  <c r="F30" i="10"/>
  <c r="F75" i="7"/>
  <c r="F100" i="10"/>
  <c r="F109" i="10"/>
  <c r="F93" i="10"/>
  <c r="F75" i="10"/>
  <c r="F29" i="10"/>
  <c r="F74" i="7"/>
  <c r="F39" i="10"/>
  <c r="F127" i="10"/>
  <c r="F101" i="10"/>
  <c r="F84" i="10"/>
  <c r="F57" i="10"/>
  <c r="F72" i="8"/>
  <c r="F74" i="10"/>
  <c r="F21" i="10"/>
  <c r="F132" i="8"/>
  <c r="F20" i="10"/>
  <c r="F115" i="8"/>
  <c r="F133" i="8"/>
  <c r="F107" i="8"/>
  <c r="F106" i="8"/>
  <c r="F90" i="8"/>
  <c r="F110" i="7"/>
  <c r="F93" i="7"/>
  <c r="F89" i="8"/>
  <c r="F38" i="8"/>
  <c r="F21" i="8"/>
  <c r="F99" i="8"/>
  <c r="F81" i="8"/>
  <c r="F30" i="8"/>
  <c r="F92" i="7"/>
  <c r="F102" i="7"/>
  <c r="F98" i="8"/>
  <c r="F80" i="8"/>
  <c r="F29" i="8"/>
  <c r="F63" i="8"/>
  <c r="F39" i="8"/>
  <c r="AG362" i="16"/>
  <c r="AV16" i="16"/>
  <c r="AV22" i="14"/>
  <c r="AH157" i="14"/>
  <c r="AH135" i="14"/>
  <c r="AG218" i="16"/>
  <c r="AF217" i="16"/>
  <c r="AF219" i="16" s="1"/>
  <c r="AG36" i="13"/>
  <c r="AG35" i="13"/>
  <c r="AG217" i="16"/>
  <c r="AH8" i="13"/>
  <c r="AH8" i="16"/>
  <c r="AH5" i="13"/>
  <c r="AH5" i="16"/>
  <c r="AA4" i="13"/>
  <c r="AA4" i="16"/>
  <c r="O2" i="47" s="1"/>
  <c r="AA9" i="13"/>
  <c r="AA9" i="16"/>
  <c r="AF124" i="12"/>
  <c r="AW14" i="12"/>
  <c r="AF125" i="12"/>
  <c r="AA4" i="11"/>
  <c r="AA4" i="12"/>
  <c r="AA4" i="10"/>
  <c r="AA4" i="8"/>
  <c r="T99" i="4"/>
  <c r="AA15" i="14" s="1"/>
  <c r="T98" i="4"/>
  <c r="AA14" i="14" s="1"/>
  <c r="AG28" i="12"/>
  <c r="AG29" i="12"/>
  <c r="AH8" i="12"/>
  <c r="AH8" i="11"/>
  <c r="AH8" i="10"/>
  <c r="AH8" i="8"/>
  <c r="AH5" i="11"/>
  <c r="AH5" i="12"/>
  <c r="AH5" i="10"/>
  <c r="AH5" i="8"/>
  <c r="AA9" i="11"/>
  <c r="AA9" i="12"/>
  <c r="AA9" i="10"/>
  <c r="AA9" i="8"/>
  <c r="M75" i="10"/>
  <c r="AB97" i="4"/>
  <c r="AI12" i="14" s="1"/>
  <c r="AH5" i="7"/>
  <c r="AB100" i="4"/>
  <c r="AI13" i="14" s="1"/>
  <c r="AH8" i="7"/>
  <c r="U95" i="4"/>
  <c r="AB10" i="14" s="1"/>
  <c r="AA4" i="7"/>
  <c r="T102" i="4"/>
  <c r="AA9" i="7"/>
  <c r="AH22" i="10" l="1"/>
  <c r="AH21" i="10"/>
  <c r="AH20" i="10"/>
  <c r="AH22" i="8"/>
  <c r="AH21" i="8"/>
  <c r="AH20" i="8"/>
  <c r="AH22" i="11"/>
  <c r="AH20" i="11"/>
  <c r="AH21" i="11"/>
  <c r="AH22" i="12"/>
  <c r="AH21" i="12"/>
  <c r="AH20" i="12"/>
  <c r="AH22" i="7"/>
  <c r="AH21" i="7"/>
  <c r="AH20" i="7"/>
  <c r="AH188" i="16"/>
  <c r="AH217" i="16" s="1"/>
  <c r="AH184" i="16"/>
  <c r="AH189" i="16"/>
  <c r="AG190" i="16"/>
  <c r="AH21" i="13"/>
  <c r="AH29" i="13" s="1"/>
  <c r="AH20" i="13"/>
  <c r="AH28" i="13" s="1"/>
  <c r="AH19" i="13"/>
  <c r="AH27" i="13" s="1"/>
  <c r="L9" i="19"/>
  <c r="CK84" i="28"/>
  <c r="CK85" i="28"/>
  <c r="CL84" i="28"/>
  <c r="I8" i="46"/>
  <c r="DO17" i="6"/>
  <c r="F8" i="46"/>
  <c r="O49" i="15"/>
  <c r="I48" i="15"/>
  <c r="O50" i="15"/>
  <c r="Q48" i="15"/>
  <c r="O48" i="15"/>
  <c r="I50" i="15"/>
  <c r="Q50" i="15"/>
  <c r="I49" i="15"/>
  <c r="Q49" i="15"/>
  <c r="G8" i="46"/>
  <c r="H8" i="46"/>
  <c r="GB16" i="6"/>
  <c r="K99" i="8"/>
  <c r="K75" i="7"/>
  <c r="N117" i="11"/>
  <c r="M81" i="8"/>
  <c r="GB17" i="6"/>
  <c r="ER17" i="6"/>
  <c r="BT17" i="6"/>
  <c r="K30" i="10"/>
  <c r="EZ17" i="6"/>
  <c r="FN17" i="6"/>
  <c r="ED17" i="6"/>
  <c r="CS17" i="6"/>
  <c r="DG17" i="6"/>
  <c r="V17" i="6"/>
  <c r="M82" i="8" s="1"/>
  <c r="AO17" i="6"/>
  <c r="AQ17" i="6"/>
  <c r="R48" i="7" s="1"/>
  <c r="W17" i="6"/>
  <c r="AB17" i="6"/>
  <c r="GJ17" i="6" s="1"/>
  <c r="Y17" i="6"/>
  <c r="AA17" i="6" s="1"/>
  <c r="M67" i="7" s="1"/>
  <c r="AP17" i="6"/>
  <c r="Q56" i="8" s="1"/>
  <c r="AM56" i="8" s="1"/>
  <c r="AG17" i="6"/>
  <c r="AJ17" i="6" s="1"/>
  <c r="I45" i="39" s="1"/>
  <c r="CA17" i="6"/>
  <c r="N73" i="8" s="1"/>
  <c r="FE17" i="6"/>
  <c r="FF17" i="6" s="1"/>
  <c r="N58" i="11" s="1"/>
  <c r="BA16" i="6"/>
  <c r="AH37" i="13"/>
  <c r="AG126" i="12"/>
  <c r="AH30" i="12"/>
  <c r="M84" i="7"/>
  <c r="N117" i="10"/>
  <c r="M72" i="8"/>
  <c r="AF16" i="6"/>
  <c r="CK16" i="6" s="1"/>
  <c r="DD16" i="6" s="1"/>
  <c r="DE16" i="6" s="1"/>
  <c r="DG16" i="6"/>
  <c r="K90" i="8"/>
  <c r="K102" i="7"/>
  <c r="K101" i="11"/>
  <c r="M93" i="7"/>
  <c r="K93" i="11"/>
  <c r="K66" i="10"/>
  <c r="N123" i="8"/>
  <c r="M66" i="11"/>
  <c r="K57" i="11"/>
  <c r="BT16" i="6"/>
  <c r="O123" i="8"/>
  <c r="ER16" i="6"/>
  <c r="BH15" i="6"/>
  <c r="N84" i="11"/>
  <c r="M123" i="8"/>
  <c r="K66" i="7"/>
  <c r="K47" i="7"/>
  <c r="O117" i="10"/>
  <c r="K84" i="7"/>
  <c r="K55" i="8"/>
  <c r="K107" i="8"/>
  <c r="O111" i="7"/>
  <c r="K116" i="8"/>
  <c r="O124" i="8"/>
  <c r="K128" i="11"/>
  <c r="K31" i="11"/>
  <c r="K85" i="11"/>
  <c r="K64" i="8"/>
  <c r="N76" i="10"/>
  <c r="M118" i="10"/>
  <c r="M100" i="8"/>
  <c r="N85" i="7"/>
  <c r="K124" i="8"/>
  <c r="K94" i="10"/>
  <c r="K58" i="7"/>
  <c r="K67" i="7"/>
  <c r="K31" i="7"/>
  <c r="O76" i="7"/>
  <c r="M94" i="7"/>
  <c r="O94" i="7"/>
  <c r="M76" i="7"/>
  <c r="N94" i="7"/>
  <c r="K76" i="7"/>
  <c r="K48" i="7"/>
  <c r="K103" i="7"/>
  <c r="K94" i="7"/>
  <c r="K111" i="7"/>
  <c r="Q48" i="7"/>
  <c r="AM48" i="7" s="1"/>
  <c r="K85" i="7"/>
  <c r="P91" i="8"/>
  <c r="K40" i="7"/>
  <c r="O103" i="7"/>
  <c r="K134" i="8"/>
  <c r="K108" i="8"/>
  <c r="M91" i="8"/>
  <c r="K91" i="8"/>
  <c r="K100" i="8"/>
  <c r="M124" i="8"/>
  <c r="K73" i="8"/>
  <c r="K48" i="8"/>
  <c r="N124" i="8"/>
  <c r="K82" i="8"/>
  <c r="N82" i="8"/>
  <c r="K40" i="8"/>
  <c r="O73" i="8"/>
  <c r="K56" i="8"/>
  <c r="K31" i="8"/>
  <c r="M73" i="8"/>
  <c r="K76" i="10"/>
  <c r="K94" i="11"/>
  <c r="K110" i="10"/>
  <c r="K58" i="10"/>
  <c r="O67" i="10"/>
  <c r="K118" i="10"/>
  <c r="K102" i="10"/>
  <c r="K49" i="10"/>
  <c r="O118" i="10"/>
  <c r="K67" i="10"/>
  <c r="K102" i="11"/>
  <c r="N118" i="10"/>
  <c r="K85" i="10"/>
  <c r="N85" i="10"/>
  <c r="M67" i="10"/>
  <c r="K110" i="11"/>
  <c r="K128" i="10"/>
  <c r="K40" i="10"/>
  <c r="K31" i="10"/>
  <c r="K67" i="11"/>
  <c r="M67" i="11"/>
  <c r="K58" i="11"/>
  <c r="K76" i="11"/>
  <c r="O67" i="11"/>
  <c r="N76" i="11"/>
  <c r="N85" i="11"/>
  <c r="K49" i="11"/>
  <c r="K40" i="11"/>
  <c r="GT17" i="6"/>
  <c r="GU17" i="6" s="1"/>
  <c r="BT15" i="6"/>
  <c r="F47" i="11"/>
  <c r="AG117" i="11"/>
  <c r="CA16" i="6"/>
  <c r="N66" i="11" s="1"/>
  <c r="K29" i="11"/>
  <c r="K56" i="10"/>
  <c r="K38" i="11"/>
  <c r="K108" i="11"/>
  <c r="K46" i="7"/>
  <c r="CS16" i="6"/>
  <c r="ED16" i="6"/>
  <c r="K74" i="11"/>
  <c r="K29" i="10"/>
  <c r="K100" i="10"/>
  <c r="K106" i="8"/>
  <c r="K98" i="8"/>
  <c r="K74" i="7"/>
  <c r="M74" i="7"/>
  <c r="DG15" i="6"/>
  <c r="ER15" i="6"/>
  <c r="N83" i="11"/>
  <c r="K83" i="11"/>
  <c r="K38" i="10"/>
  <c r="K108" i="10"/>
  <c r="K122" i="8"/>
  <c r="M122" i="8"/>
  <c r="N122" i="8"/>
  <c r="O122" i="8"/>
  <c r="K29" i="7"/>
  <c r="F29" i="7"/>
  <c r="K83" i="7"/>
  <c r="F83" i="7"/>
  <c r="FE15" i="6"/>
  <c r="M56" i="11" s="1"/>
  <c r="GL16" i="6"/>
  <c r="K92" i="11"/>
  <c r="K47" i="10"/>
  <c r="K116" i="10"/>
  <c r="M116" i="10"/>
  <c r="O116" i="10"/>
  <c r="N116" i="10"/>
  <c r="K54" i="8"/>
  <c r="K132" i="8"/>
  <c r="O92" i="7"/>
  <c r="N92" i="7"/>
  <c r="M92" i="7"/>
  <c r="K92" i="7"/>
  <c r="CS15" i="6"/>
  <c r="ED15" i="6"/>
  <c r="FN16" i="6"/>
  <c r="FE16" i="6"/>
  <c r="FF16" i="6" s="1"/>
  <c r="K100" i="11"/>
  <c r="K126" i="10"/>
  <c r="K62" i="8"/>
  <c r="K101" i="7"/>
  <c r="CA15" i="6"/>
  <c r="O100" i="10" s="1"/>
  <c r="AU16" i="6"/>
  <c r="AR16" i="6"/>
  <c r="AT16" i="6"/>
  <c r="AS16" i="6"/>
  <c r="EZ16" i="6"/>
  <c r="K65" i="10"/>
  <c r="M65" i="10"/>
  <c r="K71" i="8"/>
  <c r="M71" i="8"/>
  <c r="K109" i="7"/>
  <c r="M118" i="11"/>
  <c r="K118" i="11"/>
  <c r="N118" i="11"/>
  <c r="O118" i="11"/>
  <c r="BE16" i="6"/>
  <c r="AH16" i="6"/>
  <c r="AK16" i="6"/>
  <c r="BB16" i="6" s="1"/>
  <c r="BF16" i="6" s="1"/>
  <c r="DO16" i="6"/>
  <c r="K116" i="11"/>
  <c r="M116" i="11"/>
  <c r="O116" i="11"/>
  <c r="N116" i="11"/>
  <c r="K38" i="7"/>
  <c r="F38" i="7"/>
  <c r="AQ15" i="6"/>
  <c r="R46" i="7" s="1"/>
  <c r="AO15" i="6"/>
  <c r="Y15" i="6"/>
  <c r="AA15" i="6" s="1"/>
  <c r="M38" i="7" s="1"/>
  <c r="AB15" i="6"/>
  <c r="V15" i="6"/>
  <c r="Q19" i="22" s="1"/>
  <c r="W15" i="6"/>
  <c r="AG15" i="6"/>
  <c r="AJ15" i="6" s="1"/>
  <c r="L8" i="19" s="1"/>
  <c r="AP15" i="6"/>
  <c r="Q54" i="8" s="1"/>
  <c r="T117" i="11"/>
  <c r="U117" i="11"/>
  <c r="V117" i="11"/>
  <c r="W117" i="11"/>
  <c r="X117" i="11"/>
  <c r="Y117" i="11"/>
  <c r="Z117" i="11"/>
  <c r="AA117" i="11"/>
  <c r="AB117" i="11"/>
  <c r="AC117" i="11"/>
  <c r="AD117" i="11"/>
  <c r="AE117" i="11"/>
  <c r="AF117" i="11"/>
  <c r="FN15" i="6"/>
  <c r="GB15" i="6"/>
  <c r="EZ15" i="6"/>
  <c r="K56" i="11"/>
  <c r="K126" i="11"/>
  <c r="N83" i="10"/>
  <c r="K83" i="10"/>
  <c r="K38" i="8"/>
  <c r="K89" i="8"/>
  <c r="K56" i="7"/>
  <c r="F56" i="7"/>
  <c r="DO15" i="6"/>
  <c r="K65" i="11"/>
  <c r="M65" i="11"/>
  <c r="K92" i="10"/>
  <c r="K46" i="8"/>
  <c r="F46" i="8"/>
  <c r="K114" i="8"/>
  <c r="K65" i="7"/>
  <c r="F65" i="7"/>
  <c r="AN15" i="7"/>
  <c r="AN21" i="14"/>
  <c r="O102" i="7"/>
  <c r="AH213" i="16"/>
  <c r="AO14" i="10"/>
  <c r="AN15" i="10"/>
  <c r="AO14" i="8"/>
  <c r="AN15" i="8"/>
  <c r="R55" i="8"/>
  <c r="R47" i="7"/>
  <c r="AO14" i="11"/>
  <c r="AN15" i="11"/>
  <c r="AO14" i="7"/>
  <c r="Q55" i="8"/>
  <c r="AM55" i="8" s="1"/>
  <c r="Q47" i="7"/>
  <c r="AM47" i="7" s="1"/>
  <c r="N81" i="8"/>
  <c r="N75" i="10"/>
  <c r="O75" i="7"/>
  <c r="O66" i="10"/>
  <c r="O66" i="11"/>
  <c r="N84" i="7"/>
  <c r="N75" i="11"/>
  <c r="O72" i="8"/>
  <c r="AP14" i="5"/>
  <c r="BO14" i="5" s="1"/>
  <c r="BP14" i="5" s="1"/>
  <c r="K109" i="12" s="1"/>
  <c r="O71" i="8"/>
  <c r="N74" i="11"/>
  <c r="O74" i="7"/>
  <c r="N74" i="10"/>
  <c r="N83" i="7"/>
  <c r="O65" i="10"/>
  <c r="O65" i="11"/>
  <c r="N80" i="8"/>
  <c r="M75" i="11"/>
  <c r="AH362" i="16"/>
  <c r="AW16" i="16"/>
  <c r="AW22" i="14"/>
  <c r="AI157" i="14"/>
  <c r="AI135" i="14"/>
  <c r="AH36" i="13"/>
  <c r="AH35" i="13"/>
  <c r="AG219" i="16"/>
  <c r="AH218" i="16"/>
  <c r="AA7" i="13"/>
  <c r="AA7" i="16"/>
  <c r="AI8" i="13"/>
  <c r="AI8" i="16"/>
  <c r="AA10" i="13"/>
  <c r="AA10" i="16"/>
  <c r="AI5" i="13"/>
  <c r="AI5" i="16"/>
  <c r="AB3" i="13"/>
  <c r="AB3" i="16"/>
  <c r="AA6" i="13"/>
  <c r="AA6" i="16"/>
  <c r="AX14" i="12"/>
  <c r="AG124" i="12"/>
  <c r="AG125" i="12"/>
  <c r="AA6" i="12"/>
  <c r="AA6" i="11"/>
  <c r="AA6" i="10"/>
  <c r="AA6" i="8"/>
  <c r="AA6" i="7"/>
  <c r="U101" i="4"/>
  <c r="AB3" i="12"/>
  <c r="AB3" i="11"/>
  <c r="AB3" i="10"/>
  <c r="AB3" i="8"/>
  <c r="AA7" i="12"/>
  <c r="AA7" i="11"/>
  <c r="AA7" i="10"/>
  <c r="AA7" i="8"/>
  <c r="AA7" i="7"/>
  <c r="AI8" i="11"/>
  <c r="AI8" i="12"/>
  <c r="AI8" i="10"/>
  <c r="AI8" i="8"/>
  <c r="AH29" i="12"/>
  <c r="AH28" i="12"/>
  <c r="AH117" i="11"/>
  <c r="AA10" i="7"/>
  <c r="AA10" i="11"/>
  <c r="AA10" i="12"/>
  <c r="AA10" i="10"/>
  <c r="AA10" i="8"/>
  <c r="AI5" i="12"/>
  <c r="AI5" i="11"/>
  <c r="AI5" i="10"/>
  <c r="AI5" i="8"/>
  <c r="M39" i="7"/>
  <c r="M66" i="7"/>
  <c r="AC97" i="4"/>
  <c r="AJ12" i="14" s="1"/>
  <c r="AI5" i="7"/>
  <c r="AC100" i="4"/>
  <c r="AJ13" i="14" s="1"/>
  <c r="AI8" i="7"/>
  <c r="U96" i="4"/>
  <c r="AB11" i="14" s="1"/>
  <c r="AB3" i="7"/>
  <c r="C51" i="4"/>
  <c r="O102" i="10" l="1"/>
  <c r="O85" i="10"/>
  <c r="AH190" i="16"/>
  <c r="AI184" i="16"/>
  <c r="AI189" i="16"/>
  <c r="AI188" i="16"/>
  <c r="AI190" i="16" s="1"/>
  <c r="AI22" i="8"/>
  <c r="AI21" i="8"/>
  <c r="AI20" i="8"/>
  <c r="AI20" i="11"/>
  <c r="AI21" i="11"/>
  <c r="AI22" i="11"/>
  <c r="N43" i="46"/>
  <c r="N44" i="46" s="1"/>
  <c r="BC16" i="6"/>
  <c r="BG16" i="6" s="1"/>
  <c r="N100" i="8"/>
  <c r="AI21" i="10"/>
  <c r="AI20" i="10"/>
  <c r="AI22" i="10"/>
  <c r="AI20" i="7"/>
  <c r="AI22" i="7"/>
  <c r="AI21" i="7"/>
  <c r="AI22" i="12"/>
  <c r="AI21" i="12"/>
  <c r="AI20" i="12"/>
  <c r="AI21" i="13"/>
  <c r="AI29" i="13" s="1"/>
  <c r="AI19" i="13"/>
  <c r="AI27" i="13" s="1"/>
  <c r="AI20" i="13"/>
  <c r="AI28" i="13" s="1"/>
  <c r="M40" i="7"/>
  <c r="CK82" i="28"/>
  <c r="BW85" i="28"/>
  <c r="CK83" i="28"/>
  <c r="N67" i="11"/>
  <c r="W67" i="11" s="1"/>
  <c r="N91" i="8"/>
  <c r="F9" i="46"/>
  <c r="J8" i="46"/>
  <c r="V117" i="10"/>
  <c r="AF17" i="6"/>
  <c r="H9" i="46"/>
  <c r="G9" i="46"/>
  <c r="N31" i="11"/>
  <c r="O108" i="8"/>
  <c r="N76" i="7"/>
  <c r="V76" i="7" s="1"/>
  <c r="I9" i="46"/>
  <c r="L10" i="19"/>
  <c r="Y20" i="22"/>
  <c r="BU82" i="28" s="1"/>
  <c r="BB15" i="5"/>
  <c r="C49" i="28" s="1"/>
  <c r="BB14" i="5"/>
  <c r="C46" i="28" s="1"/>
  <c r="BB13" i="5"/>
  <c r="Y19" i="22"/>
  <c r="AP15" i="5"/>
  <c r="BO15" i="5" s="1"/>
  <c r="BP15" i="5" s="1"/>
  <c r="K110" i="12" s="1"/>
  <c r="M85" i="7"/>
  <c r="N65" i="10"/>
  <c r="T65" i="10" s="1"/>
  <c r="Q91" i="8"/>
  <c r="AF117" i="10"/>
  <c r="O85" i="11"/>
  <c r="O102" i="11"/>
  <c r="N67" i="10"/>
  <c r="AH67" i="10" s="1"/>
  <c r="I43" i="39"/>
  <c r="R54" i="8"/>
  <c r="AG66" i="11"/>
  <c r="AH73" i="8"/>
  <c r="AD123" i="8"/>
  <c r="BA17" i="6"/>
  <c r="N94" i="11"/>
  <c r="V123" i="8"/>
  <c r="AB117" i="10"/>
  <c r="AH117" i="10"/>
  <c r="BA15" i="6"/>
  <c r="Y117" i="10"/>
  <c r="X117" i="10"/>
  <c r="W117" i="10"/>
  <c r="AE117" i="10"/>
  <c r="U117" i="10"/>
  <c r="AD117" i="10"/>
  <c r="T117" i="10"/>
  <c r="AC117" i="10"/>
  <c r="AH118" i="10"/>
  <c r="R56" i="8"/>
  <c r="AG117" i="10"/>
  <c r="M76" i="10"/>
  <c r="AH124" i="8"/>
  <c r="W123" i="8"/>
  <c r="M103" i="7"/>
  <c r="M76" i="11"/>
  <c r="AC123" i="8"/>
  <c r="AB123" i="8"/>
  <c r="T123" i="8"/>
  <c r="AA117" i="10"/>
  <c r="U123" i="8"/>
  <c r="O84" i="10"/>
  <c r="AA123" i="8"/>
  <c r="Z117" i="10"/>
  <c r="AH67" i="11"/>
  <c r="Z123" i="8"/>
  <c r="AH123" i="8"/>
  <c r="Y123" i="8"/>
  <c r="AG123" i="8"/>
  <c r="AF123" i="8"/>
  <c r="X123" i="8"/>
  <c r="AE123" i="8"/>
  <c r="M58" i="11"/>
  <c r="AA58" i="11" s="1"/>
  <c r="M128" i="11"/>
  <c r="FY17" i="6"/>
  <c r="Q20" i="22"/>
  <c r="BE17" i="6"/>
  <c r="AH17" i="6"/>
  <c r="AK17" i="6"/>
  <c r="BB17" i="6" s="1"/>
  <c r="BF17" i="6" s="1"/>
  <c r="AS17" i="6"/>
  <c r="AT17" i="6"/>
  <c r="AR17" i="6"/>
  <c r="AU17" i="6"/>
  <c r="GL17" i="6"/>
  <c r="AI37" i="13"/>
  <c r="AH126" i="12"/>
  <c r="AA78" i="12"/>
  <c r="AI30" i="12"/>
  <c r="O107" i="8"/>
  <c r="O101" i="10"/>
  <c r="Q46" i="7"/>
  <c r="M65" i="7"/>
  <c r="Q89" i="8"/>
  <c r="N65" i="11"/>
  <c r="AH65" i="11" s="1"/>
  <c r="O109" i="7"/>
  <c r="O83" i="10"/>
  <c r="N71" i="8"/>
  <c r="AH71" i="8" s="1"/>
  <c r="O101" i="7"/>
  <c r="T124" i="8"/>
  <c r="U124" i="8"/>
  <c r="V124" i="8"/>
  <c r="W124" i="8"/>
  <c r="X124" i="8"/>
  <c r="Y124" i="8"/>
  <c r="Z124" i="8"/>
  <c r="AA124" i="8"/>
  <c r="AB124" i="8"/>
  <c r="AC124" i="8"/>
  <c r="AD124" i="8"/>
  <c r="AE124" i="8"/>
  <c r="AF124" i="8"/>
  <c r="AG124" i="8"/>
  <c r="T67" i="11"/>
  <c r="U67" i="11"/>
  <c r="V67" i="11"/>
  <c r="X67" i="11"/>
  <c r="Y67" i="11"/>
  <c r="Z67" i="11"/>
  <c r="AA67" i="11"/>
  <c r="AB67" i="11"/>
  <c r="AC67" i="11"/>
  <c r="AD67" i="11"/>
  <c r="AF67" i="11"/>
  <c r="AG67" i="11"/>
  <c r="T67" i="10"/>
  <c r="V67" i="10"/>
  <c r="W67" i="10"/>
  <c r="X67" i="10"/>
  <c r="Z67" i="10"/>
  <c r="AA67" i="10"/>
  <c r="AB67" i="10"/>
  <c r="AD67" i="10"/>
  <c r="AE67" i="10"/>
  <c r="AF67" i="10"/>
  <c r="T48" i="7"/>
  <c r="U48" i="7"/>
  <c r="V48" i="7"/>
  <c r="W48" i="7"/>
  <c r="X48" i="7"/>
  <c r="Y48" i="7"/>
  <c r="Z48" i="7"/>
  <c r="AA48" i="7"/>
  <c r="AB48" i="7"/>
  <c r="AC48" i="7"/>
  <c r="AD48" i="7"/>
  <c r="AE48" i="7"/>
  <c r="AF48" i="7"/>
  <c r="AG48" i="7"/>
  <c r="AH48" i="7"/>
  <c r="AI48" i="7"/>
  <c r="AJ48" i="7"/>
  <c r="AK48" i="7"/>
  <c r="AL48" i="7"/>
  <c r="T76" i="7"/>
  <c r="U76" i="7"/>
  <c r="W76" i="7"/>
  <c r="X76" i="7"/>
  <c r="AA76" i="7"/>
  <c r="AB76" i="7"/>
  <c r="AC76" i="7"/>
  <c r="AE76" i="7"/>
  <c r="AF76" i="7"/>
  <c r="AG76" i="7"/>
  <c r="T73" i="8"/>
  <c r="U73" i="8"/>
  <c r="V73" i="8"/>
  <c r="W73" i="8"/>
  <c r="X73" i="8"/>
  <c r="Y73" i="8"/>
  <c r="Z73" i="8"/>
  <c r="AA73" i="8"/>
  <c r="AB73" i="8"/>
  <c r="AC73" i="8"/>
  <c r="AD73" i="8"/>
  <c r="AE73" i="8"/>
  <c r="AF73" i="8"/>
  <c r="AG73" i="8"/>
  <c r="GJ15" i="6"/>
  <c r="GL15" i="6" s="1"/>
  <c r="AP19" i="22" s="1"/>
  <c r="T118" i="10"/>
  <c r="U118" i="10"/>
  <c r="V118" i="10"/>
  <c r="W118" i="10"/>
  <c r="X118" i="10"/>
  <c r="Y118" i="10"/>
  <c r="Z118" i="10"/>
  <c r="AA118" i="10"/>
  <c r="AB118" i="10"/>
  <c r="AC118" i="10"/>
  <c r="AD118" i="10"/>
  <c r="AE118" i="10"/>
  <c r="AF118" i="10"/>
  <c r="AG118" i="10"/>
  <c r="AF15" i="6"/>
  <c r="M57" i="11"/>
  <c r="T56" i="8"/>
  <c r="U56" i="8"/>
  <c r="V56" i="8"/>
  <c r="W56" i="8"/>
  <c r="X56" i="8"/>
  <c r="Y56" i="8"/>
  <c r="Z56" i="8"/>
  <c r="AA56" i="8"/>
  <c r="AB56" i="8"/>
  <c r="AC56" i="8"/>
  <c r="AD56" i="8"/>
  <c r="AE56" i="8"/>
  <c r="AF56" i="8"/>
  <c r="AG56" i="8"/>
  <c r="AH56" i="8"/>
  <c r="AI56" i="8"/>
  <c r="AJ56" i="8"/>
  <c r="AK56" i="8"/>
  <c r="AL56" i="8"/>
  <c r="AI76" i="7"/>
  <c r="AN48" i="7"/>
  <c r="AI124" i="8"/>
  <c r="AI73" i="8"/>
  <c r="AH122" i="8"/>
  <c r="AN56" i="8"/>
  <c r="AI118" i="10"/>
  <c r="AH116" i="10"/>
  <c r="AH66" i="11"/>
  <c r="AI67" i="11"/>
  <c r="V66" i="11"/>
  <c r="AC66" i="11"/>
  <c r="AD66" i="11"/>
  <c r="AH116" i="11"/>
  <c r="AH118" i="11"/>
  <c r="AF66" i="11"/>
  <c r="M74" i="11"/>
  <c r="M83" i="7"/>
  <c r="X66" i="11"/>
  <c r="U66" i="11"/>
  <c r="Q90" i="8"/>
  <c r="N75" i="7"/>
  <c r="AI75" i="7" s="1"/>
  <c r="O84" i="11"/>
  <c r="O101" i="11"/>
  <c r="O110" i="7"/>
  <c r="N66" i="10"/>
  <c r="AI66" i="10" s="1"/>
  <c r="N72" i="8"/>
  <c r="AI72" i="8" s="1"/>
  <c r="Z66" i="11"/>
  <c r="Y66" i="11"/>
  <c r="AE66" i="11"/>
  <c r="W66" i="11"/>
  <c r="AB66" i="11"/>
  <c r="T66" i="11"/>
  <c r="AA66" i="11"/>
  <c r="W65" i="10"/>
  <c r="AD65" i="10"/>
  <c r="AE65" i="10"/>
  <c r="FF15" i="6"/>
  <c r="N56" i="11" s="1"/>
  <c r="Y56" i="11" s="1"/>
  <c r="FY15" i="6"/>
  <c r="FZ15" i="6" s="1"/>
  <c r="N47" i="11" s="1"/>
  <c r="FY16" i="6"/>
  <c r="FZ16" i="6" s="1"/>
  <c r="N48" i="11" s="1"/>
  <c r="O100" i="11"/>
  <c r="T122" i="8"/>
  <c r="U122" i="8"/>
  <c r="V122" i="8"/>
  <c r="W122" i="8"/>
  <c r="X122" i="8"/>
  <c r="Y122" i="8"/>
  <c r="Z122" i="8"/>
  <c r="AA122" i="8"/>
  <c r="AB122" i="8"/>
  <c r="AC122" i="8"/>
  <c r="AD122" i="8"/>
  <c r="AE122" i="8"/>
  <c r="AF122" i="8"/>
  <c r="AG122" i="8"/>
  <c r="CL16" i="6"/>
  <c r="GK16" i="6" s="1"/>
  <c r="GM16" i="6" s="1"/>
  <c r="CL85" i="28" s="1"/>
  <c r="N74" i="7"/>
  <c r="AH74" i="7" s="1"/>
  <c r="T116" i="11"/>
  <c r="U116" i="11"/>
  <c r="V116" i="11"/>
  <c r="W116" i="11"/>
  <c r="X116" i="11"/>
  <c r="Y116" i="11"/>
  <c r="Z116" i="11"/>
  <c r="AA116" i="11"/>
  <c r="AB116" i="11"/>
  <c r="AC116" i="11"/>
  <c r="AD116" i="11"/>
  <c r="AE116" i="11"/>
  <c r="AF116" i="11"/>
  <c r="AG116" i="11"/>
  <c r="T118" i="11"/>
  <c r="U118" i="11"/>
  <c r="V118" i="11"/>
  <c r="W118" i="11"/>
  <c r="X118" i="11"/>
  <c r="Y118" i="11"/>
  <c r="Z118" i="11"/>
  <c r="AA118" i="11"/>
  <c r="AB118" i="11"/>
  <c r="AC118" i="11"/>
  <c r="AD118" i="11"/>
  <c r="AE118" i="11"/>
  <c r="AF118" i="11"/>
  <c r="AG118" i="11"/>
  <c r="U71" i="8"/>
  <c r="X71" i="8"/>
  <c r="Y71" i="8"/>
  <c r="AC71" i="8"/>
  <c r="AD71" i="8"/>
  <c r="AG71" i="8"/>
  <c r="O106" i="8"/>
  <c r="AK15" i="6"/>
  <c r="BB15" i="6" s="1"/>
  <c r="BF15" i="6" s="1"/>
  <c r="AH15" i="6"/>
  <c r="BE15" i="6"/>
  <c r="M74" i="10"/>
  <c r="M80" i="8"/>
  <c r="O83" i="11"/>
  <c r="U65" i="11"/>
  <c r="V65" i="11"/>
  <c r="Y65" i="11"/>
  <c r="Z65" i="11"/>
  <c r="AC65" i="11"/>
  <c r="AD65" i="11"/>
  <c r="AG65" i="11"/>
  <c r="T116" i="10"/>
  <c r="U116" i="10"/>
  <c r="V116" i="10"/>
  <c r="W116" i="10"/>
  <c r="X116" i="10"/>
  <c r="Y116" i="10"/>
  <c r="Z116" i="10"/>
  <c r="AA116" i="10"/>
  <c r="AB116" i="10"/>
  <c r="AC116" i="10"/>
  <c r="AD116" i="10"/>
  <c r="AE116" i="10"/>
  <c r="AF116" i="10"/>
  <c r="AG116" i="10"/>
  <c r="AO15" i="7"/>
  <c r="AO21" i="14"/>
  <c r="AP13" i="5"/>
  <c r="BO13" i="5" s="1"/>
  <c r="BP13" i="5" s="1"/>
  <c r="FL14" i="5"/>
  <c r="FO14" i="5" s="1"/>
  <c r="FP14" i="5" s="1"/>
  <c r="FB14" i="5"/>
  <c r="FE14" i="5" s="1"/>
  <c r="FF14" i="5" s="1"/>
  <c r="T55" i="8"/>
  <c r="U55" i="8"/>
  <c r="V55" i="8"/>
  <c r="W55" i="8"/>
  <c r="X55" i="8"/>
  <c r="Y55" i="8"/>
  <c r="Z55" i="8"/>
  <c r="AA55" i="8"/>
  <c r="AB55" i="8"/>
  <c r="AC55" i="8"/>
  <c r="AD55" i="8"/>
  <c r="AE55" i="8"/>
  <c r="AF55" i="8"/>
  <c r="AG55" i="8"/>
  <c r="AH55" i="8"/>
  <c r="AI55" i="8"/>
  <c r="AJ55" i="8"/>
  <c r="AK55" i="8"/>
  <c r="AL55" i="8"/>
  <c r="T47" i="7"/>
  <c r="U47" i="7"/>
  <c r="V47" i="7"/>
  <c r="W47" i="7"/>
  <c r="X47" i="7"/>
  <c r="Y47" i="7"/>
  <c r="Z47" i="7"/>
  <c r="AA47" i="7"/>
  <c r="AB47" i="7"/>
  <c r="AC47" i="7"/>
  <c r="AD47" i="7"/>
  <c r="AE47" i="7"/>
  <c r="AF47" i="7"/>
  <c r="AG47" i="7"/>
  <c r="AH47" i="7"/>
  <c r="AI47" i="7"/>
  <c r="AJ47" i="7"/>
  <c r="AK47" i="7"/>
  <c r="AL47" i="7"/>
  <c r="AN55" i="8"/>
  <c r="AN47" i="7"/>
  <c r="AI213" i="16"/>
  <c r="N89" i="8"/>
  <c r="N98" i="8"/>
  <c r="M101" i="7"/>
  <c r="AA76" i="12"/>
  <c r="AA77" i="12"/>
  <c r="M55" i="8"/>
  <c r="M47" i="7"/>
  <c r="AP14" i="8"/>
  <c r="AO15" i="8"/>
  <c r="AP14" i="10"/>
  <c r="AO15" i="10"/>
  <c r="AP14" i="7"/>
  <c r="AP14" i="11"/>
  <c r="AO15" i="11"/>
  <c r="O55" i="8"/>
  <c r="O47" i="7"/>
  <c r="P55" i="8"/>
  <c r="P47" i="7"/>
  <c r="N55" i="8"/>
  <c r="N47" i="7"/>
  <c r="M126" i="11"/>
  <c r="N30" i="11"/>
  <c r="N29" i="11"/>
  <c r="N93" i="11"/>
  <c r="M127" i="11"/>
  <c r="N92" i="11"/>
  <c r="P89" i="8"/>
  <c r="M102" i="7"/>
  <c r="N90" i="8"/>
  <c r="N99" i="8"/>
  <c r="N66" i="7"/>
  <c r="N39" i="7"/>
  <c r="T39" i="7" s="1"/>
  <c r="N30" i="7"/>
  <c r="N57" i="11"/>
  <c r="AI362" i="16"/>
  <c r="AJ157" i="14"/>
  <c r="AJ135" i="14"/>
  <c r="AX16" i="16"/>
  <c r="AX22" i="14"/>
  <c r="Q18" i="22"/>
  <c r="AH219" i="16"/>
  <c r="AI218" i="16"/>
  <c r="AI36" i="13"/>
  <c r="AI35" i="13"/>
  <c r="AJ5" i="13"/>
  <c r="AJ5" i="16"/>
  <c r="AI217" i="16"/>
  <c r="AB4" i="13"/>
  <c r="AB4" i="16"/>
  <c r="P2" i="47" s="1"/>
  <c r="AJ8" i="13"/>
  <c r="AJ8" i="16"/>
  <c r="AJ427" i="16" s="1"/>
  <c r="AB9" i="13"/>
  <c r="AB9" i="16"/>
  <c r="AH125" i="12"/>
  <c r="AH124" i="12"/>
  <c r="AY14" i="12"/>
  <c r="AI122" i="8"/>
  <c r="AI123" i="8"/>
  <c r="AI71" i="8"/>
  <c r="AB9" i="12"/>
  <c r="AB9" i="11"/>
  <c r="AB9" i="10"/>
  <c r="AB9" i="8"/>
  <c r="AB4" i="11"/>
  <c r="AB4" i="12"/>
  <c r="AB4" i="10"/>
  <c r="AB4" i="8"/>
  <c r="U99" i="4"/>
  <c r="AB15" i="14" s="1"/>
  <c r="U98" i="4"/>
  <c r="AB14" i="14" s="1"/>
  <c r="AI117" i="10"/>
  <c r="AI116" i="10"/>
  <c r="AI117" i="11"/>
  <c r="AI118" i="11"/>
  <c r="AI116" i="11"/>
  <c r="AI65" i="11"/>
  <c r="AI66" i="11"/>
  <c r="AJ8" i="11"/>
  <c r="AJ8" i="12"/>
  <c r="AJ8" i="10"/>
  <c r="AJ8" i="8"/>
  <c r="AI28" i="12"/>
  <c r="AI29" i="12"/>
  <c r="AJ5" i="12"/>
  <c r="AJ5" i="11"/>
  <c r="AJ5" i="10"/>
  <c r="AJ5" i="8"/>
  <c r="AD100" i="4"/>
  <c r="AK13" i="14" s="1"/>
  <c r="AJ8" i="7"/>
  <c r="AD97" i="4"/>
  <c r="AK12" i="14" s="1"/>
  <c r="AJ5" i="7"/>
  <c r="V95" i="4"/>
  <c r="AC10" i="14" s="1"/>
  <c r="AB4" i="7"/>
  <c r="AB9" i="7"/>
  <c r="U102" i="4"/>
  <c r="C59" i="4"/>
  <c r="C74" i="4" s="1"/>
  <c r="C87" i="4" s="1"/>
  <c r="C93" i="4" s="1"/>
  <c r="C104" i="4" s="1"/>
  <c r="C111" i="4" s="1"/>
  <c r="BO16" i="6" l="1"/>
  <c r="CW16" i="6"/>
  <c r="CX16" i="6" s="1"/>
  <c r="FI16" i="6"/>
  <c r="DX16" i="6"/>
  <c r="T16" i="6"/>
  <c r="GC16" i="6" s="1"/>
  <c r="GF16" i="6" s="1"/>
  <c r="FD16" i="6"/>
  <c r="BI16" i="6"/>
  <c r="FH16" i="6"/>
  <c r="EV16" i="6"/>
  <c r="CM16" i="6"/>
  <c r="EH16" i="6"/>
  <c r="FR16" i="6"/>
  <c r="FS16" i="6" s="1"/>
  <c r="DK16" i="6"/>
  <c r="CN16" i="6"/>
  <c r="DS16" i="6"/>
  <c r="DT16" i="6" s="1"/>
  <c r="AC67" i="10"/>
  <c r="U67" i="10"/>
  <c r="AH76" i="7"/>
  <c r="V65" i="10"/>
  <c r="AI67" i="10"/>
  <c r="Y76" i="7"/>
  <c r="AG67" i="10"/>
  <c r="Y67" i="10"/>
  <c r="AE67" i="11"/>
  <c r="AJ20" i="7"/>
  <c r="AJ21" i="7"/>
  <c r="AJ22" i="7"/>
  <c r="AJ22" i="12"/>
  <c r="AJ21" i="12"/>
  <c r="AJ20" i="12"/>
  <c r="AJ188" i="16"/>
  <c r="AJ189" i="16"/>
  <c r="AJ184" i="16"/>
  <c r="AJ22" i="10"/>
  <c r="AJ21" i="10"/>
  <c r="AJ20" i="10"/>
  <c r="AJ20" i="8"/>
  <c r="AJ22" i="8"/>
  <c r="AJ21" i="8"/>
  <c r="AJ20" i="11"/>
  <c r="AJ21" i="11"/>
  <c r="AJ22" i="11"/>
  <c r="J9" i="46"/>
  <c r="AJ21" i="13"/>
  <c r="AJ29" i="13" s="1"/>
  <c r="AJ20" i="13"/>
  <c r="AJ28" i="13" s="1"/>
  <c r="AJ19" i="13"/>
  <c r="AJ27" i="13" s="1"/>
  <c r="BC15" i="6"/>
  <c r="BG15" i="6" s="1"/>
  <c r="BC17" i="6"/>
  <c r="BG17" i="6" s="1"/>
  <c r="CK86" i="28"/>
  <c r="AA19" i="22"/>
  <c r="AC19" i="22" s="1"/>
  <c r="AD19" i="22" s="1"/>
  <c r="BU85" i="28"/>
  <c r="BW83" i="28"/>
  <c r="K108" i="12"/>
  <c r="E81" i="14"/>
  <c r="BW82" i="28"/>
  <c r="AB65" i="11"/>
  <c r="T65" i="11"/>
  <c r="AA71" i="8"/>
  <c r="AA65" i="11"/>
  <c r="Z71" i="8"/>
  <c r="X65" i="10"/>
  <c r="Z76" i="7"/>
  <c r="AF65" i="11"/>
  <c r="X65" i="11"/>
  <c r="AF71" i="8"/>
  <c r="W71" i="8"/>
  <c r="AI65" i="10"/>
  <c r="AE65" i="11"/>
  <c r="W65" i="11"/>
  <c r="AE71" i="8"/>
  <c r="V71" i="8"/>
  <c r="AF65" i="10"/>
  <c r="AD76" i="7"/>
  <c r="C28" i="28"/>
  <c r="D39" i="28" s="1"/>
  <c r="C47" i="28"/>
  <c r="Z65" i="10"/>
  <c r="T58" i="11"/>
  <c r="V58" i="11"/>
  <c r="Z58" i="11"/>
  <c r="U58" i="11"/>
  <c r="Y58" i="11"/>
  <c r="X58" i="11"/>
  <c r="W58" i="11"/>
  <c r="AI28" i="14"/>
  <c r="AF19" i="22"/>
  <c r="AA65" i="10"/>
  <c r="F10" i="46"/>
  <c r="AH29" i="14"/>
  <c r="AF29" i="14"/>
  <c r="U28" i="14"/>
  <c r="V30" i="14"/>
  <c r="T30" i="14"/>
  <c r="AB29" i="14"/>
  <c r="Y30" i="14"/>
  <c r="AC30" i="14"/>
  <c r="T29" i="14"/>
  <c r="AG29" i="14"/>
  <c r="W30" i="14"/>
  <c r="AA29" i="14"/>
  <c r="W29" i="14"/>
  <c r="AB28" i="14"/>
  <c r="AG65" i="10"/>
  <c r="Y65" i="10"/>
  <c r="AG28" i="14"/>
  <c r="AE28" i="14"/>
  <c r="Z28" i="14"/>
  <c r="T28" i="14"/>
  <c r="AD28" i="14"/>
  <c r="AH65" i="10"/>
  <c r="G10" i="46"/>
  <c r="AF28" i="14"/>
  <c r="W28" i="14"/>
  <c r="U29" i="14"/>
  <c r="AB30" i="14"/>
  <c r="AI30" i="14"/>
  <c r="AH30" i="14"/>
  <c r="AG30" i="14"/>
  <c r="AE29" i="14"/>
  <c r="H10" i="46"/>
  <c r="AE30" i="14"/>
  <c r="AD29" i="14"/>
  <c r="AI29" i="14"/>
  <c r="Y29" i="14"/>
  <c r="Z30" i="14"/>
  <c r="X30" i="14"/>
  <c r="I10" i="46"/>
  <c r="Z29" i="14"/>
  <c r="AH28" i="14"/>
  <c r="X29" i="14"/>
  <c r="AA28" i="14"/>
  <c r="AA30" i="14"/>
  <c r="V29" i="14"/>
  <c r="X28" i="14"/>
  <c r="N31" i="7"/>
  <c r="N40" i="7"/>
  <c r="CK17" i="6"/>
  <c r="N67" i="7"/>
  <c r="AC65" i="10"/>
  <c r="U65" i="10"/>
  <c r="AD30" i="14"/>
  <c r="AC29" i="14"/>
  <c r="AC28" i="14"/>
  <c r="V28" i="14"/>
  <c r="AB65" i="10"/>
  <c r="Y28" i="14"/>
  <c r="U30" i="14"/>
  <c r="AF30" i="14"/>
  <c r="M16" i="38"/>
  <c r="Y16" i="38" s="1"/>
  <c r="H15" i="34"/>
  <c r="H11" i="34"/>
  <c r="M12" i="38"/>
  <c r="Y12" i="38" s="1"/>
  <c r="H18" i="34"/>
  <c r="M19" i="38"/>
  <c r="Y19" i="38" s="1"/>
  <c r="M17" i="38"/>
  <c r="Y17" i="38" s="1"/>
  <c r="H16" i="34"/>
  <c r="H19" i="34"/>
  <c r="M20" i="38"/>
  <c r="Y20" i="38" s="1"/>
  <c r="H12" i="34"/>
  <c r="M13" i="38"/>
  <c r="Y13" i="38" s="1"/>
  <c r="J20" i="38"/>
  <c r="X20" i="38" s="1"/>
  <c r="M11" i="38"/>
  <c r="Y11" i="38" s="1"/>
  <c r="H10" i="34"/>
  <c r="H13" i="34"/>
  <c r="M14" i="38"/>
  <c r="Y14" i="38" s="1"/>
  <c r="J14" i="38"/>
  <c r="X14" i="38" s="1"/>
  <c r="J12" i="38"/>
  <c r="X12" i="38" s="1"/>
  <c r="H17" i="34"/>
  <c r="M18" i="38"/>
  <c r="Y18" i="38" s="1"/>
  <c r="H14" i="34"/>
  <c r="M15" i="38"/>
  <c r="Y15" i="38" s="1"/>
  <c r="J16" i="38"/>
  <c r="X16" i="38" s="1"/>
  <c r="O10" i="19"/>
  <c r="AZ10" i="19" s="1"/>
  <c r="H9" i="34"/>
  <c r="M10" i="38"/>
  <c r="Y10" i="38" s="1"/>
  <c r="AP20" i="22"/>
  <c r="AO19" i="22"/>
  <c r="K38" i="12"/>
  <c r="AH38" i="12" s="1"/>
  <c r="FB15" i="5"/>
  <c r="FE15" i="5" s="1"/>
  <c r="FF15" i="5" s="1"/>
  <c r="FL15" i="5"/>
  <c r="FO15" i="5" s="1"/>
  <c r="FP15" i="5" s="1"/>
  <c r="AN19" i="22"/>
  <c r="AA20" i="22"/>
  <c r="AC20" i="22" s="1"/>
  <c r="CO19" i="22"/>
  <c r="FL13" i="5"/>
  <c r="FO13" i="5" s="1"/>
  <c r="FP13" i="5" s="1"/>
  <c r="AB71" i="8"/>
  <c r="T71" i="8"/>
  <c r="AA57" i="11"/>
  <c r="FZ17" i="6"/>
  <c r="N49" i="11" s="1"/>
  <c r="M49" i="11"/>
  <c r="N48" i="7"/>
  <c r="N56" i="8"/>
  <c r="P56" i="8"/>
  <c r="P48" i="7"/>
  <c r="J10" i="38"/>
  <c r="X10" i="38" s="1"/>
  <c r="K10" i="19"/>
  <c r="M48" i="7"/>
  <c r="M56" i="8"/>
  <c r="O48" i="7"/>
  <c r="O56" i="8"/>
  <c r="CQ16" i="6"/>
  <c r="DL16" i="6" s="1"/>
  <c r="X38" i="12"/>
  <c r="AJ37" i="13"/>
  <c r="AI126" i="12"/>
  <c r="AJ30" i="12"/>
  <c r="N38" i="7"/>
  <c r="N65" i="7"/>
  <c r="AB65" i="7" s="1"/>
  <c r="CK15" i="6"/>
  <c r="N29" i="7"/>
  <c r="AJ76" i="7"/>
  <c r="AB67" i="7"/>
  <c r="AO48" i="7"/>
  <c r="AI74" i="7"/>
  <c r="V74" i="7"/>
  <c r="AD74" i="7"/>
  <c r="AJ124" i="8"/>
  <c r="AJ73" i="8"/>
  <c r="AO56" i="8"/>
  <c r="AJ118" i="10"/>
  <c r="AJ67" i="10"/>
  <c r="AJ67" i="11"/>
  <c r="AB58" i="11"/>
  <c r="AG75" i="7"/>
  <c r="Y75" i="7"/>
  <c r="AH75" i="7"/>
  <c r="Z75" i="7"/>
  <c r="W75" i="7"/>
  <c r="AA75" i="7"/>
  <c r="T75" i="7"/>
  <c r="AB75" i="7"/>
  <c r="U75" i="7"/>
  <c r="AC75" i="7"/>
  <c r="V75" i="7"/>
  <c r="AD75" i="7"/>
  <c r="AE75" i="7"/>
  <c r="X75" i="7"/>
  <c r="AF75" i="7"/>
  <c r="AG72" i="8"/>
  <c r="T72" i="8"/>
  <c r="AB72" i="8"/>
  <c r="U72" i="8"/>
  <c r="AC72" i="8"/>
  <c r="AH72" i="8"/>
  <c r="V72" i="8"/>
  <c r="AD72" i="8"/>
  <c r="W72" i="8"/>
  <c r="AE72" i="8"/>
  <c r="X72" i="8"/>
  <c r="AF72" i="8"/>
  <c r="Z72" i="8"/>
  <c r="Y72" i="8"/>
  <c r="AA72" i="8"/>
  <c r="AA74" i="7"/>
  <c r="AG66" i="10"/>
  <c r="Y66" i="10"/>
  <c r="Z66" i="10"/>
  <c r="AA66" i="10"/>
  <c r="W66" i="10"/>
  <c r="T66" i="10"/>
  <c r="AB66" i="10"/>
  <c r="U66" i="10"/>
  <c r="AC66" i="10"/>
  <c r="AH66" i="10"/>
  <c r="V66" i="10"/>
  <c r="AD66" i="10"/>
  <c r="AE66" i="10"/>
  <c r="X66" i="10"/>
  <c r="AF66" i="10"/>
  <c r="EO16" i="6"/>
  <c r="EP16" i="6" s="1"/>
  <c r="DU16" i="6"/>
  <c r="EI16" i="6"/>
  <c r="Z74" i="7"/>
  <c r="FL16" i="6"/>
  <c r="GH16" i="6" s="1"/>
  <c r="AG74" i="7"/>
  <c r="Y74" i="7"/>
  <c r="AF74" i="7"/>
  <c r="X74" i="7"/>
  <c r="AE74" i="7"/>
  <c r="W74" i="7"/>
  <c r="W38" i="12" s="1"/>
  <c r="AC74" i="7"/>
  <c r="AC38" i="12" s="1"/>
  <c r="U74" i="7"/>
  <c r="AB74" i="7"/>
  <c r="AB38" i="12" s="1"/>
  <c r="T74" i="7"/>
  <c r="AP15" i="7"/>
  <c r="AP21" i="14"/>
  <c r="K36" i="12"/>
  <c r="J9" i="38"/>
  <c r="X9" i="38" s="1"/>
  <c r="J8" i="38"/>
  <c r="X8" i="38" s="1"/>
  <c r="FB13" i="5"/>
  <c r="FE13" i="5" s="1"/>
  <c r="FF13" i="5" s="1"/>
  <c r="O47" i="15"/>
  <c r="I44" i="15"/>
  <c r="I46" i="15"/>
  <c r="O44" i="15"/>
  <c r="O43" i="15"/>
  <c r="O46" i="15"/>
  <c r="Q42" i="15"/>
  <c r="Q46" i="15"/>
  <c r="Q44" i="15"/>
  <c r="I45" i="15"/>
  <c r="O41" i="15"/>
  <c r="I42" i="15"/>
  <c r="Q45" i="15"/>
  <c r="O42" i="15"/>
  <c r="I47" i="15"/>
  <c r="Q47" i="15"/>
  <c r="O45" i="15"/>
  <c r="O9" i="19"/>
  <c r="AZ9" i="19" s="1"/>
  <c r="AO55" i="8"/>
  <c r="AO47" i="7"/>
  <c r="T56" i="11"/>
  <c r="X56" i="11"/>
  <c r="Z56" i="11"/>
  <c r="AA56" i="11"/>
  <c r="W57" i="11"/>
  <c r="W56" i="11"/>
  <c r="AJ213" i="16"/>
  <c r="V57" i="11"/>
  <c r="Z57" i="11"/>
  <c r="U56" i="11"/>
  <c r="U57" i="11"/>
  <c r="Y57" i="11"/>
  <c r="V56" i="11"/>
  <c r="AQ14" i="7"/>
  <c r="AQ14" i="8"/>
  <c r="AP15" i="8"/>
  <c r="AQ14" i="11"/>
  <c r="AP15" i="11"/>
  <c r="AQ14" i="10"/>
  <c r="AP15" i="10"/>
  <c r="N39" i="11"/>
  <c r="M84" i="11"/>
  <c r="M99" i="8"/>
  <c r="O90" i="8"/>
  <c r="M93" i="11"/>
  <c r="M57" i="10"/>
  <c r="O99" i="8"/>
  <c r="M84" i="10"/>
  <c r="M93" i="10"/>
  <c r="X57" i="11"/>
  <c r="AB57" i="11"/>
  <c r="T57" i="11"/>
  <c r="AJ35" i="13"/>
  <c r="AB56" i="11"/>
  <c r="AJ36" i="13"/>
  <c r="U39" i="7"/>
  <c r="V39" i="7"/>
  <c r="X39" i="7"/>
  <c r="Z39" i="7"/>
  <c r="AA39" i="7"/>
  <c r="W39" i="7"/>
  <c r="M47" i="11"/>
  <c r="U47" i="11" s="1"/>
  <c r="M48" i="11"/>
  <c r="AA48" i="11" s="1"/>
  <c r="K9" i="19"/>
  <c r="K8" i="19"/>
  <c r="Y39" i="7"/>
  <c r="W30" i="7"/>
  <c r="W93" i="7" s="1"/>
  <c r="X30" i="7"/>
  <c r="X93" i="7" s="1"/>
  <c r="Y30" i="7"/>
  <c r="Y93" i="7" s="1"/>
  <c r="Z30" i="7"/>
  <c r="Z93" i="7" s="1"/>
  <c r="T30" i="7"/>
  <c r="T93" i="7" s="1"/>
  <c r="U30" i="7"/>
  <c r="U93" i="7" s="1"/>
  <c r="V30" i="7"/>
  <c r="V93" i="7" s="1"/>
  <c r="AA30" i="7"/>
  <c r="AA93" i="7" s="1"/>
  <c r="AA66" i="7"/>
  <c r="U66" i="7"/>
  <c r="V66" i="7"/>
  <c r="W66" i="7"/>
  <c r="X66" i="7"/>
  <c r="T66" i="7"/>
  <c r="Y66" i="7"/>
  <c r="Z66" i="7"/>
  <c r="M47" i="8"/>
  <c r="N30" i="8"/>
  <c r="M133" i="8"/>
  <c r="P99" i="8"/>
  <c r="M63" i="8"/>
  <c r="N39" i="8"/>
  <c r="K37" i="12"/>
  <c r="AI37" i="12" s="1"/>
  <c r="AJ362" i="16"/>
  <c r="AI219" i="16"/>
  <c r="Y18" i="22"/>
  <c r="AK135" i="14"/>
  <c r="AK157" i="14"/>
  <c r="AY16" i="16"/>
  <c r="AY22" i="14"/>
  <c r="AJ218" i="16"/>
  <c r="AB10" i="13"/>
  <c r="AB10" i="16"/>
  <c r="AC3" i="13"/>
  <c r="AC3" i="16"/>
  <c r="AK8" i="13"/>
  <c r="AK8" i="16"/>
  <c r="AJ217" i="16"/>
  <c r="AK5" i="13"/>
  <c r="AK5" i="16"/>
  <c r="AB6" i="13"/>
  <c r="AB6" i="16"/>
  <c r="AB7" i="13"/>
  <c r="AB7" i="16"/>
  <c r="AZ14" i="12"/>
  <c r="AI125" i="12"/>
  <c r="AI124" i="12"/>
  <c r="AC3" i="11"/>
  <c r="V101" i="4"/>
  <c r="AC3" i="12"/>
  <c r="AC3" i="10"/>
  <c r="AC3" i="8"/>
  <c r="AJ122" i="8"/>
  <c r="AJ123" i="8"/>
  <c r="AJ71" i="8"/>
  <c r="AJ72" i="8"/>
  <c r="AB6" i="12"/>
  <c r="AB6" i="11"/>
  <c r="AB6" i="10"/>
  <c r="AB6" i="8"/>
  <c r="AB6" i="7"/>
  <c r="AJ117" i="10"/>
  <c r="AJ116" i="10"/>
  <c r="AJ65" i="10"/>
  <c r="AJ66" i="10"/>
  <c r="AK5" i="12"/>
  <c r="AK5" i="11"/>
  <c r="AK5" i="10"/>
  <c r="AK5" i="8"/>
  <c r="AJ118" i="11"/>
  <c r="AJ117" i="11"/>
  <c r="AJ116" i="11"/>
  <c r="AJ65" i="11"/>
  <c r="AJ66" i="11"/>
  <c r="AB7" i="11"/>
  <c r="AB7" i="12"/>
  <c r="AB7" i="10"/>
  <c r="AB7" i="8"/>
  <c r="AB7" i="7"/>
  <c r="AK8" i="12"/>
  <c r="AK8" i="11"/>
  <c r="AK8" i="10"/>
  <c r="AK8" i="8"/>
  <c r="AJ29" i="12"/>
  <c r="AJ28" i="12"/>
  <c r="AB10" i="7"/>
  <c r="AB10" i="11"/>
  <c r="AB10" i="12"/>
  <c r="AB10" i="10"/>
  <c r="AB10" i="8"/>
  <c r="AJ74" i="7"/>
  <c r="AJ75" i="7"/>
  <c r="AB66" i="7"/>
  <c r="V96" i="4"/>
  <c r="AC11" i="14" s="1"/>
  <c r="AC3" i="7"/>
  <c r="AE100" i="4"/>
  <c r="AL13" i="14" s="1"/>
  <c r="AK8" i="7"/>
  <c r="AE97" i="4"/>
  <c r="AL12" i="14" s="1"/>
  <c r="AK5" i="7"/>
  <c r="C116" i="4"/>
  <c r="C129" i="4" s="1"/>
  <c r="AJ190" i="16" l="1"/>
  <c r="AK21" i="7"/>
  <c r="AK22" i="7"/>
  <c r="AK20" i="7"/>
  <c r="AK22" i="8"/>
  <c r="AK21" i="8"/>
  <c r="AK20" i="8"/>
  <c r="AK22" i="10"/>
  <c r="AK21" i="10"/>
  <c r="AK20" i="10"/>
  <c r="AK20" i="11"/>
  <c r="AK21" i="11"/>
  <c r="AK22" i="11"/>
  <c r="AK21" i="12"/>
  <c r="AK20" i="12"/>
  <c r="AK22" i="12"/>
  <c r="AK189" i="16"/>
  <c r="AK184" i="16"/>
  <c r="AK188" i="16"/>
  <c r="J10" i="46"/>
  <c r="AK21" i="13"/>
  <c r="AK29" i="13" s="1"/>
  <c r="AK19" i="13"/>
  <c r="AK27" i="13" s="1"/>
  <c r="AK20" i="13"/>
  <c r="AK28" i="13" s="1"/>
  <c r="BO15" i="6"/>
  <c r="CO18" i="22" s="1"/>
  <c r="FH15" i="6"/>
  <c r="FR15" i="6"/>
  <c r="FS15" i="6" s="1"/>
  <c r="N38" i="11" s="1"/>
  <c r="FD15" i="6"/>
  <c r="M83" i="10"/>
  <c r="O98" i="8"/>
  <c r="DK15" i="6"/>
  <c r="CW15" i="6"/>
  <c r="BI15" i="6"/>
  <c r="BJ15" i="6" s="1"/>
  <c r="M89" i="8" s="1"/>
  <c r="O89" i="8"/>
  <c r="FI15" i="6"/>
  <c r="M83" i="11"/>
  <c r="M92" i="10"/>
  <c r="CN15" i="6"/>
  <c r="EH15" i="6"/>
  <c r="M92" i="11"/>
  <c r="DX15" i="6"/>
  <c r="DS15" i="6"/>
  <c r="DT15" i="6" s="1"/>
  <c r="N92" i="10" s="1"/>
  <c r="T15" i="6"/>
  <c r="EV15" i="6"/>
  <c r="AL19" i="22"/>
  <c r="AE19" i="22"/>
  <c r="BO17" i="6"/>
  <c r="FD17" i="6"/>
  <c r="CM17" i="6"/>
  <c r="M85" i="10"/>
  <c r="M94" i="10"/>
  <c r="CN17" i="6"/>
  <c r="BI17" i="6"/>
  <c r="DS17" i="6"/>
  <c r="DT17" i="6" s="1"/>
  <c r="EO17" i="6" s="1"/>
  <c r="T17" i="6"/>
  <c r="GC17" i="6" s="1"/>
  <c r="GF17" i="6" s="1"/>
  <c r="O100" i="8"/>
  <c r="CW17" i="6"/>
  <c r="CX17" i="6" s="1"/>
  <c r="N40" i="8" s="1"/>
  <c r="FI17" i="6"/>
  <c r="M94" i="11"/>
  <c r="DX17" i="6"/>
  <c r="CO20" i="22"/>
  <c r="EH17" i="6"/>
  <c r="DK17" i="6"/>
  <c r="AN20" i="22"/>
  <c r="M85" i="11"/>
  <c r="FH17" i="6"/>
  <c r="O91" i="8"/>
  <c r="EV17" i="6"/>
  <c r="AO20" i="22"/>
  <c r="FR17" i="6"/>
  <c r="FS17" i="6" s="1"/>
  <c r="N40" i="11" s="1"/>
  <c r="D33" i="28"/>
  <c r="D30" i="28"/>
  <c r="T38" i="12"/>
  <c r="AI38" i="12"/>
  <c r="BU83" i="28"/>
  <c r="BU86" i="28" s="1"/>
  <c r="BW86" i="28"/>
  <c r="D43" i="28"/>
  <c r="D31" i="28"/>
  <c r="D42" i="28"/>
  <c r="D29" i="28"/>
  <c r="D35" i="28"/>
  <c r="D36" i="28"/>
  <c r="D28" i="28"/>
  <c r="L28" i="28" s="1"/>
  <c r="D41" i="28"/>
  <c r="D34" i="28"/>
  <c r="D37" i="28"/>
  <c r="D40" i="28"/>
  <c r="D32" i="28"/>
  <c r="D38" i="28"/>
  <c r="D50" i="28"/>
  <c r="D51" i="28"/>
  <c r="D52" i="28"/>
  <c r="D55" i="28"/>
  <c r="D56" i="28"/>
  <c r="D53" i="28"/>
  <c r="D47" i="28"/>
  <c r="D48" i="28"/>
  <c r="D49" i="28"/>
  <c r="D46" i="28"/>
  <c r="D57" i="28"/>
  <c r="D54" i="28"/>
  <c r="M10" i="19"/>
  <c r="CQ17" i="6"/>
  <c r="DL17" i="6" s="1"/>
  <c r="M116" i="8" s="1"/>
  <c r="M58" i="10"/>
  <c r="K10" i="38"/>
  <c r="FL15" i="6"/>
  <c r="M38" i="11" s="1"/>
  <c r="V31" i="7"/>
  <c r="W31" i="7"/>
  <c r="X31" i="7"/>
  <c r="Y31" i="7"/>
  <c r="Z31" i="7"/>
  <c r="T31" i="7"/>
  <c r="U31" i="7"/>
  <c r="AA31" i="7"/>
  <c r="F11" i="46"/>
  <c r="G11" i="46"/>
  <c r="AJ30" i="14"/>
  <c r="AJ28" i="14"/>
  <c r="AJ29" i="14"/>
  <c r="I11" i="46"/>
  <c r="Y67" i="7"/>
  <c r="Z67" i="7"/>
  <c r="T67" i="7"/>
  <c r="U67" i="7"/>
  <c r="V67" i="7"/>
  <c r="AA67" i="7"/>
  <c r="W67" i="7"/>
  <c r="X67" i="7"/>
  <c r="H11" i="46"/>
  <c r="P100" i="8"/>
  <c r="DD17" i="6"/>
  <c r="CL17" i="6"/>
  <c r="M134" i="8"/>
  <c r="M64" i="8"/>
  <c r="N31" i="8"/>
  <c r="Z40" i="7"/>
  <c r="T40" i="7"/>
  <c r="U40" i="7"/>
  <c r="V40" i="7"/>
  <c r="W40" i="7"/>
  <c r="X40" i="7"/>
  <c r="AA40" i="7"/>
  <c r="Y40" i="7"/>
  <c r="AG38" i="12"/>
  <c r="AA38" i="12"/>
  <c r="AF38" i="12"/>
  <c r="V38" i="12"/>
  <c r="Y38" i="12"/>
  <c r="Z38" i="12"/>
  <c r="AE20" i="22"/>
  <c r="AD20" i="22"/>
  <c r="AF20" i="22"/>
  <c r="AL20" i="22"/>
  <c r="AD38" i="12"/>
  <c r="U38" i="12"/>
  <c r="AE38" i="12"/>
  <c r="DM16" i="6"/>
  <c r="N133" i="8" s="1"/>
  <c r="N94" i="10"/>
  <c r="DW16" i="6"/>
  <c r="EA16" i="6" s="1"/>
  <c r="EW16" i="6" s="1"/>
  <c r="GC15" i="6"/>
  <c r="GF15" i="6" s="1"/>
  <c r="V49" i="11"/>
  <c r="AA49" i="11"/>
  <c r="W49" i="11"/>
  <c r="X49" i="11"/>
  <c r="Y49" i="11"/>
  <c r="Z49" i="11"/>
  <c r="T49" i="11"/>
  <c r="U49" i="11"/>
  <c r="K11" i="38"/>
  <c r="M49" i="10"/>
  <c r="J11" i="38"/>
  <c r="X11" i="38" s="1"/>
  <c r="CX15" i="6"/>
  <c r="N38" i="8" s="1"/>
  <c r="AF36" i="12"/>
  <c r="AK37" i="13"/>
  <c r="AJ126" i="12"/>
  <c r="AB78" i="12"/>
  <c r="AJ38" i="12"/>
  <c r="AK30" i="12"/>
  <c r="AA36" i="12"/>
  <c r="Z36" i="12"/>
  <c r="AE36" i="12"/>
  <c r="T36" i="12"/>
  <c r="AI36" i="12"/>
  <c r="AD36" i="12"/>
  <c r="AH36" i="12"/>
  <c r="AG36" i="12"/>
  <c r="AB36" i="12"/>
  <c r="AC36" i="12"/>
  <c r="W29" i="7"/>
  <c r="W83" i="7" s="1"/>
  <c r="Z29" i="7"/>
  <c r="Z83" i="7" s="1"/>
  <c r="AA29" i="7"/>
  <c r="AA83" i="7" s="1"/>
  <c r="Y29" i="7"/>
  <c r="Y83" i="7" s="1"/>
  <c r="T29" i="7"/>
  <c r="T83" i="7" s="1"/>
  <c r="U29" i="7"/>
  <c r="U83" i="7" s="1"/>
  <c r="V29" i="7"/>
  <c r="V83" i="7" s="1"/>
  <c r="X29" i="7"/>
  <c r="X83" i="7" s="1"/>
  <c r="DD15" i="6"/>
  <c r="P98" i="8"/>
  <c r="N29" i="8"/>
  <c r="CL15" i="6"/>
  <c r="M62" i="8"/>
  <c r="M132" i="8"/>
  <c r="AA65" i="7"/>
  <c r="X65" i="7"/>
  <c r="Y65" i="7"/>
  <c r="Z65" i="7"/>
  <c r="T65" i="7"/>
  <c r="U65" i="7"/>
  <c r="V65" i="7"/>
  <c r="W65" i="7"/>
  <c r="T38" i="7"/>
  <c r="U38" i="7"/>
  <c r="W38" i="7"/>
  <c r="AA38" i="7"/>
  <c r="V38" i="7"/>
  <c r="X38" i="7"/>
  <c r="Y38" i="7"/>
  <c r="Z38" i="7"/>
  <c r="V36" i="12"/>
  <c r="U36" i="12"/>
  <c r="AK76" i="7"/>
  <c r="W36" i="12"/>
  <c r="AP48" i="7"/>
  <c r="AB40" i="7"/>
  <c r="AB31" i="7"/>
  <c r="AB94" i="7" s="1"/>
  <c r="X36" i="12"/>
  <c r="Y36" i="12"/>
  <c r="AK124" i="8"/>
  <c r="AK73" i="8"/>
  <c r="AP56" i="8"/>
  <c r="AK118" i="10"/>
  <c r="AK67" i="10"/>
  <c r="AK67" i="11"/>
  <c r="AB49" i="11"/>
  <c r="GG16" i="6"/>
  <c r="AQ15" i="7"/>
  <c r="AQ21" i="14"/>
  <c r="M8" i="38"/>
  <c r="Y8" i="38" s="1"/>
  <c r="K9" i="38"/>
  <c r="M9" i="38"/>
  <c r="Y9" i="38" s="1"/>
  <c r="H7" i="34"/>
  <c r="H8" i="34"/>
  <c r="M9" i="19"/>
  <c r="O51" i="15"/>
  <c r="AP47" i="7"/>
  <c r="AP55" i="8"/>
  <c r="M90" i="8"/>
  <c r="Z102" i="7"/>
  <c r="X102" i="7"/>
  <c r="U48" i="11"/>
  <c r="X48" i="11"/>
  <c r="O14" i="15"/>
  <c r="O16" i="15" s="1"/>
  <c r="E26" i="15" s="1"/>
  <c r="AK213" i="16"/>
  <c r="M39" i="8"/>
  <c r="Z39" i="8" s="1"/>
  <c r="V48" i="11"/>
  <c r="W102" i="7"/>
  <c r="M30" i="8"/>
  <c r="AA30" i="8" s="1"/>
  <c r="W48" i="11"/>
  <c r="AR14" i="10"/>
  <c r="AQ15" i="10"/>
  <c r="O63" i="8"/>
  <c r="T48" i="11"/>
  <c r="U102" i="7"/>
  <c r="T102" i="7"/>
  <c r="V102" i="7"/>
  <c r="AR14" i="7"/>
  <c r="Y102" i="7"/>
  <c r="AA102" i="7"/>
  <c r="Y48" i="11"/>
  <c r="AP18" i="22"/>
  <c r="Z48" i="11"/>
  <c r="AB76" i="12"/>
  <c r="AB77" i="12"/>
  <c r="AR14" i="11"/>
  <c r="AQ15" i="11"/>
  <c r="AR14" i="8"/>
  <c r="AQ15" i="8"/>
  <c r="AB48" i="11"/>
  <c r="Z47" i="11"/>
  <c r="W47" i="11"/>
  <c r="X47" i="11"/>
  <c r="M127" i="10"/>
  <c r="Y47" i="11"/>
  <c r="AB47" i="11"/>
  <c r="N30" i="10"/>
  <c r="AA47" i="11"/>
  <c r="N93" i="10"/>
  <c r="V47" i="11"/>
  <c r="T47" i="11"/>
  <c r="AA84" i="7"/>
  <c r="M39" i="11"/>
  <c r="T84" i="7"/>
  <c r="Z84" i="7"/>
  <c r="N57" i="10"/>
  <c r="X57" i="10" s="1"/>
  <c r="N48" i="10"/>
  <c r="N39" i="10"/>
  <c r="Y84" i="7"/>
  <c r="AE37" i="12"/>
  <c r="AF37" i="12"/>
  <c r="AA37" i="12"/>
  <c r="T37" i="12"/>
  <c r="AB37" i="12"/>
  <c r="U37" i="12"/>
  <c r="AC37" i="12"/>
  <c r="V37" i="12"/>
  <c r="AD37" i="12"/>
  <c r="W37" i="12"/>
  <c r="X37" i="12"/>
  <c r="Y37" i="12"/>
  <c r="Z37" i="12"/>
  <c r="AG37" i="12"/>
  <c r="AH37" i="12"/>
  <c r="N47" i="8"/>
  <c r="AA47" i="8" s="1"/>
  <c r="X84" i="7"/>
  <c r="N63" i="8"/>
  <c r="W84" i="7"/>
  <c r="V84" i="7"/>
  <c r="U84" i="7"/>
  <c r="AK362" i="16"/>
  <c r="O8" i="19"/>
  <c r="I43" i="15"/>
  <c r="AZ16" i="16"/>
  <c r="AZ22" i="14"/>
  <c r="AL157" i="14"/>
  <c r="AL135" i="14"/>
  <c r="AK36" i="13"/>
  <c r="AJ219" i="16"/>
  <c r="AK218" i="16"/>
  <c r="AK35" i="13"/>
  <c r="AL5" i="13"/>
  <c r="AL5" i="16"/>
  <c r="AL8" i="13"/>
  <c r="AL8" i="16"/>
  <c r="AK217" i="16"/>
  <c r="AC9" i="13"/>
  <c r="AC9" i="16"/>
  <c r="AC4" i="13"/>
  <c r="AC4" i="16"/>
  <c r="Q2" i="47" s="1"/>
  <c r="AB30" i="7"/>
  <c r="AB93" i="7" s="1"/>
  <c r="AB39" i="7"/>
  <c r="AB29" i="7"/>
  <c r="AB38" i="7"/>
  <c r="AJ37" i="12"/>
  <c r="BA14" i="12"/>
  <c r="AJ124" i="12"/>
  <c r="AJ125" i="12"/>
  <c r="AL5" i="12"/>
  <c r="AL5" i="11"/>
  <c r="AL5" i="10"/>
  <c r="AL5" i="8"/>
  <c r="AK122" i="8"/>
  <c r="AK123" i="8"/>
  <c r="AK71" i="8"/>
  <c r="AK72" i="8"/>
  <c r="AL8" i="12"/>
  <c r="AL8" i="11"/>
  <c r="AL8" i="10"/>
  <c r="AL8" i="8"/>
  <c r="AK117" i="10"/>
  <c r="AK116" i="10"/>
  <c r="AK65" i="10"/>
  <c r="AK66" i="10"/>
  <c r="AK118" i="11"/>
  <c r="AK117" i="11"/>
  <c r="AK116" i="11"/>
  <c r="AK65" i="11"/>
  <c r="AK66" i="11"/>
  <c r="AJ36" i="12"/>
  <c r="AK28" i="12"/>
  <c r="AK29" i="12"/>
  <c r="AC4" i="12"/>
  <c r="AC4" i="11"/>
  <c r="AC4" i="10"/>
  <c r="AC4" i="8"/>
  <c r="V99" i="4"/>
  <c r="AC15" i="14" s="1"/>
  <c r="V98" i="4"/>
  <c r="AC14" i="14" s="1"/>
  <c r="AC9" i="12"/>
  <c r="AC9" i="11"/>
  <c r="AC9" i="10"/>
  <c r="AC9" i="8"/>
  <c r="O57" i="11"/>
  <c r="AK74" i="7"/>
  <c r="AK75" i="7"/>
  <c r="M115" i="8"/>
  <c r="AF100" i="4"/>
  <c r="AM13" i="14" s="1"/>
  <c r="AL8" i="7"/>
  <c r="W95" i="4"/>
  <c r="AD10" i="14" s="1"/>
  <c r="AC4" i="7"/>
  <c r="V102" i="4"/>
  <c r="AC9" i="7"/>
  <c r="AF97" i="4"/>
  <c r="AM12" i="14" s="1"/>
  <c r="AL5" i="7"/>
  <c r="C150" i="4"/>
  <c r="C199" i="4" s="1"/>
  <c r="C240" i="4" s="1"/>
  <c r="C293" i="4" s="1"/>
  <c r="FL17" i="6" l="1"/>
  <c r="GH17" i="6" s="1"/>
  <c r="N128" i="11" s="1"/>
  <c r="M31" i="11"/>
  <c r="W31" i="11" s="1"/>
  <c r="W76" i="11" s="1"/>
  <c r="EP17" i="6"/>
  <c r="N49" i="10" s="1"/>
  <c r="Y49" i="10" s="1"/>
  <c r="EI17" i="6"/>
  <c r="N40" i="10" s="1"/>
  <c r="DU17" i="6"/>
  <c r="N58" i="10" s="1"/>
  <c r="M128" i="10"/>
  <c r="N31" i="10"/>
  <c r="M98" i="8"/>
  <c r="CM15" i="6"/>
  <c r="CQ15" i="6" s="1"/>
  <c r="M29" i="8" s="1"/>
  <c r="GH15" i="6"/>
  <c r="N126" i="11" s="1"/>
  <c r="AL22" i="10"/>
  <c r="AL21" i="10"/>
  <c r="AL20" i="10"/>
  <c r="AL20" i="11"/>
  <c r="AL21" i="11"/>
  <c r="AL22" i="11"/>
  <c r="AL189" i="16"/>
  <c r="AL184" i="16"/>
  <c r="AL188" i="16"/>
  <c r="AL22" i="12"/>
  <c r="AL21" i="12"/>
  <c r="AL20" i="12"/>
  <c r="CA20" i="22"/>
  <c r="S10" i="19" s="1"/>
  <c r="AL22" i="7"/>
  <c r="AL21" i="7"/>
  <c r="AL20" i="7"/>
  <c r="AZ8" i="19"/>
  <c r="AY8" i="19" s="1"/>
  <c r="AK190" i="16"/>
  <c r="AL22" i="8"/>
  <c r="AL21" i="8"/>
  <c r="AL20" i="8"/>
  <c r="L36" i="28"/>
  <c r="AL21" i="13"/>
  <c r="AL29" i="13" s="1"/>
  <c r="AL20" i="13"/>
  <c r="AL28" i="13" s="1"/>
  <c r="AL19" i="13"/>
  <c r="AL27" i="13" s="1"/>
  <c r="L39" i="28"/>
  <c r="L37" i="28"/>
  <c r="L29" i="28"/>
  <c r="L32" i="28"/>
  <c r="J32" i="28" s="1"/>
  <c r="L30" i="28"/>
  <c r="L41" i="28"/>
  <c r="J41" i="28" s="1"/>
  <c r="Z58" i="10"/>
  <c r="AY10" i="19"/>
  <c r="L34" i="28"/>
  <c r="J34" i="28" s="1"/>
  <c r="L38" i="28"/>
  <c r="J38" i="28" s="1"/>
  <c r="L35" i="28"/>
  <c r="J35" i="28" s="1"/>
  <c r="L31" i="28"/>
  <c r="L43" i="28"/>
  <c r="J43" i="28" s="1"/>
  <c r="L33" i="28"/>
  <c r="M33" i="28" s="1"/>
  <c r="L40" i="28"/>
  <c r="L42" i="28"/>
  <c r="Q42" i="28" s="1"/>
  <c r="X53" i="28"/>
  <c r="X52" i="28"/>
  <c r="X46" i="28"/>
  <c r="Y46" i="28" s="1"/>
  <c r="X50" i="28"/>
  <c r="X48" i="28"/>
  <c r="X55" i="28"/>
  <c r="X47" i="28"/>
  <c r="X49" i="28"/>
  <c r="X54" i="28"/>
  <c r="X51" i="28"/>
  <c r="X56" i="28"/>
  <c r="X57" i="28"/>
  <c r="O57" i="10"/>
  <c r="M29" i="11"/>
  <c r="AA29" i="11" s="1"/>
  <c r="GG17" i="6"/>
  <c r="M110" i="11" s="1"/>
  <c r="O56" i="11"/>
  <c r="M30" i="10"/>
  <c r="Y30" i="10" s="1"/>
  <c r="Y84" i="10" s="1"/>
  <c r="GG15" i="6"/>
  <c r="M108" i="11" s="1"/>
  <c r="V31" i="11"/>
  <c r="V85" i="11" s="1"/>
  <c r="M40" i="11"/>
  <c r="Y40" i="11" s="1"/>
  <c r="O58" i="11"/>
  <c r="EX16" i="6"/>
  <c r="N127" i="10" s="1"/>
  <c r="U127" i="10" s="1"/>
  <c r="Y58" i="10"/>
  <c r="AA58" i="10"/>
  <c r="AI10" i="38"/>
  <c r="AB58" i="10"/>
  <c r="Y31" i="11"/>
  <c r="Y85" i="11" s="1"/>
  <c r="M39" i="10"/>
  <c r="Y39" i="10" s="1"/>
  <c r="U31" i="11"/>
  <c r="U76" i="11" s="1"/>
  <c r="X58" i="10"/>
  <c r="T31" i="11"/>
  <c r="T76" i="11" s="1"/>
  <c r="W58" i="10"/>
  <c r="M31" i="8"/>
  <c r="AB31" i="8" s="1"/>
  <c r="O64" i="8"/>
  <c r="DW17" i="6"/>
  <c r="EA17" i="6" s="1"/>
  <c r="EB17" i="6" s="1"/>
  <c r="DM17" i="6"/>
  <c r="N134" i="8" s="1"/>
  <c r="U134" i="8" s="1"/>
  <c r="V58" i="10"/>
  <c r="U58" i="10"/>
  <c r="T58" i="10"/>
  <c r="M40" i="8"/>
  <c r="Y40" i="8" s="1"/>
  <c r="X31" i="11"/>
  <c r="X76" i="11" s="1"/>
  <c r="M38" i="8"/>
  <c r="AA38" i="8" s="1"/>
  <c r="O62" i="8"/>
  <c r="DM15" i="6"/>
  <c r="N132" i="8" s="1"/>
  <c r="X132" i="8" s="1"/>
  <c r="EB16" i="6"/>
  <c r="N29" i="10"/>
  <c r="M126" i="10"/>
  <c r="EO15" i="6"/>
  <c r="EP15" i="6" s="1"/>
  <c r="N47" i="10" s="1"/>
  <c r="M56" i="10"/>
  <c r="DU15" i="6"/>
  <c r="N56" i="10" s="1"/>
  <c r="M30" i="28"/>
  <c r="J30" i="28"/>
  <c r="M39" i="28"/>
  <c r="J39" i="28"/>
  <c r="M31" i="28"/>
  <c r="J31" i="28"/>
  <c r="M43" i="28"/>
  <c r="M41" i="28"/>
  <c r="J37" i="28"/>
  <c r="M37" i="28"/>
  <c r="EI15" i="6"/>
  <c r="N38" i="10" s="1"/>
  <c r="J40" i="28"/>
  <c r="M40" i="28"/>
  <c r="M34" i="28"/>
  <c r="J28" i="28"/>
  <c r="M28" i="28"/>
  <c r="J29" i="28"/>
  <c r="M29" i="28"/>
  <c r="J36" i="28"/>
  <c r="M36" i="28"/>
  <c r="M42" i="28"/>
  <c r="J42" i="28"/>
  <c r="M38" i="28"/>
  <c r="AI11" i="38"/>
  <c r="N64" i="8"/>
  <c r="AA64" i="8" s="1"/>
  <c r="GK17" i="6"/>
  <c r="GM17" i="6" s="1"/>
  <c r="CL82" i="28" s="1"/>
  <c r="X94" i="7"/>
  <c r="X85" i="7"/>
  <c r="X103" i="7"/>
  <c r="DE17" i="6"/>
  <c r="N48" i="8" s="1"/>
  <c r="M48" i="8"/>
  <c r="W103" i="7"/>
  <c r="W94" i="7"/>
  <c r="W85" i="7"/>
  <c r="V103" i="7"/>
  <c r="V85" i="7"/>
  <c r="V94" i="7"/>
  <c r="AA103" i="7"/>
  <c r="AA85" i="7"/>
  <c r="AA94" i="7"/>
  <c r="U85" i="7"/>
  <c r="U94" i="7"/>
  <c r="U103" i="7"/>
  <c r="T94" i="7"/>
  <c r="T103" i="7"/>
  <c r="T85" i="7"/>
  <c r="AK30" i="14"/>
  <c r="AK29" i="14"/>
  <c r="AK28" i="14"/>
  <c r="J11" i="46"/>
  <c r="W85" i="11"/>
  <c r="Z103" i="7"/>
  <c r="Z94" i="7"/>
  <c r="Z85" i="7"/>
  <c r="AA90" i="8"/>
  <c r="Y94" i="7"/>
  <c r="Y85" i="7"/>
  <c r="Y103" i="7"/>
  <c r="BD20" i="22"/>
  <c r="AB49" i="10"/>
  <c r="T29" i="8"/>
  <c r="T80" i="8" s="1"/>
  <c r="K12" i="38"/>
  <c r="T49" i="10"/>
  <c r="U49" i="10"/>
  <c r="W49" i="10"/>
  <c r="X49" i="10"/>
  <c r="AA49" i="10"/>
  <c r="Z49" i="10"/>
  <c r="W29" i="8"/>
  <c r="Z29" i="8"/>
  <c r="AA29" i="8"/>
  <c r="X29" i="8"/>
  <c r="AB29" i="8"/>
  <c r="Y29" i="8"/>
  <c r="BD19" i="22"/>
  <c r="CA19" i="22"/>
  <c r="AI9" i="38" s="1"/>
  <c r="U29" i="8"/>
  <c r="V29" i="8"/>
  <c r="AL37" i="13"/>
  <c r="AK126" i="12"/>
  <c r="CA18" i="22"/>
  <c r="AI8" i="38" s="1"/>
  <c r="AK38" i="12"/>
  <c r="AL30" i="12"/>
  <c r="DE15" i="6"/>
  <c r="N46" i="8" s="1"/>
  <c r="M46" i="8"/>
  <c r="GK15" i="6"/>
  <c r="N62" i="8"/>
  <c r="AC62" i="8" s="1"/>
  <c r="AB103" i="7"/>
  <c r="AB85" i="7"/>
  <c r="AL76" i="7"/>
  <c r="AC67" i="7"/>
  <c r="AQ48" i="7"/>
  <c r="AL124" i="8"/>
  <c r="AL73" i="8"/>
  <c r="U30" i="8"/>
  <c r="U90" i="8" s="1"/>
  <c r="W30" i="8"/>
  <c r="W81" i="8" s="1"/>
  <c r="AB30" i="8"/>
  <c r="AB90" i="8" s="1"/>
  <c r="Y30" i="8"/>
  <c r="Y81" i="8" s="1"/>
  <c r="AQ56" i="8"/>
  <c r="X30" i="8"/>
  <c r="X81" i="8" s="1"/>
  <c r="T30" i="8"/>
  <c r="T90" i="8" s="1"/>
  <c r="Z30" i="8"/>
  <c r="Z90" i="8" s="1"/>
  <c r="AL118" i="10"/>
  <c r="AL67" i="10"/>
  <c r="AC58" i="10"/>
  <c r="AL67" i="11"/>
  <c r="AC58" i="11"/>
  <c r="AR15" i="7"/>
  <c r="AR21" i="14"/>
  <c r="Z133" i="8"/>
  <c r="U133" i="8"/>
  <c r="AC133" i="8"/>
  <c r="V133" i="8"/>
  <c r="Y133" i="8"/>
  <c r="W133" i="8"/>
  <c r="AB133" i="8"/>
  <c r="AA133" i="8"/>
  <c r="X133" i="8"/>
  <c r="T133" i="8"/>
  <c r="V30" i="8"/>
  <c r="V81" i="8" s="1"/>
  <c r="U39" i="8"/>
  <c r="K8" i="38"/>
  <c r="T39" i="8"/>
  <c r="X39" i="8"/>
  <c r="AB39" i="8"/>
  <c r="Y39" i="8"/>
  <c r="AA39" i="8"/>
  <c r="W39" i="8"/>
  <c r="V39" i="8"/>
  <c r="M109" i="10"/>
  <c r="I41" i="15"/>
  <c r="AQ55" i="8"/>
  <c r="AQ47" i="7"/>
  <c r="AB47" i="8"/>
  <c r="T47" i="8"/>
  <c r="U47" i="8"/>
  <c r="V47" i="8"/>
  <c r="W47" i="8"/>
  <c r="X47" i="8"/>
  <c r="Y47" i="8"/>
  <c r="Z47" i="8"/>
  <c r="AL213" i="16"/>
  <c r="AS14" i="11"/>
  <c r="AR15" i="11"/>
  <c r="AB102" i="7"/>
  <c r="M30" i="11"/>
  <c r="V30" i="11" s="1"/>
  <c r="M8" i="19"/>
  <c r="AS14" i="8"/>
  <c r="AR15" i="8"/>
  <c r="AS14" i="7"/>
  <c r="AS14" i="10"/>
  <c r="AR15" i="10"/>
  <c r="W57" i="10"/>
  <c r="Y57" i="10"/>
  <c r="T57" i="10"/>
  <c r="M48" i="10"/>
  <c r="Y48" i="10" s="1"/>
  <c r="AB57" i="10"/>
  <c r="AA57" i="10"/>
  <c r="V57" i="10"/>
  <c r="U57" i="10"/>
  <c r="Z57" i="10"/>
  <c r="M109" i="11"/>
  <c r="N127" i="11"/>
  <c r="U127" i="11" s="1"/>
  <c r="U63" i="8"/>
  <c r="T63" i="8"/>
  <c r="Y63" i="8"/>
  <c r="AB63" i="8"/>
  <c r="AA63" i="8"/>
  <c r="W63" i="8"/>
  <c r="X63" i="8"/>
  <c r="Z63" i="8"/>
  <c r="V63" i="8"/>
  <c r="AL362" i="16"/>
  <c r="AB84" i="7"/>
  <c r="AM135" i="14"/>
  <c r="AM157" i="14"/>
  <c r="BA16" i="16"/>
  <c r="BA22" i="14"/>
  <c r="Q43" i="15"/>
  <c r="AB83" i="7"/>
  <c r="AC57" i="10"/>
  <c r="AK219" i="16"/>
  <c r="AL218" i="16"/>
  <c r="AL35" i="13"/>
  <c r="AD3" i="13"/>
  <c r="AD3" i="16"/>
  <c r="AM8" i="13"/>
  <c r="AM8" i="16"/>
  <c r="AC6" i="13"/>
  <c r="AC6" i="16"/>
  <c r="AL36" i="13"/>
  <c r="AC7" i="13"/>
  <c r="AC7" i="16"/>
  <c r="AL217" i="16"/>
  <c r="AC10" i="13"/>
  <c r="AC10" i="16"/>
  <c r="AM5" i="13"/>
  <c r="AM5" i="16"/>
  <c r="AK37" i="12"/>
  <c r="AK125" i="12"/>
  <c r="AK124" i="12"/>
  <c r="BB14" i="12"/>
  <c r="C425" i="4"/>
  <c r="C318" i="4"/>
  <c r="AC10" i="7"/>
  <c r="AC10" i="11"/>
  <c r="AC10" i="12"/>
  <c r="AC10" i="10"/>
  <c r="AC10" i="8"/>
  <c r="AK36" i="12"/>
  <c r="AC7" i="11"/>
  <c r="AC7" i="12"/>
  <c r="AC7" i="10"/>
  <c r="AC7" i="8"/>
  <c r="AC7" i="7"/>
  <c r="AC63" i="8"/>
  <c r="W101" i="4"/>
  <c r="AD3" i="12"/>
  <c r="AD3" i="11"/>
  <c r="AD3" i="10"/>
  <c r="AD3" i="8"/>
  <c r="AM5" i="12"/>
  <c r="AM5" i="11"/>
  <c r="AM5" i="10"/>
  <c r="AM5" i="8"/>
  <c r="AC56" i="11"/>
  <c r="AC57" i="11"/>
  <c r="AL122" i="8"/>
  <c r="AL123" i="8"/>
  <c r="AL72" i="8"/>
  <c r="AL71" i="8"/>
  <c r="AL117" i="10"/>
  <c r="AL116" i="10"/>
  <c r="AL65" i="10"/>
  <c r="AL66" i="10"/>
  <c r="AM8" i="12"/>
  <c r="AM8" i="11"/>
  <c r="AM8" i="10"/>
  <c r="AM8" i="8"/>
  <c r="AC6" i="12"/>
  <c r="AC6" i="11"/>
  <c r="AC6" i="10"/>
  <c r="AC6" i="8"/>
  <c r="AC6" i="7"/>
  <c r="AL117" i="11"/>
  <c r="AL118" i="11"/>
  <c r="AL116" i="11"/>
  <c r="AL65" i="11"/>
  <c r="AL66" i="11"/>
  <c r="AL29" i="12"/>
  <c r="AL28" i="12"/>
  <c r="U29" i="11"/>
  <c r="AA38" i="11"/>
  <c r="W38" i="11"/>
  <c r="X38" i="11"/>
  <c r="V38" i="11"/>
  <c r="Y38" i="11"/>
  <c r="U38" i="11"/>
  <c r="T38" i="11"/>
  <c r="AB38" i="11"/>
  <c r="Z38" i="11"/>
  <c r="AB39" i="11"/>
  <c r="T39" i="11"/>
  <c r="V39" i="11"/>
  <c r="X39" i="11"/>
  <c r="W39" i="11"/>
  <c r="Z39" i="11"/>
  <c r="Y39" i="11"/>
  <c r="U39" i="11"/>
  <c r="AA39" i="11"/>
  <c r="X126" i="11"/>
  <c r="AA126" i="11"/>
  <c r="T126" i="11"/>
  <c r="V126" i="11"/>
  <c r="AB126" i="11"/>
  <c r="AD126" i="11"/>
  <c r="Z126" i="11"/>
  <c r="U126" i="11"/>
  <c r="W126" i="11"/>
  <c r="Y126" i="11"/>
  <c r="AC126" i="11"/>
  <c r="AA81" i="8"/>
  <c r="AL74" i="7"/>
  <c r="AL75" i="7"/>
  <c r="AC65" i="7"/>
  <c r="AC66" i="7"/>
  <c r="AG100" i="4"/>
  <c r="AN13" i="14" s="1"/>
  <c r="AM8" i="7"/>
  <c r="AG97" i="4"/>
  <c r="AN12" i="14" s="1"/>
  <c r="AM5" i="7"/>
  <c r="W96" i="4"/>
  <c r="AD11" i="14" s="1"/>
  <c r="AD3" i="7"/>
  <c r="AC128" i="11" l="1"/>
  <c r="Y128" i="11"/>
  <c r="T128" i="11"/>
  <c r="X128" i="11"/>
  <c r="W128" i="11"/>
  <c r="AB128" i="11"/>
  <c r="AD128" i="11"/>
  <c r="AA128" i="11"/>
  <c r="V128" i="11"/>
  <c r="V49" i="10"/>
  <c r="DL15" i="6"/>
  <c r="M114" i="8" s="1"/>
  <c r="U128" i="11"/>
  <c r="Z128" i="11"/>
  <c r="AA31" i="11"/>
  <c r="AA76" i="11" s="1"/>
  <c r="Y29" i="11"/>
  <c r="AY9" i="19"/>
  <c r="DW15" i="6"/>
  <c r="EA15" i="6" s="1"/>
  <c r="EX15" i="6" s="1"/>
  <c r="N126" i="10" s="1"/>
  <c r="Z31" i="11"/>
  <c r="Z76" i="11" s="1"/>
  <c r="AB31" i="11"/>
  <c r="M32" i="28"/>
  <c r="BH78" i="28" s="1"/>
  <c r="M35" i="28"/>
  <c r="AM22" i="8"/>
  <c r="AM21" i="8"/>
  <c r="AM20" i="8"/>
  <c r="AM22" i="7"/>
  <c r="AM21" i="7"/>
  <c r="AM20" i="7"/>
  <c r="AM22" i="12"/>
  <c r="AM21" i="12"/>
  <c r="AM20" i="12"/>
  <c r="AM189" i="16"/>
  <c r="AM188" i="16"/>
  <c r="AM22" i="10"/>
  <c r="AM21" i="10"/>
  <c r="AM20" i="10"/>
  <c r="AM20" i="11"/>
  <c r="AM21" i="11"/>
  <c r="AM22" i="11"/>
  <c r="AL190" i="16"/>
  <c r="AM21" i="13"/>
  <c r="AM29" i="13" s="1"/>
  <c r="AM19" i="13"/>
  <c r="AM27" i="13" s="1"/>
  <c r="AM20" i="13"/>
  <c r="AM28" i="13" s="1"/>
  <c r="J33" i="28"/>
  <c r="W29" i="11"/>
  <c r="W83" i="11" s="1"/>
  <c r="T29" i="11"/>
  <c r="T83" i="11" s="1"/>
  <c r="V39" i="10"/>
  <c r="Y49" i="28"/>
  <c r="AC49" i="28"/>
  <c r="Y47" i="28"/>
  <c r="U132" i="8"/>
  <c r="AC55" i="28"/>
  <c r="Y55" i="28"/>
  <c r="Y48" i="28"/>
  <c r="Y57" i="28"/>
  <c r="AC57" i="28"/>
  <c r="AC50" i="28"/>
  <c r="Y50" i="28"/>
  <c r="AC56" i="28"/>
  <c r="Y56" i="28"/>
  <c r="Y51" i="28"/>
  <c r="AC51" i="28"/>
  <c r="Y52" i="28"/>
  <c r="AC52" i="28"/>
  <c r="Y54" i="28"/>
  <c r="AC54" i="28"/>
  <c r="AC53" i="28"/>
  <c r="Y53" i="28"/>
  <c r="AB64" i="8"/>
  <c r="Z64" i="8"/>
  <c r="AC64" i="8"/>
  <c r="X64" i="8"/>
  <c r="V64" i="8"/>
  <c r="T64" i="8"/>
  <c r="W39" i="10"/>
  <c r="T39" i="10"/>
  <c r="Z29" i="11"/>
  <c r="Z83" i="11" s="1"/>
  <c r="Z66" i="14" s="1"/>
  <c r="Z31" i="8"/>
  <c r="Z91" i="8" s="1"/>
  <c r="X39" i="10"/>
  <c r="AB39" i="10"/>
  <c r="T132" i="8"/>
  <c r="AA39" i="10"/>
  <c r="Z39" i="10"/>
  <c r="U39" i="10"/>
  <c r="AA30" i="10"/>
  <c r="AA84" i="10" s="1"/>
  <c r="W30" i="10"/>
  <c r="W84" i="10" s="1"/>
  <c r="AB30" i="10"/>
  <c r="AB84" i="10" s="1"/>
  <c r="U30" i="10"/>
  <c r="U84" i="10" s="1"/>
  <c r="V30" i="10"/>
  <c r="V84" i="10" s="1"/>
  <c r="Z30" i="10"/>
  <c r="Z84" i="10" s="1"/>
  <c r="T30" i="10"/>
  <c r="T84" i="10" s="1"/>
  <c r="X30" i="10"/>
  <c r="X84" i="10" s="1"/>
  <c r="AC132" i="8"/>
  <c r="V76" i="11"/>
  <c r="X29" i="11"/>
  <c r="X74" i="11" s="1"/>
  <c r="X85" i="11"/>
  <c r="AB29" i="11"/>
  <c r="AB74" i="11" s="1"/>
  <c r="Y76" i="11"/>
  <c r="V29" i="11"/>
  <c r="V83" i="11" s="1"/>
  <c r="V66" i="14" s="1"/>
  <c r="AB127" i="10"/>
  <c r="Y94" i="11"/>
  <c r="AB40" i="11"/>
  <c r="AB94" i="11" s="1"/>
  <c r="X40" i="11"/>
  <c r="X94" i="11" s="1"/>
  <c r="U40" i="11"/>
  <c r="U94" i="11" s="1"/>
  <c r="T40" i="11"/>
  <c r="T94" i="11" s="1"/>
  <c r="V40" i="11"/>
  <c r="V94" i="11" s="1"/>
  <c r="W40" i="11"/>
  <c r="W94" i="11" s="1"/>
  <c r="Z40" i="11"/>
  <c r="Z94" i="11" s="1"/>
  <c r="AA40" i="11"/>
  <c r="AA94" i="11" s="1"/>
  <c r="Z127" i="10"/>
  <c r="AC127" i="10"/>
  <c r="Y127" i="10"/>
  <c r="V127" i="10"/>
  <c r="AA127" i="10"/>
  <c r="AD127" i="10"/>
  <c r="W127" i="10"/>
  <c r="T127" i="10"/>
  <c r="AB132" i="8"/>
  <c r="AA85" i="11"/>
  <c r="X127" i="10"/>
  <c r="M40" i="10"/>
  <c r="Z40" i="10" s="1"/>
  <c r="M31" i="10"/>
  <c r="AA31" i="10" s="1"/>
  <c r="AA132" i="8"/>
  <c r="Z85" i="11"/>
  <c r="Y132" i="8"/>
  <c r="X31" i="8"/>
  <c r="X91" i="8" s="1"/>
  <c r="W31" i="8"/>
  <c r="W91" i="8" s="1"/>
  <c r="Y31" i="8"/>
  <c r="Y91" i="8" s="1"/>
  <c r="AA31" i="8"/>
  <c r="AA91" i="8" s="1"/>
  <c r="V31" i="8"/>
  <c r="V91" i="8" s="1"/>
  <c r="U85" i="11"/>
  <c r="AB91" i="8"/>
  <c r="AB82" i="8"/>
  <c r="AB134" i="8"/>
  <c r="EX17" i="6"/>
  <c r="N128" i="10" s="1"/>
  <c r="AD128" i="10" s="1"/>
  <c r="T85" i="11"/>
  <c r="Y134" i="8"/>
  <c r="V40" i="8"/>
  <c r="AA40" i="8"/>
  <c r="U31" i="8"/>
  <c r="T31" i="8"/>
  <c r="V134" i="8"/>
  <c r="W134" i="8"/>
  <c r="Z134" i="8"/>
  <c r="AC134" i="8"/>
  <c r="W132" i="8"/>
  <c r="Z132" i="8"/>
  <c r="T134" i="8"/>
  <c r="V132" i="8"/>
  <c r="X134" i="8"/>
  <c r="AA134" i="8"/>
  <c r="O58" i="10"/>
  <c r="EW17" i="6"/>
  <c r="M110" i="10" s="1"/>
  <c r="U38" i="8"/>
  <c r="Z40" i="8"/>
  <c r="AB38" i="8"/>
  <c r="T40" i="8"/>
  <c r="U40" i="8"/>
  <c r="W38" i="8"/>
  <c r="W40" i="8"/>
  <c r="AB40" i="8"/>
  <c r="AB100" i="8" s="1"/>
  <c r="T38" i="8"/>
  <c r="V38" i="8"/>
  <c r="X38" i="8"/>
  <c r="X40" i="8"/>
  <c r="EB15" i="6"/>
  <c r="M49" i="15" s="1"/>
  <c r="M29" i="10"/>
  <c r="AA29" i="10" s="1"/>
  <c r="O56" i="10"/>
  <c r="Z38" i="8"/>
  <c r="Y38" i="8"/>
  <c r="M38" i="10"/>
  <c r="AA38" i="10" s="1"/>
  <c r="EW15" i="6"/>
  <c r="M108" i="10" s="1"/>
  <c r="M47" i="10"/>
  <c r="T47" i="10" s="1"/>
  <c r="X126" i="10"/>
  <c r="Y56" i="10"/>
  <c r="W56" i="10"/>
  <c r="AA56" i="10"/>
  <c r="V56" i="10"/>
  <c r="X56" i="10"/>
  <c r="Z56" i="10"/>
  <c r="U56" i="10"/>
  <c r="AC56" i="10"/>
  <c r="AB56" i="10"/>
  <c r="T56" i="10"/>
  <c r="Y64" i="8"/>
  <c r="W64" i="8"/>
  <c r="U64" i="8"/>
  <c r="BH79" i="28"/>
  <c r="W74" i="11"/>
  <c r="U80" i="8"/>
  <c r="AA80" i="8"/>
  <c r="Y90" i="8"/>
  <c r="V80" i="8"/>
  <c r="Y74" i="11"/>
  <c r="Y83" i="11"/>
  <c r="Y66" i="14" s="1"/>
  <c r="Z80" i="8"/>
  <c r="W80" i="8"/>
  <c r="X90" i="8"/>
  <c r="AL28" i="14"/>
  <c r="AL30" i="14"/>
  <c r="AL29" i="14"/>
  <c r="Y80" i="8"/>
  <c r="W90" i="8"/>
  <c r="AB80" i="8"/>
  <c r="V90" i="8"/>
  <c r="T48" i="8"/>
  <c r="U48" i="8"/>
  <c r="V48" i="8"/>
  <c r="W48" i="8"/>
  <c r="X48" i="8"/>
  <c r="Y48" i="8"/>
  <c r="Z48" i="8"/>
  <c r="AA48" i="8"/>
  <c r="AB48" i="8"/>
  <c r="AA74" i="11"/>
  <c r="AA83" i="11"/>
  <c r="U74" i="11"/>
  <c r="U83" i="11"/>
  <c r="U66" i="14" s="1"/>
  <c r="V75" i="11"/>
  <c r="V84" i="11"/>
  <c r="X80" i="8"/>
  <c r="Z99" i="8"/>
  <c r="Z81" i="8"/>
  <c r="U81" i="8"/>
  <c r="AI12" i="38"/>
  <c r="K13" i="38"/>
  <c r="Z126" i="10"/>
  <c r="T81" i="8"/>
  <c r="J13" i="38"/>
  <c r="X13" i="38" s="1"/>
  <c r="AI13" i="38"/>
  <c r="AB81" i="8"/>
  <c r="Y126" i="10"/>
  <c r="U126" i="10"/>
  <c r="W126" i="10"/>
  <c r="V126" i="10"/>
  <c r="T126" i="10"/>
  <c r="AB126" i="10"/>
  <c r="AD126" i="10"/>
  <c r="AA126" i="10"/>
  <c r="AC126" i="10"/>
  <c r="GM15" i="6"/>
  <c r="CL83" i="28" s="1"/>
  <c r="CL86" i="28" s="1"/>
  <c r="AM37" i="13"/>
  <c r="AL126" i="12"/>
  <c r="AC78" i="12"/>
  <c r="AL38" i="12"/>
  <c r="AM30" i="12"/>
  <c r="V46" i="8"/>
  <c r="W46" i="8"/>
  <c r="AA46" i="8"/>
  <c r="X46" i="8"/>
  <c r="Y46" i="8"/>
  <c r="Z46" i="8"/>
  <c r="AB46" i="8"/>
  <c r="T46" i="8"/>
  <c r="U46" i="8"/>
  <c r="Z62" i="8"/>
  <c r="AB62" i="8"/>
  <c r="U62" i="8"/>
  <c r="Y62" i="8"/>
  <c r="V62" i="8"/>
  <c r="W62" i="8"/>
  <c r="AA62" i="8"/>
  <c r="T62" i="8"/>
  <c r="X62" i="8"/>
  <c r="AM76" i="7"/>
  <c r="AR48" i="7"/>
  <c r="AC40" i="7"/>
  <c r="AC31" i="7"/>
  <c r="AC94" i="7" s="1"/>
  <c r="AM124" i="8"/>
  <c r="T99" i="8"/>
  <c r="W99" i="8"/>
  <c r="AA99" i="8"/>
  <c r="Y99" i="8"/>
  <c r="U99" i="8"/>
  <c r="AB99" i="8"/>
  <c r="X99" i="8"/>
  <c r="AM73" i="8"/>
  <c r="AR56" i="8"/>
  <c r="AC48" i="8"/>
  <c r="AC40" i="8"/>
  <c r="AC31" i="8"/>
  <c r="AC91" i="8" s="1"/>
  <c r="AM118" i="10"/>
  <c r="AM67" i="10"/>
  <c r="AC49" i="10"/>
  <c r="AM67" i="11"/>
  <c r="AC48" i="11"/>
  <c r="AC49" i="11"/>
  <c r="AC40" i="11"/>
  <c r="AC31" i="11"/>
  <c r="Q32" i="28"/>
  <c r="AS15" i="7"/>
  <c r="AS21" i="14"/>
  <c r="V99" i="8"/>
  <c r="AC38" i="7"/>
  <c r="Q30" i="28"/>
  <c r="U30" i="11"/>
  <c r="Y30" i="11"/>
  <c r="X30" i="11"/>
  <c r="W30" i="11"/>
  <c r="Z30" i="11"/>
  <c r="AB30" i="11"/>
  <c r="T30" i="11"/>
  <c r="AA30" i="11"/>
  <c r="Q33" i="28"/>
  <c r="S9" i="19"/>
  <c r="T127" i="11"/>
  <c r="X47" i="14"/>
  <c r="Z47" i="14"/>
  <c r="T47" i="14"/>
  <c r="Y47" i="14"/>
  <c r="AB47" i="14"/>
  <c r="U47" i="14"/>
  <c r="AA47" i="14"/>
  <c r="V47" i="14"/>
  <c r="W47" i="14"/>
  <c r="AR47" i="7"/>
  <c r="AR55" i="8"/>
  <c r="Q41" i="15"/>
  <c r="AC47" i="8"/>
  <c r="AC46" i="8"/>
  <c r="Y92" i="11"/>
  <c r="AT14" i="7"/>
  <c r="AT14" i="11"/>
  <c r="AS15" i="11"/>
  <c r="V93" i="11"/>
  <c r="AC39" i="10"/>
  <c r="AC30" i="10"/>
  <c r="AC84" i="10" s="1"/>
  <c r="AA92" i="11"/>
  <c r="AT14" i="10"/>
  <c r="AS15" i="10"/>
  <c r="AC76" i="12"/>
  <c r="AC77" i="12"/>
  <c r="AC29" i="7"/>
  <c r="U92" i="11"/>
  <c r="AT14" i="8"/>
  <c r="AS15" i="8"/>
  <c r="Y93" i="10"/>
  <c r="Z48" i="10"/>
  <c r="AA48" i="10"/>
  <c r="U48" i="10"/>
  <c r="T48" i="10"/>
  <c r="X48" i="10"/>
  <c r="AB48" i="10"/>
  <c r="W48" i="10"/>
  <c r="V48" i="10"/>
  <c r="AC127" i="11"/>
  <c r="W127" i="11"/>
  <c r="V127" i="11"/>
  <c r="Y127" i="11"/>
  <c r="Z127" i="11"/>
  <c r="AB127" i="11"/>
  <c r="AD127" i="11"/>
  <c r="AA127" i="11"/>
  <c r="X127" i="11"/>
  <c r="AM362" i="16"/>
  <c r="AN135" i="14"/>
  <c r="AN157" i="14"/>
  <c r="AC48" i="10"/>
  <c r="BB16" i="16"/>
  <c r="BB22" i="14"/>
  <c r="AC38" i="11"/>
  <c r="AM218" i="16"/>
  <c r="AC39" i="11"/>
  <c r="AC30" i="11"/>
  <c r="AC29" i="11"/>
  <c r="AM35" i="13"/>
  <c r="AM36" i="13"/>
  <c r="AC30" i="7"/>
  <c r="AC93" i="7" s="1"/>
  <c r="AC39" i="7"/>
  <c r="AL219" i="16"/>
  <c r="AN5" i="13"/>
  <c r="AN5" i="16"/>
  <c r="AM217" i="16"/>
  <c r="AD4" i="13"/>
  <c r="AD4" i="16"/>
  <c r="R2" i="47" s="1"/>
  <c r="AN8" i="13"/>
  <c r="AN8" i="16"/>
  <c r="AN427" i="16" s="1"/>
  <c r="AD9" i="13"/>
  <c r="AD9" i="16"/>
  <c r="C442" i="4"/>
  <c r="AL37" i="12"/>
  <c r="AC47" i="11"/>
  <c r="AL124" i="12"/>
  <c r="AL125" i="12"/>
  <c r="BC14" i="12"/>
  <c r="AN8" i="12"/>
  <c r="AN8" i="11"/>
  <c r="AN8" i="10"/>
  <c r="AN8" i="8"/>
  <c r="AD4" i="12"/>
  <c r="AD4" i="11"/>
  <c r="AD4" i="10"/>
  <c r="AD4" i="8"/>
  <c r="W99" i="4"/>
  <c r="AD15" i="14" s="1"/>
  <c r="W98" i="4"/>
  <c r="AD14" i="14" s="1"/>
  <c r="AN5" i="11"/>
  <c r="AN5" i="12"/>
  <c r="AN5" i="10"/>
  <c r="AN5" i="8"/>
  <c r="AL36" i="12"/>
  <c r="AM122" i="8"/>
  <c r="AM123" i="8"/>
  <c r="AM72" i="8"/>
  <c r="AM71" i="8"/>
  <c r="AM117" i="10"/>
  <c r="AM116" i="10"/>
  <c r="AM65" i="10"/>
  <c r="AM66" i="10"/>
  <c r="AD9" i="12"/>
  <c r="AD9" i="11"/>
  <c r="AD9" i="10"/>
  <c r="AD9" i="8"/>
  <c r="AC38" i="8"/>
  <c r="AC30" i="8"/>
  <c r="AC90" i="8" s="1"/>
  <c r="AC29" i="8"/>
  <c r="AC39" i="8"/>
  <c r="AM117" i="11"/>
  <c r="AM118" i="11"/>
  <c r="AM116" i="11"/>
  <c r="AM65" i="11"/>
  <c r="AM66" i="11"/>
  <c r="AM29" i="12"/>
  <c r="AM28" i="12"/>
  <c r="T74" i="11"/>
  <c r="Y75" i="10"/>
  <c r="AM74" i="7"/>
  <c r="AM75" i="7"/>
  <c r="AH100" i="4"/>
  <c r="AO13" i="14" s="1"/>
  <c r="AN8" i="7"/>
  <c r="AH97" i="4"/>
  <c r="AO12" i="14" s="1"/>
  <c r="AN5" i="7"/>
  <c r="X95" i="4"/>
  <c r="AE10" i="14" s="1"/>
  <c r="AD4" i="7"/>
  <c r="AD9" i="7"/>
  <c r="W102" i="4"/>
  <c r="AM190" i="16" l="1"/>
  <c r="AB76" i="11"/>
  <c r="AB85" i="11"/>
  <c r="W92" i="11"/>
  <c r="T92" i="11"/>
  <c r="M44" i="28"/>
  <c r="AN22" i="12"/>
  <c r="AN21" i="12"/>
  <c r="AN20" i="12"/>
  <c r="T66" i="14"/>
  <c r="AN22" i="7"/>
  <c r="AN21" i="7"/>
  <c r="AN20" i="7"/>
  <c r="AN22" i="8"/>
  <c r="AN21" i="8"/>
  <c r="AN20" i="8"/>
  <c r="AN22" i="10"/>
  <c r="AN21" i="10"/>
  <c r="AN20" i="10"/>
  <c r="AA66" i="14"/>
  <c r="AN189" i="16"/>
  <c r="AN188" i="16"/>
  <c r="AN184" i="16"/>
  <c r="AN21" i="11"/>
  <c r="AN22" i="11"/>
  <c r="AN20" i="11"/>
  <c r="AN21" i="13"/>
  <c r="AN29" i="13" s="1"/>
  <c r="AN20" i="13"/>
  <c r="AN28" i="13" s="1"/>
  <c r="AN19" i="13"/>
  <c r="AN27" i="13" s="1"/>
  <c r="Z92" i="11"/>
  <c r="Y58" i="28"/>
  <c r="Z74" i="11"/>
  <c r="Z82" i="8"/>
  <c r="Z100" i="8"/>
  <c r="T93" i="10"/>
  <c r="V74" i="11"/>
  <c r="T75" i="10"/>
  <c r="V92" i="11"/>
  <c r="AA75" i="10"/>
  <c r="W75" i="10"/>
  <c r="W93" i="10"/>
  <c r="X92" i="11"/>
  <c r="AB93" i="10"/>
  <c r="AB75" i="10"/>
  <c r="AA93" i="10"/>
  <c r="Z93" i="10"/>
  <c r="Z75" i="10"/>
  <c r="U93" i="10"/>
  <c r="U75" i="10"/>
  <c r="W100" i="8"/>
  <c r="X83" i="11"/>
  <c r="X66" i="14" s="1"/>
  <c r="AB83" i="11"/>
  <c r="AB66" i="14" s="1"/>
  <c r="Y40" i="10"/>
  <c r="W40" i="10"/>
  <c r="Y29" i="10"/>
  <c r="Y83" i="10" s="1"/>
  <c r="V40" i="10"/>
  <c r="AC40" i="10"/>
  <c r="AA40" i="10"/>
  <c r="AA94" i="10" s="1"/>
  <c r="AB92" i="11"/>
  <c r="T40" i="10"/>
  <c r="V75" i="10"/>
  <c r="V93" i="10"/>
  <c r="X40" i="10"/>
  <c r="AB40" i="10"/>
  <c r="U40" i="10"/>
  <c r="X93" i="10"/>
  <c r="X75" i="10"/>
  <c r="AB31" i="10"/>
  <c r="AB85" i="10" s="1"/>
  <c r="Z31" i="10"/>
  <c r="Z85" i="10" s="1"/>
  <c r="Y31" i="10"/>
  <c r="Y76" i="10" s="1"/>
  <c r="X31" i="10"/>
  <c r="X76" i="10" s="1"/>
  <c r="W31" i="10"/>
  <c r="W85" i="10" s="1"/>
  <c r="AC31" i="10"/>
  <c r="AC85" i="10" s="1"/>
  <c r="V31" i="10"/>
  <c r="V85" i="10" s="1"/>
  <c r="T31" i="10"/>
  <c r="T85" i="10" s="1"/>
  <c r="U31" i="10"/>
  <c r="U76" i="10" s="1"/>
  <c r="AC29" i="10"/>
  <c r="AC83" i="10" s="1"/>
  <c r="W38" i="10"/>
  <c r="AC38" i="10"/>
  <c r="W82" i="8"/>
  <c r="X29" i="10"/>
  <c r="X83" i="10" s="1"/>
  <c r="U29" i="10"/>
  <c r="U83" i="10" s="1"/>
  <c r="T29" i="10"/>
  <c r="T83" i="10" s="1"/>
  <c r="T65" i="14" s="1"/>
  <c r="V29" i="10"/>
  <c r="V83" i="10" s="1"/>
  <c r="AB29" i="10"/>
  <c r="AB83" i="10" s="1"/>
  <c r="AA82" i="8"/>
  <c r="Z29" i="10"/>
  <c r="Z74" i="10" s="1"/>
  <c r="W29" i="10"/>
  <c r="W74" i="10" s="1"/>
  <c r="AA100" i="8"/>
  <c r="X38" i="10"/>
  <c r="Y38" i="10"/>
  <c r="M50" i="15"/>
  <c r="Y82" i="8"/>
  <c r="X100" i="8"/>
  <c r="X82" i="8"/>
  <c r="AC128" i="10"/>
  <c r="AC227" i="12" s="1"/>
  <c r="Z128" i="10"/>
  <c r="Z227" i="12" s="1"/>
  <c r="Y128" i="10"/>
  <c r="Y227" i="12" s="1"/>
  <c r="X128" i="10"/>
  <c r="X227" i="12" s="1"/>
  <c r="W128" i="10"/>
  <c r="W227" i="12" s="1"/>
  <c r="AA128" i="10"/>
  <c r="AA227" i="12" s="1"/>
  <c r="V128" i="10"/>
  <c r="V227" i="12" s="1"/>
  <c r="Y100" i="8"/>
  <c r="AB128" i="10"/>
  <c r="AB227" i="12" s="1"/>
  <c r="U128" i="10"/>
  <c r="U227" i="12" s="1"/>
  <c r="T128" i="10"/>
  <c r="V100" i="8"/>
  <c r="U100" i="8"/>
  <c r="M48" i="15"/>
  <c r="U47" i="10"/>
  <c r="X47" i="10"/>
  <c r="Z47" i="10"/>
  <c r="V82" i="8"/>
  <c r="AB38" i="10"/>
  <c r="Y47" i="10"/>
  <c r="T91" i="8"/>
  <c r="T82" i="8"/>
  <c r="AC47" i="10"/>
  <c r="AA47" i="10"/>
  <c r="T38" i="10"/>
  <c r="V47" i="10"/>
  <c r="W47" i="10"/>
  <c r="V38" i="10"/>
  <c r="Z38" i="10"/>
  <c r="U38" i="10"/>
  <c r="T100" i="8"/>
  <c r="AB47" i="10"/>
  <c r="U91" i="8"/>
  <c r="U82" i="8"/>
  <c r="AA83" i="10"/>
  <c r="AA74" i="10"/>
  <c r="AA92" i="10"/>
  <c r="BH80" i="28"/>
  <c r="AC74" i="11"/>
  <c r="AC83" i="11"/>
  <c r="Y75" i="11"/>
  <c r="Y84" i="11"/>
  <c r="T75" i="11"/>
  <c r="T84" i="11"/>
  <c r="AB75" i="11"/>
  <c r="AB84" i="11"/>
  <c r="AC75" i="11"/>
  <c r="AC84" i="11"/>
  <c r="U75" i="11"/>
  <c r="U84" i="11"/>
  <c r="AM30" i="14"/>
  <c r="AM28" i="14"/>
  <c r="AM29" i="14"/>
  <c r="Z75" i="11"/>
  <c r="Z84" i="11"/>
  <c r="AC76" i="11"/>
  <c r="AC85" i="11"/>
  <c r="W66" i="14"/>
  <c r="W75" i="11"/>
  <c r="W84" i="11"/>
  <c r="AA75" i="11"/>
  <c r="AA84" i="11"/>
  <c r="X75" i="11"/>
  <c r="X84" i="11"/>
  <c r="AA85" i="10"/>
  <c r="AA76" i="10"/>
  <c r="T227" i="12"/>
  <c r="K14" i="38"/>
  <c r="AI14" i="38"/>
  <c r="AN37" i="13"/>
  <c r="AN35" i="13"/>
  <c r="AM126" i="12"/>
  <c r="AM38" i="12"/>
  <c r="AN30" i="12"/>
  <c r="AC103" i="7"/>
  <c r="AC85" i="7"/>
  <c r="AN76" i="7"/>
  <c r="AD67" i="7"/>
  <c r="AS48" i="7"/>
  <c r="AD134" i="8"/>
  <c r="AN124" i="8"/>
  <c r="AC100" i="8"/>
  <c r="AC82" i="8"/>
  <c r="AN73" i="8"/>
  <c r="AD64" i="8"/>
  <c r="AS56" i="8"/>
  <c r="AE128" i="10"/>
  <c r="AN118" i="10"/>
  <c r="AN67" i="10"/>
  <c r="AD58" i="10"/>
  <c r="AE128" i="11"/>
  <c r="AC94" i="11"/>
  <c r="T93" i="11"/>
  <c r="AB93" i="11"/>
  <c r="X93" i="11"/>
  <c r="AN67" i="11"/>
  <c r="AD58" i="11"/>
  <c r="Y93" i="11"/>
  <c r="Z93" i="11"/>
  <c r="AT15" i="7"/>
  <c r="AT21" i="14"/>
  <c r="AD133" i="8"/>
  <c r="AD132" i="8"/>
  <c r="AC83" i="7"/>
  <c r="U93" i="11"/>
  <c r="W93" i="11"/>
  <c r="AA93" i="11"/>
  <c r="AC75" i="10"/>
  <c r="Q51" i="15"/>
  <c r="AS47" i="7"/>
  <c r="AS55" i="8"/>
  <c r="AC93" i="10"/>
  <c r="AN213" i="16"/>
  <c r="AC92" i="11"/>
  <c r="AC99" i="8"/>
  <c r="AC102" i="7"/>
  <c r="AC93" i="11"/>
  <c r="AU14" i="8"/>
  <c r="AT15" i="8"/>
  <c r="AU14" i="7"/>
  <c r="AU14" i="10"/>
  <c r="AT15" i="10"/>
  <c r="AU14" i="11"/>
  <c r="AT15" i="11"/>
  <c r="AM219" i="16"/>
  <c r="AN362" i="16"/>
  <c r="AC84" i="7"/>
  <c r="AN36" i="13"/>
  <c r="AO157" i="14"/>
  <c r="AO135" i="14"/>
  <c r="BC16" i="16"/>
  <c r="BC22" i="14"/>
  <c r="C448" i="4"/>
  <c r="C456" i="4" s="1"/>
  <c r="C466" i="4" s="1"/>
  <c r="AN218" i="16"/>
  <c r="AD10" i="13"/>
  <c r="AD10" i="16"/>
  <c r="AE3" i="13"/>
  <c r="AE3" i="16"/>
  <c r="AD6" i="13"/>
  <c r="AD6" i="16"/>
  <c r="AD7" i="13"/>
  <c r="AD7" i="16"/>
  <c r="AN217" i="16"/>
  <c r="AO8" i="13"/>
  <c r="AO8" i="16"/>
  <c r="AO5" i="13"/>
  <c r="AO5" i="16"/>
  <c r="AM37" i="12"/>
  <c r="BD14" i="12"/>
  <c r="AM125" i="12"/>
  <c r="X13" i="15"/>
  <c r="AM124" i="12"/>
  <c r="AE3" i="12"/>
  <c r="X101" i="4"/>
  <c r="AE3" i="11"/>
  <c r="AE3" i="10"/>
  <c r="AE3" i="8"/>
  <c r="AO5" i="11"/>
  <c r="AO5" i="12"/>
  <c r="AO5" i="10"/>
  <c r="AO5" i="8"/>
  <c r="AD10" i="7"/>
  <c r="AD10" i="12"/>
  <c r="AD10" i="11"/>
  <c r="AD10" i="10"/>
  <c r="AD10" i="8"/>
  <c r="AO8" i="12"/>
  <c r="AO8" i="11"/>
  <c r="AO8" i="10"/>
  <c r="AO8" i="8"/>
  <c r="AN117" i="11"/>
  <c r="AN118" i="11"/>
  <c r="AN116" i="11"/>
  <c r="AN65" i="11"/>
  <c r="AN66" i="11"/>
  <c r="AD6" i="11"/>
  <c r="AD6" i="12"/>
  <c r="AD6" i="10"/>
  <c r="AD6" i="8"/>
  <c r="AD6" i="7"/>
  <c r="AC80" i="8"/>
  <c r="AD7" i="11"/>
  <c r="AD7" i="12"/>
  <c r="AD7" i="10"/>
  <c r="AD7" i="8"/>
  <c r="AD7" i="7"/>
  <c r="AD62" i="8"/>
  <c r="AD63" i="8"/>
  <c r="AC81" i="8"/>
  <c r="AN122" i="8"/>
  <c r="AN123" i="8"/>
  <c r="AN71" i="8"/>
  <c r="AN72" i="8"/>
  <c r="AD56" i="10"/>
  <c r="AD57" i="10"/>
  <c r="AE127" i="10"/>
  <c r="AE126" i="10"/>
  <c r="AN117" i="10"/>
  <c r="AN116" i="10"/>
  <c r="AN65" i="10"/>
  <c r="AN66" i="10"/>
  <c r="AD56" i="11"/>
  <c r="AD57" i="11"/>
  <c r="AE127" i="11"/>
  <c r="AE126" i="11"/>
  <c r="AN28" i="12"/>
  <c r="AN29" i="12"/>
  <c r="AM36" i="12"/>
  <c r="AN74" i="7"/>
  <c r="AN75" i="7"/>
  <c r="AD65" i="7"/>
  <c r="AD66" i="7"/>
  <c r="AI97" i="4"/>
  <c r="AP12" i="14" s="1"/>
  <c r="AO5" i="7"/>
  <c r="AI100" i="4"/>
  <c r="AP13" i="14" s="1"/>
  <c r="AO8" i="7"/>
  <c r="X96" i="4"/>
  <c r="AE11" i="14" s="1"/>
  <c r="AE3" i="7"/>
  <c r="AC65" i="14" l="1"/>
  <c r="V65" i="14"/>
  <c r="AB65" i="14"/>
  <c r="AO22" i="12"/>
  <c r="AO21" i="12"/>
  <c r="AO20" i="12"/>
  <c r="AN190" i="16"/>
  <c r="AA27" i="14"/>
  <c r="AO189" i="16"/>
  <c r="AO184" i="16"/>
  <c r="AO188" i="16"/>
  <c r="AA65" i="14"/>
  <c r="AO22" i="7"/>
  <c r="AO21" i="7"/>
  <c r="AO20" i="7"/>
  <c r="AO22" i="11"/>
  <c r="AO21" i="11"/>
  <c r="AO20" i="11"/>
  <c r="AO22" i="8"/>
  <c r="AO21" i="8"/>
  <c r="AO20" i="8"/>
  <c r="AO22" i="10"/>
  <c r="AO21" i="10"/>
  <c r="AO20" i="10"/>
  <c r="AC66" i="14"/>
  <c r="AO21" i="13"/>
  <c r="AO29" i="13" s="1"/>
  <c r="AO20" i="13"/>
  <c r="AO28" i="13" s="1"/>
  <c r="AO19" i="13"/>
  <c r="AO27" i="13" s="1"/>
  <c r="Z76" i="10"/>
  <c r="Z35" i="14" s="1"/>
  <c r="AC74" i="10"/>
  <c r="Z94" i="10"/>
  <c r="AC92" i="10"/>
  <c r="X85" i="10"/>
  <c r="X65" i="14" s="1"/>
  <c r="Y85" i="10"/>
  <c r="Y65" i="14" s="1"/>
  <c r="X94" i="10"/>
  <c r="Y92" i="10"/>
  <c r="Y94" i="10"/>
  <c r="Y74" i="10"/>
  <c r="Y35" i="14" s="1"/>
  <c r="W94" i="10"/>
  <c r="AC94" i="10"/>
  <c r="AB94" i="10"/>
  <c r="U85" i="10"/>
  <c r="U65" i="14" s="1"/>
  <c r="AB76" i="10"/>
  <c r="W76" i="10"/>
  <c r="W37" i="14" s="1"/>
  <c r="W92" i="10"/>
  <c r="T94" i="10"/>
  <c r="T76" i="10"/>
  <c r="T74" i="10"/>
  <c r="AC76" i="10"/>
  <c r="U94" i="10"/>
  <c r="U74" i="10"/>
  <c r="U35" i="14" s="1"/>
  <c r="V76" i="10"/>
  <c r="V94" i="10"/>
  <c r="U92" i="10"/>
  <c r="V92" i="10"/>
  <c r="V74" i="10"/>
  <c r="AB92" i="10"/>
  <c r="AB74" i="10"/>
  <c r="T92" i="10"/>
  <c r="X74" i="10"/>
  <c r="X37" i="14" s="1"/>
  <c r="X92" i="10"/>
  <c r="Z92" i="10"/>
  <c r="Z83" i="10"/>
  <c r="Z65" i="14" s="1"/>
  <c r="W83" i="10"/>
  <c r="W65" i="14" s="1"/>
  <c r="AA37" i="14"/>
  <c r="AA39" i="14"/>
  <c r="AA35" i="14"/>
  <c r="Z39" i="14"/>
  <c r="AN30" i="14"/>
  <c r="AN29" i="14"/>
  <c r="AN28" i="14"/>
  <c r="AD227" i="12"/>
  <c r="J15" i="38"/>
  <c r="X15" i="38" s="1"/>
  <c r="K15" i="38"/>
  <c r="AO37" i="13"/>
  <c r="AN126" i="12"/>
  <c r="AD78" i="12"/>
  <c r="AN38" i="12"/>
  <c r="AO30" i="12"/>
  <c r="AO76" i="7"/>
  <c r="AT48" i="7"/>
  <c r="AD40" i="7"/>
  <c r="AD31" i="7"/>
  <c r="AD94" i="7" s="1"/>
  <c r="AO124" i="8"/>
  <c r="AO73" i="8"/>
  <c r="AT56" i="8"/>
  <c r="AD48" i="8"/>
  <c r="AD40" i="8"/>
  <c r="AD31" i="8"/>
  <c r="AD91" i="8" s="1"/>
  <c r="AO118" i="10"/>
  <c r="AO67" i="10"/>
  <c r="AD49" i="10"/>
  <c r="AD40" i="10"/>
  <c r="AD31" i="10"/>
  <c r="AD85" i="10" s="1"/>
  <c r="AO67" i="11"/>
  <c r="AD48" i="11"/>
  <c r="AD49" i="11"/>
  <c r="AD40" i="11"/>
  <c r="AD31" i="11"/>
  <c r="AU15" i="7"/>
  <c r="AU21" i="14"/>
  <c r="AC47" i="14"/>
  <c r="AT47" i="7"/>
  <c r="AT55" i="8"/>
  <c r="AD46" i="8"/>
  <c r="AD47" i="8"/>
  <c r="AO213" i="16"/>
  <c r="AV14" i="7"/>
  <c r="AD77" i="12"/>
  <c r="AD76" i="12"/>
  <c r="AV14" i="8"/>
  <c r="AU15" i="8"/>
  <c r="AD30" i="7"/>
  <c r="AD93" i="7" s="1"/>
  <c r="AV14" i="11"/>
  <c r="AU15" i="11"/>
  <c r="AV14" i="10"/>
  <c r="AU15" i="10"/>
  <c r="AO362" i="16"/>
  <c r="AP157" i="14"/>
  <c r="AP135" i="14"/>
  <c r="AD48" i="10"/>
  <c r="BD16" i="16"/>
  <c r="BD22" i="14"/>
  <c r="AN37" i="12"/>
  <c r="V226" i="12"/>
  <c r="Y226" i="12"/>
  <c r="C472" i="4"/>
  <c r="C492" i="4" s="1"/>
  <c r="C497" i="4" s="1"/>
  <c r="C503" i="4" s="1"/>
  <c r="C513" i="4" s="1"/>
  <c r="C521" i="4" s="1"/>
  <c r="C570" i="4" s="1"/>
  <c r="C574" i="4" s="1"/>
  <c r="C581" i="4" s="1"/>
  <c r="C588" i="4" s="1"/>
  <c r="C597" i="4" s="1"/>
  <c r="C646" i="4" s="1"/>
  <c r="AO36" i="13"/>
  <c r="AD29" i="7"/>
  <c r="AD38" i="7"/>
  <c r="AD39" i="7"/>
  <c r="AN219" i="16"/>
  <c r="AO218" i="16"/>
  <c r="AO35" i="13"/>
  <c r="AE4" i="13"/>
  <c r="AE4" i="16"/>
  <c r="S2" i="47" s="1"/>
  <c r="AP5" i="13"/>
  <c r="AP5" i="16"/>
  <c r="AE9" i="13"/>
  <c r="AE9" i="16"/>
  <c r="AO217" i="16"/>
  <c r="AD226" i="12"/>
  <c r="AP8" i="13"/>
  <c r="AP8" i="16"/>
  <c r="AD39" i="8"/>
  <c r="AD38" i="11"/>
  <c r="AD30" i="11"/>
  <c r="AD39" i="11"/>
  <c r="AD29" i="11"/>
  <c r="AD47" i="11"/>
  <c r="AD30" i="8"/>
  <c r="AD90" i="8" s="1"/>
  <c r="AD39" i="10"/>
  <c r="AB226" i="12"/>
  <c r="X226" i="12"/>
  <c r="Z226" i="12"/>
  <c r="W226" i="12"/>
  <c r="U226" i="12"/>
  <c r="T226" i="12"/>
  <c r="AA226" i="12"/>
  <c r="AC226" i="12"/>
  <c r="AB225" i="12"/>
  <c r="U225" i="12"/>
  <c r="Y225" i="12"/>
  <c r="X225" i="12"/>
  <c r="AD225" i="12"/>
  <c r="T225" i="12"/>
  <c r="AA225" i="12"/>
  <c r="AC225" i="12"/>
  <c r="W225" i="12"/>
  <c r="Z225" i="12"/>
  <c r="V225" i="12"/>
  <c r="AD47" i="10"/>
  <c r="AD38" i="8"/>
  <c r="AD29" i="8"/>
  <c r="AD29" i="10"/>
  <c r="AD83" i="10" s="1"/>
  <c r="AD38" i="10"/>
  <c r="AD30" i="10"/>
  <c r="BE14" i="12"/>
  <c r="AN124" i="12"/>
  <c r="AN125" i="12"/>
  <c r="AP8" i="12"/>
  <c r="AP8" i="11"/>
  <c r="AP8" i="10"/>
  <c r="AP8" i="8"/>
  <c r="AE4" i="12"/>
  <c r="AE4" i="11"/>
  <c r="AE4" i="10"/>
  <c r="AE4" i="8"/>
  <c r="X99" i="4"/>
  <c r="AE15" i="14" s="1"/>
  <c r="X98" i="4"/>
  <c r="AE14" i="14" s="1"/>
  <c r="AP5" i="11"/>
  <c r="AP5" i="12"/>
  <c r="AP5" i="10"/>
  <c r="AP5" i="8"/>
  <c r="AO117" i="10"/>
  <c r="AO116" i="10"/>
  <c r="AO65" i="10"/>
  <c r="AO66" i="10"/>
  <c r="AO29" i="12"/>
  <c r="AO28" i="12"/>
  <c r="AO118" i="11"/>
  <c r="AO117" i="11"/>
  <c r="AO116" i="11"/>
  <c r="AO65" i="11"/>
  <c r="AO66" i="11"/>
  <c r="AE9" i="12"/>
  <c r="AE9" i="11"/>
  <c r="AE9" i="10"/>
  <c r="AE9" i="8"/>
  <c r="AO122" i="8"/>
  <c r="AO123" i="8"/>
  <c r="AO72" i="8"/>
  <c r="AO71" i="8"/>
  <c r="AN36" i="12"/>
  <c r="AO74" i="7"/>
  <c r="AO75" i="7"/>
  <c r="AJ100" i="4"/>
  <c r="AQ13" i="14" s="1"/>
  <c r="AP8" i="7"/>
  <c r="Y95" i="4"/>
  <c r="AF10" i="14" s="1"/>
  <c r="AE4" i="7"/>
  <c r="X102" i="4"/>
  <c r="AE9" i="7"/>
  <c r="AJ97" i="4"/>
  <c r="AQ12" i="14" s="1"/>
  <c r="AP5" i="7"/>
  <c r="AC27" i="14" l="1"/>
  <c r="AD65" i="14"/>
  <c r="AP22" i="11"/>
  <c r="AP20" i="11"/>
  <c r="AP21" i="11"/>
  <c r="AP22" i="8"/>
  <c r="AP21" i="8"/>
  <c r="AP20" i="8"/>
  <c r="AP188" i="16"/>
  <c r="AP184" i="16"/>
  <c r="AP189" i="16"/>
  <c r="Z37" i="14"/>
  <c r="AP22" i="10"/>
  <c r="AP21" i="10"/>
  <c r="AP20" i="10"/>
  <c r="AP22" i="7"/>
  <c r="AP21" i="7"/>
  <c r="AP20" i="7"/>
  <c r="AP22" i="12"/>
  <c r="AP21" i="12"/>
  <c r="AP20" i="12"/>
  <c r="AO190" i="16"/>
  <c r="AP21" i="13"/>
  <c r="AP29" i="13" s="1"/>
  <c r="AP20" i="13"/>
  <c r="AP28" i="13" s="1"/>
  <c r="AP19" i="13"/>
  <c r="AP27" i="13" s="1"/>
  <c r="AC39" i="14"/>
  <c r="X35" i="14"/>
  <c r="AD84" i="10"/>
  <c r="Y39" i="14"/>
  <c r="X39" i="14"/>
  <c r="Y37" i="14"/>
  <c r="AB35" i="14"/>
  <c r="W35" i="14"/>
  <c r="W39" i="14"/>
  <c r="T35" i="14"/>
  <c r="AC35" i="14"/>
  <c r="AB39" i="14"/>
  <c r="AB37" i="14"/>
  <c r="T39" i="14"/>
  <c r="T37" i="14"/>
  <c r="AC37" i="14"/>
  <c r="U39" i="14"/>
  <c r="U37" i="14"/>
  <c r="V39" i="14"/>
  <c r="V35" i="14"/>
  <c r="V27" i="14"/>
  <c r="V37" i="14"/>
  <c r="AD74" i="11"/>
  <c r="AD83" i="11"/>
  <c r="AD76" i="11"/>
  <c r="AD85" i="11"/>
  <c r="AD75" i="11"/>
  <c r="AD84" i="11"/>
  <c r="AO28" i="14"/>
  <c r="AO29" i="14"/>
  <c r="AO30" i="14"/>
  <c r="AI15" i="38"/>
  <c r="K16" i="38"/>
  <c r="AI16" i="38"/>
  <c r="AP37" i="13"/>
  <c r="AO126" i="12"/>
  <c r="AO38" i="12"/>
  <c r="AP30" i="12"/>
  <c r="AD103" i="7"/>
  <c r="AD85" i="7"/>
  <c r="AP76" i="7"/>
  <c r="AE67" i="7"/>
  <c r="AU48" i="7"/>
  <c r="AE134" i="8"/>
  <c r="AP124" i="8"/>
  <c r="AD100" i="8"/>
  <c r="AD82" i="8"/>
  <c r="AP73" i="8"/>
  <c r="AE64" i="8"/>
  <c r="AU56" i="8"/>
  <c r="AF128" i="10"/>
  <c r="AP118" i="10"/>
  <c r="AD94" i="10"/>
  <c r="AD76" i="10"/>
  <c r="AP67" i="10"/>
  <c r="AE58" i="10"/>
  <c r="AF128" i="11"/>
  <c r="AD94" i="11"/>
  <c r="AP67" i="11"/>
  <c r="AE58" i="11"/>
  <c r="AV15" i="7"/>
  <c r="AV21" i="14"/>
  <c r="AE132" i="8"/>
  <c r="AE133" i="8"/>
  <c r="AD84" i="7"/>
  <c r="S8" i="19"/>
  <c r="T48" i="14"/>
  <c r="U48" i="14"/>
  <c r="AB48" i="14"/>
  <c r="Y48" i="14"/>
  <c r="AA48" i="14"/>
  <c r="W48" i="14"/>
  <c r="V48" i="14"/>
  <c r="Z48" i="14"/>
  <c r="X48" i="14"/>
  <c r="AC48" i="14"/>
  <c r="AU47" i="7"/>
  <c r="AU55" i="8"/>
  <c r="AP213" i="16"/>
  <c r="AW14" i="10"/>
  <c r="AV15" i="10"/>
  <c r="AD92" i="11"/>
  <c r="AD83" i="7"/>
  <c r="AD99" i="8"/>
  <c r="AD102" i="7"/>
  <c r="AD80" i="8"/>
  <c r="AD93" i="11"/>
  <c r="AW14" i="7"/>
  <c r="AW14" i="8"/>
  <c r="AV15" i="8"/>
  <c r="AW14" i="11"/>
  <c r="AV15" i="11"/>
  <c r="AD93" i="10"/>
  <c r="AD74" i="10"/>
  <c r="AD92" i="10"/>
  <c r="AP362" i="16"/>
  <c r="AP35" i="13"/>
  <c r="AP36" i="13"/>
  <c r="AD81" i="8"/>
  <c r="AQ157" i="14"/>
  <c r="AQ135" i="14"/>
  <c r="BE16" i="16"/>
  <c r="BE22" i="14"/>
  <c r="AD75" i="10"/>
  <c r="C652" i="4"/>
  <c r="C669" i="4" s="1"/>
  <c r="C676" i="4" s="1"/>
  <c r="C682" i="4" s="1"/>
  <c r="AO219" i="16"/>
  <c r="AP218" i="16"/>
  <c r="AQ8" i="13"/>
  <c r="AQ8" i="16"/>
  <c r="AE10" i="13"/>
  <c r="AE10" i="16"/>
  <c r="AF3" i="13"/>
  <c r="AF3" i="16"/>
  <c r="AO37" i="12"/>
  <c r="AE6" i="13"/>
  <c r="AE6" i="16"/>
  <c r="AP217" i="16"/>
  <c r="AE7" i="13"/>
  <c r="AE7" i="16"/>
  <c r="AQ5" i="13"/>
  <c r="AQ5" i="16"/>
  <c r="X44" i="12"/>
  <c r="V44" i="12"/>
  <c r="T44" i="12"/>
  <c r="AO124" i="12"/>
  <c r="BF14" i="12"/>
  <c r="AO125" i="12"/>
  <c r="AQ8" i="11"/>
  <c r="AQ8" i="12"/>
  <c r="AQ8" i="10"/>
  <c r="AQ8" i="8"/>
  <c r="AF3" i="12"/>
  <c r="Y101" i="4"/>
  <c r="AF3" i="11"/>
  <c r="AF3" i="10"/>
  <c r="AF3" i="8"/>
  <c r="AQ5" i="12"/>
  <c r="AQ5" i="11"/>
  <c r="AQ5" i="10"/>
  <c r="AQ5" i="8"/>
  <c r="AE10" i="7"/>
  <c r="AE10" i="12"/>
  <c r="AE10" i="11"/>
  <c r="AE10" i="10"/>
  <c r="AE10" i="8"/>
  <c r="W44" i="12"/>
  <c r="U44" i="12"/>
  <c r="AE62" i="8"/>
  <c r="AE63" i="8"/>
  <c r="AP122" i="8"/>
  <c r="AP123" i="8"/>
  <c r="AP72" i="8"/>
  <c r="AP71" i="8"/>
  <c r="AE57" i="10"/>
  <c r="AE56" i="10"/>
  <c r="AF126" i="10"/>
  <c r="AF127" i="10"/>
  <c r="AP117" i="10"/>
  <c r="AP116" i="10"/>
  <c r="AP65" i="10"/>
  <c r="AP66" i="10"/>
  <c r="AE56" i="11"/>
  <c r="AE57" i="11"/>
  <c r="AF127" i="11"/>
  <c r="AF126" i="11"/>
  <c r="AP28" i="12"/>
  <c r="AP29" i="12"/>
  <c r="AP117" i="11"/>
  <c r="AP118" i="11"/>
  <c r="AP116" i="11"/>
  <c r="AP65" i="11"/>
  <c r="AP66" i="11"/>
  <c r="AE6" i="11"/>
  <c r="AE6" i="12"/>
  <c r="AE6" i="10"/>
  <c r="AE6" i="8"/>
  <c r="AE6" i="7"/>
  <c r="AE7" i="12"/>
  <c r="AE7" i="11"/>
  <c r="AE7" i="10"/>
  <c r="AE7" i="8"/>
  <c r="AE7" i="7"/>
  <c r="AO36" i="12"/>
  <c r="AP74" i="7"/>
  <c r="AP75" i="7"/>
  <c r="AE65" i="7"/>
  <c r="AE66" i="7"/>
  <c r="Y96" i="4"/>
  <c r="AF11" i="14" s="1"/>
  <c r="AF3" i="7"/>
  <c r="AK97" i="4"/>
  <c r="AR12" i="14" s="1"/>
  <c r="AQ5" i="7"/>
  <c r="AK100" i="4"/>
  <c r="AR13" i="14" s="1"/>
  <c r="AQ8" i="7"/>
  <c r="AP190" i="16" l="1"/>
  <c r="AQ22" i="10"/>
  <c r="AQ21" i="10"/>
  <c r="AQ20" i="10"/>
  <c r="AQ20" i="11"/>
  <c r="AQ21" i="11"/>
  <c r="AQ22" i="11"/>
  <c r="AQ22" i="12"/>
  <c r="AQ21" i="12"/>
  <c r="AQ20" i="12"/>
  <c r="AQ189" i="16"/>
  <c r="AQ188" i="16"/>
  <c r="AQ184" i="16"/>
  <c r="AQ20" i="7"/>
  <c r="AQ22" i="7"/>
  <c r="AQ21" i="7"/>
  <c r="AQ22" i="8"/>
  <c r="AQ21" i="8"/>
  <c r="AQ20" i="8"/>
  <c r="AQ21" i="13"/>
  <c r="AQ29" i="13" s="1"/>
  <c r="AQ19" i="13"/>
  <c r="AQ27" i="13" s="1"/>
  <c r="AQ20" i="13"/>
  <c r="AQ28" i="13" s="1"/>
  <c r="AD66" i="14"/>
  <c r="AD27" i="14"/>
  <c r="AP29" i="14"/>
  <c r="AP30" i="14"/>
  <c r="AP28" i="14"/>
  <c r="AE227" i="12"/>
  <c r="AD39" i="14"/>
  <c r="AD37" i="14"/>
  <c r="AD35" i="14"/>
  <c r="J17" i="38"/>
  <c r="X17" i="38" s="1"/>
  <c r="K17" i="38"/>
  <c r="AI17" i="38"/>
  <c r="AQ37" i="13"/>
  <c r="AP126" i="12"/>
  <c r="T108" i="12"/>
  <c r="X108" i="12"/>
  <c r="V108" i="12"/>
  <c r="AE78" i="12"/>
  <c r="CF20" i="22" s="1"/>
  <c r="AP38" i="12"/>
  <c r="AQ30" i="12"/>
  <c r="AQ76" i="7"/>
  <c r="AV48" i="7"/>
  <c r="AE40" i="7"/>
  <c r="AE31" i="7"/>
  <c r="AE94" i="7" s="1"/>
  <c r="AQ124" i="8"/>
  <c r="AQ73" i="8"/>
  <c r="AV56" i="8"/>
  <c r="AE48" i="8"/>
  <c r="AE40" i="8"/>
  <c r="AE31" i="8"/>
  <c r="AE91" i="8" s="1"/>
  <c r="AE226" i="12"/>
  <c r="AQ118" i="10"/>
  <c r="AQ67" i="10"/>
  <c r="AE49" i="10"/>
  <c r="AE40" i="10"/>
  <c r="AE31" i="10"/>
  <c r="AQ67" i="11"/>
  <c r="AE49" i="11"/>
  <c r="AE40" i="11"/>
  <c r="AE31" i="11"/>
  <c r="AW15" i="7"/>
  <c r="AW21" i="14"/>
  <c r="AE225" i="12"/>
  <c r="AD48" i="14"/>
  <c r="AD47" i="14"/>
  <c r="U49" i="14"/>
  <c r="U50" i="14" s="1"/>
  <c r="W49" i="14"/>
  <c r="W50" i="14" s="1"/>
  <c r="AV55" i="8"/>
  <c r="AV47" i="7"/>
  <c r="X49" i="14"/>
  <c r="X50" i="14" s="1"/>
  <c r="AD49" i="14"/>
  <c r="AB49" i="14"/>
  <c r="AB50" i="14" s="1"/>
  <c r="Y49" i="14"/>
  <c r="Y50" i="14" s="1"/>
  <c r="AA49" i="14"/>
  <c r="AA50" i="14" s="1"/>
  <c r="AC49" i="14"/>
  <c r="AC50" i="14" s="1"/>
  <c r="Z49" i="14"/>
  <c r="Z50" i="14" s="1"/>
  <c r="V49" i="14"/>
  <c r="V50" i="14" s="1"/>
  <c r="AE46" i="8"/>
  <c r="AE47" i="8"/>
  <c r="AQ213" i="16"/>
  <c r="AE76" i="12"/>
  <c r="CF18" i="22" s="1"/>
  <c r="AE77" i="12"/>
  <c r="CF19" i="22" s="1"/>
  <c r="AX14" i="8"/>
  <c r="AW15" i="8"/>
  <c r="AX14" i="7"/>
  <c r="AX14" i="10"/>
  <c r="AW15" i="10"/>
  <c r="AX14" i="11"/>
  <c r="AW15" i="11"/>
  <c r="X92" i="12"/>
  <c r="AP37" i="12"/>
  <c r="AQ362" i="16"/>
  <c r="AQ36" i="13"/>
  <c r="AQ35" i="13"/>
  <c r="V92" i="12"/>
  <c r="AR157" i="14"/>
  <c r="AR135" i="14"/>
  <c r="BF16" i="16"/>
  <c r="BF22" i="14"/>
  <c r="AE29" i="10"/>
  <c r="AE48" i="10"/>
  <c r="T49" i="14"/>
  <c r="T50" i="14" s="1"/>
  <c r="C693" i="4"/>
  <c r="C698" i="4" s="1"/>
  <c r="C704" i="4" s="1"/>
  <c r="C710" i="4" s="1"/>
  <c r="AP219" i="16"/>
  <c r="AQ218" i="16"/>
  <c r="AR8" i="13"/>
  <c r="AR8" i="16"/>
  <c r="AR427" i="16" s="1"/>
  <c r="AF4" i="13"/>
  <c r="AF4" i="16"/>
  <c r="AR5" i="13"/>
  <c r="AR5" i="16"/>
  <c r="AF9" i="13"/>
  <c r="AF9" i="16"/>
  <c r="AE39" i="7"/>
  <c r="AE29" i="7"/>
  <c r="AE30" i="7"/>
  <c r="AE93" i="7" s="1"/>
  <c r="AE38" i="7"/>
  <c r="T92" i="12"/>
  <c r="W92" i="12"/>
  <c r="U108" i="12"/>
  <c r="W108" i="12"/>
  <c r="AD44" i="12"/>
  <c r="U92" i="12"/>
  <c r="AP125" i="12"/>
  <c r="AP124" i="12"/>
  <c r="BG14" i="12"/>
  <c r="AR5" i="12"/>
  <c r="AR5" i="11"/>
  <c r="AR5" i="10"/>
  <c r="AR5" i="8"/>
  <c r="AF4" i="12"/>
  <c r="AF4" i="11"/>
  <c r="AF4" i="10"/>
  <c r="AF4" i="8"/>
  <c r="Y99" i="4"/>
  <c r="AF15" i="14" s="1"/>
  <c r="Y98" i="4"/>
  <c r="AF14" i="14" s="1"/>
  <c r="AR8" i="11"/>
  <c r="AR8" i="12"/>
  <c r="AR8" i="10"/>
  <c r="AR8" i="8"/>
  <c r="AE48" i="11"/>
  <c r="AE30" i="8"/>
  <c r="AE90" i="8" s="1"/>
  <c r="AE29" i="8"/>
  <c r="AE47" i="11"/>
  <c r="AQ122" i="8"/>
  <c r="AQ123" i="8"/>
  <c r="AQ72" i="8"/>
  <c r="AQ71" i="8"/>
  <c r="AE38" i="11"/>
  <c r="AE47" i="10"/>
  <c r="AE39" i="8"/>
  <c r="AQ117" i="10"/>
  <c r="AQ116" i="10"/>
  <c r="AQ65" i="10"/>
  <c r="AQ66" i="10"/>
  <c r="AF9" i="12"/>
  <c r="AF9" i="11"/>
  <c r="AF9" i="10"/>
  <c r="AF9" i="8"/>
  <c r="AE39" i="11"/>
  <c r="AE30" i="11"/>
  <c r="AE38" i="10"/>
  <c r="AQ117" i="11"/>
  <c r="AQ118" i="11"/>
  <c r="AQ116" i="11"/>
  <c r="AQ65" i="11"/>
  <c r="AQ66" i="11"/>
  <c r="AE30" i="10"/>
  <c r="AE38" i="8"/>
  <c r="AQ29" i="12"/>
  <c r="AQ28" i="12"/>
  <c r="AE29" i="11"/>
  <c r="AE39" i="10"/>
  <c r="AP36" i="12"/>
  <c r="AQ74" i="7"/>
  <c r="AQ75" i="7"/>
  <c r="AL97" i="4"/>
  <c r="AS12" i="14" s="1"/>
  <c r="AR5" i="7"/>
  <c r="AL100" i="4"/>
  <c r="AS13" i="14" s="1"/>
  <c r="AR8" i="7"/>
  <c r="Z95" i="4"/>
  <c r="AG10" i="14" s="1"/>
  <c r="AF4" i="7"/>
  <c r="AF9" i="7"/>
  <c r="Y102" i="4"/>
  <c r="AQ190" i="16" l="1"/>
  <c r="AQ217" i="16"/>
  <c r="AQ219" i="16" s="1"/>
  <c r="AR20" i="7"/>
  <c r="AR21" i="7"/>
  <c r="AR22" i="7"/>
  <c r="AR22" i="8"/>
  <c r="AR20" i="8"/>
  <c r="AR21" i="8"/>
  <c r="AR22" i="10"/>
  <c r="AR21" i="10"/>
  <c r="AR20" i="10"/>
  <c r="AR20" i="11"/>
  <c r="AR21" i="11"/>
  <c r="AR22" i="11"/>
  <c r="AR21" i="12"/>
  <c r="AR20" i="12"/>
  <c r="AR22" i="12"/>
  <c r="AR188" i="16"/>
  <c r="AR184" i="16"/>
  <c r="AR189" i="16"/>
  <c r="AR21" i="13"/>
  <c r="AR29" i="13" s="1"/>
  <c r="AR19" i="13"/>
  <c r="AR27" i="13" s="1"/>
  <c r="AR20" i="13"/>
  <c r="AR28" i="13" s="1"/>
  <c r="AE85" i="10"/>
  <c r="H45" i="39"/>
  <c r="J45" i="39" s="1"/>
  <c r="AE83" i="10"/>
  <c r="H43" i="39"/>
  <c r="AE84" i="10"/>
  <c r="H44" i="39"/>
  <c r="AE75" i="11"/>
  <c r="AE84" i="11"/>
  <c r="G44" i="39" s="1"/>
  <c r="AE76" i="11"/>
  <c r="AE85" i="11"/>
  <c r="G45" i="39" s="1"/>
  <c r="AQ28" i="14"/>
  <c r="AQ29" i="14"/>
  <c r="AQ30" i="14"/>
  <c r="AE74" i="11"/>
  <c r="AE83" i="11"/>
  <c r="AI18" i="38"/>
  <c r="K18" i="38"/>
  <c r="J18" i="38"/>
  <c r="X18" i="38" s="1"/>
  <c r="AR37" i="13"/>
  <c r="AQ126" i="12"/>
  <c r="AD92" i="12"/>
  <c r="AQ38" i="12"/>
  <c r="AR30" i="12"/>
  <c r="AE103" i="7"/>
  <c r="AE85" i="7"/>
  <c r="AR76" i="7"/>
  <c r="AF67" i="7"/>
  <c r="AW48" i="7"/>
  <c r="AF134" i="8"/>
  <c r="AR124" i="8"/>
  <c r="AE100" i="8"/>
  <c r="AE82" i="8"/>
  <c r="AR73" i="8"/>
  <c r="AF64" i="8"/>
  <c r="AW56" i="8"/>
  <c r="AG128" i="10"/>
  <c r="AR118" i="10"/>
  <c r="AE94" i="10"/>
  <c r="AE76" i="10"/>
  <c r="AR67" i="10"/>
  <c r="AF58" i="10"/>
  <c r="AG128" i="11"/>
  <c r="AE94" i="11"/>
  <c r="AR67" i="11"/>
  <c r="AF58" i="11"/>
  <c r="AX15" i="7"/>
  <c r="AX21" i="14"/>
  <c r="AF133" i="8"/>
  <c r="AF132" i="8"/>
  <c r="AD50" i="14"/>
  <c r="AW47" i="7"/>
  <c r="AW55" i="8"/>
  <c r="AR213" i="16"/>
  <c r="AE92" i="11"/>
  <c r="AE102" i="7"/>
  <c r="AE84" i="7"/>
  <c r="AE93" i="11"/>
  <c r="AE99" i="8"/>
  <c r="AE83" i="7"/>
  <c r="AY14" i="11"/>
  <c r="AX15" i="11"/>
  <c r="AY14" i="10"/>
  <c r="AX15" i="10"/>
  <c r="AY14" i="7"/>
  <c r="AY14" i="8"/>
  <c r="AX15" i="8"/>
  <c r="AE93" i="10"/>
  <c r="AE92" i="10"/>
  <c r="AE74" i="10"/>
  <c r="AR362" i="16"/>
  <c r="AQ37" i="12"/>
  <c r="AR36" i="13"/>
  <c r="AR35" i="13"/>
  <c r="BG16" i="16"/>
  <c r="BG22" i="14"/>
  <c r="AS135" i="14"/>
  <c r="AS157" i="14"/>
  <c r="AR218" i="16"/>
  <c r="AF6" i="13"/>
  <c r="AF6" i="16"/>
  <c r="AF7" i="13"/>
  <c r="AF7" i="16"/>
  <c r="AR217" i="16"/>
  <c r="AS8" i="13"/>
  <c r="AS8" i="16"/>
  <c r="AF10" i="13"/>
  <c r="AF10" i="16"/>
  <c r="AG3" i="13"/>
  <c r="AG3" i="16"/>
  <c r="AS5" i="13"/>
  <c r="AS5" i="16"/>
  <c r="AD108" i="12"/>
  <c r="AQ124" i="12"/>
  <c r="AQ125" i="12"/>
  <c r="AE80" i="8"/>
  <c r="AF10" i="7"/>
  <c r="AF10" i="12"/>
  <c r="AF10" i="11"/>
  <c r="AF10" i="10"/>
  <c r="AF10" i="8"/>
  <c r="AE81" i="8"/>
  <c r="AR122" i="8"/>
  <c r="AR123" i="8"/>
  <c r="AR72" i="8"/>
  <c r="AR71" i="8"/>
  <c r="AF6" i="11"/>
  <c r="AF6" i="12"/>
  <c r="AF6" i="10"/>
  <c r="AF6" i="8"/>
  <c r="AF6" i="7"/>
  <c r="AR117" i="10"/>
  <c r="AR116" i="10"/>
  <c r="AR65" i="10"/>
  <c r="AR66" i="10"/>
  <c r="AR118" i="11"/>
  <c r="AR117" i="11"/>
  <c r="AR116" i="11"/>
  <c r="AR65" i="11"/>
  <c r="AR66" i="11"/>
  <c r="AF7" i="12"/>
  <c r="AF7" i="11"/>
  <c r="AF7" i="10"/>
  <c r="AF7" i="8"/>
  <c r="AF7" i="7"/>
  <c r="AR29" i="12"/>
  <c r="AR28" i="12"/>
  <c r="AG3" i="12"/>
  <c r="AG3" i="11"/>
  <c r="Z101" i="4"/>
  <c r="AG3" i="10"/>
  <c r="AG3" i="8"/>
  <c r="AS5" i="12"/>
  <c r="AS5" i="11"/>
  <c r="AS5" i="10"/>
  <c r="AS5" i="8"/>
  <c r="AS8" i="12"/>
  <c r="AS8" i="11"/>
  <c r="AS8" i="10"/>
  <c r="AS8" i="8"/>
  <c r="AE75" i="10"/>
  <c r="AF63" i="8"/>
  <c r="AF62" i="8"/>
  <c r="AF57" i="10"/>
  <c r="AF56" i="10"/>
  <c r="AG127" i="10"/>
  <c r="AG126" i="10"/>
  <c r="AF57" i="11"/>
  <c r="AF56" i="11"/>
  <c r="AG127" i="11"/>
  <c r="AG126" i="11"/>
  <c r="AQ36" i="12"/>
  <c r="AR74" i="7"/>
  <c r="AR75" i="7"/>
  <c r="AF65" i="7"/>
  <c r="AF66" i="7"/>
  <c r="AM100" i="4"/>
  <c r="AT13" i="14" s="1"/>
  <c r="AS8" i="7"/>
  <c r="Z96" i="4"/>
  <c r="AG11" i="14" s="1"/>
  <c r="AG3" i="7"/>
  <c r="AM97" i="4"/>
  <c r="AT12" i="14" s="1"/>
  <c r="AS5" i="7"/>
  <c r="J44" i="39" l="1"/>
  <c r="K44" i="39" s="1"/>
  <c r="AE65" i="14"/>
  <c r="AR190" i="16"/>
  <c r="AS20" i="11"/>
  <c r="AS21" i="11"/>
  <c r="AS22" i="11"/>
  <c r="AS21" i="7"/>
  <c r="AS20" i="7"/>
  <c r="AS22" i="7"/>
  <c r="AS22" i="8"/>
  <c r="AS21" i="8"/>
  <c r="AS20" i="8"/>
  <c r="AS22" i="10"/>
  <c r="AS21" i="10"/>
  <c r="AS20" i="10"/>
  <c r="AS22" i="12"/>
  <c r="AS21" i="12"/>
  <c r="AS20" i="12"/>
  <c r="AS189" i="16"/>
  <c r="AS188" i="16"/>
  <c r="AS184" i="16"/>
  <c r="AS21" i="13"/>
  <c r="AS29" i="13" s="1"/>
  <c r="AS20" i="13"/>
  <c r="AS28" i="13" s="1"/>
  <c r="AS19" i="13"/>
  <c r="AS27" i="13" s="1"/>
  <c r="AE66" i="14"/>
  <c r="G43" i="39"/>
  <c r="AE27" i="14"/>
  <c r="AR28" i="14"/>
  <c r="AR29" i="14"/>
  <c r="AR30" i="14"/>
  <c r="AF227" i="12"/>
  <c r="AE39" i="14"/>
  <c r="AE35" i="14"/>
  <c r="AE37" i="14"/>
  <c r="K19" i="38"/>
  <c r="J19" i="38"/>
  <c r="X19" i="38" s="1"/>
  <c r="AS37" i="13"/>
  <c r="AR126" i="12"/>
  <c r="AF78" i="12"/>
  <c r="AR38" i="12"/>
  <c r="AS30" i="12"/>
  <c r="AS76" i="7"/>
  <c r="AX48" i="7"/>
  <c r="AF40" i="7"/>
  <c r="AF31" i="7"/>
  <c r="AF94" i="7" s="1"/>
  <c r="AS124" i="8"/>
  <c r="AS73" i="8"/>
  <c r="AX56" i="8"/>
  <c r="AF48" i="8"/>
  <c r="AF40" i="8"/>
  <c r="AF31" i="8"/>
  <c r="AF91" i="8" s="1"/>
  <c r="AF226" i="12"/>
  <c r="AS118" i="10"/>
  <c r="AS67" i="10"/>
  <c r="AF49" i="10"/>
  <c r="AF40" i="10"/>
  <c r="AF31" i="10"/>
  <c r="AF85" i="10" s="1"/>
  <c r="AS67" i="11"/>
  <c r="AF49" i="11"/>
  <c r="AF40" i="11"/>
  <c r="AF31" i="11"/>
  <c r="AF225" i="12"/>
  <c r="AY15" i="7"/>
  <c r="AY21" i="14"/>
  <c r="AE48" i="14"/>
  <c r="AX55" i="8"/>
  <c r="AX47" i="7"/>
  <c r="AE49" i="14"/>
  <c r="AF38" i="8"/>
  <c r="AF47" i="8"/>
  <c r="AF46" i="8"/>
  <c r="AS213" i="16"/>
  <c r="AF76" i="12"/>
  <c r="AF77" i="12"/>
  <c r="AZ14" i="8"/>
  <c r="AY15" i="8"/>
  <c r="AZ14" i="10"/>
  <c r="AY15" i="10"/>
  <c r="AZ14" i="11"/>
  <c r="AY15" i="11"/>
  <c r="AZ14" i="7"/>
  <c r="AS362" i="16"/>
  <c r="AF29" i="10"/>
  <c r="AF83" i="10" s="1"/>
  <c r="AF65" i="14" s="1"/>
  <c r="AF48" i="10"/>
  <c r="AT135" i="14"/>
  <c r="AT157" i="14"/>
  <c r="AS36" i="13"/>
  <c r="AS35" i="13"/>
  <c r="AR219" i="16"/>
  <c r="AS218" i="16"/>
  <c r="AF39" i="11"/>
  <c r="AF30" i="11"/>
  <c r="AF48" i="11"/>
  <c r="AT8" i="13"/>
  <c r="AT8" i="16"/>
  <c r="AG9" i="13"/>
  <c r="AG9" i="16"/>
  <c r="AT5" i="13"/>
  <c r="AT5" i="16"/>
  <c r="AG4" i="13"/>
  <c r="AG4" i="16"/>
  <c r="AS217" i="16"/>
  <c r="AF38" i="11"/>
  <c r="AF47" i="11"/>
  <c r="AR37" i="12"/>
  <c r="AF39" i="7"/>
  <c r="AF38" i="7"/>
  <c r="AF29" i="7"/>
  <c r="AF29" i="11"/>
  <c r="AF39" i="10"/>
  <c r="AF47" i="10"/>
  <c r="AF38" i="10"/>
  <c r="AF30" i="10"/>
  <c r="AF84" i="10" s="1"/>
  <c r="AF29" i="8"/>
  <c r="AF30" i="7"/>
  <c r="AF93" i="7" s="1"/>
  <c r="AF30" i="8"/>
  <c r="AF90" i="8" s="1"/>
  <c r="AF39" i="8"/>
  <c r="AE44" i="12"/>
  <c r="AR125" i="12"/>
  <c r="AR124" i="12"/>
  <c r="AS122" i="8"/>
  <c r="AS123" i="8"/>
  <c r="AS72" i="8"/>
  <c r="AS71" i="8"/>
  <c r="AS117" i="10"/>
  <c r="AS116" i="10"/>
  <c r="AS65" i="10"/>
  <c r="AS66" i="10"/>
  <c r="AS117" i="11"/>
  <c r="AS118" i="11"/>
  <c r="AS116" i="11"/>
  <c r="AS65" i="11"/>
  <c r="AS66" i="11"/>
  <c r="AT8" i="12"/>
  <c r="AT8" i="11"/>
  <c r="AT8" i="10"/>
  <c r="AT8" i="8"/>
  <c r="AS28" i="12"/>
  <c r="AS29" i="12"/>
  <c r="AG4" i="12"/>
  <c r="AG4" i="11"/>
  <c r="AG4" i="10"/>
  <c r="AG4" i="8"/>
  <c r="Z99" i="4"/>
  <c r="AG15" i="14" s="1"/>
  <c r="Z98" i="4"/>
  <c r="AG14" i="14" s="1"/>
  <c r="AT5" i="12"/>
  <c r="AT5" i="11"/>
  <c r="AT5" i="10"/>
  <c r="AT5" i="8"/>
  <c r="AG9" i="12"/>
  <c r="AG9" i="10"/>
  <c r="AG9" i="11"/>
  <c r="AG9" i="8"/>
  <c r="AR36" i="12"/>
  <c r="AS74" i="7"/>
  <c r="AS75" i="7"/>
  <c r="AA95" i="4"/>
  <c r="AH10" i="14" s="1"/>
  <c r="AG4" i="7"/>
  <c r="Z102" i="4"/>
  <c r="AG9" i="7"/>
  <c r="AN97" i="4"/>
  <c r="AU12" i="14" s="1"/>
  <c r="AT5" i="7"/>
  <c r="AN100" i="4"/>
  <c r="AU13" i="14" s="1"/>
  <c r="AT8" i="7"/>
  <c r="AT22" i="12" l="1"/>
  <c r="AT21" i="12"/>
  <c r="AT20" i="12"/>
  <c r="AT20" i="11"/>
  <c r="AT21" i="11"/>
  <c r="AT22" i="11"/>
  <c r="AT22" i="8"/>
  <c r="AT21" i="8"/>
  <c r="AT20" i="8"/>
  <c r="AT22" i="10"/>
  <c r="AT21" i="10"/>
  <c r="AT20" i="10"/>
  <c r="AS190" i="16"/>
  <c r="AT22" i="7"/>
  <c r="AT21" i="7"/>
  <c r="AT20" i="7"/>
  <c r="AT189" i="16"/>
  <c r="AT188" i="16"/>
  <c r="AT184" i="16"/>
  <c r="AT21" i="13"/>
  <c r="AT29" i="13" s="1"/>
  <c r="AT19" i="13"/>
  <c r="AT27" i="13" s="1"/>
  <c r="AT20" i="13"/>
  <c r="AT28" i="13" s="1"/>
  <c r="AS30" i="14"/>
  <c r="AS29" i="14"/>
  <c r="AS28" i="14"/>
  <c r="AF75" i="11"/>
  <c r="AF84" i="11"/>
  <c r="AF76" i="11"/>
  <c r="AF85" i="11"/>
  <c r="AF74" i="11"/>
  <c r="AF83" i="11"/>
  <c r="AI19" i="38"/>
  <c r="AI20" i="38"/>
  <c r="K20" i="38"/>
  <c r="AT37" i="13"/>
  <c r="AS126" i="12"/>
  <c r="AS38" i="12"/>
  <c r="AT30" i="12"/>
  <c r="AF103" i="7"/>
  <c r="AF85" i="7"/>
  <c r="AT76" i="7"/>
  <c r="AG67" i="7"/>
  <c r="AY48" i="7"/>
  <c r="AG134" i="8"/>
  <c r="AT124" i="8"/>
  <c r="AF100" i="8"/>
  <c r="AF82" i="8"/>
  <c r="AT73" i="8"/>
  <c r="AG64" i="8"/>
  <c r="AY56" i="8"/>
  <c r="AH128" i="10"/>
  <c r="AT118" i="10"/>
  <c r="AF94" i="10"/>
  <c r="AF74" i="10"/>
  <c r="AF76" i="10"/>
  <c r="AT67" i="10"/>
  <c r="AG58" i="10"/>
  <c r="AH128" i="11"/>
  <c r="AF94" i="11"/>
  <c r="AT67" i="11"/>
  <c r="AG58" i="11"/>
  <c r="AG133" i="8"/>
  <c r="AG132" i="8"/>
  <c r="AZ15" i="7"/>
  <c r="AZ21" i="14"/>
  <c r="AF84" i="7"/>
  <c r="AY47" i="7"/>
  <c r="AY55" i="8"/>
  <c r="AT213" i="16"/>
  <c r="BA14" i="7"/>
  <c r="AF93" i="11"/>
  <c r="AF102" i="7"/>
  <c r="BA14" i="11"/>
  <c r="AZ15" i="11"/>
  <c r="AF92" i="11"/>
  <c r="BA14" i="10"/>
  <c r="AZ15" i="10"/>
  <c r="AF81" i="8"/>
  <c r="AF99" i="8"/>
  <c r="AF80" i="8"/>
  <c r="BA14" i="8"/>
  <c r="AZ15" i="8"/>
  <c r="AF93" i="10"/>
  <c r="AF92" i="10"/>
  <c r="AT36" i="13"/>
  <c r="AF75" i="10"/>
  <c r="AT362" i="16"/>
  <c r="AT35" i="13"/>
  <c r="AS219" i="16"/>
  <c r="AU135" i="14"/>
  <c r="AU157" i="14"/>
  <c r="AT218" i="16"/>
  <c r="AG6" i="13"/>
  <c r="AG6" i="16"/>
  <c r="AG7" i="13"/>
  <c r="AG7" i="16"/>
  <c r="AU8" i="13"/>
  <c r="AU8" i="16"/>
  <c r="AH3" i="13"/>
  <c r="AH3" i="16"/>
  <c r="AG10" i="13"/>
  <c r="AG10" i="16"/>
  <c r="AU5" i="13"/>
  <c r="AU5" i="16"/>
  <c r="AF83" i="7"/>
  <c r="AF27" i="14" s="1"/>
  <c r="AE108" i="12"/>
  <c r="AS37" i="12"/>
  <c r="AE92" i="12"/>
  <c r="AS124" i="12"/>
  <c r="AS125" i="12"/>
  <c r="AG7" i="12"/>
  <c r="AG7" i="11"/>
  <c r="AG7" i="10"/>
  <c r="AG7" i="8"/>
  <c r="AG7" i="7"/>
  <c r="AA101" i="4"/>
  <c r="AH3" i="12"/>
  <c r="AH3" i="11"/>
  <c r="AH3" i="10"/>
  <c r="AH3" i="8"/>
  <c r="AG63" i="8"/>
  <c r="AG62" i="8"/>
  <c r="AU5" i="12"/>
  <c r="AU5" i="11"/>
  <c r="AU5" i="10"/>
  <c r="AU5" i="8"/>
  <c r="AG57" i="10"/>
  <c r="AG56" i="10"/>
  <c r="AH127" i="10"/>
  <c r="AH126" i="10"/>
  <c r="AU8" i="12"/>
  <c r="AU8" i="11"/>
  <c r="AU8" i="10"/>
  <c r="AU8" i="8"/>
  <c r="AG10" i="7"/>
  <c r="AG10" i="11"/>
  <c r="AG10" i="12"/>
  <c r="AG10" i="10"/>
  <c r="AG10" i="8"/>
  <c r="AT122" i="8"/>
  <c r="AT123" i="8"/>
  <c r="AT72" i="8"/>
  <c r="AT71" i="8"/>
  <c r="AG56" i="11"/>
  <c r="AG57" i="11"/>
  <c r="AH127" i="11"/>
  <c r="AH126" i="11"/>
  <c r="AT117" i="10"/>
  <c r="AT116" i="10"/>
  <c r="AT65" i="10"/>
  <c r="AT66" i="10"/>
  <c r="AT117" i="11"/>
  <c r="AT118" i="11"/>
  <c r="AT116" i="11"/>
  <c r="AT65" i="11"/>
  <c r="AT66" i="11"/>
  <c r="AT28" i="12"/>
  <c r="AT29" i="12"/>
  <c r="AG6" i="12"/>
  <c r="AG6" i="11"/>
  <c r="AG6" i="10"/>
  <c r="AG6" i="8"/>
  <c r="AG6" i="7"/>
  <c r="AS36" i="12"/>
  <c r="AT74" i="7"/>
  <c r="AT75" i="7"/>
  <c r="AG65" i="7"/>
  <c r="AG66" i="7"/>
  <c r="AO100" i="4"/>
  <c r="AV13" i="14" s="1"/>
  <c r="AU8" i="7"/>
  <c r="AO97" i="4"/>
  <c r="AV12" i="14" s="1"/>
  <c r="AU5" i="7"/>
  <c r="AA96" i="4"/>
  <c r="AH11" i="14" s="1"/>
  <c r="AH3" i="7"/>
  <c r="AF66" i="14" l="1"/>
  <c r="AT190" i="16"/>
  <c r="AT217" i="16"/>
  <c r="AU22" i="8"/>
  <c r="AU21" i="8"/>
  <c r="AU20" i="8"/>
  <c r="AU22" i="10"/>
  <c r="AU21" i="10"/>
  <c r="AU20" i="10"/>
  <c r="AU189" i="16"/>
  <c r="AU188" i="16"/>
  <c r="AU217" i="16" s="1"/>
  <c r="AU184" i="16"/>
  <c r="AU22" i="7"/>
  <c r="AU21" i="7"/>
  <c r="AU20" i="7"/>
  <c r="AU20" i="11"/>
  <c r="AU21" i="11"/>
  <c r="AU22" i="11"/>
  <c r="AU22" i="12"/>
  <c r="AU21" i="12"/>
  <c r="AU20" i="12"/>
  <c r="AU21" i="13"/>
  <c r="AU29" i="13" s="1"/>
  <c r="AU19" i="13"/>
  <c r="AU27" i="13" s="1"/>
  <c r="AU20" i="13"/>
  <c r="AU28" i="13" s="1"/>
  <c r="AT29" i="14"/>
  <c r="AT30" i="14"/>
  <c r="AT28" i="14"/>
  <c r="AG227" i="12"/>
  <c r="AF39" i="14"/>
  <c r="AF35" i="14"/>
  <c r="AF37" i="14"/>
  <c r="AU37" i="13"/>
  <c r="AT126" i="12"/>
  <c r="AG78" i="12"/>
  <c r="AT38" i="12"/>
  <c r="AU30" i="12"/>
  <c r="AU76" i="7"/>
  <c r="AZ48" i="7"/>
  <c r="AG40" i="7"/>
  <c r="AG31" i="7"/>
  <c r="AG94" i="7" s="1"/>
  <c r="AU124" i="8"/>
  <c r="AU73" i="8"/>
  <c r="AZ56" i="8"/>
  <c r="AG48" i="8"/>
  <c r="AG40" i="8"/>
  <c r="AG31" i="8"/>
  <c r="AG91" i="8" s="1"/>
  <c r="AU118" i="10"/>
  <c r="AU67" i="10"/>
  <c r="AG49" i="10"/>
  <c r="AG40" i="10"/>
  <c r="AG31" i="10"/>
  <c r="AG85" i="10" s="1"/>
  <c r="AU67" i="11"/>
  <c r="AG38" i="11"/>
  <c r="AG49" i="11"/>
  <c r="AG40" i="11"/>
  <c r="AG31" i="11"/>
  <c r="Q35" i="28"/>
  <c r="AG226" i="12"/>
  <c r="BA15" i="7"/>
  <c r="BA21" i="14"/>
  <c r="AG225" i="12"/>
  <c r="AF47" i="14"/>
  <c r="AF48" i="14"/>
  <c r="AZ47" i="7"/>
  <c r="AZ55" i="8"/>
  <c r="AF49" i="14"/>
  <c r="AG30" i="8"/>
  <c r="AG90" i="8" s="1"/>
  <c r="AG46" i="8"/>
  <c r="AG47" i="8"/>
  <c r="AU213" i="16"/>
  <c r="BB14" i="7"/>
  <c r="AG76" i="12"/>
  <c r="AG77" i="12"/>
  <c r="BB14" i="10"/>
  <c r="BA15" i="10"/>
  <c r="BB14" i="8"/>
  <c r="BA15" i="8"/>
  <c r="BB14" i="11"/>
  <c r="BA15" i="11"/>
  <c r="AG29" i="7"/>
  <c r="AG30" i="7"/>
  <c r="AG93" i="7" s="1"/>
  <c r="AG39" i="7"/>
  <c r="AU362" i="16"/>
  <c r="AV135" i="14"/>
  <c r="AV157" i="14"/>
  <c r="AG39" i="10"/>
  <c r="AG48" i="10"/>
  <c r="AG47" i="11"/>
  <c r="AU218" i="16"/>
  <c r="AT219" i="16"/>
  <c r="AG29" i="11"/>
  <c r="AG38" i="7"/>
  <c r="AF44" i="12"/>
  <c r="AU35" i="13"/>
  <c r="AU36" i="13"/>
  <c r="AV5" i="13"/>
  <c r="AV5" i="16"/>
  <c r="AH9" i="13"/>
  <c r="AH9" i="16"/>
  <c r="AH4" i="13"/>
  <c r="AH4" i="16"/>
  <c r="AV8" i="13"/>
  <c r="AV8" i="16"/>
  <c r="AV427" i="16" s="1"/>
  <c r="AG39" i="11"/>
  <c r="AG38" i="10"/>
  <c r="AG47" i="10"/>
  <c r="AG30" i="11"/>
  <c r="AG48" i="11"/>
  <c r="AG29" i="10"/>
  <c r="AG83" i="10" s="1"/>
  <c r="AT37" i="12"/>
  <c r="AG30" i="10"/>
  <c r="AG84" i="10" s="1"/>
  <c r="AG29" i="8"/>
  <c r="AG38" i="8"/>
  <c r="AG39" i="8"/>
  <c r="AT125" i="12"/>
  <c r="AT124" i="12"/>
  <c r="AT36" i="12"/>
  <c r="AV5" i="11"/>
  <c r="AV5" i="12"/>
  <c r="AV5" i="10"/>
  <c r="AV5" i="8"/>
  <c r="AU122" i="8"/>
  <c r="AU123" i="8"/>
  <c r="AU72" i="8"/>
  <c r="AU71" i="8"/>
  <c r="AH4" i="11"/>
  <c r="AH4" i="12"/>
  <c r="AH4" i="10"/>
  <c r="AH4" i="8"/>
  <c r="AA99" i="4"/>
  <c r="AH15" i="14" s="1"/>
  <c r="AA98" i="4"/>
  <c r="AH14" i="14" s="1"/>
  <c r="AU117" i="10"/>
  <c r="AU116" i="10"/>
  <c r="AU65" i="10"/>
  <c r="AU66" i="10"/>
  <c r="AH9" i="12"/>
  <c r="AH9" i="11"/>
  <c r="AH9" i="10"/>
  <c r="AH9" i="8"/>
  <c r="AV8" i="12"/>
  <c r="AV8" i="11"/>
  <c r="AV8" i="10"/>
  <c r="AV8" i="8"/>
  <c r="AU118" i="11"/>
  <c r="AU117" i="11"/>
  <c r="AU116" i="11"/>
  <c r="AU65" i="11"/>
  <c r="AU66" i="11"/>
  <c r="AU28" i="12"/>
  <c r="AU29" i="12"/>
  <c r="AU74" i="7"/>
  <c r="AU75" i="7"/>
  <c r="AP97" i="4"/>
  <c r="AW12" i="14" s="1"/>
  <c r="AV5" i="7"/>
  <c r="AB95" i="4"/>
  <c r="AI10" i="14" s="1"/>
  <c r="AH4" i="7"/>
  <c r="AA102" i="4"/>
  <c r="AH9" i="7"/>
  <c r="AP100" i="4"/>
  <c r="AW13" i="14" s="1"/>
  <c r="AV8" i="7"/>
  <c r="AG65" i="14" l="1"/>
  <c r="AV22" i="7"/>
  <c r="AV21" i="7"/>
  <c r="AV20" i="7"/>
  <c r="AU190" i="16"/>
  <c r="AV189" i="16"/>
  <c r="AV188" i="16"/>
  <c r="AV184" i="16"/>
  <c r="AV22" i="12"/>
  <c r="AV21" i="12"/>
  <c r="AV20" i="12"/>
  <c r="AV22" i="10"/>
  <c r="AV21" i="10"/>
  <c r="AV20" i="10"/>
  <c r="AV21" i="11"/>
  <c r="AV22" i="11"/>
  <c r="AV20" i="11"/>
  <c r="AV22" i="8"/>
  <c r="AV21" i="8"/>
  <c r="AV20" i="8"/>
  <c r="AV21" i="13"/>
  <c r="AV29" i="13" s="1"/>
  <c r="AV20" i="13"/>
  <c r="AV28" i="13" s="1"/>
  <c r="AV19" i="13"/>
  <c r="AV27" i="13" s="1"/>
  <c r="AG74" i="11"/>
  <c r="AG83" i="11"/>
  <c r="AG75" i="11"/>
  <c r="AG84" i="11"/>
  <c r="AU28" i="14"/>
  <c r="AU29" i="14"/>
  <c r="AU30" i="14"/>
  <c r="AG76" i="11"/>
  <c r="AG85" i="11"/>
  <c r="AV37" i="13"/>
  <c r="AU126" i="12"/>
  <c r="AF108" i="12"/>
  <c r="AU38" i="12"/>
  <c r="AV30" i="12"/>
  <c r="AG103" i="7"/>
  <c r="AG85" i="7"/>
  <c r="AV76" i="7"/>
  <c r="AH67" i="7"/>
  <c r="BA48" i="7"/>
  <c r="AH134" i="8"/>
  <c r="AV124" i="8"/>
  <c r="AG100" i="8"/>
  <c r="AG82" i="8"/>
  <c r="AV73" i="8"/>
  <c r="AH64" i="8"/>
  <c r="BA56" i="8"/>
  <c r="AI128" i="10"/>
  <c r="AV118" i="10"/>
  <c r="AG94" i="10"/>
  <c r="AG76" i="10"/>
  <c r="AV67" i="10"/>
  <c r="AH58" i="10"/>
  <c r="AI128" i="11"/>
  <c r="AG94" i="11"/>
  <c r="AV67" i="11"/>
  <c r="AH58" i="11"/>
  <c r="Q38" i="28"/>
  <c r="AH133" i="8"/>
  <c r="AH132" i="8"/>
  <c r="BB15" i="7"/>
  <c r="BB21" i="14"/>
  <c r="AG81" i="8"/>
  <c r="AG99" i="8"/>
  <c r="AF50" i="14"/>
  <c r="BA55" i="8"/>
  <c r="BA47" i="7"/>
  <c r="AV213" i="16"/>
  <c r="BC14" i="8"/>
  <c r="BB15" i="8"/>
  <c r="AG93" i="11"/>
  <c r="BC14" i="11"/>
  <c r="BB15" i="11"/>
  <c r="AG102" i="7"/>
  <c r="AG92" i="11"/>
  <c r="AG84" i="7"/>
  <c r="BC14" i="7"/>
  <c r="BC14" i="10"/>
  <c r="BB15" i="10"/>
  <c r="AG75" i="10"/>
  <c r="AG93" i="10"/>
  <c r="AG74" i="10"/>
  <c r="AG92" i="10"/>
  <c r="AG83" i="7"/>
  <c r="AV35" i="13"/>
  <c r="AV362" i="16"/>
  <c r="AF92" i="12"/>
  <c r="AW157" i="14"/>
  <c r="AW135" i="14"/>
  <c r="AU219" i="16"/>
  <c r="AV218" i="16"/>
  <c r="AV36" i="13"/>
  <c r="AW8" i="13"/>
  <c r="AW8" i="16"/>
  <c r="AH6" i="13"/>
  <c r="AH6" i="16"/>
  <c r="AH7" i="13"/>
  <c r="AH7" i="16"/>
  <c r="AH10" i="13"/>
  <c r="AH10" i="16"/>
  <c r="AI3" i="13"/>
  <c r="AI3" i="16"/>
  <c r="AW5" i="13"/>
  <c r="AW5" i="16"/>
  <c r="AG80" i="8"/>
  <c r="AU37" i="12"/>
  <c r="AU125" i="12"/>
  <c r="AU124" i="12"/>
  <c r="AH62" i="8"/>
  <c r="AH63" i="8"/>
  <c r="AW5" i="11"/>
  <c r="AW5" i="12"/>
  <c r="AW5" i="10"/>
  <c r="AW5" i="8"/>
  <c r="AH57" i="10"/>
  <c r="AH56" i="10"/>
  <c r="AI127" i="10"/>
  <c r="AI126" i="10"/>
  <c r="AV122" i="8"/>
  <c r="AV123" i="8"/>
  <c r="AV72" i="8"/>
  <c r="AV71" i="8"/>
  <c r="AV117" i="10"/>
  <c r="AV116" i="10"/>
  <c r="AV65" i="10"/>
  <c r="AV66" i="10"/>
  <c r="AW8" i="12"/>
  <c r="AW8" i="11"/>
  <c r="AW8" i="10"/>
  <c r="AW8" i="8"/>
  <c r="AH57" i="11"/>
  <c r="AH56" i="11"/>
  <c r="AI126" i="11"/>
  <c r="AI127" i="11"/>
  <c r="AV28" i="12"/>
  <c r="AV29" i="12"/>
  <c r="AV118" i="11"/>
  <c r="AV117" i="11"/>
  <c r="AV116" i="11"/>
  <c r="AV65" i="11"/>
  <c r="AV66" i="11"/>
  <c r="AH10" i="7"/>
  <c r="AH10" i="11"/>
  <c r="AH10" i="12"/>
  <c r="AH10" i="10"/>
  <c r="AH10" i="8"/>
  <c r="AH6" i="12"/>
  <c r="AH6" i="11"/>
  <c r="AH6" i="10"/>
  <c r="AH6" i="8"/>
  <c r="AH6" i="7"/>
  <c r="AI3" i="12"/>
  <c r="AB101" i="4"/>
  <c r="AI3" i="11"/>
  <c r="AI3" i="10"/>
  <c r="AI3" i="8"/>
  <c r="AH7" i="12"/>
  <c r="AH7" i="11"/>
  <c r="AH7" i="10"/>
  <c r="AH7" i="8"/>
  <c r="AH7" i="7"/>
  <c r="AU36" i="12"/>
  <c r="AV74" i="7"/>
  <c r="AV75" i="7"/>
  <c r="AH65" i="7"/>
  <c r="AH66" i="7"/>
  <c r="AB96" i="4"/>
  <c r="AI11" i="14" s="1"/>
  <c r="AI3" i="7"/>
  <c r="AQ100" i="4"/>
  <c r="AX13" i="14" s="1"/>
  <c r="AW8" i="7"/>
  <c r="AQ97" i="4"/>
  <c r="AX12" i="14" s="1"/>
  <c r="AW5" i="7"/>
  <c r="AV190" i="16" l="1"/>
  <c r="AG66" i="14"/>
  <c r="AW22" i="8"/>
  <c r="AW21" i="8"/>
  <c r="AW20" i="8"/>
  <c r="AW22" i="7"/>
  <c r="AW21" i="7"/>
  <c r="AW20" i="7"/>
  <c r="AW22" i="10"/>
  <c r="AW21" i="10"/>
  <c r="AW20" i="10"/>
  <c r="AW22" i="12"/>
  <c r="AW21" i="12"/>
  <c r="AW20" i="12"/>
  <c r="AV217" i="16"/>
  <c r="AW22" i="11"/>
  <c r="AW20" i="11"/>
  <c r="AW21" i="11"/>
  <c r="AW189" i="16"/>
  <c r="AW184" i="16"/>
  <c r="AW188" i="16"/>
  <c r="AW21" i="13"/>
  <c r="AW29" i="13" s="1"/>
  <c r="AW19" i="13"/>
  <c r="AW27" i="13" s="1"/>
  <c r="AW20" i="13"/>
  <c r="AW28" i="13" s="1"/>
  <c r="AG27" i="14"/>
  <c r="AV28" i="14"/>
  <c r="AV29" i="14"/>
  <c r="AV30" i="14"/>
  <c r="AH227" i="12"/>
  <c r="AW37" i="13"/>
  <c r="AV126" i="12"/>
  <c r="AH78" i="12"/>
  <c r="AV38" i="12"/>
  <c r="AW30" i="12"/>
  <c r="AW76" i="7"/>
  <c r="BB48" i="7"/>
  <c r="AH40" i="7"/>
  <c r="AH38" i="7"/>
  <c r="AH31" i="7"/>
  <c r="AH94" i="7" s="1"/>
  <c r="AW124" i="8"/>
  <c r="AW73" i="8"/>
  <c r="BB56" i="8"/>
  <c r="AH48" i="8"/>
  <c r="AH40" i="8"/>
  <c r="AH31" i="8"/>
  <c r="AH91" i="8" s="1"/>
  <c r="AW118" i="10"/>
  <c r="AW67" i="10"/>
  <c r="AH49" i="10"/>
  <c r="AH40" i="10"/>
  <c r="AH31" i="10"/>
  <c r="AH85" i="10" s="1"/>
  <c r="AW67" i="11"/>
  <c r="AH47" i="11"/>
  <c r="AH49" i="11"/>
  <c r="AH40" i="11"/>
  <c r="AH31" i="11"/>
  <c r="AH226" i="12"/>
  <c r="BC15" i="7"/>
  <c r="BC21" i="14"/>
  <c r="AH225" i="12"/>
  <c r="AG48" i="14"/>
  <c r="BB47" i="7"/>
  <c r="BB55" i="8"/>
  <c r="AG49" i="14"/>
  <c r="AH30" i="8"/>
  <c r="AH90" i="8" s="1"/>
  <c r="AH47" i="8"/>
  <c r="AH46" i="8"/>
  <c r="AW213" i="16"/>
  <c r="AH77" i="12"/>
  <c r="AH76" i="12"/>
  <c r="BD14" i="10"/>
  <c r="BC15" i="10"/>
  <c r="BD14" i="7"/>
  <c r="BD14" i="11"/>
  <c r="BC15" i="11"/>
  <c r="BD14" i="8"/>
  <c r="BC15" i="8"/>
  <c r="AW362" i="16"/>
  <c r="AX135" i="14"/>
  <c r="AX157" i="14"/>
  <c r="AH48" i="10"/>
  <c r="AW35" i="13"/>
  <c r="AW36" i="13"/>
  <c r="AW218" i="16"/>
  <c r="AV219" i="16"/>
  <c r="AH39" i="7"/>
  <c r="AI4" i="13"/>
  <c r="AI4" i="16"/>
  <c r="AX5" i="13"/>
  <c r="AX5" i="16"/>
  <c r="AW217" i="16"/>
  <c r="AX8" i="13"/>
  <c r="AX8" i="16"/>
  <c r="AI9" i="13"/>
  <c r="AI9" i="16"/>
  <c r="AG44" i="12"/>
  <c r="AH29" i="7"/>
  <c r="AH30" i="7"/>
  <c r="AH93" i="7" s="1"/>
  <c r="AV37" i="12"/>
  <c r="AV124" i="12"/>
  <c r="AV125" i="12"/>
  <c r="AH38" i="11"/>
  <c r="AW122" i="8"/>
  <c r="AW123" i="8"/>
  <c r="AW71" i="8"/>
  <c r="AW72" i="8"/>
  <c r="AH29" i="8"/>
  <c r="AX5" i="11"/>
  <c r="AX5" i="12"/>
  <c r="AX5" i="10"/>
  <c r="AX5" i="8"/>
  <c r="AH39" i="11"/>
  <c r="AH48" i="11"/>
  <c r="AH39" i="10"/>
  <c r="AH47" i="10"/>
  <c r="AW117" i="10"/>
  <c r="AW116" i="10"/>
  <c r="AW65" i="10"/>
  <c r="AW66" i="10"/>
  <c r="AH29" i="10"/>
  <c r="AH83" i="10" s="1"/>
  <c r="AW29" i="12"/>
  <c r="AW28" i="12"/>
  <c r="AI9" i="12"/>
  <c r="AI9" i="11"/>
  <c r="AI9" i="10"/>
  <c r="AI9" i="8"/>
  <c r="AH30" i="11"/>
  <c r="AH30" i="10"/>
  <c r="AH84" i="10" s="1"/>
  <c r="AW117" i="11"/>
  <c r="AW118" i="11"/>
  <c r="AW116" i="11"/>
  <c r="AW65" i="11"/>
  <c r="AW66" i="11"/>
  <c r="AH38" i="8"/>
  <c r="AX8" i="12"/>
  <c r="AX8" i="11"/>
  <c r="AX8" i="10"/>
  <c r="AX8" i="8"/>
  <c r="AV36" i="12"/>
  <c r="AH29" i="11"/>
  <c r="AI4" i="11"/>
  <c r="AI4" i="12"/>
  <c r="AI4" i="10"/>
  <c r="AI4" i="8"/>
  <c r="AB99" i="4"/>
  <c r="AI15" i="14" s="1"/>
  <c r="AB98" i="4"/>
  <c r="AI14" i="14" s="1"/>
  <c r="AH39" i="8"/>
  <c r="AH38" i="10"/>
  <c r="AW74" i="7"/>
  <c r="AW75" i="7"/>
  <c r="AR100" i="4"/>
  <c r="AY13" i="14" s="1"/>
  <c r="AX8" i="7"/>
  <c r="AC95" i="4"/>
  <c r="AJ10" i="14" s="1"/>
  <c r="AI4" i="7"/>
  <c r="AB102" i="4"/>
  <c r="AI9" i="7"/>
  <c r="AR97" i="4"/>
  <c r="AY12" i="14" s="1"/>
  <c r="AX5" i="7"/>
  <c r="AW190" i="16" l="1"/>
  <c r="AX188" i="16"/>
  <c r="AX217" i="16" s="1"/>
  <c r="AX184" i="16"/>
  <c r="AX189" i="16"/>
  <c r="AX22" i="8"/>
  <c r="AX21" i="8"/>
  <c r="AX20" i="8"/>
  <c r="AX22" i="7"/>
  <c r="AX21" i="7"/>
  <c r="AX20" i="7"/>
  <c r="AX22" i="10"/>
  <c r="AX21" i="10"/>
  <c r="AX20" i="10"/>
  <c r="AX22" i="12"/>
  <c r="AX21" i="12"/>
  <c r="AX20" i="12"/>
  <c r="AH65" i="14"/>
  <c r="AX20" i="11"/>
  <c r="AX22" i="11"/>
  <c r="AX21" i="11"/>
  <c r="AX21" i="13"/>
  <c r="AX29" i="13" s="1"/>
  <c r="AX20" i="13"/>
  <c r="AX28" i="13" s="1"/>
  <c r="AX19" i="13"/>
  <c r="AX27" i="13" s="1"/>
  <c r="AW28" i="14"/>
  <c r="AW30" i="14"/>
  <c r="AW29" i="14"/>
  <c r="AH74" i="11"/>
  <c r="AH83" i="11"/>
  <c r="AH76" i="11"/>
  <c r="AH85" i="11"/>
  <c r="AH75" i="11"/>
  <c r="AH84" i="11"/>
  <c r="AX37" i="13"/>
  <c r="AW126" i="12"/>
  <c r="AG108" i="12"/>
  <c r="AW38" i="12"/>
  <c r="AX30" i="12"/>
  <c r="AH103" i="7"/>
  <c r="AH85" i="7"/>
  <c r="AX76" i="7"/>
  <c r="AI67" i="7"/>
  <c r="BC48" i="7"/>
  <c r="AI134" i="8"/>
  <c r="AX124" i="8"/>
  <c r="AH100" i="8"/>
  <c r="AH82" i="8"/>
  <c r="AX73" i="8"/>
  <c r="AI64" i="8"/>
  <c r="BC56" i="8"/>
  <c r="AJ128" i="10"/>
  <c r="AX118" i="10"/>
  <c r="AH94" i="10"/>
  <c r="AH76" i="10"/>
  <c r="AX67" i="10"/>
  <c r="AI58" i="10"/>
  <c r="AJ128" i="11"/>
  <c r="AH94" i="11"/>
  <c r="AX67" i="11"/>
  <c r="AI58" i="11"/>
  <c r="AI133" i="8"/>
  <c r="AI132" i="8"/>
  <c r="BD15" i="7"/>
  <c r="BD21" i="14"/>
  <c r="AG92" i="12"/>
  <c r="AH81" i="8"/>
  <c r="AH99" i="8"/>
  <c r="BC55" i="8"/>
  <c r="BC47" i="7"/>
  <c r="AX213" i="16"/>
  <c r="BE14" i="7"/>
  <c r="AH93" i="11"/>
  <c r="BE14" i="10"/>
  <c r="BD15" i="10"/>
  <c r="BE14" i="8"/>
  <c r="BD15" i="8"/>
  <c r="AH92" i="11"/>
  <c r="AH84" i="7"/>
  <c r="AH102" i="7"/>
  <c r="AH83" i="7"/>
  <c r="BE14" i="11"/>
  <c r="BD15" i="11"/>
  <c r="AH93" i="10"/>
  <c r="AH92" i="10"/>
  <c r="AX362" i="16"/>
  <c r="AY157" i="14"/>
  <c r="AY135" i="14"/>
  <c r="AW219" i="16"/>
  <c r="AX35" i="13"/>
  <c r="AX36" i="13"/>
  <c r="AX218" i="16"/>
  <c r="AI6" i="13"/>
  <c r="AI6" i="16"/>
  <c r="AY5" i="13"/>
  <c r="AY5" i="16"/>
  <c r="AJ3" i="13"/>
  <c r="AJ3" i="16"/>
  <c r="AI7" i="13"/>
  <c r="AI7" i="16"/>
  <c r="AY8" i="13"/>
  <c r="AY8" i="16"/>
  <c r="AI10" i="13"/>
  <c r="AI10" i="16"/>
  <c r="AW125" i="12"/>
  <c r="AW37" i="12"/>
  <c r="AW124" i="12"/>
  <c r="AX117" i="10"/>
  <c r="AX116" i="10"/>
  <c r="AX65" i="10"/>
  <c r="AX66" i="10"/>
  <c r="AY5" i="12"/>
  <c r="AY5" i="11"/>
  <c r="AY5" i="10"/>
  <c r="AY5" i="8"/>
  <c r="AI10" i="7"/>
  <c r="AI10" i="11"/>
  <c r="AI10" i="12"/>
  <c r="AI10" i="10"/>
  <c r="AI10" i="8"/>
  <c r="AI6" i="12"/>
  <c r="AI6" i="11"/>
  <c r="AI6" i="10"/>
  <c r="AI6" i="8"/>
  <c r="AI6" i="7"/>
  <c r="AH75" i="10"/>
  <c r="AH74" i="10"/>
  <c r="AX29" i="12"/>
  <c r="AX28" i="12"/>
  <c r="AX117" i="11"/>
  <c r="AX118" i="11"/>
  <c r="AX116" i="11"/>
  <c r="AX65" i="11"/>
  <c r="AX66" i="11"/>
  <c r="AI7" i="12"/>
  <c r="AI7" i="11"/>
  <c r="AI7" i="10"/>
  <c r="AI7" i="8"/>
  <c r="AI7" i="7"/>
  <c r="AI63" i="8"/>
  <c r="AI62" i="8"/>
  <c r="AC101" i="4"/>
  <c r="AJ3" i="12"/>
  <c r="AJ3" i="11"/>
  <c r="AJ3" i="10"/>
  <c r="AJ3" i="8"/>
  <c r="AY8" i="11"/>
  <c r="AY8" i="12"/>
  <c r="AY8" i="10"/>
  <c r="AY8" i="8"/>
  <c r="AI57" i="10"/>
  <c r="AI56" i="10"/>
  <c r="AJ126" i="10"/>
  <c r="AJ127" i="10"/>
  <c r="AH80" i="8"/>
  <c r="AI57" i="11"/>
  <c r="AI56" i="11"/>
  <c r="AJ127" i="11"/>
  <c r="AJ126" i="11"/>
  <c r="AX122" i="8"/>
  <c r="AX123" i="8"/>
  <c r="AX71" i="8"/>
  <c r="AX72" i="8"/>
  <c r="AW36" i="12"/>
  <c r="AX74" i="7"/>
  <c r="AX75" i="7"/>
  <c r="AI65" i="7"/>
  <c r="AI66" i="7"/>
  <c r="AS97" i="4"/>
  <c r="AZ12" i="14" s="1"/>
  <c r="AY5" i="7"/>
  <c r="AC96" i="4"/>
  <c r="AJ11" i="14" s="1"/>
  <c r="AJ3" i="7"/>
  <c r="AS100" i="4"/>
  <c r="AZ13" i="14" s="1"/>
  <c r="AY8" i="7"/>
  <c r="AH66" i="14" l="1"/>
  <c r="AY22" i="10"/>
  <c r="AY20" i="10"/>
  <c r="AY21" i="10"/>
  <c r="AY22" i="12"/>
  <c r="AY21" i="12"/>
  <c r="AY20" i="12"/>
  <c r="AY189" i="16"/>
  <c r="AY188" i="16"/>
  <c r="AY217" i="16" s="1"/>
  <c r="AY184" i="16"/>
  <c r="AY20" i="7"/>
  <c r="AY22" i="7"/>
  <c r="AY21" i="7"/>
  <c r="AY20" i="11"/>
  <c r="AY21" i="11"/>
  <c r="AY22" i="11"/>
  <c r="AY22" i="8"/>
  <c r="AY21" i="8"/>
  <c r="AY20" i="8"/>
  <c r="AX190" i="16"/>
  <c r="AY21" i="13"/>
  <c r="AY29" i="13" s="1"/>
  <c r="AY20" i="13"/>
  <c r="AY28" i="13" s="1"/>
  <c r="AY19" i="13"/>
  <c r="AY27" i="13" s="1"/>
  <c r="AH27" i="14"/>
  <c r="AX28" i="14"/>
  <c r="AX29" i="14"/>
  <c r="AX30" i="14"/>
  <c r="AI227" i="12"/>
  <c r="AY37" i="13"/>
  <c r="AX126" i="12"/>
  <c r="AI78" i="12"/>
  <c r="AX38" i="12"/>
  <c r="AY30" i="12"/>
  <c r="AY76" i="7"/>
  <c r="BD48" i="7"/>
  <c r="AI40" i="7"/>
  <c r="AI31" i="7"/>
  <c r="AI94" i="7" s="1"/>
  <c r="AY124" i="8"/>
  <c r="AY73" i="8"/>
  <c r="BD56" i="8"/>
  <c r="AI48" i="8"/>
  <c r="AI40" i="8"/>
  <c r="AI31" i="8"/>
  <c r="AI91" i="8" s="1"/>
  <c r="AY118" i="10"/>
  <c r="AY67" i="10"/>
  <c r="AI49" i="10"/>
  <c r="AI40" i="10"/>
  <c r="AI31" i="10"/>
  <c r="AI85" i="10" s="1"/>
  <c r="AY67" i="11"/>
  <c r="AI29" i="11"/>
  <c r="AI83" i="11" s="1"/>
  <c r="AI49" i="11"/>
  <c r="AI40" i="11"/>
  <c r="AI31" i="11"/>
  <c r="AI226" i="12"/>
  <c r="AI225" i="12"/>
  <c r="BE15" i="7"/>
  <c r="BE21" i="14"/>
  <c r="AI30" i="7"/>
  <c r="AI93" i="7" s="1"/>
  <c r="AH48" i="14"/>
  <c r="BD55" i="8"/>
  <c r="BD47" i="7"/>
  <c r="AH49" i="14"/>
  <c r="AI47" i="8"/>
  <c r="AI46" i="8"/>
  <c r="AY213" i="16"/>
  <c r="AI77" i="12"/>
  <c r="AI76" i="12"/>
  <c r="BF14" i="11"/>
  <c r="BE15" i="11"/>
  <c r="BF14" i="10"/>
  <c r="BE15" i="10"/>
  <c r="BF14" i="8"/>
  <c r="BE15" i="8"/>
  <c r="BF14" i="7"/>
  <c r="AY362" i="16"/>
  <c r="AI47" i="10"/>
  <c r="AI48" i="10"/>
  <c r="AZ157" i="14"/>
  <c r="AZ135" i="14"/>
  <c r="AX37" i="12"/>
  <c r="AI38" i="7"/>
  <c r="AY36" i="13"/>
  <c r="AI29" i="7"/>
  <c r="AI39" i="7"/>
  <c r="AY35" i="13"/>
  <c r="AX219" i="16"/>
  <c r="AY218" i="16"/>
  <c r="AJ9" i="13"/>
  <c r="AJ9" i="16"/>
  <c r="AJ4" i="13"/>
  <c r="AJ4" i="16"/>
  <c r="AZ5" i="13"/>
  <c r="AZ5" i="16"/>
  <c r="AZ8" i="13"/>
  <c r="AZ8" i="16"/>
  <c r="AZ427" i="16" s="1"/>
  <c r="AI30" i="11"/>
  <c r="AI39" i="11"/>
  <c r="AI47" i="11"/>
  <c r="AI48" i="11"/>
  <c r="AI38" i="11"/>
  <c r="AI29" i="10"/>
  <c r="AI83" i="10" s="1"/>
  <c r="AI38" i="10"/>
  <c r="AI30" i="10"/>
  <c r="AI84" i="10" s="1"/>
  <c r="AI39" i="10"/>
  <c r="AI29" i="8"/>
  <c r="AI30" i="8"/>
  <c r="AI90" i="8" s="1"/>
  <c r="AI38" i="8"/>
  <c r="AI39" i="8"/>
  <c r="AH44" i="12"/>
  <c r="AX125" i="12"/>
  <c r="AX124" i="12"/>
  <c r="AJ9" i="12"/>
  <c r="AJ9" i="11"/>
  <c r="AJ9" i="10"/>
  <c r="AJ9" i="8"/>
  <c r="AJ4" i="11"/>
  <c r="AJ4" i="12"/>
  <c r="AJ4" i="10"/>
  <c r="AJ4" i="8"/>
  <c r="AC99" i="4"/>
  <c r="AJ15" i="14" s="1"/>
  <c r="AC98" i="4"/>
  <c r="AJ14" i="14" s="1"/>
  <c r="AY122" i="8"/>
  <c r="AY123" i="8"/>
  <c r="AY71" i="8"/>
  <c r="AY72" i="8"/>
  <c r="AZ8" i="11"/>
  <c r="AZ8" i="12"/>
  <c r="AZ8" i="10"/>
  <c r="AZ8" i="8"/>
  <c r="AZ5" i="12"/>
  <c r="AZ5" i="11"/>
  <c r="AZ5" i="10"/>
  <c r="AZ5" i="8"/>
  <c r="AY117" i="10"/>
  <c r="AY116" i="10"/>
  <c r="AY65" i="10"/>
  <c r="AY66" i="10"/>
  <c r="AY117" i="11"/>
  <c r="AY118" i="11"/>
  <c r="AY116" i="11"/>
  <c r="AY65" i="11"/>
  <c r="AY66" i="11"/>
  <c r="AY28" i="12"/>
  <c r="AY29" i="12"/>
  <c r="AX36" i="12"/>
  <c r="AY74" i="7"/>
  <c r="AY75" i="7"/>
  <c r="AD95" i="4"/>
  <c r="AK10" i="14" s="1"/>
  <c r="AJ4" i="7"/>
  <c r="AJ9" i="7"/>
  <c r="AC102" i="4"/>
  <c r="AT100" i="4"/>
  <c r="BA13" i="14" s="1"/>
  <c r="AZ8" i="7"/>
  <c r="AT97" i="4"/>
  <c r="BA12" i="14" s="1"/>
  <c r="AZ5" i="7"/>
  <c r="AY190" i="16" l="1"/>
  <c r="AZ22" i="8"/>
  <c r="AZ21" i="8"/>
  <c r="AZ20" i="8"/>
  <c r="AI65" i="14"/>
  <c r="AZ188" i="16"/>
  <c r="AZ184" i="16"/>
  <c r="AZ189" i="16"/>
  <c r="AZ20" i="12"/>
  <c r="AZ22" i="12"/>
  <c r="AZ21" i="12"/>
  <c r="AZ22" i="10"/>
  <c r="AZ21" i="10"/>
  <c r="AZ20" i="10"/>
  <c r="AZ20" i="7"/>
  <c r="AZ21" i="7"/>
  <c r="AZ22" i="7"/>
  <c r="AZ20" i="11"/>
  <c r="AZ21" i="11"/>
  <c r="AZ22" i="11"/>
  <c r="AZ21" i="13"/>
  <c r="AZ29" i="13" s="1"/>
  <c r="AZ20" i="13"/>
  <c r="AZ28" i="13" s="1"/>
  <c r="AZ19" i="13"/>
  <c r="AZ27" i="13" s="1"/>
  <c r="AI76" i="11"/>
  <c r="AI85" i="11"/>
  <c r="AI66" i="14" s="1"/>
  <c r="AY28" i="14"/>
  <c r="AY30" i="14"/>
  <c r="AY29" i="14"/>
  <c r="AI75" i="11"/>
  <c r="AI84" i="11"/>
  <c r="AI74" i="11"/>
  <c r="AI84" i="7"/>
  <c r="AZ37" i="13"/>
  <c r="AY126" i="12"/>
  <c r="AY38" i="12"/>
  <c r="AZ30" i="12"/>
  <c r="C37" i="39"/>
  <c r="AP83" i="14"/>
  <c r="AB18" i="22"/>
  <c r="Z18" i="22"/>
  <c r="AF67" i="14"/>
  <c r="AI103" i="7"/>
  <c r="AI85" i="7"/>
  <c r="AZ76" i="7"/>
  <c r="AJ67" i="7"/>
  <c r="BE48" i="7"/>
  <c r="AJ134" i="8"/>
  <c r="AZ124" i="8"/>
  <c r="AI100" i="8"/>
  <c r="AI82" i="8"/>
  <c r="AZ73" i="8"/>
  <c r="AJ64" i="8"/>
  <c r="BE56" i="8"/>
  <c r="AK128" i="10"/>
  <c r="AZ118" i="10"/>
  <c r="AI94" i="10"/>
  <c r="AI76" i="10"/>
  <c r="AZ67" i="10"/>
  <c r="AJ58" i="10"/>
  <c r="AK128" i="11"/>
  <c r="AI94" i="11"/>
  <c r="AI92" i="11"/>
  <c r="AZ67" i="11"/>
  <c r="AJ58" i="11"/>
  <c r="AJ133" i="8"/>
  <c r="AJ132" i="8"/>
  <c r="AI102" i="7"/>
  <c r="BF15" i="7"/>
  <c r="BF21" i="14"/>
  <c r="AI83" i="7"/>
  <c r="AI67" i="14"/>
  <c r="BE47" i="7"/>
  <c r="BE55" i="8"/>
  <c r="AZ213" i="16"/>
  <c r="BG14" i="10"/>
  <c r="BG15" i="10" s="1"/>
  <c r="BF15" i="10"/>
  <c r="BG14" i="11"/>
  <c r="BG15" i="11" s="1"/>
  <c r="BF15" i="11"/>
  <c r="AI99" i="8"/>
  <c r="BG14" i="7"/>
  <c r="BG14" i="8"/>
  <c r="BG15" i="8" s="1"/>
  <c r="BF15" i="8"/>
  <c r="AI93" i="11"/>
  <c r="AI93" i="10"/>
  <c r="AI74" i="10"/>
  <c r="AI92" i="10"/>
  <c r="AZ362" i="16"/>
  <c r="AI81" i="8"/>
  <c r="AZ35" i="13"/>
  <c r="AI75" i="10"/>
  <c r="BA135" i="14"/>
  <c r="BA157" i="14"/>
  <c r="AI80" i="8"/>
  <c r="AY219" i="16"/>
  <c r="AZ218" i="16"/>
  <c r="AZ36" i="13"/>
  <c r="AJ7" i="13"/>
  <c r="AJ7" i="16"/>
  <c r="BA8" i="13"/>
  <c r="BA8" i="16"/>
  <c r="AK3" i="13"/>
  <c r="AK3" i="16"/>
  <c r="AJ10" i="13"/>
  <c r="AJ10" i="16"/>
  <c r="BA5" i="13"/>
  <c r="BA5" i="16"/>
  <c r="AZ217" i="16"/>
  <c r="AJ6" i="13"/>
  <c r="AJ6" i="16"/>
  <c r="AH108" i="12"/>
  <c r="AH92" i="12"/>
  <c r="AY37" i="12"/>
  <c r="AY125" i="12"/>
  <c r="AY124" i="12"/>
  <c r="AJ56" i="11"/>
  <c r="AJ57" i="11"/>
  <c r="AK126" i="11"/>
  <c r="AK127" i="11"/>
  <c r="AZ117" i="11"/>
  <c r="AZ118" i="11"/>
  <c r="AZ116" i="11"/>
  <c r="AZ65" i="11"/>
  <c r="AZ66" i="11"/>
  <c r="BA8" i="12"/>
  <c r="BA8" i="11"/>
  <c r="BA8" i="10"/>
  <c r="BA8" i="8"/>
  <c r="AK3" i="11"/>
  <c r="AD101" i="4"/>
  <c r="AK3" i="12"/>
  <c r="AK3" i="10"/>
  <c r="AK3" i="8"/>
  <c r="AZ28" i="12"/>
  <c r="AZ29" i="12"/>
  <c r="AJ6" i="12"/>
  <c r="AJ6" i="11"/>
  <c r="AJ6" i="10"/>
  <c r="AJ6" i="8"/>
  <c r="AJ6" i="7"/>
  <c r="AJ7" i="11"/>
  <c r="AJ7" i="12"/>
  <c r="AJ7" i="10"/>
  <c r="AJ7" i="8"/>
  <c r="AJ7" i="7"/>
  <c r="AJ62" i="8"/>
  <c r="AJ63" i="8"/>
  <c r="AJ10" i="7"/>
  <c r="AJ10" i="11"/>
  <c r="AJ10" i="12"/>
  <c r="AJ10" i="10"/>
  <c r="AJ10" i="8"/>
  <c r="AZ122" i="8"/>
  <c r="AZ123" i="8"/>
  <c r="AZ72" i="8"/>
  <c r="AZ71" i="8"/>
  <c r="AJ56" i="10"/>
  <c r="AJ57" i="10"/>
  <c r="AK126" i="10"/>
  <c r="AK127" i="10"/>
  <c r="BA5" i="12"/>
  <c r="BA5" i="11"/>
  <c r="BA5" i="10"/>
  <c r="BA5" i="8"/>
  <c r="AZ117" i="10"/>
  <c r="AZ116" i="10"/>
  <c r="AZ65" i="10"/>
  <c r="AZ66" i="10"/>
  <c r="AY36" i="12"/>
  <c r="AZ74" i="7"/>
  <c r="AZ75" i="7"/>
  <c r="AJ65" i="7"/>
  <c r="AJ66" i="7"/>
  <c r="AU97" i="4"/>
  <c r="BB12" i="14" s="1"/>
  <c r="BA5" i="7"/>
  <c r="AU100" i="4"/>
  <c r="BB13" i="14" s="1"/>
  <c r="BA8" i="7"/>
  <c r="AD96" i="4"/>
  <c r="AK11" i="14" s="1"/>
  <c r="AK3" i="7"/>
  <c r="AZ190" i="16" l="1"/>
  <c r="BA22" i="10"/>
  <c r="BA21" i="10"/>
  <c r="BA20" i="10"/>
  <c r="BA21" i="7"/>
  <c r="BA22" i="7"/>
  <c r="BA20" i="7"/>
  <c r="BA22" i="8"/>
  <c r="BA21" i="8"/>
  <c r="BA20" i="8"/>
  <c r="BA189" i="16"/>
  <c r="BA188" i="16"/>
  <c r="BA184" i="16"/>
  <c r="BA20" i="11"/>
  <c r="BA21" i="11"/>
  <c r="BA22" i="11"/>
  <c r="BA21" i="12"/>
  <c r="BA20" i="12"/>
  <c r="BA22" i="12"/>
  <c r="BA21" i="13"/>
  <c r="BA29" i="13" s="1"/>
  <c r="BA20" i="13"/>
  <c r="BA28" i="13" s="1"/>
  <c r="BA19" i="13"/>
  <c r="BA27" i="13" s="1"/>
  <c r="AI27" i="14"/>
  <c r="AZ29" i="14"/>
  <c r="AZ28" i="14"/>
  <c r="AZ30" i="14"/>
  <c r="AJ227" i="12"/>
  <c r="Z48" i="28"/>
  <c r="Z49" i="28"/>
  <c r="Z53" i="28"/>
  <c r="Z54" i="28"/>
  <c r="Z55" i="28"/>
  <c r="Z51" i="28"/>
  <c r="Z52" i="28"/>
  <c r="Z50" i="28"/>
  <c r="Z47" i="28"/>
  <c r="Z57" i="28"/>
  <c r="Z56" i="28"/>
  <c r="BA37" i="13"/>
  <c r="AZ126" i="12"/>
  <c r="AJ78" i="12"/>
  <c r="AX83" i="14"/>
  <c r="AV83" i="14"/>
  <c r="AZ38" i="12"/>
  <c r="BA30" i="12"/>
  <c r="AG67" i="14"/>
  <c r="U83" i="14"/>
  <c r="T83" i="14"/>
  <c r="V83" i="14"/>
  <c r="W83" i="14"/>
  <c r="X83" i="14"/>
  <c r="Y83" i="14"/>
  <c r="AB83" i="14"/>
  <c r="Z83" i="14"/>
  <c r="AA83" i="14"/>
  <c r="AG83" i="14"/>
  <c r="AD83" i="14"/>
  <c r="AC83" i="14"/>
  <c r="AE83" i="14"/>
  <c r="AF83" i="14"/>
  <c r="AI83" i="14"/>
  <c r="AH83" i="14"/>
  <c r="AJ83" i="14"/>
  <c r="AK83" i="14"/>
  <c r="AL83" i="14"/>
  <c r="AM83" i="14"/>
  <c r="AN83" i="14"/>
  <c r="AW83" i="14"/>
  <c r="AT83" i="14"/>
  <c r="AH67" i="14"/>
  <c r="AR83" i="14"/>
  <c r="T45" i="12"/>
  <c r="U45" i="12"/>
  <c r="V45" i="12"/>
  <c r="W45" i="12"/>
  <c r="X45" i="12"/>
  <c r="Y45" i="12"/>
  <c r="Z45" i="12"/>
  <c r="AA45" i="12"/>
  <c r="AB45" i="12"/>
  <c r="AC45" i="12"/>
  <c r="AD45" i="12"/>
  <c r="AE45" i="12"/>
  <c r="AF45" i="12"/>
  <c r="AG45" i="12"/>
  <c r="AH45" i="12"/>
  <c r="AI45" i="12"/>
  <c r="Q24" i="39"/>
  <c r="P25" i="39" s="1"/>
  <c r="U24" i="39"/>
  <c r="T25" i="39" s="1"/>
  <c r="Z22" i="22"/>
  <c r="AA18" i="22"/>
  <c r="AC18" i="22" s="1"/>
  <c r="AO18" i="22"/>
  <c r="AN18" i="22"/>
  <c r="T46" i="12"/>
  <c r="U46" i="12"/>
  <c r="V46" i="12"/>
  <c r="W46" i="12"/>
  <c r="X46" i="12"/>
  <c r="Y46" i="12"/>
  <c r="Z46" i="12"/>
  <c r="AA46" i="12"/>
  <c r="AB46" i="12"/>
  <c r="AC46" i="12"/>
  <c r="AD46" i="12"/>
  <c r="AE46" i="12"/>
  <c r="AF46" i="12"/>
  <c r="AG46" i="12"/>
  <c r="AH46" i="12"/>
  <c r="AI46" i="12"/>
  <c r="T67" i="14"/>
  <c r="V67" i="14"/>
  <c r="U67" i="14"/>
  <c r="W67" i="14"/>
  <c r="X67" i="14"/>
  <c r="Y67" i="14"/>
  <c r="Z67" i="14"/>
  <c r="AB67" i="14"/>
  <c r="AA67" i="14"/>
  <c r="AD67" i="14"/>
  <c r="AC67" i="14"/>
  <c r="AE67" i="14"/>
  <c r="BJ18" i="22"/>
  <c r="BH18" i="22"/>
  <c r="BD18" i="22"/>
  <c r="BP18" i="22"/>
  <c r="BE18" i="22"/>
  <c r="BO18" i="22"/>
  <c r="AQ83" i="14"/>
  <c r="AO83" i="14"/>
  <c r="AS83" i="14"/>
  <c r="AB22" i="22"/>
  <c r="Y103" i="14"/>
  <c r="AP103" i="14"/>
  <c r="AT103" i="14"/>
  <c r="AM103" i="14"/>
  <c r="AR103" i="14"/>
  <c r="T103" i="14"/>
  <c r="AI103" i="14"/>
  <c r="W103" i="14"/>
  <c r="AZ103" i="14"/>
  <c r="AB103" i="14"/>
  <c r="BD103" i="14"/>
  <c r="AW103" i="14"/>
  <c r="BF103" i="14"/>
  <c r="AX103" i="14"/>
  <c r="AS103" i="14"/>
  <c r="AO103" i="14"/>
  <c r="BE103" i="14"/>
  <c r="Z103" i="14"/>
  <c r="AV103" i="14"/>
  <c r="V103" i="14"/>
  <c r="X103" i="14"/>
  <c r="AN103" i="14"/>
  <c r="AE103" i="14"/>
  <c r="AH103" i="14"/>
  <c r="AD103" i="14"/>
  <c r="AL103" i="14"/>
  <c r="AK103" i="14"/>
  <c r="BC103" i="14"/>
  <c r="AQ103" i="14"/>
  <c r="AY103" i="14"/>
  <c r="AU103" i="14"/>
  <c r="AA103" i="14"/>
  <c r="BB103" i="14"/>
  <c r="BA103" i="14"/>
  <c r="AF103" i="14"/>
  <c r="BG103" i="14"/>
  <c r="AJ103" i="14"/>
  <c r="U103" i="14"/>
  <c r="AC103" i="14"/>
  <c r="AG103" i="14"/>
  <c r="AU83" i="14"/>
  <c r="BA76" i="7"/>
  <c r="BF48" i="7"/>
  <c r="AJ40" i="7"/>
  <c r="AJ38" i="7"/>
  <c r="AJ31" i="7"/>
  <c r="AJ94" i="7" s="1"/>
  <c r="BA124" i="8"/>
  <c r="BA73" i="8"/>
  <c r="BF56" i="8"/>
  <c r="BG56" i="8"/>
  <c r="AJ48" i="8"/>
  <c r="AJ40" i="8"/>
  <c r="AJ31" i="8"/>
  <c r="AJ91" i="8" s="1"/>
  <c r="AJ226" i="12"/>
  <c r="BA118" i="10"/>
  <c r="BA67" i="10"/>
  <c r="AJ49" i="10"/>
  <c r="AJ40" i="10"/>
  <c r="AJ31" i="10"/>
  <c r="AJ85" i="10" s="1"/>
  <c r="BA67" i="11"/>
  <c r="AJ29" i="11"/>
  <c r="AJ83" i="11" s="1"/>
  <c r="AJ49" i="11"/>
  <c r="AJ40" i="11"/>
  <c r="AJ31" i="11"/>
  <c r="BG15" i="7"/>
  <c r="BG21" i="14"/>
  <c r="AJ225" i="12"/>
  <c r="AI49" i="14"/>
  <c r="AI48" i="14"/>
  <c r="BF55" i="8"/>
  <c r="BG55" i="8"/>
  <c r="BF47" i="7"/>
  <c r="AJ29" i="8"/>
  <c r="AJ47" i="8"/>
  <c r="AJ46" i="8"/>
  <c r="BA213" i="16"/>
  <c r="AJ76" i="12"/>
  <c r="AJ77" i="12"/>
  <c r="BA36" i="13"/>
  <c r="BA362" i="16"/>
  <c r="AJ48" i="10"/>
  <c r="AY83" i="14"/>
  <c r="BB135" i="14"/>
  <c r="BB157" i="14"/>
  <c r="AZ219" i="16"/>
  <c r="BA35" i="13"/>
  <c r="BA218" i="16"/>
  <c r="AI44" i="12"/>
  <c r="AK4" i="13"/>
  <c r="AK4" i="16"/>
  <c r="BB5" i="13"/>
  <c r="BB5" i="16"/>
  <c r="AK9" i="13"/>
  <c r="AK9" i="16"/>
  <c r="BB8" i="13"/>
  <c r="BB8" i="16"/>
  <c r="BA217" i="16"/>
  <c r="AJ30" i="7"/>
  <c r="AJ93" i="7" s="1"/>
  <c r="AJ29" i="7"/>
  <c r="AJ39" i="7"/>
  <c r="AJ29" i="10"/>
  <c r="AJ83" i="10" s="1"/>
  <c r="AZ37" i="12"/>
  <c r="AJ47" i="10"/>
  <c r="AJ39" i="10"/>
  <c r="AJ30" i="10"/>
  <c r="AJ84" i="10" s="1"/>
  <c r="AJ38" i="10"/>
  <c r="AJ39" i="8"/>
  <c r="AJ30" i="8"/>
  <c r="AJ90" i="8" s="1"/>
  <c r="AJ38" i="8"/>
  <c r="AZ124" i="12"/>
  <c r="AZ125" i="12"/>
  <c r="AJ38" i="11"/>
  <c r="AJ30" i="11"/>
  <c r="AK4" i="12"/>
  <c r="AK4" i="11"/>
  <c r="AK4" i="10"/>
  <c r="AK4" i="8"/>
  <c r="AD99" i="4"/>
  <c r="AK15" i="14" s="1"/>
  <c r="AD98" i="4"/>
  <c r="AK14" i="14" s="1"/>
  <c r="BA122" i="8"/>
  <c r="BA123" i="8"/>
  <c r="BA71" i="8"/>
  <c r="BA72" i="8"/>
  <c r="BB5" i="12"/>
  <c r="BB5" i="11"/>
  <c r="BB5" i="10"/>
  <c r="BB5" i="8"/>
  <c r="BA117" i="10"/>
  <c r="BA116" i="10"/>
  <c r="BA65" i="10"/>
  <c r="BA66" i="10"/>
  <c r="AJ48" i="11"/>
  <c r="BA117" i="11"/>
  <c r="BA118" i="11"/>
  <c r="BA116" i="11"/>
  <c r="BA65" i="11"/>
  <c r="BA66" i="11"/>
  <c r="BB8" i="12"/>
  <c r="BB8" i="11"/>
  <c r="BB8" i="10"/>
  <c r="BB8" i="8"/>
  <c r="BA28" i="12"/>
  <c r="BA29" i="12"/>
  <c r="AJ39" i="11"/>
  <c r="AJ47" i="11"/>
  <c r="AK9" i="12"/>
  <c r="AK9" i="11"/>
  <c r="AK9" i="10"/>
  <c r="AK9" i="8"/>
  <c r="AZ36" i="12"/>
  <c r="BA74" i="7"/>
  <c r="BA75" i="7"/>
  <c r="AV100" i="4"/>
  <c r="BC13" i="14" s="1"/>
  <c r="BB8" i="7"/>
  <c r="AE95" i="4"/>
  <c r="AL10" i="14" s="1"/>
  <c r="AK4" i="7"/>
  <c r="AD102" i="4"/>
  <c r="AK9" i="7"/>
  <c r="AV97" i="4"/>
  <c r="BC12" i="14" s="1"/>
  <c r="BB5" i="7"/>
  <c r="BB22" i="8" l="1"/>
  <c r="BB21" i="8"/>
  <c r="BB20" i="8"/>
  <c r="BB20" i="11"/>
  <c r="BB21" i="11"/>
  <c r="BB22" i="11"/>
  <c r="AJ65" i="14"/>
  <c r="BB22" i="12"/>
  <c r="BB21" i="12"/>
  <c r="BB20" i="12"/>
  <c r="BB189" i="16"/>
  <c r="BB188" i="16"/>
  <c r="BB190" i="16" s="1"/>
  <c r="BB184" i="16"/>
  <c r="BA190" i="16"/>
  <c r="BB22" i="7"/>
  <c r="BB21" i="7"/>
  <c r="BB20" i="7"/>
  <c r="BB22" i="10"/>
  <c r="BB21" i="10"/>
  <c r="BB20" i="10"/>
  <c r="BB21" i="13"/>
  <c r="BB29" i="13" s="1"/>
  <c r="BB19" i="13"/>
  <c r="BB27" i="13" s="1"/>
  <c r="BB20" i="13"/>
  <c r="BB28" i="13" s="1"/>
  <c r="AJ75" i="11"/>
  <c r="AJ84" i="11"/>
  <c r="AJ76" i="11"/>
  <c r="AJ85" i="11"/>
  <c r="AJ66" i="14" s="1"/>
  <c r="BA28" i="14"/>
  <c r="BA30" i="14"/>
  <c r="BA29" i="14"/>
  <c r="V31" i="28"/>
  <c r="C75" i="28"/>
  <c r="C74" i="28"/>
  <c r="C73" i="28"/>
  <c r="AA53" i="28"/>
  <c r="AD53" i="28" s="1"/>
  <c r="AA57" i="28"/>
  <c r="AD57" i="28" s="1"/>
  <c r="AE51" i="28"/>
  <c r="AA54" i="28"/>
  <c r="AD54" i="28" s="1"/>
  <c r="AA47" i="28"/>
  <c r="AE57" i="28"/>
  <c r="AE48" i="28"/>
  <c r="AH52" i="28"/>
  <c r="AE55" i="28"/>
  <c r="AA50" i="28"/>
  <c r="AD50" i="28" s="1"/>
  <c r="AE52" i="28"/>
  <c r="AA56" i="28"/>
  <c r="AD56" i="28" s="1"/>
  <c r="AH49" i="28"/>
  <c r="AH56" i="28"/>
  <c r="AA55" i="28"/>
  <c r="AD55" i="28" s="1"/>
  <c r="AE50" i="28"/>
  <c r="AA52" i="28"/>
  <c r="AD52" i="28" s="1"/>
  <c r="AH53" i="28"/>
  <c r="AA51" i="28"/>
  <c r="AD51" i="28" s="1"/>
  <c r="AE54" i="28"/>
  <c r="AG54" i="28" s="1"/>
  <c r="AE47" i="28"/>
  <c r="AH55" i="28"/>
  <c r="AH48" i="28"/>
  <c r="AH50" i="28"/>
  <c r="AH57" i="28"/>
  <c r="AE56" i="28"/>
  <c r="AH51" i="28"/>
  <c r="AE49" i="28"/>
  <c r="AA48" i="28"/>
  <c r="AE53" i="28"/>
  <c r="AH54" i="28"/>
  <c r="AA49" i="28"/>
  <c r="AH47" i="28"/>
  <c r="V33" i="28"/>
  <c r="AJ74" i="11"/>
  <c r="AI109" i="12"/>
  <c r="AI93" i="12"/>
  <c r="AI110" i="12"/>
  <c r="AI94" i="12"/>
  <c r="J26" i="38"/>
  <c r="X26" i="38" s="1"/>
  <c r="AD110" i="12"/>
  <c r="AD94" i="12"/>
  <c r="V110" i="12"/>
  <c r="V94" i="12"/>
  <c r="AA109" i="12"/>
  <c r="CB19" i="22"/>
  <c r="CC19" i="22" s="1"/>
  <c r="AA93" i="12"/>
  <c r="J25" i="38"/>
  <c r="X25" i="38" s="1"/>
  <c r="AC110" i="12"/>
  <c r="AC94" i="12"/>
  <c r="U110" i="12"/>
  <c r="U94" i="12"/>
  <c r="AH109" i="12"/>
  <c r="AH93" i="12"/>
  <c r="Z109" i="12"/>
  <c r="Z93" i="12"/>
  <c r="J29" i="38"/>
  <c r="X29" i="38" s="1"/>
  <c r="J23" i="38"/>
  <c r="X23" i="38" s="1"/>
  <c r="AB110" i="12"/>
  <c r="AB94" i="12"/>
  <c r="BE20" i="22"/>
  <c r="T110" i="12"/>
  <c r="T94" i="12"/>
  <c r="AG109" i="12"/>
  <c r="AG93" i="12"/>
  <c r="Y109" i="12"/>
  <c r="Y93" i="12"/>
  <c r="J28" i="38"/>
  <c r="X28" i="38" s="1"/>
  <c r="AA110" i="12"/>
  <c r="CB20" i="22"/>
  <c r="CC20" i="22" s="1"/>
  <c r="AA94" i="12"/>
  <c r="AF109" i="12"/>
  <c r="AF93" i="12"/>
  <c r="X109" i="12"/>
  <c r="X93" i="12"/>
  <c r="J21" i="38"/>
  <c r="X21" i="38" s="1"/>
  <c r="AH110" i="12"/>
  <c r="AH94" i="12"/>
  <c r="Z110" i="12"/>
  <c r="Z94" i="12"/>
  <c r="AE109" i="12"/>
  <c r="AE93" i="12"/>
  <c r="W109" i="12"/>
  <c r="W93" i="12"/>
  <c r="AG110" i="12"/>
  <c r="AG94" i="12"/>
  <c r="Y110" i="12"/>
  <c r="Y94" i="12"/>
  <c r="AD109" i="12"/>
  <c r="AD93" i="12"/>
  <c r="V109" i="12"/>
  <c r="V93" i="12"/>
  <c r="J24" i="38"/>
  <c r="X24" i="38" s="1"/>
  <c r="AF110" i="12"/>
  <c r="AF94" i="12"/>
  <c r="X110" i="12"/>
  <c r="X94" i="12"/>
  <c r="AC109" i="12"/>
  <c r="AC93" i="12"/>
  <c r="U109" i="12"/>
  <c r="U93" i="12"/>
  <c r="J22" i="38"/>
  <c r="X22" i="38" s="1"/>
  <c r="AE110" i="12"/>
  <c r="AE94" i="12"/>
  <c r="W110" i="12"/>
  <c r="W94" i="12"/>
  <c r="AB109" i="12"/>
  <c r="AB93" i="12"/>
  <c r="BE19" i="22"/>
  <c r="T109" i="12"/>
  <c r="BO19" i="22" s="1"/>
  <c r="T93" i="12"/>
  <c r="BP19" i="22" s="1"/>
  <c r="BB37" i="13"/>
  <c r="BA126" i="12"/>
  <c r="AI108" i="12"/>
  <c r="BA38" i="12"/>
  <c r="BB30" i="12"/>
  <c r="BI103" i="14"/>
  <c r="BF18" i="22"/>
  <c r="AD18" i="22"/>
  <c r="AF18" i="22"/>
  <c r="AE18" i="22"/>
  <c r="AL18" i="22"/>
  <c r="AS286" i="12"/>
  <c r="AX283" i="12"/>
  <c r="BH22" i="22"/>
  <c r="AG399" i="12"/>
  <c r="AU286" i="12"/>
  <c r="AW286" i="12"/>
  <c r="Z46" i="28"/>
  <c r="AY283" i="12"/>
  <c r="O33" i="28"/>
  <c r="R33" i="28" s="1"/>
  <c r="N32" i="28"/>
  <c r="S42" i="28"/>
  <c r="N35" i="28"/>
  <c r="S33" i="28"/>
  <c r="N34" i="28"/>
  <c r="O32" i="28"/>
  <c r="R32" i="28" s="1"/>
  <c r="N42" i="28"/>
  <c r="N41" i="28"/>
  <c r="N36" i="28"/>
  <c r="N38" i="28"/>
  <c r="S30" i="28"/>
  <c r="N28" i="28"/>
  <c r="N39" i="28"/>
  <c r="S32" i="28"/>
  <c r="N43" i="28"/>
  <c r="V32" i="28"/>
  <c r="N31" i="28"/>
  <c r="N30" i="28"/>
  <c r="N40" i="28"/>
  <c r="N29" i="28"/>
  <c r="O30" i="28"/>
  <c r="R30" i="28" s="1"/>
  <c r="N37" i="28"/>
  <c r="N33" i="28"/>
  <c r="O42" i="28"/>
  <c r="R42" i="28" s="1"/>
  <c r="V30" i="28"/>
  <c r="V42" i="28"/>
  <c r="S35" i="28"/>
  <c r="O35" i="28"/>
  <c r="R35" i="28" s="1"/>
  <c r="S38" i="28"/>
  <c r="O38" i="28"/>
  <c r="R38" i="28" s="1"/>
  <c r="V35" i="28"/>
  <c r="S41" i="28"/>
  <c r="O41" i="28"/>
  <c r="AV286" i="12"/>
  <c r="BJ22" i="22"/>
  <c r="CH22" i="22"/>
  <c r="AW368" i="12"/>
  <c r="AW114" i="16" s="1"/>
  <c r="AW376" i="16" s="1"/>
  <c r="AW283" i="12"/>
  <c r="AX286" i="12"/>
  <c r="AV283" i="12"/>
  <c r="AR286" i="12"/>
  <c r="AU283" i="12"/>
  <c r="T286" i="12"/>
  <c r="V286" i="12"/>
  <c r="U286" i="12"/>
  <c r="W286" i="12"/>
  <c r="X286" i="12"/>
  <c r="AA286" i="12"/>
  <c r="Y286" i="12"/>
  <c r="AC286" i="12"/>
  <c r="Z286" i="12"/>
  <c r="AB286" i="12"/>
  <c r="AD286" i="12"/>
  <c r="AF286" i="12"/>
  <c r="AE286" i="12"/>
  <c r="AG286" i="12"/>
  <c r="AH286" i="12"/>
  <c r="AJ286" i="12"/>
  <c r="AI286" i="12"/>
  <c r="AL286" i="12"/>
  <c r="AM286" i="12"/>
  <c r="AK286" i="12"/>
  <c r="AN286" i="12"/>
  <c r="AO286" i="12"/>
  <c r="AQ286" i="12"/>
  <c r="AP286" i="12"/>
  <c r="AY286" i="12"/>
  <c r="AT286" i="12"/>
  <c r="AX368" i="12"/>
  <c r="AX114" i="16" s="1"/>
  <c r="AX376" i="16" s="1"/>
  <c r="AJ103" i="7"/>
  <c r="AJ85" i="7"/>
  <c r="BB76" i="7"/>
  <c r="AK67" i="7"/>
  <c r="BG48" i="7"/>
  <c r="AK134" i="8"/>
  <c r="BB124" i="8"/>
  <c r="AJ100" i="8"/>
  <c r="AJ82" i="8"/>
  <c r="BB73" i="8"/>
  <c r="AK64" i="8"/>
  <c r="AL128" i="10"/>
  <c r="BB118" i="10"/>
  <c r="AJ94" i="10"/>
  <c r="AJ76" i="10"/>
  <c r="BB67" i="10"/>
  <c r="AK58" i="10"/>
  <c r="AL128" i="11"/>
  <c r="AJ94" i="11"/>
  <c r="AJ92" i="11"/>
  <c r="BB67" i="11"/>
  <c r="AK58" i="11"/>
  <c r="V41" i="28"/>
  <c r="Q41" i="28"/>
  <c r="BG47" i="7"/>
  <c r="AK132" i="8"/>
  <c r="AK133" i="8"/>
  <c r="AJ80" i="8"/>
  <c r="AJ84" i="7"/>
  <c r="AJ67" i="14"/>
  <c r="BB213" i="16"/>
  <c r="AJ93" i="11"/>
  <c r="AJ102" i="7"/>
  <c r="AJ99" i="8"/>
  <c r="AJ75" i="10"/>
  <c r="AJ93" i="10"/>
  <c r="AJ92" i="10"/>
  <c r="BB35" i="13"/>
  <c r="AJ358" i="12"/>
  <c r="AJ105" i="16" s="1"/>
  <c r="AJ399" i="12"/>
  <c r="BB36" i="13"/>
  <c r="AI92" i="12"/>
  <c r="AJ74" i="10"/>
  <c r="BB362" i="16"/>
  <c r="BC157" i="14"/>
  <c r="BC135" i="14"/>
  <c r="AZ83" i="14"/>
  <c r="AJ81" i="8"/>
  <c r="BA219" i="16"/>
  <c r="BB218" i="16"/>
  <c r="BC8" i="13"/>
  <c r="BC8" i="16"/>
  <c r="AJ83" i="7"/>
  <c r="AK10" i="13"/>
  <c r="AK10" i="16"/>
  <c r="AL3" i="13"/>
  <c r="AL3" i="16"/>
  <c r="BC5" i="13"/>
  <c r="BC5" i="16"/>
  <c r="BB217" i="16"/>
  <c r="AK6" i="13"/>
  <c r="AK6" i="16"/>
  <c r="AK7" i="13"/>
  <c r="AK7" i="16"/>
  <c r="BA37" i="12"/>
  <c r="BA286" i="12"/>
  <c r="BA283" i="12"/>
  <c r="BA36" i="12"/>
  <c r="BA125" i="12"/>
  <c r="BA124" i="12"/>
  <c r="BC5" i="12"/>
  <c r="BC5" i="11"/>
  <c r="BC5" i="10"/>
  <c r="BC5" i="8"/>
  <c r="AK6" i="12"/>
  <c r="AK6" i="11"/>
  <c r="AK6" i="10"/>
  <c r="AK6" i="8"/>
  <c r="AK6" i="7"/>
  <c r="AK7" i="11"/>
  <c r="AK7" i="12"/>
  <c r="AK7" i="10"/>
  <c r="AK7" i="8"/>
  <c r="AK7" i="7"/>
  <c r="AK10" i="7"/>
  <c r="AK10" i="11"/>
  <c r="AK10" i="12"/>
  <c r="AK10" i="10"/>
  <c r="AK10" i="8"/>
  <c r="BC8" i="12"/>
  <c r="BC8" i="11"/>
  <c r="BC8" i="10"/>
  <c r="BC8" i="8"/>
  <c r="BB122" i="8"/>
  <c r="BB123" i="8"/>
  <c r="BB71" i="8"/>
  <c r="BB72" i="8"/>
  <c r="AK63" i="8"/>
  <c r="AK62" i="8"/>
  <c r="AE101" i="4"/>
  <c r="AL3" i="12"/>
  <c r="AL3" i="11"/>
  <c r="AL3" i="10"/>
  <c r="AL3" i="8"/>
  <c r="BB117" i="10"/>
  <c r="BB116" i="10"/>
  <c r="BB65" i="10"/>
  <c r="BB66" i="10"/>
  <c r="AK57" i="10"/>
  <c r="AK56" i="10"/>
  <c r="AL127" i="10"/>
  <c r="AL126" i="10"/>
  <c r="BB118" i="11"/>
  <c r="BB117" i="11"/>
  <c r="BB116" i="11"/>
  <c r="BB65" i="11"/>
  <c r="BB66" i="11"/>
  <c r="AK57" i="11"/>
  <c r="AK56" i="11"/>
  <c r="AL126" i="11"/>
  <c r="AL127" i="11"/>
  <c r="BB29" i="12"/>
  <c r="BB28" i="12"/>
  <c r="BB74" i="7"/>
  <c r="BB75" i="7"/>
  <c r="AK65" i="7"/>
  <c r="AK66" i="7"/>
  <c r="AE96" i="4"/>
  <c r="AL11" i="14" s="1"/>
  <c r="AL3" i="7"/>
  <c r="AW97" i="4"/>
  <c r="BD12" i="14" s="1"/>
  <c r="BC5" i="7"/>
  <c r="AW100" i="4"/>
  <c r="BD13" i="14" s="1"/>
  <c r="BC8" i="7"/>
  <c r="BC22" i="7" l="1"/>
  <c r="BC21" i="7"/>
  <c r="BC20" i="7"/>
  <c r="BC189" i="16"/>
  <c r="BC188" i="16"/>
  <c r="BC190" i="16" s="1"/>
  <c r="BC184" i="16"/>
  <c r="BC22" i="10"/>
  <c r="BC21" i="10"/>
  <c r="BC20" i="10"/>
  <c r="BC20" i="11"/>
  <c r="BC21" i="11"/>
  <c r="BC22" i="11"/>
  <c r="BC22" i="12"/>
  <c r="BC21" i="12"/>
  <c r="BC20" i="12"/>
  <c r="BC22" i="8"/>
  <c r="BC21" i="8"/>
  <c r="BC20" i="8"/>
  <c r="BC21" i="13"/>
  <c r="BC29" i="13" s="1"/>
  <c r="BC20" i="13"/>
  <c r="BC28" i="13" s="1"/>
  <c r="BC19" i="13"/>
  <c r="BC27" i="13" s="1"/>
  <c r="BB29" i="14"/>
  <c r="BB28" i="14"/>
  <c r="BB30" i="14"/>
  <c r="AJ27" i="14"/>
  <c r="AK227" i="12"/>
  <c r="O11" i="15"/>
  <c r="CL19" i="22"/>
  <c r="AG56" i="28"/>
  <c r="BF19" i="22"/>
  <c r="K29" i="38"/>
  <c r="AG55" i="28"/>
  <c r="AG53" i="28"/>
  <c r="AG57" i="28"/>
  <c r="AG52" i="28"/>
  <c r="AG51" i="28"/>
  <c r="AG49" i="28"/>
  <c r="AD49" i="28"/>
  <c r="AG50" i="28"/>
  <c r="CM20" i="22"/>
  <c r="CM19" i="22"/>
  <c r="CL20" i="22"/>
  <c r="AJ45" i="12"/>
  <c r="AJ109" i="12" s="1"/>
  <c r="AJ46" i="12"/>
  <c r="K24" i="38"/>
  <c r="K26" i="38"/>
  <c r="K22" i="38"/>
  <c r="H41" i="34"/>
  <c r="M42" i="38"/>
  <c r="Y42" i="38" s="1"/>
  <c r="H27" i="34"/>
  <c r="M28" i="38"/>
  <c r="Y28" i="38" s="1"/>
  <c r="H31" i="34"/>
  <c r="M32" i="38"/>
  <c r="Y32" i="38" s="1"/>
  <c r="H62" i="34"/>
  <c r="M63" i="38"/>
  <c r="Y63" i="38" s="1"/>
  <c r="AK10" i="38"/>
  <c r="U10" i="19"/>
  <c r="H82" i="34"/>
  <c r="M83" i="38"/>
  <c r="Y83" i="38" s="1"/>
  <c r="H52" i="34"/>
  <c r="M53" i="38"/>
  <c r="Y53" i="38" s="1"/>
  <c r="H77" i="34"/>
  <c r="M78" i="38"/>
  <c r="Y78" i="38" s="1"/>
  <c r="H51" i="34"/>
  <c r="M52" i="38"/>
  <c r="Y52" i="38" s="1"/>
  <c r="J94" i="38"/>
  <c r="X94" i="38" s="1"/>
  <c r="H63" i="34"/>
  <c r="M64" i="38"/>
  <c r="Y64" i="38" s="1"/>
  <c r="H26" i="34"/>
  <c r="M27" i="38"/>
  <c r="Y27" i="38" s="1"/>
  <c r="J48" i="38"/>
  <c r="X48" i="38" s="1"/>
  <c r="H96" i="34"/>
  <c r="M97" i="38"/>
  <c r="Y97" i="38" s="1"/>
  <c r="H87" i="34"/>
  <c r="M88" i="38"/>
  <c r="Y88" i="38" s="1"/>
  <c r="H71" i="34"/>
  <c r="M72" i="38"/>
  <c r="Y72" i="38" s="1"/>
  <c r="H54" i="34"/>
  <c r="M55" i="38"/>
  <c r="Y55" i="38" s="1"/>
  <c r="H95" i="34"/>
  <c r="M96" i="38"/>
  <c r="Y96" i="38" s="1"/>
  <c r="H37" i="34"/>
  <c r="M38" i="38"/>
  <c r="Y38" i="38" s="1"/>
  <c r="H28" i="34"/>
  <c r="M29" i="38"/>
  <c r="Y29" i="38" s="1"/>
  <c r="AK13" i="38"/>
  <c r="H74" i="34"/>
  <c r="M75" i="38"/>
  <c r="Y75" i="38" s="1"/>
  <c r="H55" i="34"/>
  <c r="M56" i="38"/>
  <c r="Y56" i="38" s="1"/>
  <c r="H81" i="34"/>
  <c r="M82" i="38"/>
  <c r="Y82" i="38" s="1"/>
  <c r="H35" i="34"/>
  <c r="M36" i="38"/>
  <c r="Y36" i="38" s="1"/>
  <c r="H78" i="34"/>
  <c r="M79" i="38"/>
  <c r="Y79" i="38" s="1"/>
  <c r="H100" i="34"/>
  <c r="M101" i="38"/>
  <c r="Y101" i="38" s="1"/>
  <c r="H80" i="34"/>
  <c r="M81" i="38"/>
  <c r="Y81" i="38" s="1"/>
  <c r="H68" i="34"/>
  <c r="M69" i="38"/>
  <c r="Y69" i="38" s="1"/>
  <c r="H40" i="34"/>
  <c r="M41" i="38"/>
  <c r="Y41" i="38" s="1"/>
  <c r="H70" i="34"/>
  <c r="M71" i="38"/>
  <c r="Y71" i="38" s="1"/>
  <c r="H90" i="34"/>
  <c r="M91" i="38"/>
  <c r="Y91" i="38" s="1"/>
  <c r="BP20" i="22"/>
  <c r="H47" i="34"/>
  <c r="M48" i="38"/>
  <c r="Y48" i="38" s="1"/>
  <c r="H29" i="34"/>
  <c r="M30" i="38"/>
  <c r="Y30" i="38" s="1"/>
  <c r="K25" i="38"/>
  <c r="H99" i="34"/>
  <c r="M100" i="38"/>
  <c r="Y100" i="38" s="1"/>
  <c r="H59" i="34"/>
  <c r="M60" i="38"/>
  <c r="Y60" i="38" s="1"/>
  <c r="H32" i="34"/>
  <c r="M33" i="38"/>
  <c r="Y33" i="38" s="1"/>
  <c r="H86" i="34"/>
  <c r="M87" i="38"/>
  <c r="Y87" i="38" s="1"/>
  <c r="H53" i="34"/>
  <c r="M54" i="38"/>
  <c r="Y54" i="38" s="1"/>
  <c r="H57" i="34"/>
  <c r="M58" i="38"/>
  <c r="Y58" i="38" s="1"/>
  <c r="H91" i="34"/>
  <c r="M92" i="38"/>
  <c r="Y92" i="38" s="1"/>
  <c r="H84" i="34"/>
  <c r="M85" i="38"/>
  <c r="Y85" i="38" s="1"/>
  <c r="H104" i="34"/>
  <c r="M105" i="38"/>
  <c r="Y105" i="38" s="1"/>
  <c r="H48" i="34"/>
  <c r="M49" i="38"/>
  <c r="Y49" i="38" s="1"/>
  <c r="H36" i="34"/>
  <c r="M37" i="38"/>
  <c r="Y37" i="38" s="1"/>
  <c r="K23" i="38"/>
  <c r="AK14" i="38"/>
  <c r="J27" i="38"/>
  <c r="X27" i="38" s="1"/>
  <c r="H73" i="34"/>
  <c r="M74" i="38"/>
  <c r="Y74" i="38" s="1"/>
  <c r="J100" i="38"/>
  <c r="X100" i="38" s="1"/>
  <c r="H64" i="34"/>
  <c r="M65" i="38"/>
  <c r="Y65" i="38" s="1"/>
  <c r="H34" i="34"/>
  <c r="M35" i="38"/>
  <c r="Y35" i="38" s="1"/>
  <c r="H25" i="34"/>
  <c r="M26" i="38"/>
  <c r="Y26" i="38" s="1"/>
  <c r="H79" i="34"/>
  <c r="M80" i="38"/>
  <c r="Y80" i="38" s="1"/>
  <c r="H101" i="34"/>
  <c r="M102" i="38"/>
  <c r="Y102" i="38" s="1"/>
  <c r="BO20" i="22"/>
  <c r="H103" i="34"/>
  <c r="M104" i="38"/>
  <c r="Y104" i="38" s="1"/>
  <c r="H56" i="34"/>
  <c r="M57" i="38"/>
  <c r="Y57" i="38" s="1"/>
  <c r="J62" i="38"/>
  <c r="X62" i="38" s="1"/>
  <c r="AK17" i="38"/>
  <c r="H66" i="34"/>
  <c r="M67" i="38"/>
  <c r="Y67" i="38" s="1"/>
  <c r="H50" i="34"/>
  <c r="M51" i="38"/>
  <c r="Y51" i="38" s="1"/>
  <c r="H22" i="34"/>
  <c r="M23" i="38"/>
  <c r="Y23" i="38" s="1"/>
  <c r="J68" i="38"/>
  <c r="X68" i="38" s="1"/>
  <c r="H92" i="34"/>
  <c r="M93" i="38"/>
  <c r="Y93" i="38" s="1"/>
  <c r="H67" i="34"/>
  <c r="M68" i="38"/>
  <c r="Y68" i="38" s="1"/>
  <c r="AK18" i="38"/>
  <c r="H98" i="34"/>
  <c r="M99" i="38"/>
  <c r="Y99" i="38" s="1"/>
  <c r="H83" i="34"/>
  <c r="M84" i="38"/>
  <c r="Y84" i="38" s="1"/>
  <c r="H76" i="34"/>
  <c r="M77" i="38"/>
  <c r="Y77" i="38" s="1"/>
  <c r="H93" i="34"/>
  <c r="M94" i="38"/>
  <c r="Y94" i="38" s="1"/>
  <c r="BF20" i="22"/>
  <c r="H38" i="34"/>
  <c r="M39" i="38"/>
  <c r="Y39" i="38" s="1"/>
  <c r="H44" i="34"/>
  <c r="M45" i="38"/>
  <c r="Y45" i="38" s="1"/>
  <c r="H97" i="34"/>
  <c r="M98" i="38"/>
  <c r="Y98" i="38" s="1"/>
  <c r="H89" i="34"/>
  <c r="M90" i="38"/>
  <c r="Y90" i="38" s="1"/>
  <c r="K30" i="38"/>
  <c r="H20" i="34"/>
  <c r="M21" i="38"/>
  <c r="Y21" i="38" s="1"/>
  <c r="H42" i="34"/>
  <c r="M43" i="38"/>
  <c r="Y43" i="38" s="1"/>
  <c r="H60" i="34"/>
  <c r="M61" i="38"/>
  <c r="Y61" i="38" s="1"/>
  <c r="H24" i="34"/>
  <c r="M25" i="38"/>
  <c r="Y25" i="38" s="1"/>
  <c r="AK15" i="38"/>
  <c r="H72" i="34"/>
  <c r="M73" i="38"/>
  <c r="Y73" i="38" s="1"/>
  <c r="H65" i="34"/>
  <c r="M66" i="38"/>
  <c r="Y66" i="38" s="1"/>
  <c r="H94" i="34"/>
  <c r="M95" i="38"/>
  <c r="Y95" i="38" s="1"/>
  <c r="H39" i="34"/>
  <c r="M40" i="38"/>
  <c r="Y40" i="38" s="1"/>
  <c r="H46" i="34"/>
  <c r="M47" i="38"/>
  <c r="Y47" i="38" s="1"/>
  <c r="H61" i="34"/>
  <c r="M62" i="38"/>
  <c r="Y62" i="38" s="1"/>
  <c r="H21" i="34"/>
  <c r="M22" i="38"/>
  <c r="Y22" i="38" s="1"/>
  <c r="H102" i="34"/>
  <c r="M103" i="38"/>
  <c r="Y103" i="38" s="1"/>
  <c r="J44" i="38"/>
  <c r="X44" i="38" s="1"/>
  <c r="H45" i="34"/>
  <c r="M46" i="38"/>
  <c r="Y46" i="38" s="1"/>
  <c r="H75" i="34"/>
  <c r="M76" i="38"/>
  <c r="Y76" i="38" s="1"/>
  <c r="K27" i="38"/>
  <c r="K28" i="38"/>
  <c r="AK11" i="38"/>
  <c r="H33" i="34"/>
  <c r="M34" i="38"/>
  <c r="Y34" i="38" s="1"/>
  <c r="H69" i="34"/>
  <c r="M70" i="38"/>
  <c r="Y70" i="38" s="1"/>
  <c r="H43" i="34"/>
  <c r="M44" i="38"/>
  <c r="Y44" i="38" s="1"/>
  <c r="H30" i="34"/>
  <c r="M31" i="38"/>
  <c r="Y31" i="38" s="1"/>
  <c r="H88" i="34"/>
  <c r="M89" i="38"/>
  <c r="Y89" i="38" s="1"/>
  <c r="H58" i="34"/>
  <c r="M59" i="38"/>
  <c r="Y59" i="38" s="1"/>
  <c r="H85" i="34"/>
  <c r="M86" i="38"/>
  <c r="Y86" i="38" s="1"/>
  <c r="H23" i="34"/>
  <c r="M24" i="38"/>
  <c r="Y24" i="38" s="1"/>
  <c r="AK12" i="38"/>
  <c r="AK16" i="38"/>
  <c r="H49" i="34"/>
  <c r="M50" i="38"/>
  <c r="Y50" i="38" s="1"/>
  <c r="BC37" i="13"/>
  <c r="BB126" i="12"/>
  <c r="AZ287" i="12"/>
  <c r="T29" i="16"/>
  <c r="BM29" i="16" s="1"/>
  <c r="BA26" i="16"/>
  <c r="BA20" i="16" s="1"/>
  <c r="BA125" i="16" s="1"/>
  <c r="AK78" i="12"/>
  <c r="BB38" i="12"/>
  <c r="BC30" i="12"/>
  <c r="U33" i="28"/>
  <c r="U30" i="28"/>
  <c r="AX287" i="12"/>
  <c r="AY29" i="16"/>
  <c r="AH287" i="12"/>
  <c r="AI29" i="16"/>
  <c r="AN287" i="12"/>
  <c r="AO29" i="16"/>
  <c r="AF287" i="12"/>
  <c r="AG29" i="16"/>
  <c r="Z287" i="12"/>
  <c r="AA29" i="16"/>
  <c r="Y287" i="12"/>
  <c r="Z29" i="16"/>
  <c r="AM287" i="12"/>
  <c r="AN29" i="16"/>
  <c r="AD287" i="12"/>
  <c r="AE29" i="16"/>
  <c r="W287" i="12"/>
  <c r="X29" i="16"/>
  <c r="AE287" i="12"/>
  <c r="AF29" i="16"/>
  <c r="AJ287" i="12"/>
  <c r="AK29" i="16"/>
  <c r="V287" i="12"/>
  <c r="W29" i="16"/>
  <c r="AL287" i="12"/>
  <c r="AM29" i="16"/>
  <c r="AC287" i="12"/>
  <c r="AD29" i="16"/>
  <c r="T287" i="12"/>
  <c r="U29" i="16"/>
  <c r="AI358" i="12"/>
  <c r="AI105" i="16" s="1"/>
  <c r="AI399" i="12"/>
  <c r="AQ287" i="12"/>
  <c r="AR29" i="16"/>
  <c r="AH358" i="12"/>
  <c r="AH105" i="16" s="1"/>
  <c r="AH399" i="12"/>
  <c r="U35" i="28"/>
  <c r="N44" i="28"/>
  <c r="BI78" i="28"/>
  <c r="AY368" i="12"/>
  <c r="AY114" i="16" s="1"/>
  <c r="AY376" i="16" s="1"/>
  <c r="Y399" i="12"/>
  <c r="AV287" i="12"/>
  <c r="AW29" i="16"/>
  <c r="AY26" i="16"/>
  <c r="AY20" i="16" s="1"/>
  <c r="AY125" i="16" s="1"/>
  <c r="AY382" i="16" s="1"/>
  <c r="AX284" i="12"/>
  <c r="AF399" i="12"/>
  <c r="X399" i="12"/>
  <c r="AX26" i="16"/>
  <c r="AW284" i="12"/>
  <c r="AR287" i="12"/>
  <c r="AS29" i="16"/>
  <c r="AU26" i="16"/>
  <c r="AT284" i="12"/>
  <c r="BI79" i="28"/>
  <c r="U42" i="28"/>
  <c r="AE399" i="12"/>
  <c r="W399" i="12"/>
  <c r="AT287" i="12"/>
  <c r="AU29" i="16"/>
  <c r="AS287" i="12"/>
  <c r="AT29" i="16"/>
  <c r="AK287" i="12"/>
  <c r="AL29" i="16"/>
  <c r="AA287" i="12"/>
  <c r="AB29" i="16"/>
  <c r="U287" i="12"/>
  <c r="V29" i="16"/>
  <c r="AU287" i="12"/>
  <c r="AV29" i="16"/>
  <c r="AD399" i="12"/>
  <c r="V399" i="12"/>
  <c r="AW26" i="16"/>
  <c r="AV284" i="12"/>
  <c r="AC399" i="12"/>
  <c r="U399" i="12"/>
  <c r="AO287" i="12"/>
  <c r="AP29" i="16"/>
  <c r="AI287" i="12"/>
  <c r="AJ29" i="16"/>
  <c r="AB287" i="12"/>
  <c r="AC29" i="16"/>
  <c r="U32" i="28"/>
  <c r="AB399" i="12"/>
  <c r="T399" i="12"/>
  <c r="AZ368" i="12"/>
  <c r="AZ114" i="16" s="1"/>
  <c r="AZ376" i="16" s="1"/>
  <c r="AZ286" i="12"/>
  <c r="AZ283" i="12"/>
  <c r="AP287" i="12"/>
  <c r="AQ29" i="16"/>
  <c r="AG287" i="12"/>
  <c r="AH29" i="16"/>
  <c r="X287" i="12"/>
  <c r="Y29" i="16"/>
  <c r="AV26" i="16"/>
  <c r="AU284" i="12"/>
  <c r="AW287" i="12"/>
  <c r="AX29" i="16"/>
  <c r="U38" i="28"/>
  <c r="AA399" i="12"/>
  <c r="Z58" i="28"/>
  <c r="Z399" i="12"/>
  <c r="AK9" i="38"/>
  <c r="U9" i="19"/>
  <c r="BC76" i="7"/>
  <c r="AK40" i="7"/>
  <c r="AK30" i="7"/>
  <c r="AK93" i="7" s="1"/>
  <c r="AK31" i="7"/>
  <c r="AK94" i="7" s="1"/>
  <c r="BC124" i="8"/>
  <c r="BC73" i="8"/>
  <c r="AK48" i="8"/>
  <c r="AK40" i="8"/>
  <c r="AK31" i="8"/>
  <c r="AK91" i="8" s="1"/>
  <c r="BC118" i="10"/>
  <c r="BC67" i="10"/>
  <c r="AK49" i="10"/>
  <c r="AK40" i="10"/>
  <c r="AK31" i="10"/>
  <c r="AK85" i="10" s="1"/>
  <c r="BC67" i="11"/>
  <c r="AK49" i="11"/>
  <c r="AK40" i="11"/>
  <c r="AK31" i="11"/>
  <c r="AK226" i="12"/>
  <c r="R41" i="28"/>
  <c r="U41" i="28"/>
  <c r="AK225" i="12"/>
  <c r="AK39" i="7"/>
  <c r="BA29" i="16"/>
  <c r="AJ48" i="14"/>
  <c r="AJ47" i="14"/>
  <c r="AJ49" i="14"/>
  <c r="AK46" i="8"/>
  <c r="AK47" i="8"/>
  <c r="BC213" i="16"/>
  <c r="AK76" i="12"/>
  <c r="AK77" i="12"/>
  <c r="AK29" i="7"/>
  <c r="AK38" i="7"/>
  <c r="BC36" i="13"/>
  <c r="BC362" i="16"/>
  <c r="BC35" i="13"/>
  <c r="AK48" i="10"/>
  <c r="BD135" i="14"/>
  <c r="BD157" i="14"/>
  <c r="BA83" i="14"/>
  <c r="BC218" i="16"/>
  <c r="BB219" i="16"/>
  <c r="AK38" i="10"/>
  <c r="AK47" i="11"/>
  <c r="AK30" i="8"/>
  <c r="AK90" i="8" s="1"/>
  <c r="AK39" i="8"/>
  <c r="BC217" i="16"/>
  <c r="BD5" i="13"/>
  <c r="BD5" i="16"/>
  <c r="AK29" i="8"/>
  <c r="AL9" i="13"/>
  <c r="AL9" i="16"/>
  <c r="BD8" i="13"/>
  <c r="BD8" i="16"/>
  <c r="BD427" i="16" s="1"/>
  <c r="AL4" i="13"/>
  <c r="AL4" i="16"/>
  <c r="AK38" i="8"/>
  <c r="AK39" i="10"/>
  <c r="AK30" i="10"/>
  <c r="AK84" i="10" s="1"/>
  <c r="AK29" i="10"/>
  <c r="AK83" i="10" s="1"/>
  <c r="AK47" i="10"/>
  <c r="AZ284" i="12"/>
  <c r="AK39" i="11"/>
  <c r="AK48" i="11"/>
  <c r="AK38" i="11"/>
  <c r="AK30" i="11"/>
  <c r="AK29" i="11"/>
  <c r="BA368" i="12"/>
  <c r="BA114" i="16" s="1"/>
  <c r="BA376" i="16" s="1"/>
  <c r="BB286" i="12"/>
  <c r="BB283" i="12"/>
  <c r="BB37" i="12"/>
  <c r="BB125" i="12"/>
  <c r="BB124" i="12"/>
  <c r="BC28" i="12"/>
  <c r="BC29" i="12"/>
  <c r="AL4" i="12"/>
  <c r="AL4" i="11"/>
  <c r="AL4" i="10"/>
  <c r="AL4" i="8"/>
  <c r="AE99" i="4"/>
  <c r="AL15" i="14" s="1"/>
  <c r="AE98" i="4"/>
  <c r="AL14" i="14" s="1"/>
  <c r="AJ44" i="12"/>
  <c r="BD8" i="12"/>
  <c r="BD8" i="11"/>
  <c r="BD8" i="10"/>
  <c r="BD8" i="8"/>
  <c r="BD5" i="11"/>
  <c r="BD5" i="12"/>
  <c r="BD5" i="10"/>
  <c r="BD5" i="8"/>
  <c r="AL9" i="12"/>
  <c r="AL9" i="11"/>
  <c r="AL9" i="10"/>
  <c r="AL9" i="8"/>
  <c r="BC122" i="8"/>
  <c r="BC123" i="8"/>
  <c r="BC72" i="8"/>
  <c r="BC71" i="8"/>
  <c r="BC117" i="10"/>
  <c r="BC116" i="10"/>
  <c r="BC65" i="10"/>
  <c r="BC66" i="10"/>
  <c r="BC117" i="11"/>
  <c r="BC118" i="11"/>
  <c r="BC116" i="11"/>
  <c r="BC65" i="11"/>
  <c r="BC66" i="11"/>
  <c r="BB36" i="12"/>
  <c r="BC74" i="7"/>
  <c r="BC75" i="7"/>
  <c r="AX97" i="4"/>
  <c r="BE12" i="14" s="1"/>
  <c r="BD5" i="7"/>
  <c r="AX100" i="4"/>
  <c r="BE13" i="14" s="1"/>
  <c r="BD8" i="7"/>
  <c r="AF95" i="4"/>
  <c r="AM10" i="14" s="1"/>
  <c r="AL4" i="7"/>
  <c r="AL9" i="7"/>
  <c r="AE102" i="4"/>
  <c r="BD21" i="11" l="1"/>
  <c r="BD22" i="11"/>
  <c r="BD20" i="11"/>
  <c r="AK65" i="14"/>
  <c r="BD22" i="8"/>
  <c r="BD21" i="8"/>
  <c r="BD20" i="8"/>
  <c r="BD22" i="10"/>
  <c r="BD21" i="10"/>
  <c r="BD20" i="10"/>
  <c r="BD189" i="16"/>
  <c r="BD188" i="16"/>
  <c r="BD190" i="16" s="1"/>
  <c r="BD184" i="16"/>
  <c r="BD22" i="7"/>
  <c r="BD21" i="7"/>
  <c r="BD20" i="7"/>
  <c r="BD22" i="12"/>
  <c r="BD21" i="12"/>
  <c r="BD20" i="12"/>
  <c r="BD21" i="13"/>
  <c r="BD29" i="13" s="1"/>
  <c r="BD19" i="13"/>
  <c r="BD27" i="13" s="1"/>
  <c r="BD20" i="13"/>
  <c r="BD28" i="13" s="1"/>
  <c r="AJ93" i="12"/>
  <c r="AK76" i="11"/>
  <c r="AK85" i="11"/>
  <c r="AK74" i="11"/>
  <c r="AK83" i="11"/>
  <c r="AK66" i="14" s="1"/>
  <c r="AK75" i="11"/>
  <c r="AK84" i="11"/>
  <c r="BC29" i="14"/>
  <c r="BC30" i="14"/>
  <c r="BC28" i="14"/>
  <c r="J30" i="38"/>
  <c r="X30" i="38" s="1"/>
  <c r="AK84" i="7"/>
  <c r="AC31" i="14"/>
  <c r="AF31" i="14"/>
  <c r="U31" i="14"/>
  <c r="X31" i="14"/>
  <c r="AB31" i="14"/>
  <c r="AE31" i="14"/>
  <c r="T31" i="14"/>
  <c r="W31" i="14"/>
  <c r="AJ31" i="14"/>
  <c r="AA31" i="14"/>
  <c r="AH31" i="14"/>
  <c r="AI31" i="14"/>
  <c r="Z31" i="14"/>
  <c r="AD31" i="14"/>
  <c r="AG31" i="14"/>
  <c r="V31" i="14"/>
  <c r="Y31" i="14"/>
  <c r="AJ110" i="12"/>
  <c r="AJ94" i="12"/>
  <c r="K21" i="38"/>
  <c r="AK19" i="38"/>
  <c r="BD37" i="13"/>
  <c r="BC126" i="12"/>
  <c r="AU27" i="16"/>
  <c r="AU21" i="16" s="1"/>
  <c r="AW27" i="16"/>
  <c r="AW28" i="16" s="1"/>
  <c r="AX27" i="16"/>
  <c r="AX21" i="16" s="1"/>
  <c r="AJ30" i="16"/>
  <c r="AW30" i="16"/>
  <c r="X30" i="16"/>
  <c r="AB30" i="16"/>
  <c r="AV27" i="16"/>
  <c r="AV21" i="16" s="1"/>
  <c r="AS30" i="16"/>
  <c r="AV30" i="16"/>
  <c r="W30" i="16"/>
  <c r="BM30" i="16" s="1"/>
  <c r="AN30" i="16"/>
  <c r="AX30" i="16"/>
  <c r="AT27" i="16"/>
  <c r="AH30" i="16"/>
  <c r="BB26" i="16"/>
  <c r="BB20" i="16" s="1"/>
  <c r="BB125" i="16" s="1"/>
  <c r="AZ27" i="16"/>
  <c r="AG30" i="16"/>
  <c r="AI30" i="16"/>
  <c r="U30" i="16"/>
  <c r="T30" i="16"/>
  <c r="AE30" i="16"/>
  <c r="AD30" i="16"/>
  <c r="BA287" i="12"/>
  <c r="AR30" i="16"/>
  <c r="Y30" i="16"/>
  <c r="AP30" i="16"/>
  <c r="AO30" i="16"/>
  <c r="AA30" i="16"/>
  <c r="AC30" i="16"/>
  <c r="AM30" i="16"/>
  <c r="Z30" i="16"/>
  <c r="AU30" i="16"/>
  <c r="V30" i="16"/>
  <c r="AZ30" i="16"/>
  <c r="AK30" i="16"/>
  <c r="AT30" i="16"/>
  <c r="AQ30" i="16"/>
  <c r="AL30" i="16"/>
  <c r="AF30" i="16"/>
  <c r="BC38" i="12"/>
  <c r="BD30" i="12"/>
  <c r="AW20" i="16"/>
  <c r="AW125" i="16" s="1"/>
  <c r="AW382" i="16" s="1"/>
  <c r="AV20" i="16"/>
  <c r="AV125" i="16" s="1"/>
  <c r="AV382" i="16" s="1"/>
  <c r="AZ26" i="16"/>
  <c r="AZ20" i="16" s="1"/>
  <c r="AZ125" i="16" s="1"/>
  <c r="AZ382" i="16" s="1"/>
  <c r="AY284" i="12"/>
  <c r="AY287" i="12"/>
  <c r="AZ29" i="16"/>
  <c r="AX20" i="16"/>
  <c r="AX125" i="16" s="1"/>
  <c r="AX382" i="16" s="1"/>
  <c r="AU20" i="16"/>
  <c r="AU125" i="16" s="1"/>
  <c r="AU382" i="16" s="1"/>
  <c r="BI80" i="28"/>
  <c r="AK103" i="7"/>
  <c r="AK102" i="7"/>
  <c r="AK85" i="7"/>
  <c r="AK83" i="7"/>
  <c r="BD76" i="7"/>
  <c r="AL67" i="7"/>
  <c r="AL134" i="8"/>
  <c r="BD124" i="8"/>
  <c r="AK100" i="8"/>
  <c r="AK82" i="8"/>
  <c r="BD73" i="8"/>
  <c r="AL64" i="8"/>
  <c r="AM128" i="10"/>
  <c r="BD118" i="10"/>
  <c r="AK94" i="10"/>
  <c r="AK76" i="10"/>
  <c r="BD67" i="10"/>
  <c r="AL58" i="10"/>
  <c r="AM128" i="11"/>
  <c r="AK94" i="11"/>
  <c r="BD67" i="11"/>
  <c r="AL58" i="11"/>
  <c r="AL132" i="8"/>
  <c r="AL133" i="8"/>
  <c r="BB29" i="16"/>
  <c r="AJ50" i="14"/>
  <c r="AK67" i="14"/>
  <c r="BD213" i="16"/>
  <c r="AK92" i="11"/>
  <c r="AK93" i="11"/>
  <c r="AK99" i="8"/>
  <c r="AK75" i="10"/>
  <c r="AK93" i="10"/>
  <c r="AK74" i="10"/>
  <c r="AK92" i="10"/>
  <c r="AK358" i="12"/>
  <c r="AK105" i="16" s="1"/>
  <c r="AK399" i="12"/>
  <c r="BD362" i="16"/>
  <c r="BD36" i="13"/>
  <c r="BD35" i="13"/>
  <c r="AK81" i="8"/>
  <c r="AK80" i="8"/>
  <c r="BE157" i="14"/>
  <c r="BE135" i="14"/>
  <c r="BB83" i="14"/>
  <c r="BA382" i="16"/>
  <c r="BC219" i="16"/>
  <c r="BD218" i="16"/>
  <c r="AL6" i="13"/>
  <c r="AL6" i="16"/>
  <c r="AL7" i="13"/>
  <c r="AL7" i="16"/>
  <c r="BE5" i="13"/>
  <c r="BE5" i="16"/>
  <c r="AL10" i="13"/>
  <c r="AL10" i="16"/>
  <c r="BE8" i="13"/>
  <c r="BE8" i="16"/>
  <c r="AM3" i="13"/>
  <c r="AM3" i="16"/>
  <c r="BD217" i="16"/>
  <c r="BA284" i="12"/>
  <c r="BB368" i="12"/>
  <c r="BB114" i="16" s="1"/>
  <c r="BB376" i="16" s="1"/>
  <c r="AJ92" i="12"/>
  <c r="BC286" i="12"/>
  <c r="BC283" i="12"/>
  <c r="BC37" i="12"/>
  <c r="AJ108" i="12"/>
  <c r="BC125" i="12"/>
  <c r="BC124" i="12"/>
  <c r="AL10" i="7"/>
  <c r="AL10" i="12"/>
  <c r="AL10" i="11"/>
  <c r="AL10" i="10"/>
  <c r="AL10" i="8"/>
  <c r="AL56" i="11"/>
  <c r="AL57" i="11"/>
  <c r="AM127" i="11"/>
  <c r="AM126" i="11"/>
  <c r="AM3" i="12"/>
  <c r="AF101" i="4"/>
  <c r="AM3" i="11"/>
  <c r="AM3" i="10"/>
  <c r="AM3" i="8"/>
  <c r="AL6" i="11"/>
  <c r="AL6" i="12"/>
  <c r="AL6" i="10"/>
  <c r="AL6" i="8"/>
  <c r="AL6" i="7"/>
  <c r="BD122" i="8"/>
  <c r="BD123" i="8"/>
  <c r="BD72" i="8"/>
  <c r="BD71" i="8"/>
  <c r="BE8" i="12"/>
  <c r="BE8" i="11"/>
  <c r="BE8" i="10"/>
  <c r="BE8" i="8"/>
  <c r="BD117" i="10"/>
  <c r="BD116" i="10"/>
  <c r="BD65" i="10"/>
  <c r="BD66" i="10"/>
  <c r="AL7" i="11"/>
  <c r="AL7" i="12"/>
  <c r="AL7" i="10"/>
  <c r="AL7" i="8"/>
  <c r="AL7" i="7"/>
  <c r="BD28" i="12"/>
  <c r="BD29" i="12"/>
  <c r="AL63" i="8"/>
  <c r="AL62" i="8"/>
  <c r="BE5" i="11"/>
  <c r="BE5" i="12"/>
  <c r="BE5" i="10"/>
  <c r="BE5" i="8"/>
  <c r="BD117" i="11"/>
  <c r="BD118" i="11"/>
  <c r="BD116" i="11"/>
  <c r="BD65" i="11"/>
  <c r="BD66" i="11"/>
  <c r="AL57" i="10"/>
  <c r="AL56" i="10"/>
  <c r="AM127" i="10"/>
  <c r="AM126" i="10"/>
  <c r="BC36" i="12"/>
  <c r="BD74" i="7"/>
  <c r="BD75" i="7"/>
  <c r="AL65" i="7"/>
  <c r="AL66" i="7"/>
  <c r="AY97" i="4"/>
  <c r="BF12" i="14" s="1"/>
  <c r="BE5" i="7"/>
  <c r="AY100" i="4"/>
  <c r="BF13" i="14" s="1"/>
  <c r="BE8" i="7"/>
  <c r="AF96" i="4"/>
  <c r="AM11" i="14" s="1"/>
  <c r="AM3" i="7"/>
  <c r="BE22" i="10" l="1"/>
  <c r="BE21" i="10"/>
  <c r="BE20" i="10"/>
  <c r="BE22" i="12"/>
  <c r="BE21" i="12"/>
  <c r="BE20" i="12"/>
  <c r="BE22" i="7"/>
  <c r="BE21" i="7"/>
  <c r="BE20" i="7"/>
  <c r="BE22" i="8"/>
  <c r="BE21" i="8"/>
  <c r="BE20" i="8"/>
  <c r="BE22" i="11"/>
  <c r="BE21" i="11"/>
  <c r="BE20" i="11"/>
  <c r="BE189" i="16"/>
  <c r="BE188" i="16"/>
  <c r="BE184" i="16"/>
  <c r="BE21" i="13"/>
  <c r="BE29" i="13" s="1"/>
  <c r="BE20" i="13"/>
  <c r="BE28" i="13" s="1"/>
  <c r="BE19" i="13"/>
  <c r="BE27" i="13" s="1"/>
  <c r="AK27" i="14"/>
  <c r="BD30" i="14"/>
  <c r="BD28" i="14"/>
  <c r="BD29" i="14"/>
  <c r="AL227" i="12"/>
  <c r="U32" i="14"/>
  <c r="U51" i="14"/>
  <c r="AC51" i="14"/>
  <c r="AC32" i="14"/>
  <c r="Y32" i="14"/>
  <c r="Y51" i="14"/>
  <c r="Z32" i="14"/>
  <c r="Z51" i="14"/>
  <c r="AH44" i="14"/>
  <c r="AH32" i="14"/>
  <c r="AG140" i="14"/>
  <c r="AH51" i="14"/>
  <c r="AH162" i="14"/>
  <c r="V32" i="14"/>
  <c r="V51" i="14"/>
  <c r="AG32" i="14"/>
  <c r="AG162" i="14"/>
  <c r="AF140" i="14"/>
  <c r="AG51" i="14"/>
  <c r="AG44" i="14"/>
  <c r="AI44" i="14"/>
  <c r="AI162" i="14"/>
  <c r="AH140" i="14"/>
  <c r="AI32" i="14"/>
  <c r="AI51" i="14"/>
  <c r="AA32" i="14"/>
  <c r="AA51" i="14"/>
  <c r="AE32" i="14"/>
  <c r="AD32" i="14"/>
  <c r="AD51" i="14"/>
  <c r="AI140" i="14"/>
  <c r="AJ32" i="14"/>
  <c r="AJ44" i="14"/>
  <c r="AJ162" i="14"/>
  <c r="AJ51" i="14"/>
  <c r="BM31" i="14"/>
  <c r="W32" i="14"/>
  <c r="W51" i="14"/>
  <c r="AB32" i="14"/>
  <c r="AB51" i="14"/>
  <c r="T32" i="14"/>
  <c r="T51" i="14"/>
  <c r="X32" i="14"/>
  <c r="X51" i="14"/>
  <c r="AF162" i="14"/>
  <c r="AE140" i="14"/>
  <c r="AF51" i="14"/>
  <c r="AF44" i="14"/>
  <c r="AF32" i="14"/>
  <c r="K31" i="38"/>
  <c r="AV28" i="16"/>
  <c r="AW21" i="16"/>
  <c r="AX28" i="16"/>
  <c r="AU28" i="16"/>
  <c r="J31" i="38"/>
  <c r="X31" i="38" s="1"/>
  <c r="AK46" i="12"/>
  <c r="AK45" i="12"/>
  <c r="AI28" i="38"/>
  <c r="AI30" i="38"/>
  <c r="AI26" i="38"/>
  <c r="BE37" i="13"/>
  <c r="BD126" i="12"/>
  <c r="AY30" i="16"/>
  <c r="AY27" i="16"/>
  <c r="AY28" i="16" s="1"/>
  <c r="BB287" i="12"/>
  <c r="BA30" i="16"/>
  <c r="BC26" i="16"/>
  <c r="BC20" i="16" s="1"/>
  <c r="BC125" i="16" s="1"/>
  <c r="BA27" i="16"/>
  <c r="BA21" i="16" s="1"/>
  <c r="AZ28" i="16"/>
  <c r="AL78" i="12"/>
  <c r="BD38" i="12"/>
  <c r="BE30" i="12"/>
  <c r="AZ21" i="16"/>
  <c r="BE76" i="7"/>
  <c r="AL40" i="7"/>
  <c r="AL31" i="7"/>
  <c r="AL94" i="7" s="1"/>
  <c r="BE124" i="8"/>
  <c r="BE73" i="8"/>
  <c r="AL48" i="8"/>
  <c r="AL40" i="8"/>
  <c r="AL226" i="12"/>
  <c r="AL31" i="8"/>
  <c r="AL91" i="8" s="1"/>
  <c r="BE118" i="10"/>
  <c r="BE67" i="10"/>
  <c r="AL49" i="10"/>
  <c r="AL40" i="10"/>
  <c r="AL31" i="10"/>
  <c r="AL85" i="10" s="1"/>
  <c r="BE67" i="11"/>
  <c r="AL29" i="11"/>
  <c r="AL83" i="11" s="1"/>
  <c r="AL49" i="11"/>
  <c r="AL40" i="11"/>
  <c r="AL31" i="11"/>
  <c r="AL225" i="12"/>
  <c r="BC29" i="16"/>
  <c r="BC31" i="14"/>
  <c r="AK48" i="14"/>
  <c r="AK49" i="14"/>
  <c r="AL30" i="8"/>
  <c r="AL90" i="8" s="1"/>
  <c r="AL46" i="8"/>
  <c r="AL47" i="8"/>
  <c r="BE213" i="16"/>
  <c r="AL76" i="12"/>
  <c r="AL77" i="12"/>
  <c r="AL29" i="7"/>
  <c r="BE362" i="16"/>
  <c r="BE36" i="13"/>
  <c r="AL30" i="7"/>
  <c r="AL93" i="7" s="1"/>
  <c r="AL38" i="7"/>
  <c r="AL39" i="7"/>
  <c r="BE35" i="13"/>
  <c r="AK44" i="12"/>
  <c r="BF157" i="14"/>
  <c r="BF135" i="14"/>
  <c r="AL48" i="10"/>
  <c r="BC83" i="14"/>
  <c r="BB382" i="16"/>
  <c r="BD219" i="16"/>
  <c r="BE218" i="16"/>
  <c r="AM4" i="13"/>
  <c r="AM4" i="16"/>
  <c r="BF8" i="13"/>
  <c r="BF8" i="16"/>
  <c r="BE217" i="16"/>
  <c r="BF5" i="13"/>
  <c r="BF5" i="16"/>
  <c r="AM9" i="13"/>
  <c r="AM9" i="16"/>
  <c r="BB284" i="12"/>
  <c r="AL30" i="10"/>
  <c r="AL84" i="10" s="1"/>
  <c r="AL29" i="10"/>
  <c r="AL83" i="10" s="1"/>
  <c r="AL39" i="10"/>
  <c r="AL47" i="10"/>
  <c r="AL38" i="10"/>
  <c r="BC368" i="12"/>
  <c r="BC114" i="16" s="1"/>
  <c r="BC376" i="16" s="1"/>
  <c r="BD37" i="12"/>
  <c r="BD286" i="12"/>
  <c r="BD283" i="12"/>
  <c r="AL39" i="8"/>
  <c r="AL38" i="8"/>
  <c r="BD125" i="12"/>
  <c r="BD124" i="12"/>
  <c r="AL29" i="8"/>
  <c r="AL30" i="11"/>
  <c r="AL39" i="11"/>
  <c r="AL47" i="11"/>
  <c r="AM9" i="12"/>
  <c r="AM9" i="11"/>
  <c r="AM9" i="10"/>
  <c r="AM9" i="8"/>
  <c r="AL38" i="11"/>
  <c r="AL48" i="11"/>
  <c r="BE122" i="8"/>
  <c r="BE123" i="8"/>
  <c r="BE72" i="8"/>
  <c r="BE71" i="8"/>
  <c r="BF8" i="12"/>
  <c r="BF8" i="11"/>
  <c r="BF8" i="10"/>
  <c r="BF8" i="8"/>
  <c r="BF5" i="11"/>
  <c r="BF5" i="12"/>
  <c r="BF5" i="10"/>
  <c r="BF5" i="8"/>
  <c r="BE117" i="10"/>
  <c r="BE116" i="10"/>
  <c r="BE65" i="10"/>
  <c r="BE66" i="10"/>
  <c r="AM4" i="12"/>
  <c r="AM4" i="11"/>
  <c r="AM4" i="10"/>
  <c r="AM4" i="8"/>
  <c r="AF99" i="4"/>
  <c r="AM15" i="14" s="1"/>
  <c r="AF98" i="4"/>
  <c r="AM14" i="14" s="1"/>
  <c r="BE29" i="12"/>
  <c r="BE28" i="12"/>
  <c r="BE118" i="11"/>
  <c r="BE117" i="11"/>
  <c r="BE116" i="11"/>
  <c r="BE65" i="11"/>
  <c r="BE66" i="11"/>
  <c r="BD36" i="12"/>
  <c r="BE74" i="7"/>
  <c r="BE75" i="7"/>
  <c r="AZ100" i="4"/>
  <c r="BG13" i="14" s="1"/>
  <c r="BF8" i="7"/>
  <c r="AZ97" i="4"/>
  <c r="BF5" i="7"/>
  <c r="AG95" i="4"/>
  <c r="AN10" i="14" s="1"/>
  <c r="AM4" i="7"/>
  <c r="AF102" i="4"/>
  <c r="AM9" i="7"/>
  <c r="BE190" i="16" l="1"/>
  <c r="BF188" i="16"/>
  <c r="BF184" i="16"/>
  <c r="BF189" i="16"/>
  <c r="BF22" i="7"/>
  <c r="BF21" i="7"/>
  <c r="BF20" i="7"/>
  <c r="BF22" i="8"/>
  <c r="BF21" i="8"/>
  <c r="BF20" i="8"/>
  <c r="BF22" i="10"/>
  <c r="BF21" i="10"/>
  <c r="BF20" i="10"/>
  <c r="AL65" i="14"/>
  <c r="BF22" i="12"/>
  <c r="BF21" i="12"/>
  <c r="BF20" i="12"/>
  <c r="BF22" i="11"/>
  <c r="BF20" i="11"/>
  <c r="BF21" i="11"/>
  <c r="BF21" i="13"/>
  <c r="BF29" i="13" s="1"/>
  <c r="BF20" i="13"/>
  <c r="BF28" i="13" s="1"/>
  <c r="BF19" i="13"/>
  <c r="BF27" i="13" s="1"/>
  <c r="AL75" i="11"/>
  <c r="AL84" i="11"/>
  <c r="AL76" i="11"/>
  <c r="AL85" i="11"/>
  <c r="AL66" i="14" s="1"/>
  <c r="BE28" i="14"/>
  <c r="BE29" i="14"/>
  <c r="BE30" i="14"/>
  <c r="K32" i="38"/>
  <c r="AY21" i="16"/>
  <c r="AL74" i="11"/>
  <c r="BA28" i="16"/>
  <c r="J32" i="38"/>
  <c r="X32" i="38" s="1"/>
  <c r="AI37" i="38"/>
  <c r="AI50" i="38"/>
  <c r="AI25" i="38"/>
  <c r="AI89" i="38"/>
  <c r="AI53" i="38"/>
  <c r="AK109" i="12"/>
  <c r="AK93" i="12"/>
  <c r="AI27" i="38"/>
  <c r="AI33" i="38"/>
  <c r="AI41" i="38"/>
  <c r="AI102" i="38"/>
  <c r="AI29" i="38"/>
  <c r="AI67" i="38"/>
  <c r="AI93" i="38"/>
  <c r="AI104" i="38"/>
  <c r="AI56" i="38"/>
  <c r="AI35" i="38"/>
  <c r="AI100" i="38"/>
  <c r="AI21" i="38"/>
  <c r="AI60" i="38"/>
  <c r="AI65" i="38"/>
  <c r="AK110" i="12"/>
  <c r="AK94" i="12"/>
  <c r="AI36" i="38"/>
  <c r="AI61" i="38"/>
  <c r="AI66" i="38"/>
  <c r="AI22" i="38"/>
  <c r="BF37" i="13"/>
  <c r="BE126" i="12"/>
  <c r="BD26" i="16"/>
  <c r="BD20" i="16" s="1"/>
  <c r="BD125" i="16" s="1"/>
  <c r="BB30" i="16"/>
  <c r="BB27" i="16"/>
  <c r="BB21" i="16" s="1"/>
  <c r="BC287" i="12"/>
  <c r="AK108" i="12"/>
  <c r="BE38" i="12"/>
  <c r="BF30" i="12"/>
  <c r="AL103" i="7"/>
  <c r="AL85" i="7"/>
  <c r="BF76" i="7"/>
  <c r="AM67" i="7"/>
  <c r="AM134" i="8"/>
  <c r="BF124" i="8"/>
  <c r="AL100" i="8"/>
  <c r="AL82" i="8"/>
  <c r="BF73" i="8"/>
  <c r="AM64" i="8"/>
  <c r="AN128" i="10"/>
  <c r="BF118" i="10"/>
  <c r="AL94" i="10"/>
  <c r="AL76" i="10"/>
  <c r="BF67" i="10"/>
  <c r="AM58" i="10"/>
  <c r="AN128" i="11"/>
  <c r="AL94" i="11"/>
  <c r="AL92" i="11"/>
  <c r="BF67" i="11"/>
  <c r="AM58" i="11"/>
  <c r="AM132" i="8"/>
  <c r="AM133" i="8"/>
  <c r="AL83" i="7"/>
  <c r="BC32" i="14"/>
  <c r="BC51" i="14"/>
  <c r="BC44" i="14"/>
  <c r="BF35" i="13"/>
  <c r="BG12" i="14"/>
  <c r="BG157" i="14" s="1"/>
  <c r="J667" i="4"/>
  <c r="H595" i="4"/>
  <c r="G595" i="4" s="1"/>
  <c r="J595" i="4"/>
  <c r="H667" i="4"/>
  <c r="G667" i="4" s="1"/>
  <c r="I667" i="4"/>
  <c r="I595" i="4"/>
  <c r="BD29" i="16"/>
  <c r="AL81" i="8"/>
  <c r="AL99" i="8"/>
  <c r="AL84" i="7"/>
  <c r="BD31" i="14"/>
  <c r="BC162" i="14"/>
  <c r="BB140" i="14"/>
  <c r="AK92" i="12"/>
  <c r="AL67" i="14"/>
  <c r="BF36" i="13"/>
  <c r="BF213" i="16"/>
  <c r="BM103" i="14"/>
  <c r="AL102" i="7"/>
  <c r="AL93" i="11"/>
  <c r="AL93" i="10"/>
  <c r="AL74" i="10"/>
  <c r="AL92" i="10"/>
  <c r="AL399" i="12"/>
  <c r="AL358" i="12"/>
  <c r="AL105" i="16" s="1"/>
  <c r="BF362" i="16"/>
  <c r="AL75" i="10"/>
  <c r="BM83" i="14"/>
  <c r="BM67" i="14"/>
  <c r="BD83" i="14"/>
  <c r="BC382" i="16"/>
  <c r="BE219" i="16"/>
  <c r="BF218" i="16"/>
  <c r="BG5" i="13"/>
  <c r="BG5" i="16"/>
  <c r="I519" i="4"/>
  <c r="H519" i="4"/>
  <c r="G519" i="4" s="1"/>
  <c r="J519" i="4"/>
  <c r="AM10" i="13"/>
  <c r="AM10" i="16"/>
  <c r="BF217" i="16"/>
  <c r="AM6" i="13"/>
  <c r="AM6" i="16"/>
  <c r="AN3" i="13"/>
  <c r="AN3" i="16"/>
  <c r="BG8" i="13"/>
  <c r="BG8" i="16"/>
  <c r="AM7" i="13"/>
  <c r="AM7" i="16"/>
  <c r="BC284" i="12"/>
  <c r="BD368" i="12"/>
  <c r="BD114" i="16" s="1"/>
  <c r="BE283" i="12"/>
  <c r="BE286" i="12"/>
  <c r="BE37" i="12"/>
  <c r="BE124" i="12"/>
  <c r="BE125" i="12"/>
  <c r="AN3" i="12"/>
  <c r="AG101" i="4"/>
  <c r="AN3" i="11"/>
  <c r="AN3" i="10"/>
  <c r="AN3" i="8"/>
  <c r="BG8" i="7"/>
  <c r="BG8" i="11"/>
  <c r="BG8" i="12"/>
  <c r="BG8" i="10"/>
  <c r="BG8" i="8"/>
  <c r="AM7" i="12"/>
  <c r="AM7" i="11"/>
  <c r="AM7" i="10"/>
  <c r="AM7" i="8"/>
  <c r="AM7" i="7"/>
  <c r="BF117" i="10"/>
  <c r="BF116" i="10"/>
  <c r="BF65" i="10"/>
  <c r="BF66" i="10"/>
  <c r="AM63" i="8"/>
  <c r="AM62" i="8"/>
  <c r="BF28" i="12"/>
  <c r="BF29" i="12"/>
  <c r="BG5" i="7"/>
  <c r="BG5" i="12"/>
  <c r="BG5" i="11"/>
  <c r="BG5" i="10"/>
  <c r="BG5" i="8"/>
  <c r="AM56" i="10"/>
  <c r="AM57" i="10"/>
  <c r="AN127" i="10"/>
  <c r="AN126" i="10"/>
  <c r="BF117" i="11"/>
  <c r="BF118" i="11"/>
  <c r="BF116" i="11"/>
  <c r="BF65" i="11"/>
  <c r="BF66" i="11"/>
  <c r="AM56" i="11"/>
  <c r="AM57" i="11"/>
  <c r="AN126" i="11"/>
  <c r="AN127" i="11"/>
  <c r="AL80" i="8"/>
  <c r="AM10" i="7"/>
  <c r="AM10" i="12"/>
  <c r="AM10" i="11"/>
  <c r="AM10" i="10"/>
  <c r="AM10" i="8"/>
  <c r="AM6" i="11"/>
  <c r="AM6" i="12"/>
  <c r="AM6" i="10"/>
  <c r="AM6" i="8"/>
  <c r="AM6" i="7"/>
  <c r="BF122" i="8"/>
  <c r="BF123" i="8"/>
  <c r="BF72" i="8"/>
  <c r="BF71" i="8"/>
  <c r="BE36" i="12"/>
  <c r="BF74" i="7"/>
  <c r="BF75" i="7"/>
  <c r="AM65" i="7"/>
  <c r="AM66" i="7"/>
  <c r="AG96" i="4"/>
  <c r="AN11" i="14" s="1"/>
  <c r="AN3" i="7"/>
  <c r="BG188" i="16" l="1"/>
  <c r="BG189" i="16"/>
  <c r="BG184" i="16"/>
  <c r="BG22" i="8"/>
  <c r="BG21" i="8"/>
  <c r="BG20" i="8"/>
  <c r="BG20" i="11"/>
  <c r="BG21" i="11"/>
  <c r="BG22" i="11"/>
  <c r="BG22" i="12"/>
  <c r="BG21" i="12"/>
  <c r="BG20" i="12"/>
  <c r="BM189" i="16"/>
  <c r="BM188" i="16"/>
  <c r="BM190" i="16" s="1"/>
  <c r="BM184" i="16"/>
  <c r="BM201" i="16"/>
  <c r="BG21" i="10"/>
  <c r="BG22" i="10"/>
  <c r="BG20" i="10"/>
  <c r="BG22" i="7"/>
  <c r="BG20" i="7"/>
  <c r="BG21" i="7"/>
  <c r="BF190" i="16"/>
  <c r="BG21" i="13"/>
  <c r="BG29" i="13" s="1"/>
  <c r="BG20" i="13"/>
  <c r="BG28" i="13" s="1"/>
  <c r="BG19" i="13"/>
  <c r="BG27" i="13" s="1"/>
  <c r="AL27" i="14"/>
  <c r="BF30" i="14"/>
  <c r="BF28" i="14"/>
  <c r="BF29" i="14"/>
  <c r="AM227" i="12"/>
  <c r="AI24" i="38"/>
  <c r="BB28" i="16"/>
  <c r="K33" i="38"/>
  <c r="J33" i="38"/>
  <c r="X33" i="38" s="1"/>
  <c r="AL46" i="12"/>
  <c r="AL110" i="12" s="1"/>
  <c r="AL45" i="12"/>
  <c r="AL109" i="12" s="1"/>
  <c r="AI76" i="38"/>
  <c r="AI70" i="38"/>
  <c r="AI52" i="38"/>
  <c r="AI85" i="38"/>
  <c r="AI99" i="38"/>
  <c r="AI31" i="38"/>
  <c r="AI92" i="38"/>
  <c r="AI58" i="38"/>
  <c r="AI32" i="38"/>
  <c r="AI63" i="38"/>
  <c r="AI44" i="38"/>
  <c r="AI95" i="38"/>
  <c r="AI94" i="38"/>
  <c r="AI38" i="38"/>
  <c r="AI39" i="38"/>
  <c r="AI78" i="38"/>
  <c r="AI73" i="38"/>
  <c r="AK20" i="38"/>
  <c r="AI83" i="38"/>
  <c r="AI86" i="38"/>
  <c r="AI62" i="38"/>
  <c r="AI69" i="38"/>
  <c r="AI75" i="38"/>
  <c r="AI51" i="38"/>
  <c r="AI47" i="38"/>
  <c r="AI88" i="38"/>
  <c r="AI42" i="38"/>
  <c r="AI23" i="38"/>
  <c r="AI80" i="38"/>
  <c r="AI68" i="38"/>
  <c r="BG37" i="13"/>
  <c r="BF126" i="12"/>
  <c r="BD287" i="12"/>
  <c r="BE26" i="16"/>
  <c r="BE20" i="16" s="1"/>
  <c r="BE125" i="16" s="1"/>
  <c r="BC27" i="16"/>
  <c r="BC21" i="16" s="1"/>
  <c r="BC30" i="16"/>
  <c r="AM78" i="12"/>
  <c r="BF38" i="12"/>
  <c r="BG30" i="12"/>
  <c r="BG76" i="7"/>
  <c r="AM40" i="7"/>
  <c r="AM31" i="7"/>
  <c r="AM94" i="7" s="1"/>
  <c r="BG124" i="8"/>
  <c r="BI124" i="8" s="1"/>
  <c r="BG73" i="8"/>
  <c r="AM48" i="8"/>
  <c r="AM40" i="8"/>
  <c r="AM31" i="8"/>
  <c r="AM91" i="8" s="1"/>
  <c r="BG118" i="10"/>
  <c r="BI118" i="10" s="1"/>
  <c r="BG67" i="10"/>
  <c r="AM49" i="10"/>
  <c r="AM40" i="10"/>
  <c r="AM31" i="10"/>
  <c r="AM85" i="10" s="1"/>
  <c r="BG67" i="11"/>
  <c r="AM48" i="11"/>
  <c r="AM49" i="11"/>
  <c r="AM40" i="11"/>
  <c r="AM31" i="11"/>
  <c r="O36" i="28"/>
  <c r="S36" i="28"/>
  <c r="AM226" i="12"/>
  <c r="BG135" i="14"/>
  <c r="AM225" i="12"/>
  <c r="BD162" i="14"/>
  <c r="BD51" i="14"/>
  <c r="BD44" i="14"/>
  <c r="AM38" i="7"/>
  <c r="BE29" i="16"/>
  <c r="BD32" i="14"/>
  <c r="BC140" i="14"/>
  <c r="BE31" i="14"/>
  <c r="AL48" i="14"/>
  <c r="AL49" i="14"/>
  <c r="AM38" i="8"/>
  <c r="AM47" i="8"/>
  <c r="AM46" i="8"/>
  <c r="BG213" i="16"/>
  <c r="AM30" i="7"/>
  <c r="AM93" i="7" s="1"/>
  <c r="X11" i="15"/>
  <c r="AM39" i="7"/>
  <c r="AM76" i="12"/>
  <c r="AM77" i="12"/>
  <c r="AM29" i="7"/>
  <c r="AM39" i="11"/>
  <c r="BG75" i="7"/>
  <c r="BG74" i="7"/>
  <c r="BG35" i="13"/>
  <c r="BM227" i="16"/>
  <c r="BM277" i="16"/>
  <c r="BM137" i="16"/>
  <c r="BD376" i="16"/>
  <c r="BD382" i="16"/>
  <c r="AM48" i="10"/>
  <c r="BE83" i="14"/>
  <c r="BG362" i="16"/>
  <c r="BF219" i="16"/>
  <c r="BG218" i="16"/>
  <c r="BM218" i="16" s="1"/>
  <c r="BG36" i="13"/>
  <c r="AN4" i="13"/>
  <c r="AN4" i="16"/>
  <c r="AN9" i="13"/>
  <c r="AN9" i="16"/>
  <c r="AM38" i="11"/>
  <c r="AM30" i="11"/>
  <c r="BF37" i="12"/>
  <c r="AM29" i="11"/>
  <c r="AM47" i="11"/>
  <c r="BD284" i="12"/>
  <c r="AM39" i="10"/>
  <c r="AM30" i="8"/>
  <c r="AM90" i="8" s="1"/>
  <c r="BE368" i="12"/>
  <c r="BE114" i="16" s="1"/>
  <c r="BE376" i="16" s="1"/>
  <c r="BF286" i="12"/>
  <c r="BF283" i="12"/>
  <c r="AL44" i="12"/>
  <c r="AM39" i="8"/>
  <c r="AM29" i="8"/>
  <c r="AM47" i="10"/>
  <c r="AM38" i="10"/>
  <c r="AM29" i="10"/>
  <c r="AM83" i="10" s="1"/>
  <c r="AM65" i="14" s="1"/>
  <c r="AM30" i="10"/>
  <c r="AM84" i="10" s="1"/>
  <c r="BF125" i="12"/>
  <c r="BF124" i="12"/>
  <c r="BG122" i="8"/>
  <c r="BG123" i="8"/>
  <c r="BI123" i="8" s="1"/>
  <c r="BG71" i="8"/>
  <c r="BG72" i="8"/>
  <c r="BG117" i="10"/>
  <c r="BI117" i="10" s="1"/>
  <c r="BG116" i="10"/>
  <c r="BI116" i="10" s="1"/>
  <c r="BG65" i="10"/>
  <c r="BG66" i="10"/>
  <c r="AN9" i="11"/>
  <c r="AN9" i="12"/>
  <c r="AN9" i="10"/>
  <c r="AN9" i="8"/>
  <c r="BG117" i="11"/>
  <c r="BI117" i="11" s="1"/>
  <c r="BG118" i="11"/>
  <c r="BI118" i="11" s="1"/>
  <c r="BG116" i="11"/>
  <c r="BI116" i="11" s="1"/>
  <c r="BG65" i="11"/>
  <c r="BG66" i="11"/>
  <c r="AN4" i="12"/>
  <c r="AN4" i="11"/>
  <c r="AN4" i="10"/>
  <c r="AN4" i="8"/>
  <c r="AG99" i="4"/>
  <c r="AN15" i="14" s="1"/>
  <c r="AG98" i="4"/>
  <c r="AN14" i="14" s="1"/>
  <c r="BG28" i="12"/>
  <c r="BG29" i="12"/>
  <c r="BF36" i="12"/>
  <c r="AH95" i="4"/>
  <c r="AO10" i="14" s="1"/>
  <c r="AN4" i="7"/>
  <c r="AN9" i="7"/>
  <c r="AG102" i="4"/>
  <c r="BG190" i="16" l="1"/>
  <c r="AL94" i="12"/>
  <c r="AM75" i="11"/>
  <c r="AM84" i="11"/>
  <c r="AM76" i="11"/>
  <c r="AM85" i="11"/>
  <c r="AM74" i="11"/>
  <c r="AM83" i="11"/>
  <c r="BG28" i="14"/>
  <c r="BG29" i="14"/>
  <c r="BG30" i="14"/>
  <c r="BC28" i="16"/>
  <c r="AI34" i="38"/>
  <c r="J34" i="38"/>
  <c r="X34" i="38" s="1"/>
  <c r="AL93" i="12"/>
  <c r="K34" i="38"/>
  <c r="AK21" i="38"/>
  <c r="AK24" i="38"/>
  <c r="BG126" i="12"/>
  <c r="BI126" i="12" s="1"/>
  <c r="BF26" i="16"/>
  <c r="BF20" i="16" s="1"/>
  <c r="BF125" i="16" s="1"/>
  <c r="BD30" i="16"/>
  <c r="BE287" i="12"/>
  <c r="BD27" i="16"/>
  <c r="BD21" i="16" s="1"/>
  <c r="AL108" i="12"/>
  <c r="BG38" i="12"/>
  <c r="AM103" i="7"/>
  <c r="AM85" i="7"/>
  <c r="AN67" i="7"/>
  <c r="AN134" i="8"/>
  <c r="AM100" i="8"/>
  <c r="AM81" i="8"/>
  <c r="AM82" i="8"/>
  <c r="AN64" i="8"/>
  <c r="AO128" i="10"/>
  <c r="AM94" i="10"/>
  <c r="AM76" i="10"/>
  <c r="AN58" i="10"/>
  <c r="AO128" i="11"/>
  <c r="AM94" i="11"/>
  <c r="AN58" i="11"/>
  <c r="Q43" i="28"/>
  <c r="AN133" i="8"/>
  <c r="AN132" i="8"/>
  <c r="AM83" i="7"/>
  <c r="BE51" i="14"/>
  <c r="BE44" i="14"/>
  <c r="BF29" i="16"/>
  <c r="BG30" i="16"/>
  <c r="BE32" i="14"/>
  <c r="BE162" i="14"/>
  <c r="BD140" i="14"/>
  <c r="AM84" i="7"/>
  <c r="BF31" i="14"/>
  <c r="AM67" i="14"/>
  <c r="AL43" i="14"/>
  <c r="AM102" i="7"/>
  <c r="AM99" i="8"/>
  <c r="AM93" i="11"/>
  <c r="AM92" i="11"/>
  <c r="AM93" i="10"/>
  <c r="AM92" i="10"/>
  <c r="CF22" i="22"/>
  <c r="AM399" i="12"/>
  <c r="AM358" i="12"/>
  <c r="AM105" i="16" s="1"/>
  <c r="BG217" i="16"/>
  <c r="BG219" i="16" s="1"/>
  <c r="BM213" i="16"/>
  <c r="BF83" i="14"/>
  <c r="AM74" i="10"/>
  <c r="AM75" i="10"/>
  <c r="BE382" i="16"/>
  <c r="AN6" i="13"/>
  <c r="AN6" i="16"/>
  <c r="AN7" i="13"/>
  <c r="AN7" i="16"/>
  <c r="AO3" i="13"/>
  <c r="AO3" i="16"/>
  <c r="AN10" i="13"/>
  <c r="AN10" i="16"/>
  <c r="AL92" i="12"/>
  <c r="BE284" i="12"/>
  <c r="BF368" i="12"/>
  <c r="BF114" i="16" s="1"/>
  <c r="BF376" i="16" s="1"/>
  <c r="BG286" i="12"/>
  <c r="BG283" i="12"/>
  <c r="AM80" i="8"/>
  <c r="BI122" i="8"/>
  <c r="BG124" i="12"/>
  <c r="BK124" i="12" s="1"/>
  <c r="BG36" i="12"/>
  <c r="BG125" i="12"/>
  <c r="BK125" i="12" s="1"/>
  <c r="AN10" i="7"/>
  <c r="AN10" i="12"/>
  <c r="AN10" i="11"/>
  <c r="AN10" i="10"/>
  <c r="AN10" i="8"/>
  <c r="AN6" i="11"/>
  <c r="AN6" i="12"/>
  <c r="AN6" i="10"/>
  <c r="AN6" i="8"/>
  <c r="AN6" i="7"/>
  <c r="BG37" i="12"/>
  <c r="AN7" i="12"/>
  <c r="AN7" i="11"/>
  <c r="AN7" i="10"/>
  <c r="AN7" i="8"/>
  <c r="AN7" i="7"/>
  <c r="AO3" i="12"/>
  <c r="AO3" i="11"/>
  <c r="AH101" i="4"/>
  <c r="AO3" i="10"/>
  <c r="AO3" i="8"/>
  <c r="AN62" i="8"/>
  <c r="AN63" i="8"/>
  <c r="AN57" i="10"/>
  <c r="AN56" i="10"/>
  <c r="AO127" i="10"/>
  <c r="AO126" i="10"/>
  <c r="AN56" i="11"/>
  <c r="AN57" i="11"/>
  <c r="AO126" i="11"/>
  <c r="AO127" i="11"/>
  <c r="AN65" i="7"/>
  <c r="AN66" i="7"/>
  <c r="AH96" i="4"/>
  <c r="AO11" i="14" s="1"/>
  <c r="AO3" i="7"/>
  <c r="AM66" i="14" l="1"/>
  <c r="AM47" i="14"/>
  <c r="AM27" i="14"/>
  <c r="AN227" i="12"/>
  <c r="AL81" i="14"/>
  <c r="BK126" i="12"/>
  <c r="J35" i="38"/>
  <c r="X35" i="38" s="1"/>
  <c r="K35" i="38"/>
  <c r="BD28" i="16"/>
  <c r="AM46" i="12"/>
  <c r="AM110" i="12" s="1"/>
  <c r="AK23" i="38"/>
  <c r="AK22" i="38"/>
  <c r="AK28" i="38"/>
  <c r="AK30" i="38"/>
  <c r="AK27" i="38"/>
  <c r="AM45" i="12"/>
  <c r="AK25" i="38"/>
  <c r="AK26" i="38"/>
  <c r="AK29" i="38"/>
  <c r="BE30" i="16"/>
  <c r="BE27" i="16"/>
  <c r="BE21" i="16" s="1"/>
  <c r="AN78" i="12"/>
  <c r="AN40" i="7"/>
  <c r="AN31" i="7"/>
  <c r="AN94" i="7" s="1"/>
  <c r="AN48" i="8"/>
  <c r="AN40" i="8"/>
  <c r="AN31" i="8"/>
  <c r="AN91" i="8" s="1"/>
  <c r="AN49" i="10"/>
  <c r="AN40" i="10"/>
  <c r="AN31" i="10"/>
  <c r="AN85" i="10" s="1"/>
  <c r="AN47" i="11"/>
  <c r="AN49" i="11"/>
  <c r="AN40" i="11"/>
  <c r="AN31" i="11"/>
  <c r="S28" i="28"/>
  <c r="V36" i="28"/>
  <c r="AN226" i="12"/>
  <c r="O28" i="28"/>
  <c r="AN225" i="12"/>
  <c r="BG29" i="16"/>
  <c r="BF287" i="12"/>
  <c r="BF32" i="14"/>
  <c r="BF51" i="14"/>
  <c r="BF44" i="14"/>
  <c r="BG31" i="14"/>
  <c r="BF162" i="14"/>
  <c r="BE140" i="14"/>
  <c r="AM48" i="14"/>
  <c r="AM49" i="14"/>
  <c r="AN30" i="8"/>
  <c r="AN90" i="8" s="1"/>
  <c r="AN47" i="8"/>
  <c r="AN46" i="8"/>
  <c r="AN76" i="12"/>
  <c r="AN77" i="12"/>
  <c r="BM217" i="16"/>
  <c r="BM219" i="16" s="1"/>
  <c r="AN29" i="10"/>
  <c r="AN83" i="10" s="1"/>
  <c r="AN65" i="14" s="1"/>
  <c r="AN48" i="10"/>
  <c r="BG83" i="14"/>
  <c r="BI83" i="14" s="1"/>
  <c r="AM44" i="12"/>
  <c r="BF382" i="16"/>
  <c r="AN29" i="7"/>
  <c r="AO4" i="13"/>
  <c r="AO4" i="16"/>
  <c r="AO9" i="13"/>
  <c r="AO9" i="16"/>
  <c r="AN39" i="7"/>
  <c r="AN38" i="7"/>
  <c r="AN30" i="7"/>
  <c r="AN93" i="7" s="1"/>
  <c r="BF284" i="12"/>
  <c r="BG26" i="16"/>
  <c r="AN29" i="11"/>
  <c r="AN38" i="11"/>
  <c r="AN30" i="11"/>
  <c r="AN48" i="11"/>
  <c r="AN39" i="11"/>
  <c r="AN38" i="10"/>
  <c r="BG368" i="12"/>
  <c r="BG114" i="16" s="1"/>
  <c r="AN47" i="10"/>
  <c r="AN29" i="8"/>
  <c r="AN39" i="10"/>
  <c r="BI125" i="12"/>
  <c r="BI124" i="12"/>
  <c r="AO4" i="12"/>
  <c r="AO4" i="11"/>
  <c r="AO4" i="10"/>
  <c r="AO4" i="8"/>
  <c r="AH99" i="4"/>
  <c r="AO15" i="14" s="1"/>
  <c r="AH98" i="4"/>
  <c r="AO14" i="14" s="1"/>
  <c r="AN30" i="10"/>
  <c r="AN84" i="10" s="1"/>
  <c r="AN39" i="8"/>
  <c r="AN38" i="8"/>
  <c r="AO9" i="12"/>
  <c r="AO9" i="10"/>
  <c r="AO9" i="11"/>
  <c r="AO9" i="8"/>
  <c r="AI95" i="4"/>
  <c r="AP10" i="14" s="1"/>
  <c r="AO4" i="7"/>
  <c r="AH102" i="4"/>
  <c r="AO9" i="7"/>
  <c r="AM94" i="12" l="1"/>
  <c r="AN75" i="11"/>
  <c r="AN84" i="11"/>
  <c r="AN76" i="11"/>
  <c r="AN85" i="11"/>
  <c r="AN74" i="11"/>
  <c r="AN83" i="11"/>
  <c r="AN66" i="14" s="1"/>
  <c r="BB31" i="14"/>
  <c r="AP31" i="14"/>
  <c r="AX31" i="14"/>
  <c r="AQ31" i="14"/>
  <c r="AY31" i="14"/>
  <c r="AR31" i="14"/>
  <c r="AZ31" i="14"/>
  <c r="AK31" i="14"/>
  <c r="AS31" i="14"/>
  <c r="BA31" i="14"/>
  <c r="AT31" i="14"/>
  <c r="AM31" i="14"/>
  <c r="AU31" i="14"/>
  <c r="AN31" i="14"/>
  <c r="AV31" i="14"/>
  <c r="AW31" i="14"/>
  <c r="AO31" i="14"/>
  <c r="K36" i="38"/>
  <c r="J36" i="38"/>
  <c r="X36" i="38" s="1"/>
  <c r="BE28" i="16"/>
  <c r="AM109" i="12"/>
  <c r="AM93" i="12"/>
  <c r="BF30" i="16"/>
  <c r="BF27" i="16"/>
  <c r="BF21" i="16" s="1"/>
  <c r="AN103" i="7"/>
  <c r="AN85" i="7"/>
  <c r="AO67" i="7"/>
  <c r="AO134" i="8"/>
  <c r="AN100" i="8"/>
  <c r="AN82" i="8"/>
  <c r="AO64" i="8"/>
  <c r="AP128" i="10"/>
  <c r="AN94" i="10"/>
  <c r="AN76" i="10"/>
  <c r="AO58" i="10"/>
  <c r="AP128" i="11"/>
  <c r="AN94" i="11"/>
  <c r="AO58" i="11"/>
  <c r="O39" i="28"/>
  <c r="Q36" i="28"/>
  <c r="S39" i="28"/>
  <c r="AN81" i="8"/>
  <c r="AO133" i="8"/>
  <c r="AO132" i="8"/>
  <c r="BG20" i="16"/>
  <c r="BG125" i="16" s="1"/>
  <c r="BG21" i="16"/>
  <c r="BF140" i="14"/>
  <c r="BG51" i="14"/>
  <c r="BG44" i="14"/>
  <c r="AN99" i="8"/>
  <c r="BG162" i="14"/>
  <c r="BG32" i="14"/>
  <c r="AM50" i="14"/>
  <c r="AN67" i="14"/>
  <c r="AM43" i="14"/>
  <c r="AN84" i="7"/>
  <c r="AN102" i="7"/>
  <c r="AN83" i="7"/>
  <c r="AN92" i="11"/>
  <c r="AN93" i="11"/>
  <c r="AN93" i="10"/>
  <c r="AN92" i="10"/>
  <c r="AN358" i="12"/>
  <c r="AN105" i="16" s="1"/>
  <c r="AN399" i="12"/>
  <c r="AM108" i="12"/>
  <c r="AN74" i="10"/>
  <c r="AM92" i="12"/>
  <c r="BG376" i="16"/>
  <c r="AO10" i="13"/>
  <c r="AO10" i="16"/>
  <c r="AP3" i="13"/>
  <c r="AP3" i="16"/>
  <c r="AO6" i="13"/>
  <c r="AO6" i="16"/>
  <c r="AO7" i="13"/>
  <c r="AO7" i="16"/>
  <c r="BG28" i="16"/>
  <c r="AN80" i="8"/>
  <c r="AO7" i="12"/>
  <c r="AO7" i="11"/>
  <c r="AO7" i="10"/>
  <c r="AO7" i="8"/>
  <c r="AO7" i="7"/>
  <c r="AO10" i="7"/>
  <c r="AO10" i="11"/>
  <c r="AO10" i="12"/>
  <c r="AO10" i="10"/>
  <c r="AO10" i="8"/>
  <c r="AO62" i="8"/>
  <c r="AO63" i="8"/>
  <c r="AI101" i="4"/>
  <c r="AP3" i="12"/>
  <c r="AP3" i="11"/>
  <c r="AP3" i="10"/>
  <c r="AP3" i="8"/>
  <c r="AN75" i="10"/>
  <c r="AO57" i="10"/>
  <c r="AO56" i="10"/>
  <c r="AP126" i="10"/>
  <c r="AP127" i="10"/>
  <c r="AO56" i="11"/>
  <c r="AO57" i="11"/>
  <c r="AP126" i="11"/>
  <c r="AP127" i="11"/>
  <c r="AO6" i="12"/>
  <c r="AO6" i="11"/>
  <c r="AO6" i="10"/>
  <c r="AO6" i="8"/>
  <c r="AO6" i="7"/>
  <c r="AO65" i="7"/>
  <c r="AO66" i="7"/>
  <c r="AI96" i="4"/>
  <c r="AP11" i="14" s="1"/>
  <c r="AP3" i="7"/>
  <c r="AN27" i="14" l="1"/>
  <c r="AO227" i="12"/>
  <c r="AK32" i="14"/>
  <c r="AK162" i="14"/>
  <c r="AK51" i="14"/>
  <c r="AJ140" i="14"/>
  <c r="AK44" i="14"/>
  <c r="AY162" i="14"/>
  <c r="AY44" i="14"/>
  <c r="AX140" i="14"/>
  <c r="AY32" i="14"/>
  <c r="AY51" i="14"/>
  <c r="AW51" i="14"/>
  <c r="AW44" i="14"/>
  <c r="AV140" i="14"/>
  <c r="AW162" i="14"/>
  <c r="AW32" i="14"/>
  <c r="AQ162" i="14"/>
  <c r="AQ44" i="14"/>
  <c r="AQ32" i="14"/>
  <c r="AP140" i="14"/>
  <c r="AQ51" i="14"/>
  <c r="AV51" i="14"/>
  <c r="AV44" i="14"/>
  <c r="AV162" i="14"/>
  <c r="AV32" i="14"/>
  <c r="AU140" i="14"/>
  <c r="AT32" i="14"/>
  <c r="AT162" i="14"/>
  <c r="AS140" i="14"/>
  <c r="AT51" i="14"/>
  <c r="AT44" i="14"/>
  <c r="BB51" i="14"/>
  <c r="BB44" i="14"/>
  <c r="BB162" i="14"/>
  <c r="BA140" i="14"/>
  <c r="BB32" i="14"/>
  <c r="AN51" i="14"/>
  <c r="AM140" i="14"/>
  <c r="AN44" i="14"/>
  <c r="AN32" i="14"/>
  <c r="AN162" i="14"/>
  <c r="AL79" i="14"/>
  <c r="AL31" i="14"/>
  <c r="AZ51" i="14"/>
  <c r="AZ32" i="14"/>
  <c r="AZ44" i="14"/>
  <c r="AZ162" i="14"/>
  <c r="AY140" i="14"/>
  <c r="AR44" i="14"/>
  <c r="AR51" i="14"/>
  <c r="AR32" i="14"/>
  <c r="AQ140" i="14"/>
  <c r="AR162" i="14"/>
  <c r="AX44" i="14"/>
  <c r="AW140" i="14"/>
  <c r="AX51" i="14"/>
  <c r="AX32" i="14"/>
  <c r="AX162" i="14"/>
  <c r="AO162" i="14"/>
  <c r="AO51" i="14"/>
  <c r="AO44" i="14"/>
  <c r="AO32" i="14"/>
  <c r="AN140" i="14"/>
  <c r="AP51" i="14"/>
  <c r="AP32" i="14"/>
  <c r="AP162" i="14"/>
  <c r="AO140" i="14"/>
  <c r="AP44" i="14"/>
  <c r="AU51" i="14"/>
  <c r="AU44" i="14"/>
  <c r="AU32" i="14"/>
  <c r="AT140" i="14"/>
  <c r="AU162" i="14"/>
  <c r="AZ140" i="14"/>
  <c r="BA51" i="14"/>
  <c r="BA162" i="14"/>
  <c r="BA32" i="14"/>
  <c r="BA44" i="14"/>
  <c r="AM32" i="14"/>
  <c r="AM51" i="14"/>
  <c r="AM44" i="14"/>
  <c r="AM162" i="14"/>
  <c r="AL140" i="14"/>
  <c r="AS44" i="14"/>
  <c r="AR140" i="14"/>
  <c r="AS32" i="14"/>
  <c r="AS51" i="14"/>
  <c r="AS162" i="14"/>
  <c r="I51" i="15"/>
  <c r="O21" i="15"/>
  <c r="J37" i="38"/>
  <c r="X37" i="38" s="1"/>
  <c r="AK31" i="38"/>
  <c r="K37" i="38"/>
  <c r="AN45" i="12"/>
  <c r="AN109" i="12" s="1"/>
  <c r="BF28" i="16"/>
  <c r="AN46" i="12"/>
  <c r="AO78" i="12"/>
  <c r="AO40" i="7"/>
  <c r="AO31" i="7"/>
  <c r="AO94" i="7" s="1"/>
  <c r="AO48" i="8"/>
  <c r="AO40" i="8"/>
  <c r="AO31" i="8"/>
  <c r="AO91" i="8" s="1"/>
  <c r="AO49" i="10"/>
  <c r="AO40" i="10"/>
  <c r="AO31" i="10"/>
  <c r="AO85" i="10" s="1"/>
  <c r="AO49" i="11"/>
  <c r="AO40" i="11"/>
  <c r="AO31" i="11"/>
  <c r="S37" i="28"/>
  <c r="R36" i="28"/>
  <c r="U36" i="28"/>
  <c r="AO226" i="12"/>
  <c r="O37" i="28"/>
  <c r="AM79" i="14"/>
  <c r="AO225" i="12"/>
  <c r="BG382" i="16"/>
  <c r="AN47" i="14"/>
  <c r="AN48" i="14"/>
  <c r="AO47" i="8"/>
  <c r="AO46" i="8"/>
  <c r="AN49" i="14"/>
  <c r="AO77" i="12"/>
  <c r="AO76" i="12"/>
  <c r="AM81" i="14"/>
  <c r="AO48" i="10"/>
  <c r="AO39" i="7"/>
  <c r="AP9" i="13"/>
  <c r="AP9" i="16"/>
  <c r="AP4" i="13"/>
  <c r="AP4" i="16"/>
  <c r="AO30" i="7"/>
  <c r="AO93" i="7" s="1"/>
  <c r="AO29" i="7"/>
  <c r="AO30" i="11"/>
  <c r="AO38" i="11"/>
  <c r="AO39" i="11"/>
  <c r="AO48" i="11"/>
  <c r="AO47" i="11"/>
  <c r="AO29" i="11"/>
  <c r="AO38" i="7"/>
  <c r="AO38" i="8"/>
  <c r="AO29" i="10"/>
  <c r="AO83" i="10" s="1"/>
  <c r="AO65" i="14" s="1"/>
  <c r="AO38" i="10"/>
  <c r="AO39" i="10"/>
  <c r="AO47" i="10"/>
  <c r="AO39" i="8"/>
  <c r="AO30" i="8"/>
  <c r="AO90" i="8" s="1"/>
  <c r="AO29" i="8"/>
  <c r="AO30" i="10"/>
  <c r="AO84" i="10" s="1"/>
  <c r="AN44" i="12"/>
  <c r="AP4" i="11"/>
  <c r="AP4" i="12"/>
  <c r="AP4" i="10"/>
  <c r="AP4" i="8"/>
  <c r="AI99" i="4"/>
  <c r="AP15" i="14" s="1"/>
  <c r="AI98" i="4"/>
  <c r="AP14" i="14" s="1"/>
  <c r="AP9" i="11"/>
  <c r="AP9" i="12"/>
  <c r="AP9" i="10"/>
  <c r="AP9" i="8"/>
  <c r="AJ95" i="4"/>
  <c r="AQ10" i="14" s="1"/>
  <c r="AP4" i="7"/>
  <c r="AI102" i="4"/>
  <c r="AP9" i="7"/>
  <c r="AO74" i="11" l="1"/>
  <c r="AO83" i="11"/>
  <c r="AO75" i="11"/>
  <c r="AO84" i="11"/>
  <c r="AO76" i="11"/>
  <c r="AO85" i="11"/>
  <c r="AN93" i="12"/>
  <c r="AL162" i="14"/>
  <c r="AK140" i="14"/>
  <c r="AL32" i="14"/>
  <c r="AL51" i="14"/>
  <c r="AL44" i="14"/>
  <c r="AK32" i="38"/>
  <c r="J38" i="38"/>
  <c r="X38" i="38" s="1"/>
  <c r="K38" i="38"/>
  <c r="AN110" i="12"/>
  <c r="AN94" i="12"/>
  <c r="AN92" i="12"/>
  <c r="AN79" i="14" s="1"/>
  <c r="AO103" i="7"/>
  <c r="AO85" i="7"/>
  <c r="AP67" i="7"/>
  <c r="AP134" i="8"/>
  <c r="AO100" i="8"/>
  <c r="AO82" i="8"/>
  <c r="AP64" i="8"/>
  <c r="AQ128" i="10"/>
  <c r="AO94" i="10"/>
  <c r="AO76" i="10"/>
  <c r="AP58" i="10"/>
  <c r="AQ128" i="11"/>
  <c r="AO94" i="11"/>
  <c r="AP58" i="11"/>
  <c r="S34" i="28"/>
  <c r="V39" i="28"/>
  <c r="O34" i="28"/>
  <c r="V28" i="28"/>
  <c r="Q39" i="28"/>
  <c r="V34" i="28"/>
  <c r="AP132" i="8"/>
  <c r="AP133" i="8"/>
  <c r="AN50" i="14"/>
  <c r="AO67" i="14"/>
  <c r="AN43" i="14"/>
  <c r="AO102" i="7"/>
  <c r="AO93" i="11"/>
  <c r="AO84" i="7"/>
  <c r="AO92" i="11"/>
  <c r="AO99" i="8"/>
  <c r="AO83" i="7"/>
  <c r="AO93" i="10"/>
  <c r="AO92" i="10"/>
  <c r="AO358" i="12"/>
  <c r="AO105" i="16" s="1"/>
  <c r="AO399" i="12"/>
  <c r="AO81" i="8"/>
  <c r="AO74" i="10"/>
  <c r="AO75" i="10"/>
  <c r="AO80" i="8"/>
  <c r="AP7" i="13"/>
  <c r="AP7" i="16"/>
  <c r="AP10" i="13"/>
  <c r="AP10" i="16"/>
  <c r="AQ3" i="13"/>
  <c r="AQ3" i="16"/>
  <c r="AP6" i="13"/>
  <c r="AP6" i="16"/>
  <c r="AN108" i="12"/>
  <c r="AP7" i="12"/>
  <c r="AP7" i="11"/>
  <c r="AP7" i="10"/>
  <c r="AP7" i="8"/>
  <c r="AP7" i="7"/>
  <c r="AQ3" i="12"/>
  <c r="AJ101" i="4"/>
  <c r="AQ3" i="11"/>
  <c r="AQ3" i="10"/>
  <c r="AQ3" i="8"/>
  <c r="AP63" i="8"/>
  <c r="AP62" i="8"/>
  <c r="AP56" i="10"/>
  <c r="AP57" i="10"/>
  <c r="AQ127" i="10"/>
  <c r="AQ126" i="10"/>
  <c r="AP56" i="11"/>
  <c r="AP57" i="11"/>
  <c r="AQ126" i="11"/>
  <c r="AQ127" i="11"/>
  <c r="AP10" i="7"/>
  <c r="AP10" i="11"/>
  <c r="AP10" i="12"/>
  <c r="AP10" i="10"/>
  <c r="AP10" i="8"/>
  <c r="AP6" i="12"/>
  <c r="AP6" i="11"/>
  <c r="AP6" i="10"/>
  <c r="AP6" i="8"/>
  <c r="AP6" i="7"/>
  <c r="AP65" i="7"/>
  <c r="AP66" i="7"/>
  <c r="AJ96" i="4"/>
  <c r="AQ11" i="14" s="1"/>
  <c r="AQ3" i="7"/>
  <c r="AO66" i="14" l="1"/>
  <c r="AO27" i="14"/>
  <c r="AP227" i="12"/>
  <c r="K39" i="38"/>
  <c r="AM104" i="14"/>
  <c r="AN104" i="14"/>
  <c r="AK33" i="38"/>
  <c r="J39" i="38"/>
  <c r="X39" i="38" s="1"/>
  <c r="AO45" i="12"/>
  <c r="AO46" i="12"/>
  <c r="AP78" i="12"/>
  <c r="AP40" i="7"/>
  <c r="AP31" i="7"/>
  <c r="AP94" i="7" s="1"/>
  <c r="AP48" i="8"/>
  <c r="AP40" i="8"/>
  <c r="AP31" i="8"/>
  <c r="AP91" i="8" s="1"/>
  <c r="AP49" i="10"/>
  <c r="AP40" i="10"/>
  <c r="AP31" i="10"/>
  <c r="AP85" i="10" s="1"/>
  <c r="AP49" i="11"/>
  <c r="AP40" i="11"/>
  <c r="AP31" i="11"/>
  <c r="AP226" i="12"/>
  <c r="Q37" i="28"/>
  <c r="R39" i="28"/>
  <c r="U39" i="28"/>
  <c r="O29" i="28"/>
  <c r="S29" i="28"/>
  <c r="V29" i="28"/>
  <c r="AP225" i="12"/>
  <c r="AO47" i="14"/>
  <c r="AO48" i="14"/>
  <c r="AO49" i="14"/>
  <c r="AP47" i="8"/>
  <c r="AP46" i="8"/>
  <c r="AP77" i="12"/>
  <c r="AP76" i="12"/>
  <c r="AP39" i="8"/>
  <c r="AP29" i="10"/>
  <c r="AP83" i="10" s="1"/>
  <c r="AP65" i="14" s="1"/>
  <c r="AP48" i="10"/>
  <c r="AO44" i="12"/>
  <c r="AN81" i="14"/>
  <c r="AQ4" i="13"/>
  <c r="AQ4" i="16"/>
  <c r="AQ9" i="13"/>
  <c r="AQ9" i="16"/>
  <c r="AP39" i="7"/>
  <c r="AP29" i="7"/>
  <c r="AP38" i="7"/>
  <c r="AP39" i="11"/>
  <c r="AP47" i="11"/>
  <c r="AP30" i="7"/>
  <c r="AP93" i="7" s="1"/>
  <c r="AP29" i="11"/>
  <c r="AP48" i="11"/>
  <c r="AP38" i="11"/>
  <c r="AP38" i="10"/>
  <c r="AP39" i="10"/>
  <c r="AP47" i="10"/>
  <c r="AP30" i="10"/>
  <c r="AP84" i="10" s="1"/>
  <c r="AP30" i="11"/>
  <c r="AP38" i="8"/>
  <c r="AP30" i="8"/>
  <c r="AP90" i="8" s="1"/>
  <c r="AP29" i="8"/>
  <c r="AQ9" i="11"/>
  <c r="AQ9" i="12"/>
  <c r="AQ9" i="10"/>
  <c r="AQ9" i="8"/>
  <c r="AQ4" i="11"/>
  <c r="AQ4" i="12"/>
  <c r="AQ4" i="10"/>
  <c r="AQ4" i="8"/>
  <c r="AJ99" i="4"/>
  <c r="AQ15" i="14" s="1"/>
  <c r="AJ98" i="4"/>
  <c r="AQ14" i="14" s="1"/>
  <c r="AK95" i="4"/>
  <c r="AR10" i="14" s="1"/>
  <c r="AQ4" i="7"/>
  <c r="AJ102" i="4"/>
  <c r="AQ9" i="7"/>
  <c r="AP75" i="11" l="1"/>
  <c r="AP84" i="11"/>
  <c r="AP74" i="11"/>
  <c r="AP83" i="11"/>
  <c r="AP76" i="11"/>
  <c r="AP85" i="11"/>
  <c r="K40" i="38"/>
  <c r="J40" i="38"/>
  <c r="X40" i="38" s="1"/>
  <c r="AK34" i="38"/>
  <c r="X104" i="14"/>
  <c r="AH104" i="14"/>
  <c r="Y104" i="14"/>
  <c r="AB104" i="14"/>
  <c r="Z104" i="14"/>
  <c r="AA104" i="14"/>
  <c r="AC104" i="14"/>
  <c r="U104" i="14"/>
  <c r="AD104" i="14"/>
  <c r="AL104" i="14"/>
  <c r="T104" i="14"/>
  <c r="AE104" i="14"/>
  <c r="V104" i="14"/>
  <c r="AF104" i="14"/>
  <c r="W104" i="14"/>
  <c r="AG104" i="14"/>
  <c r="AO110" i="12"/>
  <c r="AO94" i="12"/>
  <c r="AO109" i="12"/>
  <c r="AO93" i="12"/>
  <c r="AP104" i="14"/>
  <c r="AO92" i="12"/>
  <c r="AO79" i="14" s="1"/>
  <c r="AP103" i="7"/>
  <c r="AP85" i="7"/>
  <c r="AQ67" i="7"/>
  <c r="AQ134" i="8"/>
  <c r="AP100" i="8"/>
  <c r="AP82" i="8"/>
  <c r="AQ64" i="8"/>
  <c r="AR128" i="10"/>
  <c r="AP94" i="10"/>
  <c r="AP76" i="10"/>
  <c r="AQ58" i="10"/>
  <c r="AR128" i="11"/>
  <c r="AP94" i="11"/>
  <c r="AQ58" i="11"/>
  <c r="Q34" i="28"/>
  <c r="O31" i="28"/>
  <c r="BN78" i="28"/>
  <c r="S31" i="28"/>
  <c r="V37" i="28"/>
  <c r="BJ78" i="28"/>
  <c r="R37" i="28"/>
  <c r="U37" i="28"/>
  <c r="AE47" i="14"/>
  <c r="AE50" i="14" s="1"/>
  <c r="AE51" i="14" s="1"/>
  <c r="AG47" i="14"/>
  <c r="AG50" i="14" s="1"/>
  <c r="AQ132" i="8"/>
  <c r="AQ133" i="8"/>
  <c r="AO50" i="14"/>
  <c r="AP74" i="10"/>
  <c r="AP67" i="14"/>
  <c r="AO43" i="14"/>
  <c r="AP84" i="7"/>
  <c r="AP102" i="7"/>
  <c r="AP83" i="7"/>
  <c r="AP99" i="8"/>
  <c r="AP93" i="11"/>
  <c r="AP92" i="11"/>
  <c r="AP93" i="10"/>
  <c r="AP92" i="10"/>
  <c r="AP358" i="12"/>
  <c r="AP105" i="16" s="1"/>
  <c r="AP399" i="12"/>
  <c r="AO108" i="12"/>
  <c r="AP75" i="10"/>
  <c r="AR3" i="13"/>
  <c r="AR3" i="16"/>
  <c r="AQ6" i="13"/>
  <c r="AQ6" i="16"/>
  <c r="AQ7" i="13"/>
  <c r="AQ7" i="16"/>
  <c r="AQ10" i="13"/>
  <c r="AQ10" i="16"/>
  <c r="AP80" i="8"/>
  <c r="AP81" i="8"/>
  <c r="AQ56" i="11"/>
  <c r="AQ57" i="11"/>
  <c r="AR127" i="11"/>
  <c r="AR126" i="11"/>
  <c r="AQ6" i="12"/>
  <c r="AQ6" i="11"/>
  <c r="AQ6" i="10"/>
  <c r="AQ6" i="8"/>
  <c r="AQ6" i="7"/>
  <c r="AQ10" i="7"/>
  <c r="AQ10" i="11"/>
  <c r="AQ10" i="12"/>
  <c r="AQ10" i="10"/>
  <c r="AQ10" i="8"/>
  <c r="AQ7" i="12"/>
  <c r="AQ7" i="11"/>
  <c r="AQ7" i="10"/>
  <c r="AQ7" i="8"/>
  <c r="AQ7" i="7"/>
  <c r="AQ63" i="8"/>
  <c r="AQ62" i="8"/>
  <c r="AQ57" i="10"/>
  <c r="AQ56" i="10"/>
  <c r="AR126" i="10"/>
  <c r="AR127" i="10"/>
  <c r="AK101" i="4"/>
  <c r="AR3" i="12"/>
  <c r="AR3" i="11"/>
  <c r="AR3" i="10"/>
  <c r="AR3" i="8"/>
  <c r="AQ65" i="7"/>
  <c r="AQ66" i="7"/>
  <c r="AK96" i="4"/>
  <c r="AR11" i="14" s="1"/>
  <c r="AR3" i="7"/>
  <c r="AP66" i="14" l="1"/>
  <c r="AP27" i="14"/>
  <c r="AQ227" i="12"/>
  <c r="BM104" i="14"/>
  <c r="U43" i="14"/>
  <c r="U44" i="14" s="1"/>
  <c r="AF43" i="14"/>
  <c r="J41" i="38"/>
  <c r="X41" i="38" s="1"/>
  <c r="AJ43" i="14"/>
  <c r="X43" i="14"/>
  <c r="X44" i="14" s="1"/>
  <c r="AE43" i="14"/>
  <c r="AE44" i="14" s="1"/>
  <c r="AI40" i="38"/>
  <c r="T43" i="14"/>
  <c r="T44" i="14" s="1"/>
  <c r="W43" i="14"/>
  <c r="AG43" i="14"/>
  <c r="AI43" i="14"/>
  <c r="AD43" i="14"/>
  <c r="AD44" i="14" s="1"/>
  <c r="K41" i="38"/>
  <c r="V43" i="14"/>
  <c r="V44" i="14" s="1"/>
  <c r="AK43" i="14"/>
  <c r="AH43" i="14"/>
  <c r="AK35" i="38"/>
  <c r="AP45" i="12"/>
  <c r="AP46" i="12"/>
  <c r="AQ78" i="12"/>
  <c r="AQ40" i="7"/>
  <c r="AQ31" i="7"/>
  <c r="AQ94" i="7" s="1"/>
  <c r="AQ48" i="8"/>
  <c r="AQ40" i="8"/>
  <c r="AQ31" i="8"/>
  <c r="AQ91" i="8" s="1"/>
  <c r="AQ49" i="10"/>
  <c r="AQ40" i="10"/>
  <c r="AQ31" i="10"/>
  <c r="AQ85" i="10" s="1"/>
  <c r="AQ49" i="11"/>
  <c r="AQ40" i="11"/>
  <c r="AQ31" i="11"/>
  <c r="AH47" i="14"/>
  <c r="AH50" i="14" s="1"/>
  <c r="Q29" i="28"/>
  <c r="AQ226" i="12"/>
  <c r="AL47" i="14"/>
  <c r="AL50" i="14" s="1"/>
  <c r="AK47" i="14"/>
  <c r="AK50" i="14" s="1"/>
  <c r="AI47" i="14"/>
  <c r="AI50" i="14" s="1"/>
  <c r="R34" i="28"/>
  <c r="U34" i="28"/>
  <c r="AQ225" i="12"/>
  <c r="AO81" i="14"/>
  <c r="AP47" i="14"/>
  <c r="AP48" i="14"/>
  <c r="AP49" i="14"/>
  <c r="AQ47" i="8"/>
  <c r="AQ46" i="8"/>
  <c r="AQ77" i="12"/>
  <c r="AQ76" i="12"/>
  <c r="AQ38" i="10"/>
  <c r="AQ48" i="10"/>
  <c r="AQ38" i="7"/>
  <c r="AR9" i="13"/>
  <c r="AR9" i="16"/>
  <c r="AR4" i="13"/>
  <c r="AR4" i="16"/>
  <c r="AQ29" i="8"/>
  <c r="AQ29" i="7"/>
  <c r="AQ30" i="7"/>
  <c r="AQ93" i="7" s="1"/>
  <c r="AQ39" i="7"/>
  <c r="AQ30" i="8"/>
  <c r="AQ90" i="8" s="1"/>
  <c r="AQ39" i="8"/>
  <c r="AQ38" i="8"/>
  <c r="AP44" i="12"/>
  <c r="AQ47" i="11"/>
  <c r="AQ38" i="11"/>
  <c r="AQ29" i="10"/>
  <c r="AQ83" i="10" s="1"/>
  <c r="AQ30" i="10"/>
  <c r="AQ84" i="10" s="1"/>
  <c r="AQ47" i="10"/>
  <c r="AQ48" i="11"/>
  <c r="AR4" i="11"/>
  <c r="AR4" i="12"/>
  <c r="AR4" i="10"/>
  <c r="AR4" i="8"/>
  <c r="AK99" i="4"/>
  <c r="AR15" i="14" s="1"/>
  <c r="AK98" i="4"/>
  <c r="AR14" i="14" s="1"/>
  <c r="AR9" i="11"/>
  <c r="AR9" i="12"/>
  <c r="AR9" i="10"/>
  <c r="AR9" i="8"/>
  <c r="AQ39" i="10"/>
  <c r="AQ29" i="11"/>
  <c r="AQ39" i="11"/>
  <c r="AQ30" i="11"/>
  <c r="AL95" i="4"/>
  <c r="AS10" i="14" s="1"/>
  <c r="AR4" i="7"/>
  <c r="AK102" i="4"/>
  <c r="AR9" i="7"/>
  <c r="AQ65" i="14" l="1"/>
  <c r="AQ76" i="11"/>
  <c r="AQ85" i="11"/>
  <c r="AQ75" i="11"/>
  <c r="AQ84" i="11"/>
  <c r="AQ74" i="11"/>
  <c r="AQ83" i="11"/>
  <c r="AQ66" i="14" s="1"/>
  <c r="BM43" i="14"/>
  <c r="BM44" i="14" s="1"/>
  <c r="W44" i="14"/>
  <c r="X81" i="14"/>
  <c r="X79" i="14"/>
  <c r="AK81" i="14"/>
  <c r="AK79" i="14"/>
  <c r="V81" i="14"/>
  <c r="V79" i="14"/>
  <c r="AE81" i="14"/>
  <c r="AE79" i="14"/>
  <c r="AG81" i="14"/>
  <c r="AG79" i="14"/>
  <c r="U81" i="14"/>
  <c r="U79" i="14"/>
  <c r="AJ81" i="14"/>
  <c r="AJ79" i="14"/>
  <c r="J42" i="38"/>
  <c r="X42" i="38" s="1"/>
  <c r="AD81" i="14"/>
  <c r="AD79" i="14"/>
  <c r="W81" i="14"/>
  <c r="W79" i="14"/>
  <c r="AH81" i="14"/>
  <c r="AH79" i="14"/>
  <c r="AK36" i="38"/>
  <c r="AI81" i="14"/>
  <c r="AI79" i="14"/>
  <c r="K42" i="38"/>
  <c r="AF81" i="14"/>
  <c r="AF79" i="14"/>
  <c r="AQ104" i="14"/>
  <c r="AP109" i="12"/>
  <c r="AP93" i="12"/>
  <c r="AP110" i="12"/>
  <c r="AP94" i="12"/>
  <c r="AQ103" i="7"/>
  <c r="AQ85" i="7"/>
  <c r="AR67" i="7"/>
  <c r="AR134" i="8"/>
  <c r="AQ100" i="8"/>
  <c r="AQ82" i="8"/>
  <c r="AR64" i="8"/>
  <c r="AS128" i="10"/>
  <c r="AQ94" i="10"/>
  <c r="AQ76" i="10"/>
  <c r="AR58" i="10"/>
  <c r="AS128" i="11"/>
  <c r="AQ94" i="11"/>
  <c r="AR58" i="11"/>
  <c r="Q31" i="28"/>
  <c r="R29" i="28"/>
  <c r="U29" i="28"/>
  <c r="AR132" i="8"/>
  <c r="AR133" i="8"/>
  <c r="AP50" i="14"/>
  <c r="AQ67" i="14"/>
  <c r="AP43" i="14"/>
  <c r="AQ93" i="11"/>
  <c r="AQ81" i="8"/>
  <c r="AQ99" i="8"/>
  <c r="AQ92" i="11"/>
  <c r="AQ102" i="7"/>
  <c r="AQ92" i="10"/>
  <c r="AQ93" i="10"/>
  <c r="AQ358" i="12"/>
  <c r="AQ105" i="16" s="1"/>
  <c r="AQ399" i="12"/>
  <c r="AQ83" i="7"/>
  <c r="AQ80" i="8"/>
  <c r="AQ84" i="7"/>
  <c r="AQ74" i="10"/>
  <c r="AR7" i="13"/>
  <c r="AR7" i="16"/>
  <c r="AS3" i="13"/>
  <c r="AS3" i="16"/>
  <c r="AR10" i="13"/>
  <c r="AR10" i="16"/>
  <c r="AR6" i="13"/>
  <c r="AR6" i="16"/>
  <c r="AP108" i="12"/>
  <c r="AP92" i="12"/>
  <c r="AQ75" i="10"/>
  <c r="AR10" i="7"/>
  <c r="AR10" i="11"/>
  <c r="AR10" i="12"/>
  <c r="AR10" i="10"/>
  <c r="AR10" i="8"/>
  <c r="AR7" i="11"/>
  <c r="AR7" i="12"/>
  <c r="AR7" i="10"/>
  <c r="AR7" i="8"/>
  <c r="AR7" i="7"/>
  <c r="AR63" i="8"/>
  <c r="AR62" i="8"/>
  <c r="AR56" i="10"/>
  <c r="AR57" i="10"/>
  <c r="AS127" i="10"/>
  <c r="AS126" i="10"/>
  <c r="AR57" i="11"/>
  <c r="AR56" i="11"/>
  <c r="AS126" i="11"/>
  <c r="AS127" i="11"/>
  <c r="AR6" i="12"/>
  <c r="AR6" i="11"/>
  <c r="AR6" i="10"/>
  <c r="AR6" i="8"/>
  <c r="AR6" i="7"/>
  <c r="AS3" i="11"/>
  <c r="AL101" i="4"/>
  <c r="AS3" i="12"/>
  <c r="AS3" i="10"/>
  <c r="AS3" i="8"/>
  <c r="AR65" i="7"/>
  <c r="AR66" i="7"/>
  <c r="AL96" i="4"/>
  <c r="AS11" i="14" s="1"/>
  <c r="AS3" i="7"/>
  <c r="AQ27" i="14" l="1"/>
  <c r="BM42" i="14"/>
  <c r="AR227" i="12"/>
  <c r="T79" i="14"/>
  <c r="BM79" i="14" s="1"/>
  <c r="T81" i="14"/>
  <c r="BM81" i="14" s="1"/>
  <c r="AK37" i="38"/>
  <c r="J43" i="38"/>
  <c r="X43" i="38" s="1"/>
  <c r="K43" i="38"/>
  <c r="AQ45" i="12"/>
  <c r="AQ93" i="12" s="1"/>
  <c r="AQ46" i="12"/>
  <c r="AR78" i="12"/>
  <c r="AR40" i="7"/>
  <c r="AR31" i="7"/>
  <c r="AR94" i="7" s="1"/>
  <c r="AR48" i="8"/>
  <c r="AR40" i="8"/>
  <c r="AR31" i="8"/>
  <c r="AR91" i="8" s="1"/>
  <c r="AR49" i="10"/>
  <c r="AR40" i="10"/>
  <c r="AR31" i="10"/>
  <c r="AR85" i="10" s="1"/>
  <c r="AR47" i="11"/>
  <c r="AR49" i="11"/>
  <c r="AR40" i="11"/>
  <c r="AR31" i="11"/>
  <c r="AR226" i="12"/>
  <c r="R31" i="28"/>
  <c r="U31" i="28"/>
  <c r="C23" i="28"/>
  <c r="C24" i="28"/>
  <c r="AR225" i="12"/>
  <c r="AP81" i="14"/>
  <c r="AQ47" i="14"/>
  <c r="AP79" i="14"/>
  <c r="AQ48" i="14"/>
  <c r="AQ49" i="14"/>
  <c r="AR29" i="8"/>
  <c r="AR47" i="8"/>
  <c r="AR46" i="8"/>
  <c r="AR77" i="12"/>
  <c r="AR76" i="12"/>
  <c r="AR29" i="7"/>
  <c r="AR30" i="7"/>
  <c r="AR93" i="7" s="1"/>
  <c r="AR48" i="10"/>
  <c r="AR29" i="11"/>
  <c r="AQ44" i="12"/>
  <c r="AR38" i="11"/>
  <c r="AR39" i="11"/>
  <c r="AR38" i="7"/>
  <c r="AR39" i="7"/>
  <c r="AS4" i="13"/>
  <c r="AS4" i="16"/>
  <c r="AS9" i="13"/>
  <c r="AS9" i="16"/>
  <c r="AR48" i="11"/>
  <c r="AR38" i="10"/>
  <c r="AR30" i="11"/>
  <c r="AR47" i="10"/>
  <c r="AR30" i="10"/>
  <c r="AR84" i="10" s="1"/>
  <c r="AR29" i="10"/>
  <c r="AR83" i="10" s="1"/>
  <c r="AR65" i="14" s="1"/>
  <c r="AR39" i="10"/>
  <c r="AR38" i="8"/>
  <c r="AR39" i="8"/>
  <c r="AS9" i="11"/>
  <c r="AS9" i="12"/>
  <c r="AS9" i="10"/>
  <c r="AS9" i="8"/>
  <c r="AR30" i="8"/>
  <c r="AR90" i="8" s="1"/>
  <c r="AS4" i="12"/>
  <c r="AS4" i="11"/>
  <c r="AS4" i="10"/>
  <c r="AS4" i="8"/>
  <c r="AL99" i="4"/>
  <c r="AS15" i="14" s="1"/>
  <c r="AL98" i="4"/>
  <c r="AS14" i="14" s="1"/>
  <c r="AM95" i="4"/>
  <c r="AT10" i="14" s="1"/>
  <c r="AS4" i="7"/>
  <c r="AS9" i="7"/>
  <c r="AL102" i="4"/>
  <c r="T10" i="40" l="1"/>
  <c r="I10" i="40" s="1"/>
  <c r="N10" i="40" s="1"/>
  <c r="AQ109" i="12"/>
  <c r="AR76" i="11"/>
  <c r="AR85" i="11"/>
  <c r="AR75" i="11"/>
  <c r="AR84" i="11"/>
  <c r="AR74" i="11"/>
  <c r="AR83" i="11"/>
  <c r="AR66" i="14" s="1"/>
  <c r="H15" i="33"/>
  <c r="AI43" i="38"/>
  <c r="K44" i="38"/>
  <c r="AK38" i="38"/>
  <c r="AR104" i="14"/>
  <c r="AQ110" i="12"/>
  <c r="AQ94" i="12"/>
  <c r="AQ108" i="12"/>
  <c r="AQ81" i="14" s="1"/>
  <c r="AR103" i="7"/>
  <c r="AR85" i="7"/>
  <c r="AS67" i="7"/>
  <c r="AS134" i="8"/>
  <c r="AR100" i="8"/>
  <c r="AR82" i="8"/>
  <c r="AS64" i="8"/>
  <c r="AT128" i="10"/>
  <c r="AR94" i="10"/>
  <c r="AR76" i="10"/>
  <c r="AS58" i="10"/>
  <c r="AT128" i="11"/>
  <c r="AR94" i="11"/>
  <c r="AS58" i="11"/>
  <c r="AK104" i="14"/>
  <c r="AJ104" i="14"/>
  <c r="Q40" i="28"/>
  <c r="AI104" i="14"/>
  <c r="AO104" i="14"/>
  <c r="AR84" i="7"/>
  <c r="AS133" i="8"/>
  <c r="AS132" i="8"/>
  <c r="AR83" i="7"/>
  <c r="AQ50" i="14"/>
  <c r="AR80" i="8"/>
  <c r="AR67" i="14"/>
  <c r="AQ43" i="14"/>
  <c r="AR99" i="8"/>
  <c r="AR92" i="11"/>
  <c r="AR93" i="11"/>
  <c r="AR102" i="7"/>
  <c r="AR93" i="10"/>
  <c r="AR92" i="10"/>
  <c r="AR358" i="12"/>
  <c r="AR105" i="16" s="1"/>
  <c r="AR399" i="12"/>
  <c r="AR74" i="10"/>
  <c r="AQ92" i="12"/>
  <c r="AT3" i="13"/>
  <c r="AT3" i="16"/>
  <c r="AS7" i="13"/>
  <c r="AS7" i="16"/>
  <c r="AS10" i="13"/>
  <c r="AS10" i="16"/>
  <c r="AS6" i="13"/>
  <c r="AS6" i="16"/>
  <c r="AR75" i="10"/>
  <c r="AM101" i="4"/>
  <c r="AT3" i="12"/>
  <c r="AT3" i="11"/>
  <c r="AT3" i="10"/>
  <c r="AT3" i="8"/>
  <c r="AS63" i="8"/>
  <c r="AS62" i="8"/>
  <c r="AR81" i="8"/>
  <c r="AS57" i="10"/>
  <c r="AS56" i="10"/>
  <c r="AT127" i="10"/>
  <c r="AT126" i="10"/>
  <c r="AS56" i="11"/>
  <c r="AS57" i="11"/>
  <c r="AT126" i="11"/>
  <c r="AT127" i="11"/>
  <c r="AS10" i="7"/>
  <c r="AS10" i="11"/>
  <c r="AS10" i="12"/>
  <c r="AS10" i="10"/>
  <c r="AS10" i="8"/>
  <c r="AS6" i="12"/>
  <c r="AS6" i="11"/>
  <c r="AS6" i="10"/>
  <c r="AS6" i="8"/>
  <c r="AS6" i="7"/>
  <c r="AS7" i="11"/>
  <c r="AS7" i="12"/>
  <c r="AS7" i="10"/>
  <c r="AS7" i="8"/>
  <c r="AS7" i="7"/>
  <c r="AS65" i="7"/>
  <c r="AS66" i="7"/>
  <c r="AM96" i="4"/>
  <c r="AT11" i="14" s="1"/>
  <c r="AT3" i="7"/>
  <c r="AR27" i="14" l="1"/>
  <c r="AS227" i="12"/>
  <c r="AK39" i="38"/>
  <c r="K45" i="38"/>
  <c r="J45" i="38"/>
  <c r="X45" i="38" s="1"/>
  <c r="AR45" i="12"/>
  <c r="AR46" i="12"/>
  <c r="AS78" i="12"/>
  <c r="AS40" i="7"/>
  <c r="AS31" i="7"/>
  <c r="AS94" i="7" s="1"/>
  <c r="AS48" i="8"/>
  <c r="AS40" i="8"/>
  <c r="AS31" i="8"/>
  <c r="AS91" i="8" s="1"/>
  <c r="AS49" i="10"/>
  <c r="AS40" i="10"/>
  <c r="AS31" i="10"/>
  <c r="AS85" i="10" s="1"/>
  <c r="AS48" i="11"/>
  <c r="AS49" i="11"/>
  <c r="AS40" i="11"/>
  <c r="AS31" i="11"/>
  <c r="AS226" i="12"/>
  <c r="BL79" i="28"/>
  <c r="AS225" i="12"/>
  <c r="AR47" i="14"/>
  <c r="AR48" i="14"/>
  <c r="AR49" i="14"/>
  <c r="AS47" i="8"/>
  <c r="AS46" i="8"/>
  <c r="AQ79" i="14"/>
  <c r="AS76" i="12"/>
  <c r="AS77" i="12"/>
  <c r="AS39" i="10"/>
  <c r="AS48" i="10"/>
  <c r="AT4" i="13"/>
  <c r="AT4" i="16"/>
  <c r="AT9" i="13"/>
  <c r="AT9" i="16"/>
  <c r="AS38" i="7"/>
  <c r="AS30" i="7"/>
  <c r="AS93" i="7" s="1"/>
  <c r="AS29" i="7"/>
  <c r="AS39" i="7"/>
  <c r="AR44" i="12"/>
  <c r="AS30" i="11"/>
  <c r="AS47" i="11"/>
  <c r="AS30" i="10"/>
  <c r="AS84" i="10" s="1"/>
  <c r="AS39" i="8"/>
  <c r="AS47" i="10"/>
  <c r="AS29" i="8"/>
  <c r="AS30" i="8"/>
  <c r="AS90" i="8" s="1"/>
  <c r="AS38" i="10"/>
  <c r="AS38" i="8"/>
  <c r="AT4" i="12"/>
  <c r="AT4" i="11"/>
  <c r="AT4" i="10"/>
  <c r="AT4" i="8"/>
  <c r="AM99" i="4"/>
  <c r="AT15" i="14" s="1"/>
  <c r="AM98" i="4"/>
  <c r="AT14" i="14" s="1"/>
  <c r="AS29" i="11"/>
  <c r="AS29" i="10"/>
  <c r="AS83" i="10" s="1"/>
  <c r="AS38" i="11"/>
  <c r="AS39" i="11"/>
  <c r="AT9" i="12"/>
  <c r="AT9" i="11"/>
  <c r="AT9" i="10"/>
  <c r="AT9" i="8"/>
  <c r="AN95" i="4"/>
  <c r="AU10" i="14" s="1"/>
  <c r="AT4" i="7"/>
  <c r="AM102" i="4"/>
  <c r="AT9" i="7"/>
  <c r="AS65" i="14" l="1"/>
  <c r="AS74" i="11"/>
  <c r="AS83" i="11"/>
  <c r="AS75" i="11"/>
  <c r="AS84" i="11"/>
  <c r="AS76" i="11"/>
  <c r="AS85" i="11"/>
  <c r="AK40" i="38"/>
  <c r="J46" i="38"/>
  <c r="X46" i="38" s="1"/>
  <c r="K46" i="38"/>
  <c r="AI45" i="38"/>
  <c r="AR110" i="12"/>
  <c r="AR94" i="12"/>
  <c r="AS104" i="14"/>
  <c r="AR109" i="12"/>
  <c r="AR93" i="12"/>
  <c r="AS103" i="7"/>
  <c r="AS85" i="7"/>
  <c r="AT67" i="7"/>
  <c r="AT134" i="8"/>
  <c r="AS100" i="8"/>
  <c r="AS82" i="8"/>
  <c r="AT64" i="8"/>
  <c r="AU128" i="10"/>
  <c r="AS94" i="10"/>
  <c r="AS76" i="10"/>
  <c r="AT58" i="10"/>
  <c r="AU128" i="11"/>
  <c r="AS94" i="11"/>
  <c r="AT58" i="11"/>
  <c r="AT133" i="8"/>
  <c r="AT132" i="8"/>
  <c r="AR50" i="14"/>
  <c r="AR43" i="14"/>
  <c r="AS67" i="14"/>
  <c r="AS93" i="11"/>
  <c r="AS83" i="7"/>
  <c r="AS99" i="8"/>
  <c r="AS92" i="11"/>
  <c r="AS84" i="7"/>
  <c r="AS102" i="7"/>
  <c r="AS93" i="10"/>
  <c r="AS92" i="10"/>
  <c r="AS399" i="12"/>
  <c r="AS358" i="12"/>
  <c r="AS105" i="16" s="1"/>
  <c r="AT7" i="13"/>
  <c r="AT7" i="16"/>
  <c r="AT10" i="13"/>
  <c r="AT10" i="16"/>
  <c r="AU3" i="13"/>
  <c r="AU3" i="16"/>
  <c r="AT6" i="13"/>
  <c r="AT6" i="16"/>
  <c r="AR92" i="12"/>
  <c r="AR108" i="12"/>
  <c r="AS74" i="10"/>
  <c r="AT56" i="10"/>
  <c r="AT57" i="10"/>
  <c r="AU126" i="10"/>
  <c r="AU127" i="10"/>
  <c r="AT10" i="7"/>
  <c r="AT10" i="12"/>
  <c r="AT10" i="11"/>
  <c r="AT10" i="10"/>
  <c r="AT10" i="8"/>
  <c r="AT57" i="11"/>
  <c r="AT56" i="11"/>
  <c r="AU126" i="11"/>
  <c r="AU127" i="11"/>
  <c r="AS81" i="8"/>
  <c r="AS80" i="8"/>
  <c r="AU3" i="12"/>
  <c r="AN101" i="4"/>
  <c r="AU3" i="11"/>
  <c r="AU3" i="10"/>
  <c r="AU3" i="8"/>
  <c r="AT6" i="11"/>
  <c r="AT6" i="12"/>
  <c r="AT6" i="10"/>
  <c r="AT6" i="8"/>
  <c r="AT6" i="7"/>
  <c r="AT7" i="11"/>
  <c r="AT7" i="12"/>
  <c r="AT7" i="10"/>
  <c r="AT7" i="8"/>
  <c r="AT7" i="7"/>
  <c r="AS75" i="10"/>
  <c r="AT63" i="8"/>
  <c r="AT62" i="8"/>
  <c r="AT65" i="7"/>
  <c r="AT66" i="7"/>
  <c r="AN96" i="4"/>
  <c r="AU11" i="14" s="1"/>
  <c r="AU3" i="7"/>
  <c r="AS66" i="14" l="1"/>
  <c r="AS27" i="14"/>
  <c r="AT227" i="12"/>
  <c r="AK41" i="38"/>
  <c r="AI46" i="38"/>
  <c r="J47" i="38"/>
  <c r="X47" i="38" s="1"/>
  <c r="K47" i="38"/>
  <c r="AS45" i="12"/>
  <c r="AS46" i="12"/>
  <c r="AT78" i="12"/>
  <c r="AT40" i="7"/>
  <c r="AT31" i="7"/>
  <c r="AT94" i="7" s="1"/>
  <c r="AT48" i="8"/>
  <c r="AT40" i="8"/>
  <c r="AT31" i="8"/>
  <c r="AT91" i="8" s="1"/>
  <c r="AT49" i="10"/>
  <c r="AT40" i="10"/>
  <c r="AT31" i="10"/>
  <c r="AT85" i="10" s="1"/>
  <c r="AT48" i="11"/>
  <c r="AT49" i="11"/>
  <c r="AT40" i="11"/>
  <c r="AT31" i="11"/>
  <c r="AT226" i="12"/>
  <c r="AT225" i="12"/>
  <c r="AR79" i="14"/>
  <c r="AS47" i="14"/>
  <c r="AR81" i="14"/>
  <c r="AS48" i="14"/>
  <c r="AS49" i="14"/>
  <c r="AT46" i="8"/>
  <c r="AT47" i="8"/>
  <c r="AT77" i="12"/>
  <c r="AT76" i="12"/>
  <c r="AT39" i="10"/>
  <c r="AT48" i="10"/>
  <c r="AU4" i="13"/>
  <c r="AU4" i="16"/>
  <c r="AU9" i="13"/>
  <c r="AU9" i="16"/>
  <c r="AT30" i="7"/>
  <c r="AT93" i="7" s="1"/>
  <c r="AT38" i="7"/>
  <c r="AT39" i="7"/>
  <c r="AT29" i="7"/>
  <c r="AS44" i="12"/>
  <c r="AT29" i="8"/>
  <c r="AT47" i="11"/>
  <c r="AT38" i="10"/>
  <c r="AT30" i="8"/>
  <c r="AT90" i="8" s="1"/>
  <c r="AT29" i="11"/>
  <c r="AT30" i="11"/>
  <c r="AT47" i="10"/>
  <c r="AT30" i="10"/>
  <c r="AT84" i="10" s="1"/>
  <c r="AT39" i="8"/>
  <c r="AT38" i="8"/>
  <c r="AU9" i="12"/>
  <c r="AU9" i="11"/>
  <c r="AU9" i="10"/>
  <c r="AU9" i="8"/>
  <c r="AT29" i="10"/>
  <c r="AT83" i="10" s="1"/>
  <c r="AT39" i="11"/>
  <c r="AT38" i="11"/>
  <c r="AU4" i="12"/>
  <c r="AU4" i="11"/>
  <c r="AU4" i="10"/>
  <c r="AU4" i="8"/>
  <c r="AN99" i="4"/>
  <c r="AU15" i="14" s="1"/>
  <c r="AN98" i="4"/>
  <c r="AU14" i="14" s="1"/>
  <c r="AO95" i="4"/>
  <c r="AV10" i="14" s="1"/>
  <c r="AU4" i="7"/>
  <c r="AN102" i="4"/>
  <c r="AU9" i="7"/>
  <c r="AT65" i="14" l="1"/>
  <c r="AT76" i="11"/>
  <c r="AT85" i="11"/>
  <c r="AT75" i="11"/>
  <c r="AT84" i="11"/>
  <c r="AT74" i="11"/>
  <c r="AT83" i="11"/>
  <c r="AT66" i="14" s="1"/>
  <c r="K48" i="38"/>
  <c r="AK42" i="38"/>
  <c r="AT104" i="14"/>
  <c r="AS109" i="12"/>
  <c r="AS93" i="12"/>
  <c r="AS110" i="12"/>
  <c r="AS94" i="12"/>
  <c r="AS108" i="12"/>
  <c r="AT103" i="7"/>
  <c r="AT85" i="7"/>
  <c r="AU67" i="7"/>
  <c r="AU134" i="8"/>
  <c r="AT100" i="8"/>
  <c r="AT82" i="8"/>
  <c r="AU64" i="8"/>
  <c r="AV128" i="10"/>
  <c r="AT94" i="10"/>
  <c r="AT76" i="10"/>
  <c r="AU58" i="10"/>
  <c r="AV128" i="11"/>
  <c r="AT94" i="11"/>
  <c r="AU58" i="11"/>
  <c r="AU133" i="8"/>
  <c r="AU132" i="8"/>
  <c r="AS50" i="14"/>
  <c r="AT67" i="14"/>
  <c r="AS43" i="14"/>
  <c r="AT99" i="8"/>
  <c r="AT84" i="7"/>
  <c r="AT102" i="7"/>
  <c r="AT93" i="11"/>
  <c r="AT92" i="11"/>
  <c r="AT92" i="10"/>
  <c r="AT93" i="10"/>
  <c r="AT399" i="12"/>
  <c r="AT358" i="12"/>
  <c r="AT105" i="16" s="1"/>
  <c r="AS92" i="12"/>
  <c r="AU10" i="13"/>
  <c r="AU10" i="16"/>
  <c r="AU6" i="13"/>
  <c r="AU6" i="16"/>
  <c r="AV3" i="13"/>
  <c r="AV3" i="16"/>
  <c r="AU7" i="13"/>
  <c r="AU7" i="16"/>
  <c r="AT83" i="7"/>
  <c r="AV3" i="12"/>
  <c r="AO101" i="4"/>
  <c r="AV3" i="11"/>
  <c r="AV3" i="10"/>
  <c r="AV3" i="8"/>
  <c r="AU6" i="11"/>
  <c r="AU6" i="12"/>
  <c r="AU6" i="10"/>
  <c r="AU6" i="8"/>
  <c r="AU6" i="7"/>
  <c r="AT74" i="10"/>
  <c r="AU56" i="11"/>
  <c r="AU57" i="11"/>
  <c r="AV126" i="11"/>
  <c r="AV127" i="11"/>
  <c r="AU7" i="12"/>
  <c r="AU7" i="11"/>
  <c r="AU7" i="10"/>
  <c r="AU7" i="8"/>
  <c r="AU7" i="7"/>
  <c r="AU62" i="8"/>
  <c r="AU63" i="8"/>
  <c r="AT81" i="8"/>
  <c r="AU56" i="10"/>
  <c r="AU57" i="10"/>
  <c r="AV126" i="10"/>
  <c r="AV127" i="10"/>
  <c r="AT75" i="10"/>
  <c r="AU10" i="7"/>
  <c r="AU10" i="12"/>
  <c r="AU10" i="11"/>
  <c r="AU10" i="10"/>
  <c r="AU10" i="8"/>
  <c r="AT80" i="8"/>
  <c r="AU65" i="7"/>
  <c r="AU66" i="7"/>
  <c r="AO96" i="4"/>
  <c r="AV11" i="14" s="1"/>
  <c r="AV3" i="7"/>
  <c r="AT27" i="14" l="1"/>
  <c r="AU227" i="12"/>
  <c r="AI48" i="38"/>
  <c r="J49" i="38"/>
  <c r="X49" i="38" s="1"/>
  <c r="AK43" i="38"/>
  <c r="K49" i="38"/>
  <c r="AK44" i="38"/>
  <c r="AT45" i="12"/>
  <c r="AT109" i="12" s="1"/>
  <c r="AT46" i="12"/>
  <c r="AU78" i="12"/>
  <c r="AU40" i="7"/>
  <c r="AU31" i="7"/>
  <c r="AU94" i="7" s="1"/>
  <c r="AU48" i="8"/>
  <c r="AU40" i="8"/>
  <c r="AU31" i="8"/>
  <c r="AU91" i="8" s="1"/>
  <c r="AU49" i="10"/>
  <c r="AU40" i="10"/>
  <c r="AU31" i="10"/>
  <c r="AU85" i="10" s="1"/>
  <c r="AU49" i="11"/>
  <c r="AU40" i="11"/>
  <c r="AU31" i="11"/>
  <c r="AT47" i="14"/>
  <c r="AU226" i="12"/>
  <c r="V38" i="28"/>
  <c r="AU225" i="12"/>
  <c r="AT48" i="14"/>
  <c r="AT49" i="14"/>
  <c r="AS79" i="14"/>
  <c r="AU46" i="8"/>
  <c r="AU47" i="8"/>
  <c r="AU76" i="12"/>
  <c r="AU77" i="12"/>
  <c r="AU48" i="10"/>
  <c r="AS81" i="14"/>
  <c r="AV9" i="13"/>
  <c r="AV9" i="16"/>
  <c r="AV4" i="13"/>
  <c r="AV4" i="16"/>
  <c r="AU30" i="10"/>
  <c r="AU84" i="10" s="1"/>
  <c r="AU29" i="7"/>
  <c r="AU30" i="7"/>
  <c r="AU93" i="7" s="1"/>
  <c r="AU39" i="10"/>
  <c r="AU39" i="7"/>
  <c r="AU29" i="10"/>
  <c r="AU83" i="10" s="1"/>
  <c r="AU65" i="14" s="1"/>
  <c r="AU38" i="7"/>
  <c r="AU38" i="10"/>
  <c r="AU47" i="10"/>
  <c r="AU39" i="8"/>
  <c r="AU30" i="8"/>
  <c r="AU90" i="8" s="1"/>
  <c r="AU29" i="8"/>
  <c r="AU38" i="8"/>
  <c r="AU30" i="11"/>
  <c r="AV9" i="11"/>
  <c r="AV9" i="12"/>
  <c r="AV9" i="10"/>
  <c r="AV9" i="8"/>
  <c r="AU48" i="11"/>
  <c r="AU39" i="11"/>
  <c r="AU47" i="11"/>
  <c r="AT44" i="12"/>
  <c r="AU38" i="11"/>
  <c r="AV4" i="12"/>
  <c r="AV4" i="11"/>
  <c r="AV4" i="10"/>
  <c r="AV4" i="8"/>
  <c r="AO99" i="4"/>
  <c r="AV15" i="14" s="1"/>
  <c r="AO98" i="4"/>
  <c r="AV14" i="14" s="1"/>
  <c r="AU29" i="11"/>
  <c r="AP95" i="4"/>
  <c r="AW10" i="14" s="1"/>
  <c r="AV4" i="7"/>
  <c r="AO102" i="4"/>
  <c r="AV9" i="7"/>
  <c r="AT93" i="12" l="1"/>
  <c r="AU75" i="11"/>
  <c r="AU84" i="11"/>
  <c r="AU74" i="11"/>
  <c r="AU83" i="11"/>
  <c r="AU76" i="11"/>
  <c r="AU85" i="11"/>
  <c r="K50" i="38"/>
  <c r="J50" i="38"/>
  <c r="X50" i="38" s="1"/>
  <c r="AK45" i="38"/>
  <c r="AI49" i="38"/>
  <c r="AU104" i="14"/>
  <c r="AT110" i="12"/>
  <c r="AT94" i="12"/>
  <c r="AU103" i="7"/>
  <c r="AU85" i="7"/>
  <c r="AV67" i="7"/>
  <c r="AV134" i="8"/>
  <c r="AU100" i="8"/>
  <c r="AU81" i="8"/>
  <c r="AU82" i="8"/>
  <c r="AV64" i="8"/>
  <c r="AW128" i="10"/>
  <c r="AU94" i="10"/>
  <c r="AU76" i="10"/>
  <c r="AV58" i="10"/>
  <c r="AW128" i="11"/>
  <c r="AU94" i="11"/>
  <c r="AV58" i="11"/>
  <c r="AV133" i="8"/>
  <c r="AV132" i="8"/>
  <c r="AT50" i="14"/>
  <c r="AU83" i="7"/>
  <c r="AU67" i="14"/>
  <c r="AT43" i="14"/>
  <c r="AU99" i="8"/>
  <c r="AU93" i="11"/>
  <c r="AU102" i="7"/>
  <c r="AU92" i="11"/>
  <c r="AU74" i="10"/>
  <c r="AU92" i="10"/>
  <c r="AU93" i="10"/>
  <c r="AU399" i="12"/>
  <c r="AU358" i="12"/>
  <c r="AU105" i="16" s="1"/>
  <c r="AU84" i="7"/>
  <c r="AU80" i="8"/>
  <c r="AU75" i="10"/>
  <c r="AW3" i="13"/>
  <c r="AW3" i="16"/>
  <c r="AV6" i="13"/>
  <c r="AV6" i="16"/>
  <c r="AV10" i="13"/>
  <c r="AV10" i="16"/>
  <c r="AV7" i="13"/>
  <c r="AV7" i="16"/>
  <c r="AT108" i="12"/>
  <c r="AT92" i="12"/>
  <c r="AW3" i="12"/>
  <c r="AW3" i="11"/>
  <c r="AP101" i="4"/>
  <c r="AW3" i="10"/>
  <c r="AW3" i="8"/>
  <c r="AV6" i="11"/>
  <c r="AV6" i="12"/>
  <c r="AV6" i="10"/>
  <c r="AV6" i="8"/>
  <c r="AV6" i="7"/>
  <c r="AV7" i="12"/>
  <c r="AV7" i="11"/>
  <c r="AV7" i="10"/>
  <c r="AV7" i="8"/>
  <c r="AV7" i="7"/>
  <c r="AV63" i="8"/>
  <c r="AV62" i="8"/>
  <c r="AV10" i="7"/>
  <c r="AV10" i="12"/>
  <c r="AV10" i="11"/>
  <c r="AV10" i="10"/>
  <c r="AV10" i="8"/>
  <c r="AV57" i="10"/>
  <c r="AV56" i="10"/>
  <c r="AW127" i="10"/>
  <c r="AW126" i="10"/>
  <c r="AV57" i="11"/>
  <c r="AV56" i="11"/>
  <c r="AW127" i="11"/>
  <c r="AW126" i="11"/>
  <c r="AV65" i="7"/>
  <c r="AV66" i="7"/>
  <c r="AP96" i="4"/>
  <c r="AW11" i="14" s="1"/>
  <c r="AW3" i="7"/>
  <c r="AU66" i="14" l="1"/>
  <c r="AU27" i="14"/>
  <c r="AV227" i="12"/>
  <c r="K51" i="38"/>
  <c r="J51" i="38"/>
  <c r="X51" i="38" s="1"/>
  <c r="AU45" i="12"/>
  <c r="AU46" i="12"/>
  <c r="AV78" i="12"/>
  <c r="AV40" i="7"/>
  <c r="AV31" i="7"/>
  <c r="AV94" i="7" s="1"/>
  <c r="AV48" i="8"/>
  <c r="AV40" i="8"/>
  <c r="AV31" i="8"/>
  <c r="AV91" i="8" s="1"/>
  <c r="AV47" i="10"/>
  <c r="AV49" i="10"/>
  <c r="AV40" i="10"/>
  <c r="AV31" i="10"/>
  <c r="AV85" i="10" s="1"/>
  <c r="AV49" i="11"/>
  <c r="AV40" i="11"/>
  <c r="AV31" i="11"/>
  <c r="AV226" i="12"/>
  <c r="AV225" i="12"/>
  <c r="AU47" i="14"/>
  <c r="AT81" i="14"/>
  <c r="AU48" i="14"/>
  <c r="AV30" i="11"/>
  <c r="AU49" i="14"/>
  <c r="AV47" i="8"/>
  <c r="AV46" i="8"/>
  <c r="AT79" i="14"/>
  <c r="AV76" i="12"/>
  <c r="AV77" i="12"/>
  <c r="AV30" i="7"/>
  <c r="AV93" i="7" s="1"/>
  <c r="AV38" i="7"/>
  <c r="AV39" i="7"/>
  <c r="AV39" i="11"/>
  <c r="AV47" i="11"/>
  <c r="AV48" i="11"/>
  <c r="AV29" i="11"/>
  <c r="AV29" i="7"/>
  <c r="AV38" i="11"/>
  <c r="AV39" i="10"/>
  <c r="AV48" i="10"/>
  <c r="AU44" i="12"/>
  <c r="AW4" i="13"/>
  <c r="AW4" i="16"/>
  <c r="AW9" i="13"/>
  <c r="AW9" i="16"/>
  <c r="AV29" i="10"/>
  <c r="AV83" i="10" s="1"/>
  <c r="AV65" i="14" s="1"/>
  <c r="AV38" i="10"/>
  <c r="AV30" i="10"/>
  <c r="AV84" i="10" s="1"/>
  <c r="AV38" i="8"/>
  <c r="AV39" i="8"/>
  <c r="AV29" i="8"/>
  <c r="AV30" i="8"/>
  <c r="AV90" i="8" s="1"/>
  <c r="AW4" i="12"/>
  <c r="AW4" i="11"/>
  <c r="AW4" i="10"/>
  <c r="AW4" i="8"/>
  <c r="AP99" i="4"/>
  <c r="AW15" i="14" s="1"/>
  <c r="AP98" i="4"/>
  <c r="AW14" i="14" s="1"/>
  <c r="AW9" i="12"/>
  <c r="AW9" i="10"/>
  <c r="AW9" i="11"/>
  <c r="AW9" i="8"/>
  <c r="AQ95" i="4"/>
  <c r="AX10" i="14" s="1"/>
  <c r="AW4" i="7"/>
  <c r="AP102" i="4"/>
  <c r="AW9" i="7"/>
  <c r="AV76" i="11" l="1"/>
  <c r="AV85" i="11"/>
  <c r="AV75" i="11"/>
  <c r="AV84" i="11"/>
  <c r="AV74" i="11"/>
  <c r="AV83" i="11"/>
  <c r="AV66" i="14" s="1"/>
  <c r="J52" i="38"/>
  <c r="X52" i="38" s="1"/>
  <c r="K52" i="38"/>
  <c r="AK47" i="38"/>
  <c r="AK46" i="38"/>
  <c r="AV104" i="14"/>
  <c r="AU110" i="12"/>
  <c r="AU94" i="12"/>
  <c r="AU109" i="12"/>
  <c r="AU93" i="12"/>
  <c r="AU108" i="12"/>
  <c r="AV103" i="7"/>
  <c r="AV85" i="7"/>
  <c r="AW67" i="7"/>
  <c r="AW134" i="8"/>
  <c r="AV100" i="8"/>
  <c r="AV81" i="8"/>
  <c r="AV82" i="8"/>
  <c r="AW64" i="8"/>
  <c r="AX128" i="10"/>
  <c r="AV94" i="10"/>
  <c r="AV76" i="10"/>
  <c r="AW58" i="10"/>
  <c r="AX128" i="11"/>
  <c r="AV94" i="11"/>
  <c r="AW58" i="11"/>
  <c r="AW132" i="8"/>
  <c r="AW133" i="8"/>
  <c r="AV93" i="11"/>
  <c r="AU43" i="14"/>
  <c r="AU50" i="14"/>
  <c r="AV67" i="14"/>
  <c r="AV83" i="7"/>
  <c r="AV99" i="8"/>
  <c r="AV102" i="7"/>
  <c r="AV92" i="11"/>
  <c r="AV75" i="10"/>
  <c r="AV74" i="10"/>
  <c r="AV92" i="10"/>
  <c r="AV93" i="10"/>
  <c r="AV84" i="7"/>
  <c r="AU92" i="12"/>
  <c r="AV399" i="12"/>
  <c r="AV358" i="12"/>
  <c r="AV105" i="16" s="1"/>
  <c r="AV80" i="8"/>
  <c r="AW6" i="13"/>
  <c r="AW6" i="16"/>
  <c r="AW7" i="13"/>
  <c r="AW7" i="16"/>
  <c r="AW10" i="13"/>
  <c r="AW10" i="16"/>
  <c r="AX3" i="13"/>
  <c r="AX3" i="16"/>
  <c r="AW56" i="10"/>
  <c r="AW57" i="10"/>
  <c r="AX126" i="10"/>
  <c r="AX127" i="10"/>
  <c r="AQ101" i="4"/>
  <c r="AX3" i="12"/>
  <c r="AX3" i="11"/>
  <c r="AX3" i="10"/>
  <c r="AX3" i="8"/>
  <c r="AW56" i="11"/>
  <c r="AW57" i="11"/>
  <c r="AX127" i="11"/>
  <c r="AX126" i="11"/>
  <c r="AW6" i="12"/>
  <c r="AW6" i="11"/>
  <c r="AW6" i="10"/>
  <c r="AW6" i="8"/>
  <c r="AW6" i="7"/>
  <c r="AW10" i="7"/>
  <c r="AW10" i="11"/>
  <c r="AW10" i="12"/>
  <c r="AW10" i="10"/>
  <c r="AW10" i="8"/>
  <c r="AW7" i="12"/>
  <c r="AW7" i="11"/>
  <c r="AW7" i="10"/>
  <c r="AW7" i="8"/>
  <c r="AW7" i="7"/>
  <c r="AW63" i="8"/>
  <c r="AW62" i="8"/>
  <c r="AW65" i="7"/>
  <c r="AW66" i="7"/>
  <c r="AQ96" i="4"/>
  <c r="AX11" i="14" s="1"/>
  <c r="AX3" i="7"/>
  <c r="AV27" i="14" l="1"/>
  <c r="AW227" i="12"/>
  <c r="AU79" i="14"/>
  <c r="AU81" i="14"/>
  <c r="K53" i="38"/>
  <c r="J53" i="38"/>
  <c r="X53" i="38" s="1"/>
  <c r="AV45" i="12"/>
  <c r="AV109" i="12" s="1"/>
  <c r="AV46" i="12"/>
  <c r="AW78" i="12"/>
  <c r="AW40" i="7"/>
  <c r="AW31" i="7"/>
  <c r="AW94" i="7" s="1"/>
  <c r="AW48" i="8"/>
  <c r="AW40" i="8"/>
  <c r="AW31" i="8"/>
  <c r="AW91" i="8" s="1"/>
  <c r="AW49" i="10"/>
  <c r="AW40" i="10"/>
  <c r="AW31" i="10"/>
  <c r="AW85" i="10" s="1"/>
  <c r="AW49" i="11"/>
  <c r="AW40" i="11"/>
  <c r="AW31" i="11"/>
  <c r="AV47" i="14"/>
  <c r="AW226" i="12"/>
  <c r="AW225" i="12"/>
  <c r="AV48" i="14"/>
  <c r="AV49" i="14"/>
  <c r="AW46" i="8"/>
  <c r="AW47" i="8"/>
  <c r="AW76" i="12"/>
  <c r="AW77" i="12"/>
  <c r="AV44" i="12"/>
  <c r="AW29" i="10"/>
  <c r="AW83" i="10" s="1"/>
  <c r="AW48" i="10"/>
  <c r="AX4" i="13"/>
  <c r="AX4" i="16"/>
  <c r="AX9" i="13"/>
  <c r="AX9" i="16"/>
  <c r="AW29" i="7"/>
  <c r="AW38" i="7"/>
  <c r="AW30" i="7"/>
  <c r="AW93" i="7" s="1"/>
  <c r="AW39" i="7"/>
  <c r="AW39" i="8"/>
  <c r="AW30" i="8"/>
  <c r="AW90" i="8" s="1"/>
  <c r="AW38" i="8"/>
  <c r="AW29" i="8"/>
  <c r="AW39" i="11"/>
  <c r="AW47" i="11"/>
  <c r="AW48" i="11"/>
  <c r="AW38" i="10"/>
  <c r="AX4" i="11"/>
  <c r="AX4" i="12"/>
  <c r="AX4" i="10"/>
  <c r="AX4" i="8"/>
  <c r="AQ99" i="4"/>
  <c r="AX15" i="14" s="1"/>
  <c r="AQ98" i="4"/>
  <c r="AX14" i="14" s="1"/>
  <c r="AW38" i="11"/>
  <c r="AW29" i="11"/>
  <c r="AW30" i="11"/>
  <c r="AX9" i="11"/>
  <c r="AX9" i="12"/>
  <c r="AX9" i="10"/>
  <c r="AX9" i="8"/>
  <c r="AW47" i="10"/>
  <c r="AW30" i="10"/>
  <c r="AW84" i="10" s="1"/>
  <c r="AW39" i="10"/>
  <c r="AR95" i="4"/>
  <c r="AY10" i="14" s="1"/>
  <c r="AX4" i="7"/>
  <c r="AX9" i="7"/>
  <c r="AQ102" i="4"/>
  <c r="AW65" i="14" l="1"/>
  <c r="AW74" i="11"/>
  <c r="AW83" i="11"/>
  <c r="AW66" i="14" s="1"/>
  <c r="AW76" i="11"/>
  <c r="AW85" i="11"/>
  <c r="AW75" i="11"/>
  <c r="AW84" i="11"/>
  <c r="K54" i="38"/>
  <c r="AV93" i="12"/>
  <c r="AK48" i="38"/>
  <c r="J54" i="38"/>
  <c r="X54" i="38" s="1"/>
  <c r="AW104" i="14"/>
  <c r="AV110" i="12"/>
  <c r="AV94" i="12"/>
  <c r="AV92" i="12"/>
  <c r="AW103" i="7"/>
  <c r="AW85" i="7"/>
  <c r="AX67" i="7"/>
  <c r="AX134" i="8"/>
  <c r="AW100" i="8"/>
  <c r="AW82" i="8"/>
  <c r="AX64" i="8"/>
  <c r="AY128" i="10"/>
  <c r="AW94" i="10"/>
  <c r="AW76" i="10"/>
  <c r="AX58" i="10"/>
  <c r="AY128" i="11"/>
  <c r="AW94" i="11"/>
  <c r="AX58" i="11"/>
  <c r="AV50" i="14"/>
  <c r="AX133" i="8"/>
  <c r="AX132" i="8"/>
  <c r="AV108" i="12"/>
  <c r="AV43" i="14"/>
  <c r="AW83" i="7"/>
  <c r="AW67" i="14"/>
  <c r="AW74" i="10"/>
  <c r="AW93" i="11"/>
  <c r="AW92" i="11"/>
  <c r="AW80" i="8"/>
  <c r="AW102" i="7"/>
  <c r="AW99" i="8"/>
  <c r="AW92" i="10"/>
  <c r="AW93" i="10"/>
  <c r="AW358" i="12"/>
  <c r="AW105" i="16" s="1"/>
  <c r="AW399" i="12"/>
  <c r="AW84" i="7"/>
  <c r="AX6" i="13"/>
  <c r="AX6" i="16"/>
  <c r="AY3" i="13"/>
  <c r="AY3" i="16"/>
  <c r="AX7" i="13"/>
  <c r="AX7" i="16"/>
  <c r="AX10" i="13"/>
  <c r="AX10" i="16"/>
  <c r="AW81" i="8"/>
  <c r="AX6" i="12"/>
  <c r="AX6" i="11"/>
  <c r="AX6" i="10"/>
  <c r="AX6" i="8"/>
  <c r="AX6" i="7"/>
  <c r="AX7" i="12"/>
  <c r="AX7" i="11"/>
  <c r="AX7" i="10"/>
  <c r="AX7" i="8"/>
  <c r="AX7" i="7"/>
  <c r="AX63" i="8"/>
  <c r="AX62" i="8"/>
  <c r="AY3" i="12"/>
  <c r="AR101" i="4"/>
  <c r="AY3" i="11"/>
  <c r="AY3" i="10"/>
  <c r="AY3" i="8"/>
  <c r="AX56" i="10"/>
  <c r="AX57" i="10"/>
  <c r="AY127" i="10"/>
  <c r="AY126" i="10"/>
  <c r="AX10" i="7"/>
  <c r="AX10" i="11"/>
  <c r="AX10" i="12"/>
  <c r="AX10" i="10"/>
  <c r="AX10" i="8"/>
  <c r="AW75" i="10"/>
  <c r="AX57" i="11"/>
  <c r="AX56" i="11"/>
  <c r="AY127" i="11"/>
  <c r="AY126" i="11"/>
  <c r="AX65" i="7"/>
  <c r="AX66" i="7"/>
  <c r="AR96" i="4"/>
  <c r="AY11" i="14" s="1"/>
  <c r="AY3" i="7"/>
  <c r="AW27" i="14" l="1"/>
  <c r="AX227" i="12"/>
  <c r="K55" i="38"/>
  <c r="AI54" i="38"/>
  <c r="J55" i="38"/>
  <c r="X55" i="38" s="1"/>
  <c r="AK49" i="38"/>
  <c r="AW46" i="12"/>
  <c r="AW45" i="12"/>
  <c r="AX78" i="12"/>
  <c r="AX40" i="7"/>
  <c r="AX31" i="7"/>
  <c r="AX94" i="7" s="1"/>
  <c r="AX48" i="8"/>
  <c r="AX40" i="8"/>
  <c r="AX31" i="8"/>
  <c r="AX91" i="8" s="1"/>
  <c r="AX49" i="10"/>
  <c r="AX40" i="10"/>
  <c r="AX31" i="10"/>
  <c r="AX85" i="10" s="1"/>
  <c r="AX49" i="11"/>
  <c r="AX40" i="11"/>
  <c r="AX31" i="11"/>
  <c r="AX226" i="12"/>
  <c r="AX225" i="12"/>
  <c r="AW47" i="14"/>
  <c r="AW48" i="14"/>
  <c r="AW49" i="14"/>
  <c r="AX29" i="8"/>
  <c r="AX47" i="8"/>
  <c r="AX46" i="8"/>
  <c r="AX77" i="12"/>
  <c r="AX76" i="12"/>
  <c r="AX39" i="11"/>
  <c r="AX30" i="10"/>
  <c r="AX84" i="10" s="1"/>
  <c r="AX48" i="10"/>
  <c r="AV79" i="14"/>
  <c r="AV81" i="14"/>
  <c r="AX38" i="11"/>
  <c r="AX30" i="11"/>
  <c r="AX29" i="11"/>
  <c r="AX48" i="11"/>
  <c r="AY4" i="13"/>
  <c r="AY4" i="16"/>
  <c r="AY9" i="13"/>
  <c r="AY9" i="16"/>
  <c r="AX47" i="11"/>
  <c r="AX29" i="7"/>
  <c r="AX38" i="7"/>
  <c r="AX30" i="7"/>
  <c r="AX93" i="7" s="1"/>
  <c r="AX39" i="7"/>
  <c r="AX38" i="10"/>
  <c r="AX39" i="10"/>
  <c r="AX47" i="10"/>
  <c r="AX29" i="10"/>
  <c r="AX83" i="10" s="1"/>
  <c r="AW44" i="12"/>
  <c r="AY4" i="11"/>
  <c r="AY4" i="12"/>
  <c r="AY4" i="10"/>
  <c r="AY4" i="8"/>
  <c r="AR99" i="4"/>
  <c r="AY15" i="14" s="1"/>
  <c r="AR98" i="4"/>
  <c r="AY14" i="14" s="1"/>
  <c r="AX38" i="8"/>
  <c r="AX39" i="8"/>
  <c r="AY9" i="11"/>
  <c r="AY9" i="12"/>
  <c r="AY9" i="10"/>
  <c r="AY9" i="8"/>
  <c r="AX30" i="8"/>
  <c r="AX90" i="8" s="1"/>
  <c r="AS95" i="4"/>
  <c r="AZ10" i="14" s="1"/>
  <c r="AY4" i="7"/>
  <c r="AY9" i="7"/>
  <c r="AR102" i="4"/>
  <c r="AX65" i="14" l="1"/>
  <c r="AX75" i="11"/>
  <c r="AX84" i="11"/>
  <c r="AX74" i="11"/>
  <c r="AX83" i="11"/>
  <c r="AX76" i="11"/>
  <c r="AX85" i="11"/>
  <c r="J56" i="38"/>
  <c r="X56" i="38" s="1"/>
  <c r="K56" i="38"/>
  <c r="AI55" i="38"/>
  <c r="AK50" i="38"/>
  <c r="AW109" i="12"/>
  <c r="AW93" i="12"/>
  <c r="AX104" i="14"/>
  <c r="AW110" i="12"/>
  <c r="AW94" i="12"/>
  <c r="AW108" i="12"/>
  <c r="AX103" i="7"/>
  <c r="AX85" i="7"/>
  <c r="AY67" i="7"/>
  <c r="AY134" i="8"/>
  <c r="AX100" i="8"/>
  <c r="AX82" i="8"/>
  <c r="AY64" i="8"/>
  <c r="AZ128" i="10"/>
  <c r="AX94" i="10"/>
  <c r="AX76" i="10"/>
  <c r="AY58" i="10"/>
  <c r="AZ128" i="11"/>
  <c r="AX94" i="11"/>
  <c r="AY58" i="11"/>
  <c r="AY132" i="8"/>
  <c r="AY133" i="8"/>
  <c r="AX80" i="8"/>
  <c r="AX67" i="14"/>
  <c r="AW50" i="14"/>
  <c r="AX84" i="7"/>
  <c r="AW43" i="14"/>
  <c r="AX99" i="8"/>
  <c r="AX102" i="7"/>
  <c r="AX92" i="11"/>
  <c r="AX75" i="10"/>
  <c r="AX93" i="11"/>
  <c r="AX83" i="7"/>
  <c r="AX93" i="10"/>
  <c r="AX92" i="10"/>
  <c r="AX358" i="12"/>
  <c r="AX105" i="16" s="1"/>
  <c r="AX399" i="12"/>
  <c r="AY6" i="13"/>
  <c r="AY6" i="16"/>
  <c r="AY7" i="13"/>
  <c r="AY7" i="16"/>
  <c r="AZ3" i="13"/>
  <c r="AZ3" i="16"/>
  <c r="AY10" i="13"/>
  <c r="AY10" i="16"/>
  <c r="AW92" i="12"/>
  <c r="AX74" i="10"/>
  <c r="AY10" i="7"/>
  <c r="AY10" i="11"/>
  <c r="AY10" i="12"/>
  <c r="AY10" i="10"/>
  <c r="AY10" i="8"/>
  <c r="AX81" i="8"/>
  <c r="AY7" i="12"/>
  <c r="AY7" i="11"/>
  <c r="AY7" i="10"/>
  <c r="AY7" i="8"/>
  <c r="AY7" i="7"/>
  <c r="AS101" i="4"/>
  <c r="AZ3" i="12"/>
  <c r="AZ3" i="11"/>
  <c r="AZ3" i="10"/>
  <c r="AZ3" i="8"/>
  <c r="AY63" i="8"/>
  <c r="AY62" i="8"/>
  <c r="AY56" i="10"/>
  <c r="AY57" i="10"/>
  <c r="AZ127" i="10"/>
  <c r="AZ126" i="10"/>
  <c r="AY57" i="11"/>
  <c r="AY56" i="11"/>
  <c r="AZ127" i="11"/>
  <c r="AZ126" i="11"/>
  <c r="AY6" i="12"/>
  <c r="AY6" i="11"/>
  <c r="AY6" i="10"/>
  <c r="AY6" i="8"/>
  <c r="AY6" i="7"/>
  <c r="AY65" i="7"/>
  <c r="AY66" i="7"/>
  <c r="AS96" i="4"/>
  <c r="AZ11" i="14" s="1"/>
  <c r="AZ3" i="7"/>
  <c r="AX66" i="14" l="1"/>
  <c r="AX27" i="14"/>
  <c r="AY227" i="12"/>
  <c r="J57" i="38"/>
  <c r="X57" i="38" s="1"/>
  <c r="K57" i="38"/>
  <c r="AK51" i="38"/>
  <c r="AX46" i="12"/>
  <c r="AX45" i="12"/>
  <c r="AY78" i="12"/>
  <c r="AY40" i="7"/>
  <c r="AY31" i="7"/>
  <c r="AY94" i="7" s="1"/>
  <c r="AY48" i="8"/>
  <c r="AY40" i="8"/>
  <c r="AY31" i="8"/>
  <c r="AY91" i="8" s="1"/>
  <c r="AY49" i="10"/>
  <c r="AY40" i="10"/>
  <c r="AY31" i="10"/>
  <c r="AY85" i="10" s="1"/>
  <c r="AY49" i="11"/>
  <c r="AY40" i="11"/>
  <c r="AY31" i="11"/>
  <c r="AY226" i="12"/>
  <c r="AE46" i="28"/>
  <c r="C72" i="28"/>
  <c r="S43" i="28"/>
  <c r="S40" i="28"/>
  <c r="AA46" i="28"/>
  <c r="O43" i="28"/>
  <c r="O40" i="28"/>
  <c r="AY225" i="12"/>
  <c r="AX47" i="14"/>
  <c r="AW81" i="14"/>
  <c r="AW79" i="14"/>
  <c r="AX49" i="14"/>
  <c r="AY29" i="8"/>
  <c r="AY47" i="8"/>
  <c r="AY46" i="8"/>
  <c r="AX48" i="14"/>
  <c r="AY76" i="12"/>
  <c r="AY77" i="12"/>
  <c r="AY48" i="10"/>
  <c r="AX44" i="12"/>
  <c r="AY47" i="11"/>
  <c r="AZ9" i="13"/>
  <c r="AZ9" i="16"/>
  <c r="AZ4" i="13"/>
  <c r="AZ4" i="16"/>
  <c r="AY39" i="10"/>
  <c r="AY30" i="11"/>
  <c r="AY29" i="7"/>
  <c r="AY39" i="11"/>
  <c r="AY38" i="7"/>
  <c r="AY30" i="7"/>
  <c r="AY93" i="7" s="1"/>
  <c r="AY39" i="7"/>
  <c r="AY47" i="10"/>
  <c r="AY48" i="11"/>
  <c r="AY29" i="11"/>
  <c r="AY38" i="11"/>
  <c r="AY38" i="8"/>
  <c r="AY38" i="10"/>
  <c r="AY30" i="10"/>
  <c r="AY84" i="10" s="1"/>
  <c r="AY30" i="8"/>
  <c r="AY90" i="8" s="1"/>
  <c r="AY29" i="10"/>
  <c r="AY83" i="10" s="1"/>
  <c r="AY65" i="14" s="1"/>
  <c r="AY39" i="8"/>
  <c r="AZ9" i="11"/>
  <c r="AZ9" i="12"/>
  <c r="AZ9" i="10"/>
  <c r="AZ9" i="8"/>
  <c r="AZ4" i="11"/>
  <c r="AZ4" i="12"/>
  <c r="AZ4" i="10"/>
  <c r="AZ4" i="8"/>
  <c r="AS99" i="4"/>
  <c r="AZ15" i="14" s="1"/>
  <c r="AS98" i="4"/>
  <c r="AZ14" i="14" s="1"/>
  <c r="AT95" i="4"/>
  <c r="BA10" i="14" s="1"/>
  <c r="AZ4" i="7"/>
  <c r="AS102" i="4"/>
  <c r="AZ9" i="7"/>
  <c r="AY76" i="11" l="1"/>
  <c r="AY85" i="11"/>
  <c r="AY74" i="11"/>
  <c r="AY83" i="11"/>
  <c r="AY75" i="11"/>
  <c r="AY84" i="11"/>
  <c r="D73" i="28"/>
  <c r="D75" i="28"/>
  <c r="D74" i="28"/>
  <c r="K59" i="38"/>
  <c r="K58" i="38"/>
  <c r="J58" i="38"/>
  <c r="X58" i="38" s="1"/>
  <c r="AK52" i="38"/>
  <c r="J59" i="38"/>
  <c r="X59" i="38" s="1"/>
  <c r="AI57" i="38"/>
  <c r="AY104" i="14"/>
  <c r="AX109" i="12"/>
  <c r="AX93" i="12"/>
  <c r="AX110" i="12"/>
  <c r="AX94" i="12"/>
  <c r="AX92" i="12"/>
  <c r="AX79" i="14" s="1"/>
  <c r="AY103" i="7"/>
  <c r="AY85" i="7"/>
  <c r="AZ67" i="7"/>
  <c r="AZ134" i="8"/>
  <c r="AY100" i="8"/>
  <c r="AY80" i="8"/>
  <c r="AY82" i="8"/>
  <c r="AZ64" i="8"/>
  <c r="BA128" i="10"/>
  <c r="AY94" i="10"/>
  <c r="AY76" i="10"/>
  <c r="AZ58" i="10"/>
  <c r="BA128" i="11"/>
  <c r="AY94" i="11"/>
  <c r="AZ58" i="11"/>
  <c r="R43" i="28"/>
  <c r="D72" i="28"/>
  <c r="AA58" i="28"/>
  <c r="U40" i="28"/>
  <c r="S44" i="28"/>
  <c r="T40" i="28" s="1"/>
  <c r="BN79" i="28"/>
  <c r="AE58" i="28"/>
  <c r="O44" i="28"/>
  <c r="BJ79" i="28"/>
  <c r="R40" i="28"/>
  <c r="U43" i="28"/>
  <c r="AZ132" i="8"/>
  <c r="AZ133" i="8"/>
  <c r="AX50" i="14"/>
  <c r="AX108" i="12"/>
  <c r="AY67" i="14"/>
  <c r="AY84" i="7"/>
  <c r="AY83" i="7"/>
  <c r="AX43" i="14"/>
  <c r="AY92" i="11"/>
  <c r="AY102" i="7"/>
  <c r="AY81" i="8"/>
  <c r="AY99" i="8"/>
  <c r="AY93" i="11"/>
  <c r="AY93" i="10"/>
  <c r="AY92" i="10"/>
  <c r="AY358" i="12"/>
  <c r="AY105" i="16" s="1"/>
  <c r="AY399" i="12"/>
  <c r="AZ7" i="13"/>
  <c r="AZ7" i="16"/>
  <c r="AZ10" i="13"/>
  <c r="AZ10" i="16"/>
  <c r="BA3" i="13"/>
  <c r="BA3" i="16"/>
  <c r="AZ6" i="13"/>
  <c r="AZ6" i="16"/>
  <c r="AY75" i="10"/>
  <c r="BA3" i="11"/>
  <c r="AT101" i="4"/>
  <c r="BA3" i="12"/>
  <c r="BA3" i="10"/>
  <c r="BA3" i="8"/>
  <c r="AZ6" i="12"/>
  <c r="AZ6" i="11"/>
  <c r="AZ6" i="10"/>
  <c r="AZ6" i="8"/>
  <c r="AZ6" i="7"/>
  <c r="AZ7" i="11"/>
  <c r="AZ7" i="12"/>
  <c r="AZ7" i="10"/>
  <c r="AZ7" i="8"/>
  <c r="AZ7" i="7"/>
  <c r="AZ62" i="8"/>
  <c r="AZ63" i="8"/>
  <c r="AZ56" i="10"/>
  <c r="AZ57" i="10"/>
  <c r="BA126" i="10"/>
  <c r="BA127" i="10"/>
  <c r="AY74" i="10"/>
  <c r="AZ10" i="7"/>
  <c r="AZ10" i="11"/>
  <c r="AZ10" i="12"/>
  <c r="AZ10" i="10"/>
  <c r="AZ10" i="8"/>
  <c r="AZ57" i="11"/>
  <c r="AZ56" i="11"/>
  <c r="BA126" i="11"/>
  <c r="BA127" i="11"/>
  <c r="AZ65" i="7"/>
  <c r="AZ66" i="7"/>
  <c r="AT96" i="4"/>
  <c r="BA11" i="14" s="1"/>
  <c r="BA3" i="7"/>
  <c r="AY66" i="14" l="1"/>
  <c r="AY27" i="14"/>
  <c r="AZ227" i="12"/>
  <c r="AU73" i="28"/>
  <c r="AU75" i="28"/>
  <c r="AU74" i="28"/>
  <c r="AF55" i="28"/>
  <c r="AF50" i="28"/>
  <c r="AF52" i="28"/>
  <c r="AF49" i="28"/>
  <c r="AF47" i="28"/>
  <c r="AF51" i="28"/>
  <c r="AF53" i="28"/>
  <c r="AF56" i="28"/>
  <c r="AF54" i="28"/>
  <c r="AF48" i="28"/>
  <c r="AF57" i="28"/>
  <c r="AB46" i="28"/>
  <c r="AB53" i="28"/>
  <c r="AB51" i="28"/>
  <c r="AB52" i="28"/>
  <c r="AB56" i="28"/>
  <c r="AB48" i="28"/>
  <c r="AB54" i="28"/>
  <c r="AB57" i="28"/>
  <c r="AB50" i="28"/>
  <c r="AB49" i="28"/>
  <c r="AB55" i="28"/>
  <c r="AB47" i="28"/>
  <c r="J60" i="38"/>
  <c r="X60" i="38" s="1"/>
  <c r="AK53" i="38"/>
  <c r="AI59" i="38"/>
  <c r="K60" i="38"/>
  <c r="T43" i="28"/>
  <c r="AY45" i="12"/>
  <c r="AY109" i="12" s="1"/>
  <c r="AY46" i="12"/>
  <c r="AZ78" i="12"/>
  <c r="AZ40" i="7"/>
  <c r="AZ31" i="7"/>
  <c r="AZ94" i="7" s="1"/>
  <c r="AZ48" i="8"/>
  <c r="AZ40" i="8"/>
  <c r="AZ31" i="8"/>
  <c r="AZ91" i="8" s="1"/>
  <c r="AZ49" i="10"/>
  <c r="AZ40" i="10"/>
  <c r="AZ31" i="10"/>
  <c r="AZ85" i="10" s="1"/>
  <c r="AZ49" i="11"/>
  <c r="AZ40" i="11"/>
  <c r="AZ31" i="11"/>
  <c r="BJ80" i="28"/>
  <c r="BM79" i="28"/>
  <c r="P33" i="28"/>
  <c r="P32" i="28"/>
  <c r="P42" i="28"/>
  <c r="P30" i="28"/>
  <c r="P35" i="28"/>
  <c r="P38" i="28"/>
  <c r="P41" i="28"/>
  <c r="P36" i="28"/>
  <c r="P28" i="28"/>
  <c r="P39" i="28"/>
  <c r="P37" i="28"/>
  <c r="P34" i="28"/>
  <c r="P29" i="28"/>
  <c r="P31" i="28"/>
  <c r="AZ226" i="12"/>
  <c r="P40" i="28"/>
  <c r="AU72" i="28"/>
  <c r="BP79" i="28"/>
  <c r="BN80" i="28"/>
  <c r="AX81" i="14"/>
  <c r="V43" i="28"/>
  <c r="AH46" i="28"/>
  <c r="AH58" i="28" s="1"/>
  <c r="V40" i="28"/>
  <c r="AF46" i="28"/>
  <c r="T35" i="28"/>
  <c r="T30" i="28"/>
  <c r="T32" i="28"/>
  <c r="T42" i="28"/>
  <c r="T33" i="28"/>
  <c r="T38" i="28"/>
  <c r="T41" i="28"/>
  <c r="T36" i="28"/>
  <c r="T28" i="28"/>
  <c r="T39" i="28"/>
  <c r="T37" i="28"/>
  <c r="T34" i="28"/>
  <c r="T29" i="28"/>
  <c r="T31" i="28"/>
  <c r="P43" i="28"/>
  <c r="AZ225" i="12"/>
  <c r="AY47" i="14"/>
  <c r="AY48" i="14"/>
  <c r="AY49" i="14"/>
  <c r="AZ30" i="8"/>
  <c r="AZ90" i="8" s="1"/>
  <c r="AZ47" i="8"/>
  <c r="AZ46" i="8"/>
  <c r="AZ76" i="12"/>
  <c r="AZ77" i="12"/>
  <c r="AZ48" i="10"/>
  <c r="AZ47" i="10"/>
  <c r="AZ29" i="7"/>
  <c r="AZ39" i="7"/>
  <c r="AZ30" i="7"/>
  <c r="AZ93" i="7" s="1"/>
  <c r="AZ38" i="7"/>
  <c r="BA9" i="13"/>
  <c r="BA9" i="16"/>
  <c r="BA4" i="13"/>
  <c r="BA4" i="16"/>
  <c r="AZ38" i="11"/>
  <c r="AZ30" i="11"/>
  <c r="AZ47" i="11"/>
  <c r="AZ48" i="11"/>
  <c r="AZ38" i="10"/>
  <c r="AZ30" i="10"/>
  <c r="AZ84" i="10" s="1"/>
  <c r="AZ39" i="10"/>
  <c r="AZ29" i="11"/>
  <c r="AZ39" i="11"/>
  <c r="AZ29" i="10"/>
  <c r="AZ83" i="10" s="1"/>
  <c r="AZ65" i="14" s="1"/>
  <c r="AY44" i="12"/>
  <c r="AZ38" i="8"/>
  <c r="BA9" i="11"/>
  <c r="BA9" i="12"/>
  <c r="BA9" i="10"/>
  <c r="BA9" i="8"/>
  <c r="BA4" i="12"/>
  <c r="BA4" i="11"/>
  <c r="BA4" i="10"/>
  <c r="BA4" i="8"/>
  <c r="AT99" i="4"/>
  <c r="BA15" i="14" s="1"/>
  <c r="AT98" i="4"/>
  <c r="BA14" i="14" s="1"/>
  <c r="AZ29" i="8"/>
  <c r="AZ39" i="8"/>
  <c r="AU95" i="4"/>
  <c r="BB10" i="14" s="1"/>
  <c r="BA4" i="7"/>
  <c r="BA9" i="7"/>
  <c r="AT102" i="4"/>
  <c r="AF58" i="28" l="1"/>
  <c r="AB58" i="28"/>
  <c r="T44" i="28"/>
  <c r="P44" i="28"/>
  <c r="AZ75" i="11"/>
  <c r="AZ84" i="11"/>
  <c r="AZ76" i="11"/>
  <c r="AZ85" i="11"/>
  <c r="AZ74" i="11"/>
  <c r="AZ83" i="11"/>
  <c r="AY93" i="12"/>
  <c r="BK79" i="28"/>
  <c r="AX74" i="28"/>
  <c r="BE74" i="28"/>
  <c r="AW74" i="28"/>
  <c r="AV74" i="28"/>
  <c r="BB74" i="28"/>
  <c r="AV75" i="28"/>
  <c r="BB75" i="28"/>
  <c r="AZ75" i="28"/>
  <c r="AX75" i="28"/>
  <c r="BE75" i="28"/>
  <c r="AW75" i="28"/>
  <c r="BB73" i="28"/>
  <c r="AX73" i="28"/>
  <c r="BE73" i="28"/>
  <c r="AW73" i="28"/>
  <c r="AV73" i="28"/>
  <c r="BQ78" i="28"/>
  <c r="BQ79" i="28"/>
  <c r="K61" i="38"/>
  <c r="J61" i="38"/>
  <c r="X61" i="38" s="1"/>
  <c r="AK54" i="38"/>
  <c r="AY110" i="12"/>
  <c r="AY94" i="12"/>
  <c r="AZ104" i="14"/>
  <c r="AY108" i="12"/>
  <c r="AZ103" i="7"/>
  <c r="AZ85" i="7"/>
  <c r="BA67" i="7"/>
  <c r="BA134" i="8"/>
  <c r="AZ100" i="8"/>
  <c r="AZ82" i="8"/>
  <c r="BA64" i="8"/>
  <c r="BB128" i="10"/>
  <c r="AZ94" i="10"/>
  <c r="AZ76" i="10"/>
  <c r="BA58" i="10"/>
  <c r="BB128" i="11"/>
  <c r="AZ94" i="11"/>
  <c r="BA58" i="11"/>
  <c r="AV72" i="28"/>
  <c r="AW72" i="28"/>
  <c r="BB72" i="28"/>
  <c r="BE72" i="28"/>
  <c r="AX72" i="28"/>
  <c r="V44" i="28"/>
  <c r="BO79" i="28"/>
  <c r="BO78" i="28"/>
  <c r="BK78" i="28"/>
  <c r="BA132" i="8"/>
  <c r="BA133" i="8"/>
  <c r="AZ99" i="8"/>
  <c r="AZ81" i="8"/>
  <c r="AY50" i="14"/>
  <c r="AY43" i="14"/>
  <c r="AZ83" i="7"/>
  <c r="AZ67" i="14"/>
  <c r="AZ92" i="11"/>
  <c r="AZ93" i="11"/>
  <c r="AZ84" i="7"/>
  <c r="AZ102" i="7"/>
  <c r="AZ92" i="10"/>
  <c r="AZ93" i="10"/>
  <c r="AZ358" i="12"/>
  <c r="AZ105" i="16" s="1"/>
  <c r="AZ399" i="12"/>
  <c r="AZ75" i="10"/>
  <c r="AY92" i="12"/>
  <c r="AZ74" i="10"/>
  <c r="BA7" i="13"/>
  <c r="BA7" i="16"/>
  <c r="BA10" i="13"/>
  <c r="BA10" i="16"/>
  <c r="BB3" i="13"/>
  <c r="BB3" i="16"/>
  <c r="BA6" i="13"/>
  <c r="BA6" i="16"/>
  <c r="BA56" i="10"/>
  <c r="BA57" i="10"/>
  <c r="BB126" i="10"/>
  <c r="BB127" i="10"/>
  <c r="BA57" i="11"/>
  <c r="BA56" i="11"/>
  <c r="BB126" i="11"/>
  <c r="BB127" i="11"/>
  <c r="BA10" i="7"/>
  <c r="BA10" i="11"/>
  <c r="BA10" i="12"/>
  <c r="BA10" i="10"/>
  <c r="BA10" i="8"/>
  <c r="BA6" i="12"/>
  <c r="BA6" i="11"/>
  <c r="BA6" i="10"/>
  <c r="BA6" i="8"/>
  <c r="BA6" i="7"/>
  <c r="AU101" i="4"/>
  <c r="BB3" i="12"/>
  <c r="BB3" i="11"/>
  <c r="BB3" i="10"/>
  <c r="BB3" i="8"/>
  <c r="AZ80" i="8"/>
  <c r="BA7" i="11"/>
  <c r="BA7" i="12"/>
  <c r="BA7" i="10"/>
  <c r="BA7" i="8"/>
  <c r="BA7" i="7"/>
  <c r="BA62" i="8"/>
  <c r="BA63" i="8"/>
  <c r="BA65" i="7"/>
  <c r="BA66" i="7"/>
  <c r="AU96" i="4"/>
  <c r="BB11" i="14" s="1"/>
  <c r="BB3" i="7"/>
  <c r="AY81" i="14" l="1"/>
  <c r="AZ66" i="14"/>
  <c r="BK80" i="28"/>
  <c r="AZ27" i="14"/>
  <c r="BO80" i="28"/>
  <c r="BA227" i="12"/>
  <c r="BD75" i="28"/>
  <c r="BA75" i="28"/>
  <c r="AK55" i="38"/>
  <c r="K62" i="38"/>
  <c r="BQ80" i="28"/>
  <c r="AZ45" i="12"/>
  <c r="AZ109" i="12" s="1"/>
  <c r="AZ46" i="12"/>
  <c r="BA78" i="12"/>
  <c r="BA40" i="7"/>
  <c r="BA31" i="7"/>
  <c r="BA94" i="7" s="1"/>
  <c r="BA48" i="8"/>
  <c r="BA40" i="8"/>
  <c r="BA31" i="8"/>
  <c r="BA91" i="8" s="1"/>
  <c r="BA49" i="10"/>
  <c r="BA40" i="10"/>
  <c r="BA31" i="10"/>
  <c r="BA85" i="10" s="1"/>
  <c r="BA49" i="11"/>
  <c r="BA40" i="11"/>
  <c r="BA31" i="11"/>
  <c r="BB76" i="28"/>
  <c r="BC75" i="28" s="1"/>
  <c r="AW76" i="28"/>
  <c r="AV76" i="28"/>
  <c r="BA226" i="12"/>
  <c r="AX76" i="28"/>
  <c r="AY75" i="28" s="1"/>
  <c r="BA225" i="12"/>
  <c r="AY79" i="14"/>
  <c r="AZ47" i="14"/>
  <c r="AZ48" i="14"/>
  <c r="AZ49" i="14"/>
  <c r="BA46" i="8"/>
  <c r="BA47" i="8"/>
  <c r="BA77" i="12"/>
  <c r="BA76" i="12"/>
  <c r="BA48" i="10"/>
  <c r="BB9" i="13"/>
  <c r="BB9" i="16"/>
  <c r="BB4" i="13"/>
  <c r="BB4" i="16"/>
  <c r="BA30" i="7"/>
  <c r="BA93" i="7" s="1"/>
  <c r="AZ44" i="12"/>
  <c r="BA29" i="7"/>
  <c r="BA38" i="7"/>
  <c r="BA39" i="7"/>
  <c r="BA29" i="8"/>
  <c r="BA29" i="10"/>
  <c r="BA83" i="10" s="1"/>
  <c r="BA65" i="14" s="1"/>
  <c r="BA39" i="8"/>
  <c r="BA39" i="11"/>
  <c r="BA29" i="11"/>
  <c r="BA48" i="11"/>
  <c r="BA38" i="10"/>
  <c r="BB4" i="12"/>
  <c r="BB4" i="11"/>
  <c r="BB4" i="10"/>
  <c r="BB4" i="8"/>
  <c r="AU99" i="4"/>
  <c r="BB15" i="14" s="1"/>
  <c r="AU98" i="4"/>
  <c r="BB14" i="14" s="1"/>
  <c r="BA38" i="8"/>
  <c r="BA30" i="8"/>
  <c r="BA90" i="8" s="1"/>
  <c r="BA47" i="11"/>
  <c r="BA47" i="10"/>
  <c r="BB9" i="11"/>
  <c r="BB9" i="12"/>
  <c r="BB9" i="10"/>
  <c r="BB9" i="8"/>
  <c r="BA38" i="11"/>
  <c r="BA39" i="10"/>
  <c r="BA30" i="11"/>
  <c r="BA30" i="10"/>
  <c r="BA84" i="10" s="1"/>
  <c r="AV95" i="4"/>
  <c r="BC10" i="14" s="1"/>
  <c r="BB4" i="7"/>
  <c r="AU102" i="4"/>
  <c r="BB9" i="7"/>
  <c r="BA74" i="11" l="1"/>
  <c r="BA83" i="11"/>
  <c r="BA75" i="11"/>
  <c r="BA84" i="11"/>
  <c r="BA76" i="11"/>
  <c r="BA85" i="11"/>
  <c r="AZ93" i="12"/>
  <c r="BC74" i="28"/>
  <c r="BC73" i="28"/>
  <c r="AY74" i="28"/>
  <c r="AY73" i="28"/>
  <c r="J63" i="38"/>
  <c r="X63" i="38" s="1"/>
  <c r="K63" i="38"/>
  <c r="AK56" i="38"/>
  <c r="BE76" i="28"/>
  <c r="BA104" i="14"/>
  <c r="AZ110" i="12"/>
  <c r="AZ94" i="12"/>
  <c r="BC72" i="28"/>
  <c r="AZ108" i="12"/>
  <c r="BA103" i="7"/>
  <c r="BA85" i="7"/>
  <c r="BB67" i="7"/>
  <c r="BB134" i="8"/>
  <c r="BA100" i="8"/>
  <c r="BA82" i="8"/>
  <c r="BB64" i="8"/>
  <c r="BC128" i="10"/>
  <c r="BA94" i="10"/>
  <c r="BA76" i="10"/>
  <c r="BB58" i="10"/>
  <c r="BC128" i="11"/>
  <c r="BA94" i="11"/>
  <c r="BB58" i="11"/>
  <c r="AA44" i="12"/>
  <c r="Y44" i="12"/>
  <c r="AB44" i="12"/>
  <c r="Z44" i="12"/>
  <c r="AC44" i="12"/>
  <c r="AY72" i="28"/>
  <c r="AY76" i="28" s="1"/>
  <c r="BB132" i="8"/>
  <c r="BB133" i="8"/>
  <c r="AZ50" i="14"/>
  <c r="BA67" i="14"/>
  <c r="AZ43" i="14"/>
  <c r="BA93" i="11"/>
  <c r="BA83" i="7"/>
  <c r="BA102" i="7"/>
  <c r="BA99" i="8"/>
  <c r="BA92" i="11"/>
  <c r="BA93" i="10"/>
  <c r="BA92" i="10"/>
  <c r="AZ92" i="12"/>
  <c r="BA358" i="12"/>
  <c r="BA105" i="16" s="1"/>
  <c r="BA399" i="12"/>
  <c r="BA80" i="8"/>
  <c r="BA84" i="7"/>
  <c r="BC3" i="13"/>
  <c r="BC3" i="16"/>
  <c r="BB6" i="13"/>
  <c r="BB6" i="16"/>
  <c r="BB10" i="13"/>
  <c r="BB10" i="16"/>
  <c r="BB7" i="13"/>
  <c r="BB7" i="16"/>
  <c r="BB56" i="11"/>
  <c r="BB57" i="11"/>
  <c r="BC126" i="11"/>
  <c r="BC127" i="11"/>
  <c r="BA75" i="10"/>
  <c r="BA81" i="8"/>
  <c r="BB6" i="11"/>
  <c r="BB6" i="12"/>
  <c r="BB6" i="10"/>
  <c r="BB6" i="8"/>
  <c r="BB6" i="7"/>
  <c r="BB10" i="7"/>
  <c r="BB10" i="12"/>
  <c r="BB10" i="11"/>
  <c r="BB10" i="10"/>
  <c r="BB10" i="8"/>
  <c r="BB7" i="11"/>
  <c r="BB7" i="12"/>
  <c r="BB7" i="10"/>
  <c r="BB7" i="8"/>
  <c r="BB7" i="7"/>
  <c r="BA74" i="10"/>
  <c r="BB63" i="8"/>
  <c r="BB62" i="8"/>
  <c r="BC3" i="12"/>
  <c r="AV101" i="4"/>
  <c r="BC3" i="11"/>
  <c r="BC3" i="10"/>
  <c r="BC3" i="8"/>
  <c r="BB57" i="10"/>
  <c r="BB56" i="10"/>
  <c r="BC126" i="10"/>
  <c r="BC127" i="10"/>
  <c r="BB65" i="7"/>
  <c r="BB66" i="7"/>
  <c r="AV96" i="4"/>
  <c r="BC11" i="14" s="1"/>
  <c r="BC3" i="7"/>
  <c r="BA66" i="14" l="1"/>
  <c r="BC76" i="28"/>
  <c r="BA27" i="14"/>
  <c r="BB227" i="12"/>
  <c r="J64" i="38"/>
  <c r="X64" i="38" s="1"/>
  <c r="AK57" i="38"/>
  <c r="K64" i="38"/>
  <c r="BA45" i="12"/>
  <c r="BA46" i="12"/>
  <c r="Z108" i="12"/>
  <c r="Z81" i="14" s="1"/>
  <c r="Y108" i="12"/>
  <c r="Y81" i="14" s="1"/>
  <c r="AA108" i="12"/>
  <c r="AC108" i="12"/>
  <c r="AC81" i="14" s="1"/>
  <c r="BB78" i="12"/>
  <c r="BB40" i="7"/>
  <c r="BB31" i="7"/>
  <c r="BB94" i="7" s="1"/>
  <c r="BB48" i="8"/>
  <c r="BB40" i="8"/>
  <c r="BB31" i="8"/>
  <c r="BB91" i="8" s="1"/>
  <c r="BB49" i="10"/>
  <c r="BB40" i="10"/>
  <c r="BB31" i="10"/>
  <c r="BB85" i="10" s="1"/>
  <c r="AB92" i="12"/>
  <c r="AB79" i="14" s="1"/>
  <c r="BB29" i="11"/>
  <c r="BB49" i="11"/>
  <c r="BB40" i="11"/>
  <c r="BB31" i="11"/>
  <c r="AB43" i="14"/>
  <c r="AB44" i="14" s="1"/>
  <c r="CB18" i="22"/>
  <c r="CC18" i="22" s="1"/>
  <c r="Z92" i="12"/>
  <c r="Y43" i="14"/>
  <c r="Y44" i="14" s="1"/>
  <c r="AC43" i="14"/>
  <c r="AC44" i="14" s="1"/>
  <c r="AA43" i="14"/>
  <c r="AA44" i="14" s="1"/>
  <c r="AA92" i="12"/>
  <c r="AC92" i="12"/>
  <c r="AC79" i="14" s="1"/>
  <c r="Z43" i="14"/>
  <c r="Z44" i="14" s="1"/>
  <c r="AB108" i="12"/>
  <c r="AB81" i="14" s="1"/>
  <c r="Y92" i="12"/>
  <c r="Y79" i="14" s="1"/>
  <c r="BB226" i="12"/>
  <c r="BB225" i="12"/>
  <c r="BA47" i="14"/>
  <c r="AZ81" i="14"/>
  <c r="BA48" i="14"/>
  <c r="BA49" i="14"/>
  <c r="AZ79" i="14"/>
  <c r="BB47" i="8"/>
  <c r="BB46" i="8"/>
  <c r="BB77" i="12"/>
  <c r="BB76" i="12"/>
  <c r="BB48" i="10"/>
  <c r="BB30" i="7"/>
  <c r="BB93" i="7" s="1"/>
  <c r="BC4" i="13"/>
  <c r="BC4" i="16"/>
  <c r="BC9" i="13"/>
  <c r="BC9" i="16"/>
  <c r="BB30" i="10"/>
  <c r="BB39" i="10"/>
  <c r="BB29" i="10"/>
  <c r="BB83" i="10" s="1"/>
  <c r="BB65" i="14" s="1"/>
  <c r="BB47" i="10"/>
  <c r="BB39" i="7"/>
  <c r="BB38" i="10"/>
  <c r="BB38" i="7"/>
  <c r="BB29" i="7"/>
  <c r="BB29" i="8"/>
  <c r="BA44" i="12"/>
  <c r="BB30" i="8"/>
  <c r="BB90" i="8" s="1"/>
  <c r="BB39" i="8"/>
  <c r="BB48" i="11"/>
  <c r="BC9" i="12"/>
  <c r="BC9" i="11"/>
  <c r="BC9" i="10"/>
  <c r="BC9" i="8"/>
  <c r="BB39" i="11"/>
  <c r="BB47" i="11"/>
  <c r="BC4" i="12"/>
  <c r="BC4" i="11"/>
  <c r="BC4" i="10"/>
  <c r="BC4" i="8"/>
  <c r="AV99" i="4"/>
  <c r="BC15" i="14" s="1"/>
  <c r="AV98" i="4"/>
  <c r="BC14" i="14" s="1"/>
  <c r="BB38" i="8"/>
  <c r="BB38" i="11"/>
  <c r="BB30" i="11"/>
  <c r="AW95" i="4"/>
  <c r="BD10" i="14" s="1"/>
  <c r="BC4" i="7"/>
  <c r="BC9" i="7"/>
  <c r="AV102" i="4"/>
  <c r="BB74" i="11" l="1"/>
  <c r="BB83" i="11"/>
  <c r="BB75" i="10"/>
  <c r="BB84" i="10"/>
  <c r="BB75" i="11"/>
  <c r="BB84" i="11"/>
  <c r="BB76" i="11"/>
  <c r="BB85" i="11"/>
  <c r="CM18" i="22"/>
  <c r="CL18" i="22"/>
  <c r="AA81" i="14"/>
  <c r="J65" i="38"/>
  <c r="X65" i="38" s="1"/>
  <c r="AK59" i="38"/>
  <c r="AI64" i="38"/>
  <c r="K65" i="38"/>
  <c r="AK58" i="38"/>
  <c r="BA109" i="12"/>
  <c r="BA93" i="12"/>
  <c r="BB104" i="14"/>
  <c r="BA110" i="12"/>
  <c r="BA94" i="12"/>
  <c r="BA108" i="12"/>
  <c r="BB103" i="7"/>
  <c r="BB85" i="7"/>
  <c r="BC67" i="7"/>
  <c r="BC134" i="8"/>
  <c r="BB100" i="8"/>
  <c r="BB82" i="8"/>
  <c r="BC64" i="8"/>
  <c r="BD128" i="10"/>
  <c r="BB94" i="10"/>
  <c r="BB76" i="10"/>
  <c r="BC58" i="10"/>
  <c r="BD128" i="11"/>
  <c r="BB94" i="11"/>
  <c r="BB92" i="11"/>
  <c r="BC58" i="11"/>
  <c r="Z79" i="14"/>
  <c r="AA79" i="14"/>
  <c r="AK8" i="38"/>
  <c r="U8" i="19"/>
  <c r="X19" i="15"/>
  <c r="BC132" i="8"/>
  <c r="BC133" i="8"/>
  <c r="BA50" i="14"/>
  <c r="BB83" i="7"/>
  <c r="BB67" i="14"/>
  <c r="BA43" i="14"/>
  <c r="BB93" i="11"/>
  <c r="BB99" i="8"/>
  <c r="BB102" i="7"/>
  <c r="BB92" i="10"/>
  <c r="BB93" i="10"/>
  <c r="BB358" i="12"/>
  <c r="BB105" i="16" s="1"/>
  <c r="BB399" i="12"/>
  <c r="BA92" i="12"/>
  <c r="BB84" i="7"/>
  <c r="BB80" i="8"/>
  <c r="BB74" i="10"/>
  <c r="BB81" i="8"/>
  <c r="BD3" i="13"/>
  <c r="BD3" i="16"/>
  <c r="BC7" i="13"/>
  <c r="BC7" i="16"/>
  <c r="BC10" i="13"/>
  <c r="BC10" i="16"/>
  <c r="BC6" i="13"/>
  <c r="BC6" i="16"/>
  <c r="BC6" i="11"/>
  <c r="BC6" i="12"/>
  <c r="BC6" i="10"/>
  <c r="BC6" i="8"/>
  <c r="BC6" i="7"/>
  <c r="BD3" i="12"/>
  <c r="AW101" i="4"/>
  <c r="BD3" i="11"/>
  <c r="BD3" i="10"/>
  <c r="BD3" i="8"/>
  <c r="BC7" i="12"/>
  <c r="BC7" i="11"/>
  <c r="BC7" i="10"/>
  <c r="BC7" i="8"/>
  <c r="BC7" i="7"/>
  <c r="BC63" i="8"/>
  <c r="BC62" i="8"/>
  <c r="BC10" i="7"/>
  <c r="BC10" i="12"/>
  <c r="BC10" i="11"/>
  <c r="BC10" i="10"/>
  <c r="BC10" i="8"/>
  <c r="BC56" i="10"/>
  <c r="BC57" i="10"/>
  <c r="BD127" i="10"/>
  <c r="BD126" i="10"/>
  <c r="BC57" i="11"/>
  <c r="BC56" i="11"/>
  <c r="BD127" i="11"/>
  <c r="BD126" i="11"/>
  <c r="BC65" i="7"/>
  <c r="BC66" i="7"/>
  <c r="AW96" i="4"/>
  <c r="BD11" i="14" s="1"/>
  <c r="BD3" i="7"/>
  <c r="BB66" i="14" l="1"/>
  <c r="BB27" i="14"/>
  <c r="BC226" i="12"/>
  <c r="BC227" i="12"/>
  <c r="BA81" i="14"/>
  <c r="J66" i="38"/>
  <c r="X66" i="38" s="1"/>
  <c r="AK60" i="38"/>
  <c r="K66" i="38"/>
  <c r="BB45" i="12"/>
  <c r="BB46" i="12"/>
  <c r="BC78" i="12"/>
  <c r="BC40" i="7"/>
  <c r="BC31" i="7"/>
  <c r="BC94" i="7" s="1"/>
  <c r="BB47" i="14"/>
  <c r="BC48" i="8"/>
  <c r="BC40" i="8"/>
  <c r="BC31" i="8"/>
  <c r="BC91" i="8" s="1"/>
  <c r="BC49" i="10"/>
  <c r="BC40" i="10"/>
  <c r="BC31" i="10"/>
  <c r="BC85" i="10" s="1"/>
  <c r="BC48" i="11"/>
  <c r="BC49" i="11"/>
  <c r="BC40" i="11"/>
  <c r="BC31" i="11"/>
  <c r="BC225" i="12"/>
  <c r="BB48" i="14"/>
  <c r="BB49" i="14"/>
  <c r="BC47" i="8"/>
  <c r="BC46" i="8"/>
  <c r="BC76" i="12"/>
  <c r="BC77" i="12"/>
  <c r="BA79" i="14"/>
  <c r="BC48" i="10"/>
  <c r="BC29" i="11"/>
  <c r="BC47" i="11"/>
  <c r="BC30" i="7"/>
  <c r="BC93" i="7" s="1"/>
  <c r="BD9" i="13"/>
  <c r="BD9" i="16"/>
  <c r="BC29" i="7"/>
  <c r="BC30" i="11"/>
  <c r="BD4" i="13"/>
  <c r="BD4" i="16"/>
  <c r="BC29" i="10"/>
  <c r="BC83" i="10" s="1"/>
  <c r="BC65" i="14" s="1"/>
  <c r="BC39" i="7"/>
  <c r="BC38" i="7"/>
  <c r="BC30" i="10"/>
  <c r="BC84" i="10" s="1"/>
  <c r="BC38" i="11"/>
  <c r="BC39" i="11"/>
  <c r="BC38" i="10"/>
  <c r="BB44" i="12"/>
  <c r="BC47" i="10"/>
  <c r="BC39" i="10"/>
  <c r="BD4" i="12"/>
  <c r="BD4" i="11"/>
  <c r="BD4" i="10"/>
  <c r="BD4" i="8"/>
  <c r="AW99" i="4"/>
  <c r="BD15" i="14" s="1"/>
  <c r="AW98" i="4"/>
  <c r="BD14" i="14" s="1"/>
  <c r="BC29" i="8"/>
  <c r="BC30" i="8"/>
  <c r="BC90" i="8" s="1"/>
  <c r="BC39" i="8"/>
  <c r="BD9" i="12"/>
  <c r="BD9" i="11"/>
  <c r="BD9" i="10"/>
  <c r="BD9" i="8"/>
  <c r="BC38" i="8"/>
  <c r="AX95" i="4"/>
  <c r="BE10" i="14" s="1"/>
  <c r="BD4" i="7"/>
  <c r="AW102" i="4"/>
  <c r="BD9" i="7"/>
  <c r="BC76" i="11" l="1"/>
  <c r="BC85" i="11"/>
  <c r="BC75" i="11"/>
  <c r="BC84" i="11"/>
  <c r="BC74" i="11"/>
  <c r="BC83" i="11"/>
  <c r="BC66" i="14" s="1"/>
  <c r="J67" i="38"/>
  <c r="X67" i="38" s="1"/>
  <c r="AK61" i="38"/>
  <c r="K67" i="38"/>
  <c r="BC104" i="14"/>
  <c r="BB110" i="12"/>
  <c r="BB94" i="12"/>
  <c r="BB109" i="12"/>
  <c r="BB93" i="12"/>
  <c r="BB108" i="12"/>
  <c r="BB81" i="14" s="1"/>
  <c r="BC103" i="7"/>
  <c r="BC85" i="7"/>
  <c r="BD67" i="7"/>
  <c r="BD134" i="8"/>
  <c r="BC100" i="8"/>
  <c r="BC82" i="8"/>
  <c r="BD64" i="8"/>
  <c r="BE128" i="10"/>
  <c r="BC94" i="10"/>
  <c r="BC76" i="10"/>
  <c r="BD58" i="10"/>
  <c r="BE128" i="11"/>
  <c r="BC94" i="11"/>
  <c r="BD58" i="11"/>
  <c r="BD133" i="8"/>
  <c r="BD132" i="8"/>
  <c r="BB50" i="14"/>
  <c r="BC67" i="14"/>
  <c r="BB92" i="12"/>
  <c r="BB43" i="14"/>
  <c r="BC92" i="11"/>
  <c r="BC93" i="11"/>
  <c r="BC102" i="7"/>
  <c r="BC83" i="7"/>
  <c r="BC75" i="10"/>
  <c r="BC84" i="7"/>
  <c r="BC99" i="8"/>
  <c r="BC93" i="10"/>
  <c r="BC92" i="10"/>
  <c r="BC358" i="12"/>
  <c r="BC105" i="16" s="1"/>
  <c r="BC399" i="12"/>
  <c r="BC74" i="10"/>
  <c r="BD10" i="13"/>
  <c r="BD10" i="16"/>
  <c r="BE3" i="13"/>
  <c r="BE3" i="16"/>
  <c r="BD6" i="13"/>
  <c r="BD6" i="16"/>
  <c r="BD7" i="13"/>
  <c r="BD7" i="16"/>
  <c r="BD6" i="11"/>
  <c r="BD6" i="12"/>
  <c r="BD6" i="10"/>
  <c r="BD6" i="8"/>
  <c r="BD6" i="7"/>
  <c r="BD7" i="12"/>
  <c r="BD7" i="11"/>
  <c r="BD7" i="10"/>
  <c r="BD7" i="8"/>
  <c r="BD7" i="7"/>
  <c r="BD10" i="7"/>
  <c r="BD10" i="12"/>
  <c r="BD10" i="11"/>
  <c r="BD10" i="10"/>
  <c r="BD10" i="8"/>
  <c r="BE3" i="12"/>
  <c r="BE3" i="11"/>
  <c r="AX101" i="4"/>
  <c r="BE3" i="10"/>
  <c r="BE3" i="8"/>
  <c r="BD63" i="8"/>
  <c r="BD62" i="8"/>
  <c r="BD56" i="10"/>
  <c r="BD57" i="10"/>
  <c r="BE126" i="10"/>
  <c r="BE127" i="10"/>
  <c r="BD57" i="11"/>
  <c r="BD56" i="11"/>
  <c r="BE126" i="11"/>
  <c r="BE127" i="11"/>
  <c r="BC80" i="8"/>
  <c r="BC81" i="8"/>
  <c r="BD65" i="7"/>
  <c r="BD66" i="7"/>
  <c r="AX96" i="4"/>
  <c r="BE11" i="14" s="1"/>
  <c r="BE3" i="7"/>
  <c r="BC47" i="14" l="1"/>
  <c r="BC27" i="14"/>
  <c r="BD226" i="12"/>
  <c r="BD227" i="12"/>
  <c r="K68" i="38"/>
  <c r="AK62" i="38"/>
  <c r="BC45" i="12"/>
  <c r="BC46" i="12"/>
  <c r="BD78" i="12"/>
  <c r="BD40" i="7"/>
  <c r="BD31" i="7"/>
  <c r="BD94" i="7" s="1"/>
  <c r="BD48" i="8"/>
  <c r="BD40" i="8"/>
  <c r="BD31" i="8"/>
  <c r="BD91" i="8" s="1"/>
  <c r="BD49" i="10"/>
  <c r="BD40" i="10"/>
  <c r="BD31" i="10"/>
  <c r="BD85" i="10" s="1"/>
  <c r="BD47" i="11"/>
  <c r="BD49" i="11"/>
  <c r="BD40" i="11"/>
  <c r="BD31" i="11"/>
  <c r="BD225" i="12"/>
  <c r="BC49" i="14"/>
  <c r="BC48" i="14"/>
  <c r="BB79" i="14"/>
  <c r="BD47" i="8"/>
  <c r="BD46" i="8"/>
  <c r="BD77" i="12"/>
  <c r="BD76" i="12"/>
  <c r="BD29" i="10"/>
  <c r="BD83" i="10" s="1"/>
  <c r="BD65" i="14" s="1"/>
  <c r="BD48" i="10"/>
  <c r="BD38" i="7"/>
  <c r="BE9" i="13"/>
  <c r="BE9" i="16"/>
  <c r="BE4" i="13"/>
  <c r="BE4" i="16"/>
  <c r="BD38" i="11"/>
  <c r="BD38" i="10"/>
  <c r="BD30" i="10"/>
  <c r="BD84" i="10" s="1"/>
  <c r="BD47" i="10"/>
  <c r="BD38" i="8"/>
  <c r="BD29" i="11"/>
  <c r="BD30" i="11"/>
  <c r="BD39" i="10"/>
  <c r="BD39" i="11"/>
  <c r="BD48" i="11"/>
  <c r="BD39" i="8"/>
  <c r="BD30" i="8"/>
  <c r="BD90" i="8" s="1"/>
  <c r="BD30" i="7"/>
  <c r="BD93" i="7" s="1"/>
  <c r="BD29" i="7"/>
  <c r="BD39" i="7"/>
  <c r="BD29" i="8"/>
  <c r="BC44" i="12"/>
  <c r="BE9" i="12"/>
  <c r="BE9" i="10"/>
  <c r="BE9" i="11"/>
  <c r="BE9" i="8"/>
  <c r="BE4" i="12"/>
  <c r="BE4" i="11"/>
  <c r="BE4" i="10"/>
  <c r="BE4" i="8"/>
  <c r="AX99" i="4"/>
  <c r="BE15" i="14" s="1"/>
  <c r="AX98" i="4"/>
  <c r="BE14" i="14" s="1"/>
  <c r="AY95" i="4"/>
  <c r="BF10" i="14" s="1"/>
  <c r="BE4" i="7"/>
  <c r="AX102" i="4"/>
  <c r="BE9" i="7"/>
  <c r="BD75" i="11" l="1"/>
  <c r="BD84" i="11"/>
  <c r="BD74" i="11"/>
  <c r="BD83" i="11"/>
  <c r="BD76" i="11"/>
  <c r="BD85" i="11"/>
  <c r="K69" i="38"/>
  <c r="J69" i="38"/>
  <c r="X69" i="38" s="1"/>
  <c r="AK64" i="38"/>
  <c r="AK63" i="38"/>
  <c r="BD104" i="14"/>
  <c r="BC109" i="12"/>
  <c r="BC93" i="12"/>
  <c r="BC110" i="12"/>
  <c r="BC94" i="12"/>
  <c r="BD103" i="7"/>
  <c r="BD85" i="7"/>
  <c r="BE67" i="7"/>
  <c r="BE134" i="8"/>
  <c r="BD100" i="8"/>
  <c r="BD82" i="8"/>
  <c r="BD81" i="8"/>
  <c r="BE64" i="8"/>
  <c r="BF128" i="10"/>
  <c r="BD94" i="10"/>
  <c r="BD76" i="10"/>
  <c r="BE58" i="10"/>
  <c r="BF128" i="11"/>
  <c r="BD94" i="11"/>
  <c r="BE58" i="11"/>
  <c r="BE133" i="8"/>
  <c r="BE132" i="8"/>
  <c r="BC50" i="14"/>
  <c r="BC43" i="14"/>
  <c r="BD67" i="14"/>
  <c r="BD83" i="7"/>
  <c r="BD84" i="7"/>
  <c r="BD75" i="10"/>
  <c r="BD93" i="11"/>
  <c r="BD80" i="8"/>
  <c r="BD102" i="7"/>
  <c r="BD99" i="8"/>
  <c r="BD92" i="11"/>
  <c r="BD92" i="10"/>
  <c r="BD93" i="10"/>
  <c r="BD399" i="12"/>
  <c r="BD358" i="12"/>
  <c r="BD105" i="16" s="1"/>
  <c r="BD74" i="10"/>
  <c r="BE7" i="13"/>
  <c r="BE7" i="16"/>
  <c r="BF3" i="13"/>
  <c r="BF3" i="16"/>
  <c r="BE10" i="13"/>
  <c r="BE10" i="16"/>
  <c r="BE6" i="13"/>
  <c r="BE6" i="16"/>
  <c r="BC108" i="12"/>
  <c r="BC92" i="12"/>
  <c r="BE10" i="7"/>
  <c r="BE10" i="11"/>
  <c r="BE10" i="12"/>
  <c r="BE10" i="10"/>
  <c r="BE10" i="8"/>
  <c r="AY101" i="4"/>
  <c r="BF3" i="12"/>
  <c r="BF3" i="11"/>
  <c r="BF3" i="10"/>
  <c r="BF3" i="8"/>
  <c r="BE6" i="12"/>
  <c r="BE6" i="11"/>
  <c r="BE6" i="10"/>
  <c r="BE6" i="8"/>
  <c r="BE6" i="7"/>
  <c r="BE7" i="12"/>
  <c r="BE7" i="11"/>
  <c r="BE7" i="10"/>
  <c r="BE7" i="8"/>
  <c r="BE7" i="7"/>
  <c r="BE63" i="8"/>
  <c r="BE62" i="8"/>
  <c r="BE57" i="10"/>
  <c r="BE56" i="10"/>
  <c r="BF127" i="10"/>
  <c r="BF126" i="10"/>
  <c r="BE56" i="11"/>
  <c r="BE57" i="11"/>
  <c r="BF127" i="11"/>
  <c r="BF126" i="11"/>
  <c r="BE65" i="7"/>
  <c r="BE66" i="7"/>
  <c r="AY96" i="4"/>
  <c r="BF11" i="14" s="1"/>
  <c r="BF3" i="7"/>
  <c r="BD66" i="14" l="1"/>
  <c r="BD27" i="14"/>
  <c r="BE226" i="12"/>
  <c r="BE227" i="12"/>
  <c r="K70" i="38"/>
  <c r="J70" i="38"/>
  <c r="X70" i="38" s="1"/>
  <c r="BD45" i="12"/>
  <c r="BD46" i="12"/>
  <c r="BE78" i="12"/>
  <c r="BD47" i="14"/>
  <c r="BE40" i="7"/>
  <c r="BE38" i="7"/>
  <c r="BE31" i="7"/>
  <c r="BE94" i="7" s="1"/>
  <c r="BE48" i="8"/>
  <c r="BE40" i="8"/>
  <c r="BE31" i="8"/>
  <c r="BE91" i="8" s="1"/>
  <c r="BE49" i="10"/>
  <c r="BE40" i="10"/>
  <c r="BE31" i="10"/>
  <c r="BE85" i="10" s="1"/>
  <c r="BE49" i="11"/>
  <c r="BE40" i="11"/>
  <c r="BE31" i="11"/>
  <c r="BE225" i="12"/>
  <c r="BD48" i="14"/>
  <c r="BD49" i="14"/>
  <c r="BE47" i="8"/>
  <c r="BE46" i="8"/>
  <c r="BE77" i="12"/>
  <c r="BE76" i="12"/>
  <c r="BD44" i="12"/>
  <c r="BE30" i="10"/>
  <c r="BE48" i="10"/>
  <c r="BC79" i="14"/>
  <c r="BC81" i="14"/>
  <c r="BF4" i="13"/>
  <c r="BF4" i="16"/>
  <c r="BF9" i="13"/>
  <c r="BF9" i="16"/>
  <c r="BE30" i="8"/>
  <c r="BE90" i="8" s="1"/>
  <c r="BE30" i="7"/>
  <c r="BE93" i="7" s="1"/>
  <c r="BE38" i="11"/>
  <c r="BE29" i="7"/>
  <c r="BE39" i="7"/>
  <c r="BE29" i="10"/>
  <c r="BE83" i="10" s="1"/>
  <c r="BE65" i="14" s="1"/>
  <c r="BE38" i="10"/>
  <c r="BE47" i="11"/>
  <c r="BE39" i="11"/>
  <c r="BE30" i="11"/>
  <c r="BE48" i="11"/>
  <c r="BE39" i="8"/>
  <c r="BE29" i="11"/>
  <c r="BE47" i="10"/>
  <c r="BE38" i="8"/>
  <c r="BE29" i="8"/>
  <c r="BE39" i="10"/>
  <c r="BF4" i="11"/>
  <c r="BF4" i="12"/>
  <c r="BF4" i="10"/>
  <c r="BF4" i="8"/>
  <c r="AY99" i="4"/>
  <c r="BF15" i="14" s="1"/>
  <c r="AY98" i="4"/>
  <c r="BF14" i="14" s="1"/>
  <c r="BF9" i="12"/>
  <c r="BF9" i="11"/>
  <c r="BF9" i="10"/>
  <c r="BF9" i="8"/>
  <c r="AZ95" i="4"/>
  <c r="BG10" i="14" s="1"/>
  <c r="BF4" i="7"/>
  <c r="BF9" i="7"/>
  <c r="AY102" i="4"/>
  <c r="BE74" i="11" l="1"/>
  <c r="BE83" i="11"/>
  <c r="BE66" i="14" s="1"/>
  <c r="BE76" i="11"/>
  <c r="BE85" i="11"/>
  <c r="BE75" i="11"/>
  <c r="BE84" i="11"/>
  <c r="BE75" i="10"/>
  <c r="BE84" i="10"/>
  <c r="AK65" i="38"/>
  <c r="J71" i="38"/>
  <c r="X71" i="38" s="1"/>
  <c r="K71" i="38"/>
  <c r="BD109" i="12"/>
  <c r="BD93" i="12"/>
  <c r="BE104" i="14"/>
  <c r="BD110" i="12"/>
  <c r="BD94" i="12"/>
  <c r="BD108" i="12"/>
  <c r="BE103" i="7"/>
  <c r="BE85" i="7"/>
  <c r="BF67" i="7"/>
  <c r="BF134" i="8"/>
  <c r="BE100" i="8"/>
  <c r="BE82" i="8"/>
  <c r="BE81" i="8"/>
  <c r="BF64" i="8"/>
  <c r="BG128" i="10"/>
  <c r="BI128" i="10" s="1"/>
  <c r="BE94" i="10"/>
  <c r="BE76" i="10"/>
  <c r="BF58" i="10"/>
  <c r="BG128" i="11"/>
  <c r="BI128" i="11" s="1"/>
  <c r="BE94" i="11"/>
  <c r="BF58" i="11"/>
  <c r="BF132" i="8"/>
  <c r="BF133" i="8"/>
  <c r="BD50" i="14"/>
  <c r="BD92" i="12"/>
  <c r="BD79" i="14" s="1"/>
  <c r="BE67" i="14"/>
  <c r="BD43" i="14"/>
  <c r="BE92" i="11"/>
  <c r="BE99" i="8"/>
  <c r="BE84" i="7"/>
  <c r="BE102" i="7"/>
  <c r="BE93" i="11"/>
  <c r="BE74" i="10"/>
  <c r="BE92" i="10"/>
  <c r="BE93" i="10"/>
  <c r="BE358" i="12"/>
  <c r="BE105" i="16" s="1"/>
  <c r="BE399" i="12"/>
  <c r="BE83" i="7"/>
  <c r="BF6" i="13"/>
  <c r="BF6" i="16"/>
  <c r="BF7" i="13"/>
  <c r="BF7" i="16"/>
  <c r="BF10" i="13"/>
  <c r="BF10" i="16"/>
  <c r="BG3" i="13"/>
  <c r="BG3" i="16"/>
  <c r="BE80" i="8"/>
  <c r="BF56" i="11"/>
  <c r="BF57" i="11"/>
  <c r="BG126" i="11"/>
  <c r="BI126" i="11" s="1"/>
  <c r="BG127" i="11"/>
  <c r="BI127" i="11" s="1"/>
  <c r="BF6" i="12"/>
  <c r="BF6" i="11"/>
  <c r="BF6" i="10"/>
  <c r="BF6" i="8"/>
  <c r="BF6" i="7"/>
  <c r="BF7" i="12"/>
  <c r="BF7" i="11"/>
  <c r="BF7" i="10"/>
  <c r="BF7" i="8"/>
  <c r="BF7" i="7"/>
  <c r="BF63" i="8"/>
  <c r="BF62" i="8"/>
  <c r="BF10" i="7"/>
  <c r="BF10" i="11"/>
  <c r="BF10" i="12"/>
  <c r="BF10" i="10"/>
  <c r="BF10" i="8"/>
  <c r="BF57" i="10"/>
  <c r="BF56" i="10"/>
  <c r="BG127" i="10"/>
  <c r="BI127" i="10" s="1"/>
  <c r="BG126" i="10"/>
  <c r="BI126" i="10" s="1"/>
  <c r="BG3" i="12"/>
  <c r="AZ101" i="4"/>
  <c r="BG3" i="11"/>
  <c r="BG3" i="10"/>
  <c r="BG3" i="8"/>
  <c r="BF65" i="7"/>
  <c r="BF66" i="7"/>
  <c r="AZ96" i="4"/>
  <c r="BG11" i="14" s="1"/>
  <c r="BG3" i="7"/>
  <c r="BD81" i="14" l="1"/>
  <c r="BE27" i="14"/>
  <c r="BF227" i="12"/>
  <c r="K72" i="38"/>
  <c r="AK66" i="38"/>
  <c r="AK67" i="38"/>
  <c r="J72" i="38"/>
  <c r="X72" i="38" s="1"/>
  <c r="AI71" i="38"/>
  <c r="BE45" i="12"/>
  <c r="BE46" i="12"/>
  <c r="BF78" i="12"/>
  <c r="BF40" i="7"/>
  <c r="BF31" i="7"/>
  <c r="BF94" i="7" s="1"/>
  <c r="BF48" i="8"/>
  <c r="BF40" i="8"/>
  <c r="BF31" i="8"/>
  <c r="BF91" i="8" s="1"/>
  <c r="BE48" i="14"/>
  <c r="BF49" i="10"/>
  <c r="BF40" i="10"/>
  <c r="BF31" i="10"/>
  <c r="BF85" i="10" s="1"/>
  <c r="BF49" i="11"/>
  <c r="BF40" i="11"/>
  <c r="BF31" i="11"/>
  <c r="BF226" i="12"/>
  <c r="BF225" i="12"/>
  <c r="BE47" i="14"/>
  <c r="BE49" i="14"/>
  <c r="BF47" i="8"/>
  <c r="BF46" i="8"/>
  <c r="BF76" i="12"/>
  <c r="BF77" i="12"/>
  <c r="BF30" i="10"/>
  <c r="BF84" i="10" s="1"/>
  <c r="BF48" i="10"/>
  <c r="BE44" i="12"/>
  <c r="BF29" i="7"/>
  <c r="BF39" i="7"/>
  <c r="BF38" i="7"/>
  <c r="BG4" i="13"/>
  <c r="BG4" i="16"/>
  <c r="BG9" i="13"/>
  <c r="BG9" i="16"/>
  <c r="BF30" i="7"/>
  <c r="BF93" i="7" s="1"/>
  <c r="BF38" i="10"/>
  <c r="BF39" i="10"/>
  <c r="BF47" i="10"/>
  <c r="BF29" i="10"/>
  <c r="BF83" i="10" s="1"/>
  <c r="BF65" i="14" s="1"/>
  <c r="BF38" i="8"/>
  <c r="BF39" i="8"/>
  <c r="BF30" i="8"/>
  <c r="BF90" i="8" s="1"/>
  <c r="BF29" i="8"/>
  <c r="BF38" i="11"/>
  <c r="BG4" i="11"/>
  <c r="BG4" i="12"/>
  <c r="BG4" i="10"/>
  <c r="BG4" i="8"/>
  <c r="AZ99" i="4"/>
  <c r="BG15" i="14" s="1"/>
  <c r="AZ98" i="4"/>
  <c r="BG14" i="14" s="1"/>
  <c r="BF30" i="11"/>
  <c r="BG9" i="11"/>
  <c r="BG9" i="12"/>
  <c r="BG9" i="10"/>
  <c r="BG9" i="8"/>
  <c r="BF29" i="11"/>
  <c r="BF47" i="11"/>
  <c r="BF39" i="11"/>
  <c r="BF48" i="11"/>
  <c r="BG9" i="7"/>
  <c r="BG4" i="7"/>
  <c r="AZ102" i="4"/>
  <c r="O108" i="4"/>
  <c r="N109" i="4"/>
  <c r="O109" i="4"/>
  <c r="N108" i="4"/>
  <c r="P109" i="4"/>
  <c r="S109" i="4"/>
  <c r="P108" i="4"/>
  <c r="R109" i="4"/>
  <c r="Q109" i="4"/>
  <c r="T109" i="4"/>
  <c r="R108" i="4"/>
  <c r="Q108" i="4"/>
  <c r="U109" i="4"/>
  <c r="T108" i="4"/>
  <c r="S108" i="4"/>
  <c r="U108" i="4"/>
  <c r="V109" i="4"/>
  <c r="V108" i="4"/>
  <c r="BF74" i="11" l="1"/>
  <c r="BF83" i="11"/>
  <c r="BF75" i="11"/>
  <c r="BF84" i="11"/>
  <c r="BF76" i="11"/>
  <c r="BF85" i="11"/>
  <c r="AI72" i="38"/>
  <c r="J73" i="38"/>
  <c r="X73" i="38" s="1"/>
  <c r="K73" i="38"/>
  <c r="BE109" i="12"/>
  <c r="BE93" i="12"/>
  <c r="BF104" i="14"/>
  <c r="BE110" i="12"/>
  <c r="BE94" i="12"/>
  <c r="BE108" i="12"/>
  <c r="BF103" i="7"/>
  <c r="BF85" i="7"/>
  <c r="BG67" i="7"/>
  <c r="BG134" i="8"/>
  <c r="BF100" i="8"/>
  <c r="BF82" i="8"/>
  <c r="BG64" i="8"/>
  <c r="BF94" i="10"/>
  <c r="BF76" i="10"/>
  <c r="BG58" i="10"/>
  <c r="BF94" i="11"/>
  <c r="BG58" i="11"/>
  <c r="BG132" i="8"/>
  <c r="BG133" i="8"/>
  <c r="BI133" i="8" s="1"/>
  <c r="BF83" i="7"/>
  <c r="BE50" i="14"/>
  <c r="BF67" i="14"/>
  <c r="BE43" i="14"/>
  <c r="BF75" i="10"/>
  <c r="BE92" i="12"/>
  <c r="BF92" i="11"/>
  <c r="BF81" i="8"/>
  <c r="BF99" i="8"/>
  <c r="BF93" i="11"/>
  <c r="BF102" i="7"/>
  <c r="BF93" i="10"/>
  <c r="BF92" i="10"/>
  <c r="BF358" i="12"/>
  <c r="BF105" i="16" s="1"/>
  <c r="BF399" i="12"/>
  <c r="BR13" i="14"/>
  <c r="BR6" i="16"/>
  <c r="BP12" i="14"/>
  <c r="BP31" i="14" s="1"/>
  <c r="BP5" i="16"/>
  <c r="BO13" i="14"/>
  <c r="BO81" i="14" s="1"/>
  <c r="BO6" i="16"/>
  <c r="BT13" i="14"/>
  <c r="BT83" i="14" s="1"/>
  <c r="BT6" i="16"/>
  <c r="BU12" i="14"/>
  <c r="BU5" i="16"/>
  <c r="BU21" i="16" s="1"/>
  <c r="BP13" i="14"/>
  <c r="BP6" i="16"/>
  <c r="BR12" i="14"/>
  <c r="BR5" i="16"/>
  <c r="BV12" i="14"/>
  <c r="BV5" i="16"/>
  <c r="BV21" i="16" s="1"/>
  <c r="BN13" i="14"/>
  <c r="BN67" i="14" s="1"/>
  <c r="BN6" i="16"/>
  <c r="BV13" i="14"/>
  <c r="BV83" i="14" s="1"/>
  <c r="BV6" i="16"/>
  <c r="BQ13" i="14"/>
  <c r="BQ67" i="14" s="1"/>
  <c r="BQ6" i="16"/>
  <c r="BO12" i="14"/>
  <c r="BO31" i="14" s="1"/>
  <c r="BO5" i="16"/>
  <c r="BT12" i="14"/>
  <c r="BT5" i="16"/>
  <c r="BT21" i="16" s="1"/>
  <c r="BS13" i="14"/>
  <c r="BS6" i="16"/>
  <c r="BS12" i="14"/>
  <c r="BS5" i="16"/>
  <c r="BS21" i="16" s="1"/>
  <c r="BQ12" i="14"/>
  <c r="BQ31" i="14" s="1"/>
  <c r="BQ5" i="16"/>
  <c r="BN12" i="14"/>
  <c r="BN31" i="14" s="1"/>
  <c r="BN5" i="16"/>
  <c r="BU13" i="14"/>
  <c r="BU6" i="16"/>
  <c r="BF84" i="7"/>
  <c r="BG10" i="13"/>
  <c r="BG10" i="16"/>
  <c r="BG6" i="13"/>
  <c r="BG6" i="16"/>
  <c r="BG7" i="13"/>
  <c r="BG7" i="16"/>
  <c r="BF74" i="10"/>
  <c r="BF80" i="8"/>
  <c r="BG6" i="12"/>
  <c r="BG6" i="11"/>
  <c r="BG6" i="10"/>
  <c r="BG6" i="8"/>
  <c r="BG6" i="7"/>
  <c r="BG10" i="7"/>
  <c r="BG10" i="11"/>
  <c r="BG10" i="12"/>
  <c r="BG10" i="10"/>
  <c r="BG10" i="8"/>
  <c r="BG7" i="12"/>
  <c r="BG7" i="11"/>
  <c r="BG7" i="10"/>
  <c r="BG7" i="8"/>
  <c r="BG7" i="7"/>
  <c r="BG62" i="8"/>
  <c r="BG63" i="8"/>
  <c r="BG56" i="10"/>
  <c r="BG57" i="10"/>
  <c r="BG56" i="11"/>
  <c r="BG57" i="11"/>
  <c r="BG65" i="7"/>
  <c r="BG66" i="7"/>
  <c r="BR182" i="16" l="1"/>
  <c r="BR201" i="16"/>
  <c r="BR184" i="16"/>
  <c r="BR188" i="16"/>
  <c r="BR190" i="16" s="1"/>
  <c r="BR189" i="16"/>
  <c r="BU182" i="16"/>
  <c r="BU201" i="16"/>
  <c r="BU184" i="16"/>
  <c r="BU188" i="16"/>
  <c r="BU189" i="16"/>
  <c r="BS182" i="16"/>
  <c r="BS201" i="16"/>
  <c r="BS188" i="16"/>
  <c r="BS184" i="16"/>
  <c r="BS189" i="16"/>
  <c r="BV182" i="16"/>
  <c r="BV201" i="16"/>
  <c r="BV188" i="16"/>
  <c r="BV184" i="16"/>
  <c r="BV189" i="16"/>
  <c r="BP201" i="16"/>
  <c r="Z3" i="47"/>
  <c r="BP184" i="16"/>
  <c r="BP188" i="16"/>
  <c r="BP189" i="16"/>
  <c r="BN201" i="16"/>
  <c r="X3" i="47"/>
  <c r="BN184" i="16"/>
  <c r="BN188" i="16"/>
  <c r="BN190" i="16" s="1"/>
  <c r="BN189" i="16"/>
  <c r="BT182" i="16"/>
  <c r="BT201" i="16"/>
  <c r="BT188" i="16"/>
  <c r="BT184" i="16"/>
  <c r="BT189" i="16"/>
  <c r="BQ201" i="16"/>
  <c r="AA3" i="47"/>
  <c r="BQ182" i="16"/>
  <c r="BQ189" i="16"/>
  <c r="BQ188" i="16"/>
  <c r="BO201" i="16"/>
  <c r="Y3" i="47"/>
  <c r="BO188" i="16"/>
  <c r="BO184" i="16"/>
  <c r="BO189" i="16"/>
  <c r="BF66" i="14"/>
  <c r="BF27" i="14"/>
  <c r="AK68" i="38"/>
  <c r="J74" i="38"/>
  <c r="X74" i="38" s="1"/>
  <c r="K74" i="38"/>
  <c r="BF45" i="12"/>
  <c r="BF93" i="12" s="1"/>
  <c r="BI134" i="8"/>
  <c r="BG227" i="12"/>
  <c r="BF46" i="12"/>
  <c r="BG78" i="12"/>
  <c r="BG40" i="7"/>
  <c r="BG31" i="7"/>
  <c r="BG94" i="7" s="1"/>
  <c r="BG48" i="8"/>
  <c r="BG40" i="8"/>
  <c r="BG31" i="8"/>
  <c r="BG91" i="8" s="1"/>
  <c r="BG49" i="10"/>
  <c r="BG40" i="10"/>
  <c r="BG31" i="10"/>
  <c r="BG85" i="10" s="1"/>
  <c r="BG49" i="11"/>
  <c r="BG40" i="11"/>
  <c r="BG31" i="11"/>
  <c r="BG226" i="12"/>
  <c r="BI132" i="8"/>
  <c r="BG225" i="12"/>
  <c r="BG47" i="11"/>
  <c r="BK47" i="11" s="1"/>
  <c r="BG108" i="11" s="1"/>
  <c r="BF47" i="14"/>
  <c r="BV31" i="14"/>
  <c r="BQ43" i="14"/>
  <c r="BQ42" i="14" s="1"/>
  <c r="BT79" i="14"/>
  <c r="BO43" i="14"/>
  <c r="BO44" i="14" s="1"/>
  <c r="BE81" i="14"/>
  <c r="BF48" i="14"/>
  <c r="BS67" i="14"/>
  <c r="BP83" i="14"/>
  <c r="BP104" i="14"/>
  <c r="BU31" i="14"/>
  <c r="BE79" i="14"/>
  <c r="BF49" i="14"/>
  <c r="BG47" i="8"/>
  <c r="BG46" i="8"/>
  <c r="BU67" i="14"/>
  <c r="BS31" i="14"/>
  <c r="BR31" i="14"/>
  <c r="BQ83" i="14"/>
  <c r="BO104" i="14"/>
  <c r="BO67" i="14"/>
  <c r="BS43" i="14"/>
  <c r="BQ81" i="14"/>
  <c r="BR43" i="14"/>
  <c r="BR103" i="14"/>
  <c r="BN103" i="14"/>
  <c r="BT31" i="14"/>
  <c r="BT103" i="14"/>
  <c r="BR81" i="14"/>
  <c r="BN83" i="14"/>
  <c r="BN81" i="14"/>
  <c r="BQ103" i="14"/>
  <c r="BO103" i="14"/>
  <c r="BU103" i="14"/>
  <c r="BS103" i="14"/>
  <c r="BV103" i="14"/>
  <c r="BP103" i="14"/>
  <c r="BG76" i="12"/>
  <c r="BG77" i="12"/>
  <c r="BN43" i="14"/>
  <c r="BN44" i="14" s="1"/>
  <c r="BP43" i="14"/>
  <c r="BP44" i="14" s="1"/>
  <c r="BU83" i="14"/>
  <c r="BR67" i="14"/>
  <c r="BN104" i="14"/>
  <c r="BP79" i="14"/>
  <c r="BU79" i="14"/>
  <c r="BS83" i="14"/>
  <c r="BN79" i="14"/>
  <c r="BT43" i="14"/>
  <c r="BR79" i="14"/>
  <c r="BR83" i="14"/>
  <c r="BS79" i="14"/>
  <c r="BU43" i="14"/>
  <c r="BT67" i="14"/>
  <c r="BO83" i="14"/>
  <c r="BO79" i="14"/>
  <c r="BP67" i="14"/>
  <c r="BQ79" i="14"/>
  <c r="BS27" i="16"/>
  <c r="BS29" i="16"/>
  <c r="BS30" i="16"/>
  <c r="BO29" i="16"/>
  <c r="BO30" i="16"/>
  <c r="BV30" i="16"/>
  <c r="BV26" i="16"/>
  <c r="BV27" i="16"/>
  <c r="BV29" i="16"/>
  <c r="BT125" i="16"/>
  <c r="BT227" i="16"/>
  <c r="BT277" i="16"/>
  <c r="BT217" i="16"/>
  <c r="BT218" i="16"/>
  <c r="BT137" i="16"/>
  <c r="BT213" i="16"/>
  <c r="BT105" i="16"/>
  <c r="BU114" i="16"/>
  <c r="BU217" i="16"/>
  <c r="BU137" i="16"/>
  <c r="BU218" i="16"/>
  <c r="BU125" i="16"/>
  <c r="BU227" i="16"/>
  <c r="BU277" i="16"/>
  <c r="BU213" i="16"/>
  <c r="BU105" i="16"/>
  <c r="BQ227" i="16"/>
  <c r="BQ217" i="16"/>
  <c r="BQ137" i="16"/>
  <c r="BQ277" i="16"/>
  <c r="BQ218" i="16"/>
  <c r="BQ105" i="16"/>
  <c r="BR30" i="16"/>
  <c r="BR29" i="16"/>
  <c r="BO217" i="16"/>
  <c r="BO218" i="16"/>
  <c r="BO227" i="16"/>
  <c r="BO277" i="16"/>
  <c r="BO137" i="16"/>
  <c r="BO213" i="16"/>
  <c r="BS218" i="16"/>
  <c r="BS137" i="16"/>
  <c r="BS217" i="16"/>
  <c r="BS277" i="16"/>
  <c r="BS227" i="16"/>
  <c r="BS213" i="16"/>
  <c r="BS105" i="16"/>
  <c r="BN29" i="16"/>
  <c r="BN30" i="16"/>
  <c r="BV227" i="16"/>
  <c r="BV137" i="16"/>
  <c r="BV277" i="16"/>
  <c r="BV218" i="16"/>
  <c r="BV213" i="16"/>
  <c r="BV217" i="16"/>
  <c r="BV114" i="16"/>
  <c r="BV125" i="16"/>
  <c r="BP277" i="16"/>
  <c r="BP217" i="16"/>
  <c r="BP227" i="16"/>
  <c r="BP137" i="16"/>
  <c r="BP218" i="16"/>
  <c r="BP213" i="16"/>
  <c r="BP29" i="16"/>
  <c r="BP30" i="16"/>
  <c r="BT26" i="16"/>
  <c r="BT27" i="16"/>
  <c r="BT30" i="16"/>
  <c r="BT29" i="16"/>
  <c r="BQ30" i="16"/>
  <c r="BQ29" i="16"/>
  <c r="BN227" i="16"/>
  <c r="BN277" i="16"/>
  <c r="BN218" i="16"/>
  <c r="BN137" i="16"/>
  <c r="BN217" i="16"/>
  <c r="BN213" i="16"/>
  <c r="BU26" i="16"/>
  <c r="BU27" i="16"/>
  <c r="BU30" i="16"/>
  <c r="BU29" i="16"/>
  <c r="BR277" i="16"/>
  <c r="BR218" i="16"/>
  <c r="BR217" i="16"/>
  <c r="BR227" i="16"/>
  <c r="BR137" i="16"/>
  <c r="BR213" i="16"/>
  <c r="BR105" i="16"/>
  <c r="BG29" i="10"/>
  <c r="BG83" i="10" s="1"/>
  <c r="BG65" i="14" s="1"/>
  <c r="BG48" i="10"/>
  <c r="BK48" i="10" s="1"/>
  <c r="BG109" i="10" s="1"/>
  <c r="BQ104" i="14"/>
  <c r="BR104" i="14"/>
  <c r="BS104" i="14"/>
  <c r="BT104" i="14"/>
  <c r="BU104" i="14"/>
  <c r="BG30" i="7"/>
  <c r="BG93" i="7" s="1"/>
  <c r="BG39" i="7"/>
  <c r="BG38" i="7"/>
  <c r="BG29" i="7"/>
  <c r="BG39" i="8"/>
  <c r="BG39" i="11"/>
  <c r="BG48" i="11"/>
  <c r="BK48" i="11" s="1"/>
  <c r="BG109" i="11" s="1"/>
  <c r="BG38" i="11"/>
  <c r="BG29" i="11"/>
  <c r="BG30" i="11"/>
  <c r="BG39" i="10"/>
  <c r="BG47" i="10"/>
  <c r="BK47" i="10" s="1"/>
  <c r="BF44" i="12"/>
  <c r="BG38" i="10"/>
  <c r="BG29" i="8"/>
  <c r="BG30" i="10"/>
  <c r="BG84" i="10" s="1"/>
  <c r="BG38" i="8"/>
  <c r="BG30" i="8"/>
  <c r="BG90" i="8" s="1"/>
  <c r="BQ190" i="16" l="1"/>
  <c r="BT190" i="16"/>
  <c r="BU190" i="16"/>
  <c r="BP190" i="16"/>
  <c r="BS190" i="16"/>
  <c r="BO190" i="16"/>
  <c r="BX201" i="16"/>
  <c r="BV190" i="16"/>
  <c r="BF109" i="12"/>
  <c r="BG76" i="11"/>
  <c r="BG85" i="11"/>
  <c r="BI85" i="11" s="1"/>
  <c r="BG75" i="11"/>
  <c r="BG84" i="11"/>
  <c r="BI84" i="11" s="1"/>
  <c r="BG74" i="11"/>
  <c r="BG83" i="11"/>
  <c r="AK71" i="38"/>
  <c r="AI74" i="38"/>
  <c r="AK69" i="38"/>
  <c r="J75" i="38"/>
  <c r="X75" i="38" s="1"/>
  <c r="K75" i="38"/>
  <c r="BF110" i="12"/>
  <c r="BF94" i="12"/>
  <c r="BI225" i="12"/>
  <c r="BI226" i="12"/>
  <c r="BI227" i="12"/>
  <c r="BF108" i="12"/>
  <c r="BF81" i="14" s="1"/>
  <c r="BK78" i="12"/>
  <c r="BI78" i="12"/>
  <c r="BG103" i="7"/>
  <c r="BG85" i="7"/>
  <c r="BK48" i="8"/>
  <c r="BG116" i="8" s="1"/>
  <c r="BI91" i="8"/>
  <c r="BG100" i="8"/>
  <c r="BG82" i="8"/>
  <c r="BK49" i="10"/>
  <c r="BG110" i="10" s="1"/>
  <c r="BI85" i="10"/>
  <c r="BG94" i="10"/>
  <c r="BG76" i="10"/>
  <c r="BK49" i="11"/>
  <c r="BG110" i="11" s="1"/>
  <c r="BG94" i="11"/>
  <c r="BO42" i="14"/>
  <c r="BQ44" i="14"/>
  <c r="BG104" i="14"/>
  <c r="BG83" i="7"/>
  <c r="BX227" i="16"/>
  <c r="BX277" i="16"/>
  <c r="BP42" i="14"/>
  <c r="BF50" i="14"/>
  <c r="BG74" i="10"/>
  <c r="BU42" i="14"/>
  <c r="BF43" i="14"/>
  <c r="BN42" i="14"/>
  <c r="BT44" i="14"/>
  <c r="BR42" i="14"/>
  <c r="BU44" i="14"/>
  <c r="BX83" i="14"/>
  <c r="BR44" i="14"/>
  <c r="BT42" i="14"/>
  <c r="BG84" i="7"/>
  <c r="BG67" i="14"/>
  <c r="BK46" i="8"/>
  <c r="BK47" i="8"/>
  <c r="BS42" i="14"/>
  <c r="BS44" i="14"/>
  <c r="BX103" i="14"/>
  <c r="BG99" i="8"/>
  <c r="BK99" i="8" s="1"/>
  <c r="BI90" i="8"/>
  <c r="BG93" i="11"/>
  <c r="BI93" i="11" s="1"/>
  <c r="BG92" i="11"/>
  <c r="BI92" i="11" s="1"/>
  <c r="BG102" i="7"/>
  <c r="BK102" i="7" s="1"/>
  <c r="BG93" i="10"/>
  <c r="BI84" i="10"/>
  <c r="BG92" i="10"/>
  <c r="BI92" i="10" s="1"/>
  <c r="BI77" i="12"/>
  <c r="BK77" i="12"/>
  <c r="BG399" i="12"/>
  <c r="BG358" i="12"/>
  <c r="BG105" i="16" s="1"/>
  <c r="BK76" i="12"/>
  <c r="BI76" i="12"/>
  <c r="BS219" i="16"/>
  <c r="BV219" i="16"/>
  <c r="BT219" i="16"/>
  <c r="BO219" i="16"/>
  <c r="BR219" i="16"/>
  <c r="BN219" i="16"/>
  <c r="BX137" i="16"/>
  <c r="BP219" i="16"/>
  <c r="BQ219" i="16"/>
  <c r="BU219" i="16"/>
  <c r="BF92" i="12"/>
  <c r="BG80" i="8"/>
  <c r="BG75" i="10"/>
  <c r="Y108" i="11"/>
  <c r="V108" i="11"/>
  <c r="AA108" i="11"/>
  <c r="T108" i="11"/>
  <c r="AB108" i="11"/>
  <c r="U108" i="11"/>
  <c r="X108" i="11"/>
  <c r="Z108" i="11"/>
  <c r="W108" i="11"/>
  <c r="AC108" i="11"/>
  <c r="AD108" i="11"/>
  <c r="AE108" i="11"/>
  <c r="AF108" i="11"/>
  <c r="AG108" i="11"/>
  <c r="AH108" i="11"/>
  <c r="AI108" i="11"/>
  <c r="AJ108" i="11"/>
  <c r="AK108" i="11"/>
  <c r="AL108" i="11"/>
  <c r="AM108" i="11"/>
  <c r="AN108" i="11"/>
  <c r="AO108" i="11"/>
  <c r="AP108" i="11"/>
  <c r="AQ108" i="11"/>
  <c r="AR108" i="11"/>
  <c r="AS108" i="11"/>
  <c r="AT108" i="11"/>
  <c r="AU108" i="11"/>
  <c r="AV108" i="11"/>
  <c r="AW108" i="11"/>
  <c r="AX108" i="11"/>
  <c r="AY108" i="11"/>
  <c r="AZ108" i="11"/>
  <c r="BA108" i="11"/>
  <c r="BB108" i="11"/>
  <c r="BC108" i="11"/>
  <c r="BD108" i="11"/>
  <c r="BE108" i="11"/>
  <c r="BF108" i="11"/>
  <c r="AF109" i="11"/>
  <c r="U109" i="11"/>
  <c r="Z109" i="11"/>
  <c r="Y109" i="11"/>
  <c r="T109" i="11"/>
  <c r="X109" i="11"/>
  <c r="AA109" i="11"/>
  <c r="AB109" i="11"/>
  <c r="W109" i="11"/>
  <c r="V109" i="11"/>
  <c r="AC109" i="11"/>
  <c r="AD109" i="11"/>
  <c r="AE109" i="11"/>
  <c r="AG109" i="11"/>
  <c r="AH109" i="11"/>
  <c r="AI109" i="11"/>
  <c r="AJ109" i="11"/>
  <c r="AK109" i="11"/>
  <c r="AL109" i="11"/>
  <c r="AM109" i="11"/>
  <c r="AN109" i="11"/>
  <c r="AO109" i="11"/>
  <c r="AP109" i="11"/>
  <c r="AQ109" i="11"/>
  <c r="AR109" i="11"/>
  <c r="AS109" i="11"/>
  <c r="AT109" i="11"/>
  <c r="AU109" i="11"/>
  <c r="AV109" i="11"/>
  <c r="AW109" i="11"/>
  <c r="AX109" i="11"/>
  <c r="AY109" i="11"/>
  <c r="AZ109" i="11"/>
  <c r="BA109" i="11"/>
  <c r="BB109" i="11"/>
  <c r="BC109" i="11"/>
  <c r="BD109" i="11"/>
  <c r="BE109" i="11"/>
  <c r="BF109" i="11"/>
  <c r="BG81" i="8"/>
  <c r="AM109" i="10"/>
  <c r="AC109" i="10"/>
  <c r="W109" i="10"/>
  <c r="U109" i="10"/>
  <c r="V109" i="10"/>
  <c r="T109" i="10"/>
  <c r="AB109" i="10"/>
  <c r="AA109" i="10"/>
  <c r="Z109" i="10"/>
  <c r="X109" i="10"/>
  <c r="Y109" i="10"/>
  <c r="AD109" i="10"/>
  <c r="AE109" i="10"/>
  <c r="AF109" i="10"/>
  <c r="AG109" i="10"/>
  <c r="AH109" i="10"/>
  <c r="AI109" i="10"/>
  <c r="AJ109" i="10"/>
  <c r="AK109" i="10"/>
  <c r="AL109" i="10"/>
  <c r="AN109" i="10"/>
  <c r="AO109" i="10"/>
  <c r="AP109" i="10"/>
  <c r="AQ109" i="10"/>
  <c r="AR109" i="10"/>
  <c r="AS109" i="10"/>
  <c r="AT109" i="10"/>
  <c r="AU109" i="10"/>
  <c r="AV109" i="10"/>
  <c r="AW109" i="10"/>
  <c r="AX109" i="10"/>
  <c r="AY109" i="10"/>
  <c r="AZ109" i="10"/>
  <c r="BA109" i="10"/>
  <c r="BB109" i="10"/>
  <c r="BC109" i="10"/>
  <c r="BD109" i="10"/>
  <c r="BE109" i="10"/>
  <c r="BF109" i="10"/>
  <c r="Y108" i="10"/>
  <c r="Z108" i="10"/>
  <c r="AA108" i="10"/>
  <c r="V108" i="10"/>
  <c r="U108" i="10"/>
  <c r="X108" i="10"/>
  <c r="W108" i="10"/>
  <c r="AB108" i="10"/>
  <c r="AD108" i="10"/>
  <c r="AC108" i="10"/>
  <c r="T108" i="10"/>
  <c r="AE108" i="10"/>
  <c r="AF108" i="10"/>
  <c r="AG108" i="10"/>
  <c r="AH108" i="10"/>
  <c r="AI108" i="10"/>
  <c r="AJ108" i="10"/>
  <c r="AK108" i="10"/>
  <c r="AL108" i="10"/>
  <c r="AM108" i="10"/>
  <c r="AN108" i="10"/>
  <c r="AO108" i="10"/>
  <c r="AP108" i="10"/>
  <c r="AQ108" i="10"/>
  <c r="AR108" i="10"/>
  <c r="AS108" i="10"/>
  <c r="AT108" i="10"/>
  <c r="AU108" i="10"/>
  <c r="AV108" i="10"/>
  <c r="AW108" i="10"/>
  <c r="AX108" i="10"/>
  <c r="AY108" i="10"/>
  <c r="AZ108" i="10"/>
  <c r="BA108" i="10"/>
  <c r="BB108" i="10"/>
  <c r="BC108" i="10"/>
  <c r="BD108" i="10"/>
  <c r="BE108" i="10"/>
  <c r="BF108" i="10"/>
  <c r="BG108" i="10"/>
  <c r="BG66" i="14" l="1"/>
  <c r="BG27" i="14"/>
  <c r="K76" i="38"/>
  <c r="AK70" i="38"/>
  <c r="J76" i="38"/>
  <c r="X76" i="38" s="1"/>
  <c r="BG45" i="12"/>
  <c r="BG93" i="12" s="1"/>
  <c r="BI93" i="7"/>
  <c r="DG20" i="22"/>
  <c r="AE10" i="19" s="1"/>
  <c r="EL20" i="22"/>
  <c r="EL19" i="22"/>
  <c r="DG19" i="22"/>
  <c r="AE9" i="19" s="1"/>
  <c r="DG18" i="22"/>
  <c r="AE8" i="19" s="1"/>
  <c r="EL18" i="22"/>
  <c r="BG46" i="12"/>
  <c r="BI103" i="7"/>
  <c r="BK103" i="7"/>
  <c r="T116" i="8"/>
  <c r="U116" i="8"/>
  <c r="V116" i="8"/>
  <c r="W116" i="8"/>
  <c r="X116" i="8"/>
  <c r="Y116" i="8"/>
  <c r="Z116" i="8"/>
  <c r="AA116" i="8"/>
  <c r="AB116" i="8"/>
  <c r="AC116" i="8"/>
  <c r="AD116" i="8"/>
  <c r="AE116" i="8"/>
  <c r="AF116" i="8"/>
  <c r="AG116" i="8"/>
  <c r="AH116" i="8"/>
  <c r="AI116" i="8"/>
  <c r="AJ116" i="8"/>
  <c r="AK116" i="8"/>
  <c r="AL116" i="8"/>
  <c r="AM116" i="8"/>
  <c r="AN116" i="8"/>
  <c r="AO116" i="8"/>
  <c r="AP116" i="8"/>
  <c r="AQ116" i="8"/>
  <c r="AR116" i="8"/>
  <c r="AS116" i="8"/>
  <c r="AT116" i="8"/>
  <c r="AU116" i="8"/>
  <c r="AV116" i="8"/>
  <c r="AW116" i="8"/>
  <c r="AX116" i="8"/>
  <c r="AY116" i="8"/>
  <c r="AZ116" i="8"/>
  <c r="BA116" i="8"/>
  <c r="BB116" i="8"/>
  <c r="BC116" i="8"/>
  <c r="BD116" i="8"/>
  <c r="BE116" i="8"/>
  <c r="BF116" i="8"/>
  <c r="BI100" i="8"/>
  <c r="BK100" i="8"/>
  <c r="T110" i="10"/>
  <c r="U110" i="10"/>
  <c r="V110" i="10"/>
  <c r="W110" i="10"/>
  <c r="X110" i="10"/>
  <c r="Y110" i="10"/>
  <c r="Z110" i="10"/>
  <c r="AA110" i="10"/>
  <c r="AB110" i="10"/>
  <c r="AC110" i="10"/>
  <c r="AD110" i="10"/>
  <c r="AE110" i="10"/>
  <c r="AF110" i="10"/>
  <c r="AG110" i="10"/>
  <c r="AH110" i="10"/>
  <c r="AI110" i="10"/>
  <c r="AJ110" i="10"/>
  <c r="AK110" i="10"/>
  <c r="AL110" i="10"/>
  <c r="AM110" i="10"/>
  <c r="AN110" i="10"/>
  <c r="AO110" i="10"/>
  <c r="AP110" i="10"/>
  <c r="AQ110" i="10"/>
  <c r="AR110" i="10"/>
  <c r="AS110" i="10"/>
  <c r="AT110" i="10"/>
  <c r="AU110" i="10"/>
  <c r="AV110" i="10"/>
  <c r="AW110" i="10"/>
  <c r="AX110" i="10"/>
  <c r="AY110" i="10"/>
  <c r="AZ110" i="10"/>
  <c r="BA110" i="10"/>
  <c r="BB110" i="10"/>
  <c r="BC110" i="10"/>
  <c r="BD110" i="10"/>
  <c r="BE110" i="10"/>
  <c r="BF110" i="10"/>
  <c r="BI94" i="10"/>
  <c r="BK94" i="10"/>
  <c r="T110" i="11"/>
  <c r="U110" i="11"/>
  <c r="V110" i="11"/>
  <c r="W110" i="11"/>
  <c r="X110" i="11"/>
  <c r="Y110" i="11"/>
  <c r="Z110" i="11"/>
  <c r="AA110" i="11"/>
  <c r="AB110" i="11"/>
  <c r="AC110" i="11"/>
  <c r="AD110" i="11"/>
  <c r="AE110" i="11"/>
  <c r="AF110" i="11"/>
  <c r="AG110" i="11"/>
  <c r="AH110" i="11"/>
  <c r="AI110" i="11"/>
  <c r="AJ110" i="11"/>
  <c r="AK110" i="11"/>
  <c r="AL110" i="11"/>
  <c r="AM110" i="11"/>
  <c r="AN110" i="11"/>
  <c r="AO110" i="11"/>
  <c r="AP110" i="11"/>
  <c r="AQ110" i="11"/>
  <c r="AR110" i="11"/>
  <c r="AS110" i="11"/>
  <c r="AT110" i="11"/>
  <c r="AU110" i="11"/>
  <c r="AV110" i="11"/>
  <c r="AW110" i="11"/>
  <c r="AX110" i="11"/>
  <c r="AY110" i="11"/>
  <c r="AZ110" i="11"/>
  <c r="BA110" i="11"/>
  <c r="BB110" i="11"/>
  <c r="BC110" i="11"/>
  <c r="BD110" i="11"/>
  <c r="BE110" i="11"/>
  <c r="BF110" i="11"/>
  <c r="BI94" i="11"/>
  <c r="BK94" i="11"/>
  <c r="BI104" i="14"/>
  <c r="BV104" i="14"/>
  <c r="BX104" i="14" s="1"/>
  <c r="BI102" i="7"/>
  <c r="BK93" i="11"/>
  <c r="BG47" i="14"/>
  <c r="BG49" i="14"/>
  <c r="BK92" i="10"/>
  <c r="BG48" i="14"/>
  <c r="W114" i="8"/>
  <c r="T114" i="8"/>
  <c r="V114" i="8"/>
  <c r="Y114" i="8"/>
  <c r="Z114" i="8"/>
  <c r="U114" i="8"/>
  <c r="AB114" i="8"/>
  <c r="AA114" i="8"/>
  <c r="X114" i="8"/>
  <c r="AC114" i="8"/>
  <c r="AD114" i="8"/>
  <c r="AE114" i="8"/>
  <c r="AF114" i="8"/>
  <c r="AG114" i="8"/>
  <c r="AH114" i="8"/>
  <c r="AI114" i="8"/>
  <c r="AJ114" i="8"/>
  <c r="AK114" i="8"/>
  <c r="AL114" i="8"/>
  <c r="AM114" i="8"/>
  <c r="AN114" i="8"/>
  <c r="AO114" i="8"/>
  <c r="AP114" i="8"/>
  <c r="AQ114" i="8"/>
  <c r="AR114" i="8"/>
  <c r="AS114" i="8"/>
  <c r="AT114" i="8"/>
  <c r="AU114" i="8"/>
  <c r="AV114" i="8"/>
  <c r="AW114" i="8"/>
  <c r="AX114" i="8"/>
  <c r="AY114" i="8"/>
  <c r="AZ114" i="8"/>
  <c r="BA114" i="8"/>
  <c r="BB114" i="8"/>
  <c r="BC114" i="8"/>
  <c r="BD114" i="8"/>
  <c r="BE114" i="8"/>
  <c r="BF114" i="8"/>
  <c r="BG114" i="8"/>
  <c r="Y115" i="8"/>
  <c r="AA115" i="8"/>
  <c r="V115" i="8"/>
  <c r="AB115" i="8"/>
  <c r="U115" i="8"/>
  <c r="X115" i="8"/>
  <c r="W115" i="8"/>
  <c r="Z115" i="8"/>
  <c r="T115" i="8"/>
  <c r="AC115" i="8"/>
  <c r="AD115" i="8"/>
  <c r="AE115" i="8"/>
  <c r="AF115" i="8"/>
  <c r="AG115" i="8"/>
  <c r="AH115" i="8"/>
  <c r="AI115" i="8"/>
  <c r="AJ115" i="8"/>
  <c r="AK115" i="8"/>
  <c r="AL115" i="8"/>
  <c r="AM115" i="8"/>
  <c r="AN115" i="8"/>
  <c r="AO115" i="8"/>
  <c r="AP115" i="8"/>
  <c r="AQ115" i="8"/>
  <c r="AR115" i="8"/>
  <c r="AS115" i="8"/>
  <c r="AT115" i="8"/>
  <c r="AU115" i="8"/>
  <c r="AV115" i="8"/>
  <c r="AW115" i="8"/>
  <c r="AX115" i="8"/>
  <c r="AY115" i="8"/>
  <c r="AZ115" i="8"/>
  <c r="BA115" i="8"/>
  <c r="BB115" i="8"/>
  <c r="BC115" i="8"/>
  <c r="BD115" i="8"/>
  <c r="BE115" i="8"/>
  <c r="BF115" i="8"/>
  <c r="BG115" i="8"/>
  <c r="BI83" i="10"/>
  <c r="BF79" i="14"/>
  <c r="BI67" i="14"/>
  <c r="BV67" i="14"/>
  <c r="BX67" i="14" s="1"/>
  <c r="BV105" i="16"/>
  <c r="BK92" i="11"/>
  <c r="BI83" i="11"/>
  <c r="BG44" i="12"/>
  <c r="BI108" i="10"/>
  <c r="BI108" i="11"/>
  <c r="BI109" i="11"/>
  <c r="BI109" i="10"/>
  <c r="BI99" i="8"/>
  <c r="BI93" i="10"/>
  <c r="BK93" i="10"/>
  <c r="BK45" i="12" l="1"/>
  <c r="BG109" i="12"/>
  <c r="BI109" i="12" s="1"/>
  <c r="K77" i="38"/>
  <c r="J77" i="38"/>
  <c r="X77" i="38" s="1"/>
  <c r="AK72" i="38"/>
  <c r="BG110" i="12"/>
  <c r="BI110" i="12" s="1"/>
  <c r="BK46" i="12"/>
  <c r="BG94" i="12"/>
  <c r="BI94" i="12" s="1"/>
  <c r="BG92" i="12"/>
  <c r="BI92" i="12" s="1"/>
  <c r="BI93" i="12"/>
  <c r="BI116" i="8"/>
  <c r="BI110" i="10"/>
  <c r="BI110" i="11"/>
  <c r="BG108" i="12"/>
  <c r="BI108" i="12" s="1"/>
  <c r="BG50" i="14"/>
  <c r="BK44" i="12"/>
  <c r="BI114" i="8"/>
  <c r="BG43" i="14"/>
  <c r="BP81" i="14"/>
  <c r="BS81" i="14"/>
  <c r="BT81" i="14"/>
  <c r="BU81" i="14"/>
  <c r="BI115" i="8"/>
  <c r="AI77" i="38" l="1"/>
  <c r="J78" i="38"/>
  <c r="X78" i="38" s="1"/>
  <c r="K78" i="38"/>
  <c r="BG79" i="14"/>
  <c r="BV79" i="14" s="1"/>
  <c r="BX79" i="14" s="1"/>
  <c r="BG81" i="14"/>
  <c r="BV43" i="14"/>
  <c r="J79" i="38" l="1"/>
  <c r="X79" i="38" s="1"/>
  <c r="K79" i="38"/>
  <c r="AK73" i="38"/>
  <c r="BI79" i="14"/>
  <c r="BI81" i="14"/>
  <c r="BV81" i="14"/>
  <c r="BX81" i="14" s="1"/>
  <c r="BV44" i="14"/>
  <c r="BV42" i="14"/>
  <c r="K80" i="38" l="1"/>
  <c r="AI79" i="38"/>
  <c r="AK74" i="38"/>
  <c r="J80" i="38"/>
  <c r="X80" i="38" s="1"/>
  <c r="AK75" i="38" l="1"/>
  <c r="K81" i="38"/>
  <c r="J81" i="38"/>
  <c r="X81" i="38" s="1"/>
  <c r="AK76" i="38" l="1"/>
  <c r="J82" i="38"/>
  <c r="X82" i="38" s="1"/>
  <c r="AI81" i="38"/>
  <c r="K82" i="38"/>
  <c r="K83" i="38" l="1"/>
  <c r="J83" i="38"/>
  <c r="X83" i="38" s="1"/>
  <c r="AI82" i="38"/>
  <c r="AK77" i="38"/>
  <c r="AR15" i="6"/>
  <c r="K84" i="38" l="1"/>
  <c r="J84" i="38"/>
  <c r="X84" i="38" s="1"/>
  <c r="AK79" i="38"/>
  <c r="AK78" i="38"/>
  <c r="M54" i="8"/>
  <c r="M46" i="7"/>
  <c r="AS15" i="6"/>
  <c r="J85" i="38" l="1"/>
  <c r="X85" i="38" s="1"/>
  <c r="K85" i="38"/>
  <c r="AI84" i="38"/>
  <c r="N54" i="8"/>
  <c r="N46" i="7"/>
  <c r="K86" i="38" l="1"/>
  <c r="J86" i="38"/>
  <c r="X86" i="38" s="1"/>
  <c r="AK80" i="38"/>
  <c r="AT15" i="6"/>
  <c r="K87" i="38" l="1"/>
  <c r="AK81" i="38"/>
  <c r="J87" i="38"/>
  <c r="X87" i="38" s="1"/>
  <c r="O54" i="8"/>
  <c r="O46" i="7"/>
  <c r="J88" i="38" l="1"/>
  <c r="X88" i="38" s="1"/>
  <c r="K88" i="38"/>
  <c r="AK82" i="38"/>
  <c r="AI87" i="38"/>
  <c r="J89" i="38" l="1"/>
  <c r="X89" i="38" s="1"/>
  <c r="K89" i="38"/>
  <c r="AK83" i="38"/>
  <c r="J90" i="38" l="1"/>
  <c r="X90" i="38" s="1"/>
  <c r="AK84" i="38"/>
  <c r="K90" i="38"/>
  <c r="AI90" i="38" l="1"/>
  <c r="K91" i="38"/>
  <c r="AK85" i="38"/>
  <c r="J91" i="38"/>
  <c r="X91" i="38" s="1"/>
  <c r="AI91" i="38" l="1"/>
  <c r="AK86" i="38"/>
  <c r="K92" i="38"/>
  <c r="J92" i="38"/>
  <c r="X92" i="38" s="1"/>
  <c r="J93" i="38" l="1"/>
  <c r="X93" i="38" s="1"/>
  <c r="AK87" i="38"/>
  <c r="K93" i="38"/>
  <c r="AK88" i="38" l="1"/>
  <c r="K94" i="38"/>
  <c r="J95" i="38" l="1"/>
  <c r="X95" i="38" s="1"/>
  <c r="AK89" i="38"/>
  <c r="K95" i="38"/>
  <c r="AU15" i="6"/>
  <c r="K96" i="38" l="1"/>
  <c r="AK90" i="38"/>
  <c r="J96" i="38"/>
  <c r="X96" i="38" s="1"/>
  <c r="P46" i="7"/>
  <c r="T46" i="7" s="1"/>
  <c r="T92" i="7" s="1"/>
  <c r="T63" i="14" s="1"/>
  <c r="P54" i="8"/>
  <c r="T54" i="8" s="1"/>
  <c r="T89" i="8" s="1"/>
  <c r="T64" i="14" s="1"/>
  <c r="K97" i="38" l="1"/>
  <c r="J97" i="38"/>
  <c r="X97" i="38" s="1"/>
  <c r="AK91" i="38"/>
  <c r="AI96" i="38"/>
  <c r="U54" i="8"/>
  <c r="U89" i="8" s="1"/>
  <c r="U64" i="14" s="1"/>
  <c r="T98" i="8"/>
  <c r="T101" i="7"/>
  <c r="U46" i="7"/>
  <c r="U92" i="7" s="1"/>
  <c r="U63" i="14" s="1"/>
  <c r="T54" i="12" l="1"/>
  <c r="T171" i="12"/>
  <c r="T170" i="12"/>
  <c r="K98" i="38"/>
  <c r="AI97" i="38"/>
  <c r="J98" i="38"/>
  <c r="X98" i="38" s="1"/>
  <c r="AK92" i="38"/>
  <c r="T169" i="12"/>
  <c r="T52" i="12"/>
  <c r="V46" i="7"/>
  <c r="V92" i="7" s="1"/>
  <c r="V63" i="14" s="1"/>
  <c r="U101" i="7"/>
  <c r="V54" i="8"/>
  <c r="V89" i="8" s="1"/>
  <c r="V64" i="14" s="1"/>
  <c r="U98" i="8"/>
  <c r="U54" i="12"/>
  <c r="T100" i="14" l="1"/>
  <c r="U171" i="12"/>
  <c r="U170" i="12"/>
  <c r="J99" i="38"/>
  <c r="X99" i="38" s="1"/>
  <c r="K99" i="38"/>
  <c r="AI98" i="38"/>
  <c r="AK93" i="38"/>
  <c r="U169" i="12"/>
  <c r="U52" i="12"/>
  <c r="W54" i="8"/>
  <c r="W89" i="8" s="1"/>
  <c r="W64" i="14" s="1"/>
  <c r="V98" i="8"/>
  <c r="T100" i="12"/>
  <c r="T139" i="12"/>
  <c r="BG18" i="22"/>
  <c r="BI18" i="22" s="1"/>
  <c r="BK18" i="22" s="1"/>
  <c r="T116" i="12"/>
  <c r="V101" i="7"/>
  <c r="W46" i="7"/>
  <c r="W92" i="7" s="1"/>
  <c r="U100" i="14" l="1"/>
  <c r="W63" i="14"/>
  <c r="V53" i="12"/>
  <c r="V171" i="12"/>
  <c r="V170" i="12"/>
  <c r="V54" i="12"/>
  <c r="AK94" i="38"/>
  <c r="K100" i="38"/>
  <c r="AK95" i="38"/>
  <c r="U100" i="12"/>
  <c r="V52" i="12"/>
  <c r="BN18" i="22"/>
  <c r="BM18" i="22"/>
  <c r="V169" i="12"/>
  <c r="V100" i="14" s="1"/>
  <c r="U139" i="12"/>
  <c r="U116" i="12"/>
  <c r="X54" i="8"/>
  <c r="X89" i="8" s="1"/>
  <c r="X64" i="14" s="1"/>
  <c r="W98" i="8"/>
  <c r="W101" i="7"/>
  <c r="X46" i="7"/>
  <c r="X92" i="7" s="1"/>
  <c r="X63" i="14" s="1"/>
  <c r="W54" i="12" l="1"/>
  <c r="V140" i="12"/>
  <c r="V101" i="12"/>
  <c r="V117" i="12"/>
  <c r="W171" i="12"/>
  <c r="W170" i="12"/>
  <c r="J101" i="38"/>
  <c r="X101" i="38" s="1"/>
  <c r="K101" i="38"/>
  <c r="V116" i="12"/>
  <c r="V139" i="12"/>
  <c r="V100" i="12"/>
  <c r="W52" i="12"/>
  <c r="X101" i="7"/>
  <c r="Y46" i="7"/>
  <c r="Y92" i="7" s="1"/>
  <c r="Y63" i="14" s="1"/>
  <c r="Y54" i="8"/>
  <c r="Y89" i="8" s="1"/>
  <c r="Y64" i="14" s="1"/>
  <c r="X98" i="8"/>
  <c r="W169" i="12"/>
  <c r="W100" i="14" s="1"/>
  <c r="AL41" i="38" l="1"/>
  <c r="AL28" i="38"/>
  <c r="AL92" i="38"/>
  <c r="AL53" i="38"/>
  <c r="AL56" i="38"/>
  <c r="AL32" i="38"/>
  <c r="AL50" i="38"/>
  <c r="AL35" i="38"/>
  <c r="AL61" i="38"/>
  <c r="AL78" i="38"/>
  <c r="AL38" i="38"/>
  <c r="AL64" i="38"/>
  <c r="AL40" i="38"/>
  <c r="AL58" i="38"/>
  <c r="AL75" i="38"/>
  <c r="AL44" i="38"/>
  <c r="AL86" i="38"/>
  <c r="AL47" i="38"/>
  <c r="AL49" i="38"/>
  <c r="AL83" i="38"/>
  <c r="AL52" i="38"/>
  <c r="AL77" i="38"/>
  <c r="AL43" i="38"/>
  <c r="AL55" i="38"/>
  <c r="AL80" i="38"/>
  <c r="AL57" i="38"/>
  <c r="AL74" i="38"/>
  <c r="AL95" i="38"/>
  <c r="AL91" i="38"/>
  <c r="AL60" i="38"/>
  <c r="AL85" i="38"/>
  <c r="AL37" i="38"/>
  <c r="AL63" i="38"/>
  <c r="AL94" i="38"/>
  <c r="AL27" i="38"/>
  <c r="AL88" i="38"/>
  <c r="AL82" i="38"/>
  <c r="AL34" i="38"/>
  <c r="AL46" i="38"/>
  <c r="AL31" i="38"/>
  <c r="AL30" i="38"/>
  <c r="AL90" i="38"/>
  <c r="AL42" i="38"/>
  <c r="AL76" i="38"/>
  <c r="AL36" i="38"/>
  <c r="AL54" i="38"/>
  <c r="AL79" i="38"/>
  <c r="AL39" i="38"/>
  <c r="AL81" i="38"/>
  <c r="AL33" i="38"/>
  <c r="AL51" i="38"/>
  <c r="AL84" i="38"/>
  <c r="AL45" i="38"/>
  <c r="AL62" i="38"/>
  <c r="AL87" i="38"/>
  <c r="AL48" i="38"/>
  <c r="AL29" i="38"/>
  <c r="AL89" i="38"/>
  <c r="X54" i="12"/>
  <c r="X171" i="12"/>
  <c r="X170" i="12"/>
  <c r="K102" i="38"/>
  <c r="AK96" i="38"/>
  <c r="J102" i="38"/>
  <c r="X102" i="38" s="1"/>
  <c r="AL96" i="38"/>
  <c r="AI101" i="38"/>
  <c r="W116" i="12"/>
  <c r="BM100" i="14"/>
  <c r="W100" i="12"/>
  <c r="W139" i="12"/>
  <c r="X169" i="12"/>
  <c r="X100" i="14" s="1"/>
  <c r="Y101" i="7"/>
  <c r="Z46" i="7"/>
  <c r="Z92" i="7" s="1"/>
  <c r="Z63" i="14" s="1"/>
  <c r="Z54" i="8"/>
  <c r="Z89" i="8" s="1"/>
  <c r="Y98" i="8"/>
  <c r="X52" i="12"/>
  <c r="Z64" i="14" l="1"/>
  <c r="Y53" i="12"/>
  <c r="Y54" i="12"/>
  <c r="Y171" i="12"/>
  <c r="Y170" i="12"/>
  <c r="AK97" i="38"/>
  <c r="AL97" i="38"/>
  <c r="J103" i="38"/>
  <c r="X103" i="38" s="1"/>
  <c r="K103" i="38"/>
  <c r="Y169" i="12"/>
  <c r="X116" i="12"/>
  <c r="X100" i="12"/>
  <c r="X139" i="12"/>
  <c r="AA54" i="8"/>
  <c r="AA89" i="8" s="1"/>
  <c r="AA64" i="14" s="1"/>
  <c r="Z98" i="8"/>
  <c r="AA46" i="7"/>
  <c r="AA92" i="7" s="1"/>
  <c r="AA63" i="14" s="1"/>
  <c r="Z101" i="7"/>
  <c r="Y52" i="12"/>
  <c r="Y100" i="14" l="1"/>
  <c r="Y101" i="12"/>
  <c r="Y140" i="12"/>
  <c r="Y117" i="12"/>
  <c r="Z171" i="12"/>
  <c r="Z170" i="12"/>
  <c r="Z54" i="12"/>
  <c r="AI103" i="38"/>
  <c r="K104" i="38"/>
  <c r="J104" i="38"/>
  <c r="X104" i="38" s="1"/>
  <c r="AK98" i="38"/>
  <c r="AL98" i="38"/>
  <c r="Z169" i="12"/>
  <c r="Z100" i="14" s="1"/>
  <c r="Z52" i="12"/>
  <c r="AB46" i="7"/>
  <c r="AB92" i="7" s="1"/>
  <c r="AB63" i="14" s="1"/>
  <c r="AA101" i="7"/>
  <c r="AB54" i="8"/>
  <c r="AB89" i="8" s="1"/>
  <c r="AB64" i="14" s="1"/>
  <c r="AA98" i="8"/>
  <c r="Y139" i="12"/>
  <c r="Y116" i="12"/>
  <c r="Y100" i="12"/>
  <c r="AL93" i="38" l="1"/>
  <c r="AA54" i="12"/>
  <c r="AA171" i="12"/>
  <c r="AA170" i="12"/>
  <c r="AK99" i="38"/>
  <c r="AL99" i="38"/>
  <c r="J105" i="38"/>
  <c r="X105" i="38" s="1"/>
  <c r="K105" i="38"/>
  <c r="Z116" i="12"/>
  <c r="Z100" i="12"/>
  <c r="Z139" i="12"/>
  <c r="AA169" i="12"/>
  <c r="AA52" i="12"/>
  <c r="AC54" i="8"/>
  <c r="AC89" i="8" s="1"/>
  <c r="AC64" i="14" s="1"/>
  <c r="AB98" i="8"/>
  <c r="AC46" i="7"/>
  <c r="AC92" i="7" s="1"/>
  <c r="AC63" i="14" s="1"/>
  <c r="AB101" i="7"/>
  <c r="AA100" i="14" l="1"/>
  <c r="AB171" i="12"/>
  <c r="AB170" i="12"/>
  <c r="AB54" i="12"/>
  <c r="AK100" i="38"/>
  <c r="AI105" i="38"/>
  <c r="AL100" i="38"/>
  <c r="AB169" i="12"/>
  <c r="BN100" i="14"/>
  <c r="AA139" i="12"/>
  <c r="AA100" i="12"/>
  <c r="AA116" i="12"/>
  <c r="AB52" i="12"/>
  <c r="AD54" i="8"/>
  <c r="AD89" i="8" s="1"/>
  <c r="AD64" i="14" s="1"/>
  <c r="AC98" i="8"/>
  <c r="AC101" i="7"/>
  <c r="AD46" i="7"/>
  <c r="AD92" i="7" s="1"/>
  <c r="AB100" i="14" l="1"/>
  <c r="AD63" i="14"/>
  <c r="AC171" i="12"/>
  <c r="AC170" i="12"/>
  <c r="I29" i="45"/>
  <c r="AI29" i="45" s="1"/>
  <c r="I30" i="45"/>
  <c r="AI30" i="45" s="1"/>
  <c r="I28" i="45"/>
  <c r="AI28" i="45" s="1"/>
  <c r="I27" i="45"/>
  <c r="AI27" i="45" s="1"/>
  <c r="I31" i="45"/>
  <c r="AI31" i="45" s="1"/>
  <c r="I32" i="45"/>
  <c r="AI32" i="45" s="1"/>
  <c r="I33" i="45"/>
  <c r="AI33" i="45" s="1"/>
  <c r="I34" i="45"/>
  <c r="AI34" i="45" s="1"/>
  <c r="I35" i="45"/>
  <c r="AI35" i="45" s="1"/>
  <c r="I36" i="45"/>
  <c r="AI36" i="45" s="1"/>
  <c r="I37" i="45"/>
  <c r="AI37" i="45" s="1"/>
  <c r="I38" i="45"/>
  <c r="AI38" i="45" s="1"/>
  <c r="I39" i="45"/>
  <c r="AI39" i="45" s="1"/>
  <c r="I40" i="45"/>
  <c r="AI40" i="45" s="1"/>
  <c r="I41" i="45"/>
  <c r="AI41" i="45" s="1"/>
  <c r="I42" i="45"/>
  <c r="AI42" i="45" s="1"/>
  <c r="I43" i="45"/>
  <c r="AI43" i="45" s="1"/>
  <c r="I44" i="45"/>
  <c r="AI44" i="45" s="1"/>
  <c r="I45" i="45"/>
  <c r="AI45" i="45" s="1"/>
  <c r="I46" i="45"/>
  <c r="AI46" i="45" s="1"/>
  <c r="I47" i="45"/>
  <c r="AI47" i="45" s="1"/>
  <c r="I48" i="45"/>
  <c r="AI48" i="45" s="1"/>
  <c r="I49" i="45"/>
  <c r="AI49" i="45" s="1"/>
  <c r="I50" i="45"/>
  <c r="AI50" i="45" s="1"/>
  <c r="I51" i="45"/>
  <c r="AI51" i="45" s="1"/>
  <c r="I52" i="45"/>
  <c r="AI52" i="45" s="1"/>
  <c r="I53" i="45"/>
  <c r="AI53" i="45" s="1"/>
  <c r="I54" i="45"/>
  <c r="AI54" i="45" s="1"/>
  <c r="I55" i="45"/>
  <c r="AI55" i="45" s="1"/>
  <c r="I56" i="45"/>
  <c r="AI56" i="45" s="1"/>
  <c r="I57" i="45"/>
  <c r="AI57" i="45" s="1"/>
  <c r="I58" i="45"/>
  <c r="AI58" i="45" s="1"/>
  <c r="I60" i="45"/>
  <c r="AI60" i="45" s="1"/>
  <c r="I61" i="45"/>
  <c r="AI61" i="45" s="1"/>
  <c r="I62" i="45"/>
  <c r="AI62" i="45" s="1"/>
  <c r="I63" i="45"/>
  <c r="AI63" i="45" s="1"/>
  <c r="I64" i="45"/>
  <c r="AI64" i="45" s="1"/>
  <c r="I74" i="45"/>
  <c r="AI74" i="45" s="1"/>
  <c r="I75" i="45"/>
  <c r="AI75" i="45" s="1"/>
  <c r="I76" i="45"/>
  <c r="AI76" i="45" s="1"/>
  <c r="I77" i="45"/>
  <c r="AI77" i="45" s="1"/>
  <c r="I79" i="45"/>
  <c r="AI79" i="45" s="1"/>
  <c r="I78" i="45"/>
  <c r="AI78" i="45" s="1"/>
  <c r="I80" i="45"/>
  <c r="AI80" i="45" s="1"/>
  <c r="I81" i="45"/>
  <c r="AI81" i="45" s="1"/>
  <c r="I82" i="45"/>
  <c r="AI82" i="45" s="1"/>
  <c r="I83" i="45"/>
  <c r="AI83" i="45" s="1"/>
  <c r="I84" i="45"/>
  <c r="AI84" i="45" s="1"/>
  <c r="I85" i="45"/>
  <c r="AI85" i="45" s="1"/>
  <c r="I86" i="45"/>
  <c r="AI86" i="45" s="1"/>
  <c r="I87" i="45"/>
  <c r="AI87" i="45" s="1"/>
  <c r="I88" i="45"/>
  <c r="AI88" i="45" s="1"/>
  <c r="I89" i="45"/>
  <c r="AI89" i="45" s="1"/>
  <c r="I90" i="45"/>
  <c r="AI90" i="45" s="1"/>
  <c r="I91" i="45"/>
  <c r="AI91" i="45" s="1"/>
  <c r="I92" i="45"/>
  <c r="AI92" i="45" s="1"/>
  <c r="I95" i="45"/>
  <c r="AI95" i="45" s="1"/>
  <c r="I94" i="45"/>
  <c r="AI94" i="45" s="1"/>
  <c r="I96" i="45"/>
  <c r="AI96" i="45" s="1"/>
  <c r="I97" i="45"/>
  <c r="AI97" i="45" s="1"/>
  <c r="I98" i="45"/>
  <c r="AI98" i="45" s="1"/>
  <c r="I93" i="45"/>
  <c r="AI93" i="45" s="1"/>
  <c r="I99" i="45"/>
  <c r="AI99" i="45" s="1"/>
  <c r="AC54" i="12"/>
  <c r="I100" i="45"/>
  <c r="AI100" i="45" s="1"/>
  <c r="AC53" i="12"/>
  <c r="I101" i="45"/>
  <c r="AI101" i="45" s="1"/>
  <c r="I102" i="45"/>
  <c r="AI102" i="45" s="1"/>
  <c r="AL101" i="38"/>
  <c r="AK101" i="38"/>
  <c r="AB100" i="12"/>
  <c r="AB139" i="12"/>
  <c r="AC52" i="12"/>
  <c r="AC169" i="12"/>
  <c r="AB116" i="12"/>
  <c r="AE54" i="8"/>
  <c r="AE89" i="8" s="1"/>
  <c r="AE64" i="14" s="1"/>
  <c r="AD98" i="8"/>
  <c r="AD101" i="7"/>
  <c r="AE46" i="7"/>
  <c r="AE92" i="7" s="1"/>
  <c r="AE63" i="14" s="1"/>
  <c r="AC100" i="14" l="1"/>
  <c r="J43" i="39"/>
  <c r="K43" i="39" s="1"/>
  <c r="AD53" i="12"/>
  <c r="AD54" i="12"/>
  <c r="AD171" i="12"/>
  <c r="AD170" i="12"/>
  <c r="AC117" i="12"/>
  <c r="AC101" i="12"/>
  <c r="AC140" i="12"/>
  <c r="I103" i="45"/>
  <c r="AI103" i="45" s="1"/>
  <c r="AK102" i="38"/>
  <c r="AL102" i="38"/>
  <c r="AC100" i="12"/>
  <c r="AD52" i="12"/>
  <c r="AC139" i="12"/>
  <c r="AC116" i="12"/>
  <c r="AD169" i="12"/>
  <c r="AD100" i="14" s="1"/>
  <c r="AF54" i="8"/>
  <c r="AF89" i="8" s="1"/>
  <c r="AF64" i="14" s="1"/>
  <c r="AE98" i="8"/>
  <c r="AF46" i="7"/>
  <c r="AF92" i="7" s="1"/>
  <c r="AF63" i="14" s="1"/>
  <c r="AE101" i="7"/>
  <c r="AD101" i="12" l="1"/>
  <c r="AD117" i="12"/>
  <c r="AD140" i="12"/>
  <c r="AE53" i="12"/>
  <c r="AE171" i="12"/>
  <c r="AE170" i="12"/>
  <c r="AE54" i="12"/>
  <c r="I104" i="45"/>
  <c r="AI104" i="45" s="1"/>
  <c r="AL103" i="38"/>
  <c r="AK103" i="38"/>
  <c r="AD100" i="12"/>
  <c r="AD139" i="12"/>
  <c r="AD116" i="12"/>
  <c r="AE169" i="12"/>
  <c r="AE100" i="14" s="1"/>
  <c r="AG54" i="8"/>
  <c r="AG89" i="8" s="1"/>
  <c r="AG64" i="14" s="1"/>
  <c r="AF98" i="8"/>
  <c r="AF101" i="7"/>
  <c r="AG46" i="7"/>
  <c r="AG92" i="7" s="1"/>
  <c r="AG63" i="14" s="1"/>
  <c r="AE52" i="12"/>
  <c r="CE18" i="22" s="1"/>
  <c r="BV83" i="28" l="1"/>
  <c r="CO83" i="28" s="1"/>
  <c r="AL8" i="38"/>
  <c r="I8" i="45"/>
  <c r="AI8" i="45" s="1"/>
  <c r="AF54" i="12"/>
  <c r="AF171" i="12"/>
  <c r="AF170" i="12"/>
  <c r="AF53" i="12"/>
  <c r="AE140" i="12"/>
  <c r="AE101" i="12"/>
  <c r="AE117" i="12"/>
  <c r="I105" i="45"/>
  <c r="AI105" i="45" s="1"/>
  <c r="AL104" i="38"/>
  <c r="AK104" i="38"/>
  <c r="BO100" i="14"/>
  <c r="AF169" i="12"/>
  <c r="AF100" i="14" s="1"/>
  <c r="AF52" i="12"/>
  <c r="AH54" i="8"/>
  <c r="AH89" i="8" s="1"/>
  <c r="AH64" i="14" s="1"/>
  <c r="AG98" i="8"/>
  <c r="AH46" i="7"/>
  <c r="AH92" i="7" s="1"/>
  <c r="AH63" i="14" s="1"/>
  <c r="AG101" i="7"/>
  <c r="AE100" i="12"/>
  <c r="AE116" i="12"/>
  <c r="AE139" i="12"/>
  <c r="CR18" i="22" s="1"/>
  <c r="CK18" i="22" l="1"/>
  <c r="CJ18" i="22"/>
  <c r="AG54" i="12"/>
  <c r="AG53" i="12"/>
  <c r="AG171" i="12"/>
  <c r="AG170" i="12"/>
  <c r="AF140" i="12"/>
  <c r="AF117" i="12"/>
  <c r="AF101" i="12"/>
  <c r="AK105" i="38"/>
  <c r="AL105" i="38"/>
  <c r="AG169" i="12"/>
  <c r="AG52" i="12"/>
  <c r="AH101" i="7"/>
  <c r="AI46" i="7"/>
  <c r="AI92" i="7" s="1"/>
  <c r="AI63" i="14" s="1"/>
  <c r="AI54" i="8"/>
  <c r="AI89" i="8" s="1"/>
  <c r="AI64" i="14" s="1"/>
  <c r="AH98" i="8"/>
  <c r="AF139" i="12"/>
  <c r="AF100" i="12"/>
  <c r="AF116" i="12"/>
  <c r="AG100" i="14" l="1"/>
  <c r="AH171" i="12"/>
  <c r="AH170" i="12"/>
  <c r="AG101" i="12"/>
  <c r="AG140" i="12"/>
  <c r="AG117" i="12"/>
  <c r="AH54" i="12"/>
  <c r="AH53" i="12"/>
  <c r="AG116" i="12"/>
  <c r="AG100" i="12"/>
  <c r="AG139" i="12"/>
  <c r="AH52" i="12"/>
  <c r="AJ46" i="7"/>
  <c r="AJ92" i="7" s="1"/>
  <c r="AJ63" i="14" s="1"/>
  <c r="AI101" i="7"/>
  <c r="AH169" i="12"/>
  <c r="AJ54" i="8"/>
  <c r="AJ89" i="8" s="1"/>
  <c r="AJ64" i="14" s="1"/>
  <c r="AI98" i="8"/>
  <c r="AH100" i="14" l="1"/>
  <c r="AI53" i="12"/>
  <c r="AH140" i="12"/>
  <c r="AH117" i="12"/>
  <c r="AH101" i="12"/>
  <c r="AI54" i="12"/>
  <c r="AI171" i="12"/>
  <c r="AI170" i="12"/>
  <c r="AH100" i="12"/>
  <c r="AH139" i="12"/>
  <c r="AH116" i="12"/>
  <c r="AK54" i="8"/>
  <c r="AK89" i="8" s="1"/>
  <c r="AK64" i="14" s="1"/>
  <c r="AJ98" i="8"/>
  <c r="AI169" i="12"/>
  <c r="AK46" i="7"/>
  <c r="AK92" i="7" s="1"/>
  <c r="AK63" i="14" s="1"/>
  <c r="AJ101" i="7"/>
  <c r="AI52" i="12"/>
  <c r="AI100" i="14" l="1"/>
  <c r="AJ53" i="12"/>
  <c r="AI117" i="12"/>
  <c r="AI101" i="12"/>
  <c r="AI140" i="12"/>
  <c r="AJ171" i="12"/>
  <c r="AJ170" i="12"/>
  <c r="AJ54" i="12"/>
  <c r="AJ169" i="12"/>
  <c r="BP100" i="14"/>
  <c r="AJ52" i="12"/>
  <c r="AI139" i="12"/>
  <c r="AI116" i="12"/>
  <c r="AI100" i="12"/>
  <c r="AK101" i="7"/>
  <c r="AL46" i="7"/>
  <c r="AL92" i="7" s="1"/>
  <c r="AL63" i="14" s="1"/>
  <c r="AL54" i="8"/>
  <c r="AL89" i="8" s="1"/>
  <c r="AL64" i="14" s="1"/>
  <c r="AK98" i="8"/>
  <c r="AJ100" i="14" l="1"/>
  <c r="AK54" i="12"/>
  <c r="AK171" i="12"/>
  <c r="AK170" i="12"/>
  <c r="AK53" i="12"/>
  <c r="AJ140" i="12"/>
  <c r="AJ117" i="12"/>
  <c r="AJ101" i="12"/>
  <c r="AJ139" i="12"/>
  <c r="AJ116" i="12"/>
  <c r="AJ100" i="12"/>
  <c r="AK52" i="12"/>
  <c r="AM54" i="8"/>
  <c r="AM89" i="8" s="1"/>
  <c r="AM64" i="14" s="1"/>
  <c r="AL98" i="8"/>
  <c r="AM46" i="7"/>
  <c r="AM92" i="7" s="1"/>
  <c r="AM63" i="14" s="1"/>
  <c r="AL101" i="7"/>
  <c r="AK169" i="12"/>
  <c r="AK100" i="14" l="1"/>
  <c r="AL171" i="12"/>
  <c r="AL170" i="12"/>
  <c r="AK140" i="12"/>
  <c r="AK117" i="12"/>
  <c r="AK101" i="12"/>
  <c r="AL54" i="12"/>
  <c r="AL53" i="12"/>
  <c r="AL169" i="12"/>
  <c r="AL52" i="12"/>
  <c r="AM101" i="7"/>
  <c r="AN46" i="7"/>
  <c r="AN92" i="7" s="1"/>
  <c r="AN63" i="14" s="1"/>
  <c r="AN54" i="8"/>
  <c r="AN89" i="8" s="1"/>
  <c r="AN64" i="14" s="1"/>
  <c r="AM98" i="8"/>
  <c r="AK116" i="12"/>
  <c r="AK139" i="12"/>
  <c r="AK100" i="12"/>
  <c r="V8" i="19"/>
  <c r="CG18" i="22"/>
  <c r="AL100" i="14" l="1"/>
  <c r="AM53" i="12"/>
  <c r="AM171" i="12"/>
  <c r="AM170" i="12"/>
  <c r="AL117" i="12"/>
  <c r="AL140" i="12"/>
  <c r="AL101" i="12"/>
  <c r="F14" i="42"/>
  <c r="F13" i="42"/>
  <c r="F10" i="42"/>
  <c r="F12" i="42"/>
  <c r="F15" i="42"/>
  <c r="F11" i="42"/>
  <c r="AM54" i="12"/>
  <c r="AL100" i="12"/>
  <c r="AL139" i="12"/>
  <c r="AL116" i="12"/>
  <c r="AM169" i="12"/>
  <c r="AO54" i="8"/>
  <c r="AO89" i="8" s="1"/>
  <c r="AO64" i="14" s="1"/>
  <c r="AN98" i="8"/>
  <c r="AO46" i="7"/>
  <c r="AO92" i="7" s="1"/>
  <c r="AO63" i="14" s="1"/>
  <c r="AN101" i="7"/>
  <c r="AM52" i="12"/>
  <c r="CI18" i="22"/>
  <c r="AM100" i="14" l="1"/>
  <c r="F16" i="42"/>
  <c r="AM140" i="12"/>
  <c r="AM117" i="12"/>
  <c r="AM101" i="12"/>
  <c r="AN171" i="12"/>
  <c r="AN170" i="12"/>
  <c r="AN53" i="12"/>
  <c r="AN54" i="12"/>
  <c r="AN52" i="12"/>
  <c r="BQ100" i="14"/>
  <c r="AN169" i="12"/>
  <c r="AN100" i="14" s="1"/>
  <c r="AP54" i="8"/>
  <c r="AP89" i="8" s="1"/>
  <c r="AP64" i="14" s="1"/>
  <c r="AO98" i="8"/>
  <c r="AP46" i="7"/>
  <c r="AP92" i="7" s="1"/>
  <c r="AP63" i="14" s="1"/>
  <c r="AO101" i="7"/>
  <c r="AM139" i="12"/>
  <c r="AM116" i="12"/>
  <c r="AM100" i="12"/>
  <c r="AO53" i="12" l="1"/>
  <c r="AO54" i="12"/>
  <c r="AO171" i="12"/>
  <c r="AO170" i="12"/>
  <c r="AN140" i="12"/>
  <c r="AN117" i="12"/>
  <c r="AN101" i="12"/>
  <c r="AN139" i="12"/>
  <c r="AN116" i="12"/>
  <c r="AN100" i="12"/>
  <c r="AO169" i="12"/>
  <c r="AO100" i="14" s="1"/>
  <c r="AO52" i="12"/>
  <c r="AP101" i="7"/>
  <c r="AQ46" i="7"/>
  <c r="AQ92" i="7" s="1"/>
  <c r="AQ63" i="14" s="1"/>
  <c r="AQ54" i="8"/>
  <c r="AQ89" i="8" s="1"/>
  <c r="AQ64" i="14" s="1"/>
  <c r="AP98" i="8"/>
  <c r="AO140" i="12" l="1"/>
  <c r="AO101" i="12"/>
  <c r="AO117" i="12"/>
  <c r="AP53" i="12"/>
  <c r="AP171" i="12"/>
  <c r="AP170" i="12"/>
  <c r="AP54" i="12"/>
  <c r="AO100" i="12"/>
  <c r="AO116" i="12"/>
  <c r="AO139" i="12"/>
  <c r="AP52" i="12"/>
  <c r="AR46" i="7"/>
  <c r="AR92" i="7" s="1"/>
  <c r="AR63" i="14" s="1"/>
  <c r="AQ101" i="7"/>
  <c r="AR54" i="8"/>
  <c r="AR89" i="8" s="1"/>
  <c r="AR64" i="14" s="1"/>
  <c r="AQ98" i="8"/>
  <c r="AQ54" i="12"/>
  <c r="AP169" i="12"/>
  <c r="AP100" i="14" l="1"/>
  <c r="AQ53" i="12"/>
  <c r="AP101" i="12"/>
  <c r="AP140" i="12"/>
  <c r="AP117" i="12"/>
  <c r="AQ171" i="12"/>
  <c r="AQ170" i="12"/>
  <c r="AR101" i="7"/>
  <c r="AS46" i="7"/>
  <c r="AS92" i="7" s="1"/>
  <c r="AS63" i="14" s="1"/>
  <c r="AQ52" i="12"/>
  <c r="AS54" i="8"/>
  <c r="AS89" i="8" s="1"/>
  <c r="AS64" i="14" s="1"/>
  <c r="AR98" i="8"/>
  <c r="AQ169" i="12"/>
  <c r="AQ100" i="14" s="1"/>
  <c r="AP139" i="12"/>
  <c r="AP116" i="12"/>
  <c r="AP100" i="12"/>
  <c r="AR54" i="12" l="1"/>
  <c r="AR171" i="12"/>
  <c r="AR170" i="12"/>
  <c r="AQ140" i="12"/>
  <c r="AQ117" i="12"/>
  <c r="AQ101" i="12"/>
  <c r="AR53" i="12"/>
  <c r="BR100" i="14"/>
  <c r="AR169" i="12"/>
  <c r="AR100" i="14" s="1"/>
  <c r="AT54" i="8"/>
  <c r="AT89" i="8" s="1"/>
  <c r="AT64" i="14" s="1"/>
  <c r="AS98" i="8"/>
  <c r="AS101" i="7"/>
  <c r="AT46" i="7"/>
  <c r="AT92" i="7" s="1"/>
  <c r="AT63" i="14" s="1"/>
  <c r="AQ116" i="12"/>
  <c r="AQ139" i="12"/>
  <c r="AQ100" i="12"/>
  <c r="AR52" i="12"/>
  <c r="AR101" i="12" l="1"/>
  <c r="AR140" i="12"/>
  <c r="AR117" i="12"/>
  <c r="AS53" i="12"/>
  <c r="AS54" i="12"/>
  <c r="AS171" i="12"/>
  <c r="AS170" i="12"/>
  <c r="AS52" i="12"/>
  <c r="AR139" i="12"/>
  <c r="AR116" i="12"/>
  <c r="AR100" i="12"/>
  <c r="AU46" i="7"/>
  <c r="AU92" i="7" s="1"/>
  <c r="AU63" i="14" s="1"/>
  <c r="AT101" i="7"/>
  <c r="AS169" i="12"/>
  <c r="AS100" i="14" s="1"/>
  <c r="AU54" i="8"/>
  <c r="AU89" i="8" s="1"/>
  <c r="AU64" i="14" s="1"/>
  <c r="AT98" i="8"/>
  <c r="AT54" i="12" l="1"/>
  <c r="AT53" i="12"/>
  <c r="AT171" i="12"/>
  <c r="AT170" i="12"/>
  <c r="AS117" i="12"/>
  <c r="AS140" i="12"/>
  <c r="AS101" i="12"/>
  <c r="AS116" i="12"/>
  <c r="AS100" i="12"/>
  <c r="AS139" i="12"/>
  <c r="AT169" i="12"/>
  <c r="AT100" i="14" s="1"/>
  <c r="AV54" i="8"/>
  <c r="AV89" i="8" s="1"/>
  <c r="AV64" i="14" s="1"/>
  <c r="AU98" i="8"/>
  <c r="AV46" i="7"/>
  <c r="AV92" i="7" s="1"/>
  <c r="AV63" i="14" s="1"/>
  <c r="AU101" i="7"/>
  <c r="AT52" i="12"/>
  <c r="AU54" i="12" l="1"/>
  <c r="AU171" i="12"/>
  <c r="AU170" i="12"/>
  <c r="AU53" i="12"/>
  <c r="AT117" i="12"/>
  <c r="AT140" i="12"/>
  <c r="AT101" i="12"/>
  <c r="AU169" i="12"/>
  <c r="AU100" i="14" s="1"/>
  <c r="AU52" i="12"/>
  <c r="AT100" i="12"/>
  <c r="AT139" i="12"/>
  <c r="AT116" i="12"/>
  <c r="AW46" i="7"/>
  <c r="AW92" i="7" s="1"/>
  <c r="AW63" i="14" s="1"/>
  <c r="AV101" i="7"/>
  <c r="AW54" i="8"/>
  <c r="AW89" i="8" s="1"/>
  <c r="AW64" i="14" s="1"/>
  <c r="AV98" i="8"/>
  <c r="AV171" i="12" l="1"/>
  <c r="AV170" i="12"/>
  <c r="AV54" i="12"/>
  <c r="AV53" i="12"/>
  <c r="AU101" i="12"/>
  <c r="AU140" i="12"/>
  <c r="AU117" i="12"/>
  <c r="AU116" i="12"/>
  <c r="AU139" i="12"/>
  <c r="BS100" i="14"/>
  <c r="AU100" i="12"/>
  <c r="AV169" i="12"/>
  <c r="AV100" i="14" s="1"/>
  <c r="AW101" i="7"/>
  <c r="AX46" i="7"/>
  <c r="AX92" i="7" s="1"/>
  <c r="AX63" i="14" s="1"/>
  <c r="AV52" i="12"/>
  <c r="AX54" i="8"/>
  <c r="AX89" i="8" s="1"/>
  <c r="AX64" i="14" s="1"/>
  <c r="AW98" i="8"/>
  <c r="AW171" i="12" l="1"/>
  <c r="AW170" i="12"/>
  <c r="AW53" i="12"/>
  <c r="AW54" i="12"/>
  <c r="AV101" i="12"/>
  <c r="AV140" i="12"/>
  <c r="AV117" i="12"/>
  <c r="AW169" i="12"/>
  <c r="AW52" i="12"/>
  <c r="AX101" i="7"/>
  <c r="AY46" i="7"/>
  <c r="AY92" i="7" s="1"/>
  <c r="AY63" i="14" s="1"/>
  <c r="AY54" i="8"/>
  <c r="AY89" i="8" s="1"/>
  <c r="AY64" i="14" s="1"/>
  <c r="AX98" i="8"/>
  <c r="AV100" i="12"/>
  <c r="AV116" i="12"/>
  <c r="AV139" i="12"/>
  <c r="AW100" i="14" l="1"/>
  <c r="AX171" i="12"/>
  <c r="AX170" i="12"/>
  <c r="AX53" i="12"/>
  <c r="AX54" i="12"/>
  <c r="AW140" i="12"/>
  <c r="AW117" i="12"/>
  <c r="AW101" i="12"/>
  <c r="AW100" i="12"/>
  <c r="AW139" i="12"/>
  <c r="AW116" i="12"/>
  <c r="AX52" i="12"/>
  <c r="AZ54" i="8"/>
  <c r="AZ89" i="8" s="1"/>
  <c r="AZ64" i="14" s="1"/>
  <c r="AY98" i="8"/>
  <c r="AZ46" i="7"/>
  <c r="AZ92" i="7" s="1"/>
  <c r="AZ63" i="14" s="1"/>
  <c r="AY101" i="7"/>
  <c r="AX169" i="12"/>
  <c r="AX100" i="14" s="1"/>
  <c r="AY53" i="12" l="1"/>
  <c r="AY171" i="12"/>
  <c r="AY170" i="12"/>
  <c r="AX140" i="12"/>
  <c r="AX117" i="12"/>
  <c r="AX101" i="12"/>
  <c r="AY54" i="12"/>
  <c r="AX100" i="12"/>
  <c r="AY52" i="12"/>
  <c r="AX139" i="12"/>
  <c r="AX116" i="12"/>
  <c r="AZ101" i="7"/>
  <c r="BA46" i="7"/>
  <c r="BA92" i="7" s="1"/>
  <c r="BA63" i="14" s="1"/>
  <c r="BA54" i="8"/>
  <c r="BA89" i="8" s="1"/>
  <c r="BA64" i="14" s="1"/>
  <c r="AZ98" i="8"/>
  <c r="AY169" i="12"/>
  <c r="AY100" i="14" s="1"/>
  <c r="AZ171" i="12" l="1"/>
  <c r="AZ170" i="12"/>
  <c r="AZ53" i="12"/>
  <c r="AY140" i="12"/>
  <c r="AY117" i="12"/>
  <c r="AY101" i="12"/>
  <c r="AZ54" i="12"/>
  <c r="AY116" i="12"/>
  <c r="AY139" i="12"/>
  <c r="AY100" i="12"/>
  <c r="BT100" i="14"/>
  <c r="BB54" i="8"/>
  <c r="BB89" i="8" s="1"/>
  <c r="BB64" i="14" s="1"/>
  <c r="BA98" i="8"/>
  <c r="BB46" i="7"/>
  <c r="BB92" i="7" s="1"/>
  <c r="BB63" i="14" s="1"/>
  <c r="BA101" i="7"/>
  <c r="AZ169" i="12"/>
  <c r="AZ100" i="14" s="1"/>
  <c r="AZ52" i="12"/>
  <c r="BA53" i="12" l="1"/>
  <c r="BA54" i="12"/>
  <c r="BA171" i="12"/>
  <c r="BA170" i="12"/>
  <c r="AZ117" i="12"/>
  <c r="AZ140" i="12"/>
  <c r="AZ101" i="12"/>
  <c r="BA52" i="12"/>
  <c r="BA169" i="12"/>
  <c r="BA100" i="14" s="1"/>
  <c r="BC54" i="8"/>
  <c r="BC89" i="8" s="1"/>
  <c r="BC64" i="14" s="1"/>
  <c r="BB98" i="8"/>
  <c r="BB101" i="7"/>
  <c r="BC46" i="7"/>
  <c r="BC92" i="7" s="1"/>
  <c r="BC63" i="14" s="1"/>
  <c r="AZ100" i="12"/>
  <c r="AZ139" i="12"/>
  <c r="AZ116" i="12"/>
  <c r="BB171" i="12" l="1"/>
  <c r="BB170" i="12"/>
  <c r="BB54" i="12"/>
  <c r="BB53" i="12"/>
  <c r="BA140" i="12"/>
  <c r="BA117" i="12"/>
  <c r="BA101" i="12"/>
  <c r="BA116" i="12"/>
  <c r="BA100" i="12"/>
  <c r="BB169" i="12"/>
  <c r="BB100" i="14" s="1"/>
  <c r="BA139" i="12"/>
  <c r="BB52" i="12"/>
  <c r="BD46" i="7"/>
  <c r="BD92" i="7" s="1"/>
  <c r="BD63" i="14" s="1"/>
  <c r="BC101" i="7"/>
  <c r="BD54" i="8"/>
  <c r="BD89" i="8" s="1"/>
  <c r="BD64" i="14" s="1"/>
  <c r="BC98" i="8"/>
  <c r="BC53" i="12" l="1"/>
  <c r="BC171" i="12"/>
  <c r="BC170" i="12"/>
  <c r="BB101" i="12"/>
  <c r="BB140" i="12"/>
  <c r="BB117" i="12"/>
  <c r="BC54" i="12"/>
  <c r="BB139" i="12"/>
  <c r="BB116" i="12"/>
  <c r="BB100" i="12"/>
  <c r="BC169" i="12"/>
  <c r="BC100" i="14" s="1"/>
  <c r="BE54" i="8"/>
  <c r="BE89" i="8" s="1"/>
  <c r="BE64" i="14" s="1"/>
  <c r="BD98" i="8"/>
  <c r="BE46" i="7"/>
  <c r="BE92" i="7" s="1"/>
  <c r="BE63" i="14" s="1"/>
  <c r="BD101" i="7"/>
  <c r="BC52" i="12"/>
  <c r="BD53" i="12" l="1"/>
  <c r="BC140" i="12"/>
  <c r="BC117" i="12"/>
  <c r="BC101" i="12"/>
  <c r="BD171" i="12"/>
  <c r="BD170" i="12"/>
  <c r="BD54" i="12"/>
  <c r="BU100" i="14"/>
  <c r="BD169" i="12"/>
  <c r="BD52" i="12"/>
  <c r="BF54" i="8"/>
  <c r="BF89" i="8" s="1"/>
  <c r="BF64" i="14" s="1"/>
  <c r="BE98" i="8"/>
  <c r="BF46" i="7"/>
  <c r="BF92" i="7" s="1"/>
  <c r="BF63" i="14" s="1"/>
  <c r="BE101" i="7"/>
  <c r="BC139" i="12"/>
  <c r="BC116" i="12"/>
  <c r="BC100" i="12"/>
  <c r="BD100" i="14" l="1"/>
  <c r="BE53" i="12"/>
  <c r="BE171" i="12"/>
  <c r="BE170" i="12"/>
  <c r="BD101" i="12"/>
  <c r="BD140" i="12"/>
  <c r="BD117" i="12"/>
  <c r="BE54" i="12"/>
  <c r="BD100" i="12"/>
  <c r="BD116" i="12"/>
  <c r="BD139" i="12"/>
  <c r="BE52" i="12"/>
  <c r="BE169" i="12"/>
  <c r="BE100" i="14" s="1"/>
  <c r="BG54" i="8"/>
  <c r="BG89" i="8" s="1"/>
  <c r="BG64" i="14" s="1"/>
  <c r="BF98" i="8"/>
  <c r="BG46" i="7"/>
  <c r="BG92" i="7" s="1"/>
  <c r="BG63" i="14" s="1"/>
  <c r="BF101" i="7"/>
  <c r="BF53" i="12" l="1"/>
  <c r="BE140" i="12"/>
  <c r="BE117" i="12"/>
  <c r="BE101" i="12"/>
  <c r="BF171" i="12"/>
  <c r="BF170" i="12"/>
  <c r="BF54" i="12"/>
  <c r="BE116" i="12"/>
  <c r="BE139" i="12"/>
  <c r="BE100" i="12"/>
  <c r="BG98" i="8"/>
  <c r="BK98" i="8" s="1"/>
  <c r="BF169" i="12"/>
  <c r="BF100" i="14" s="1"/>
  <c r="BG101" i="7"/>
  <c r="BF52" i="12"/>
  <c r="BG53" i="12" l="1"/>
  <c r="BG117" i="12" s="1"/>
  <c r="BG54" i="12"/>
  <c r="BF101" i="12"/>
  <c r="BF140" i="12"/>
  <c r="BF117" i="12"/>
  <c r="BG171" i="12"/>
  <c r="BI171" i="12" s="1"/>
  <c r="BG170" i="12"/>
  <c r="BI170" i="12" s="1"/>
  <c r="BI89" i="8"/>
  <c r="BI92" i="7"/>
  <c r="BG169" i="12"/>
  <c r="BK101" i="7"/>
  <c r="BG52" i="12"/>
  <c r="BI101" i="7"/>
  <c r="BF139" i="12"/>
  <c r="BF116" i="12"/>
  <c r="BF100" i="12"/>
  <c r="BI98" i="8"/>
  <c r="BG101" i="12" l="1"/>
  <c r="BG140" i="12"/>
  <c r="BK169" i="12"/>
  <c r="K253" i="12" s="1"/>
  <c r="AV253" i="12" s="1"/>
  <c r="BK171" i="12"/>
  <c r="K255" i="12" s="1"/>
  <c r="BK170" i="12"/>
  <c r="K254" i="12" s="1"/>
  <c r="BK52" i="12"/>
  <c r="K233" i="12" s="1"/>
  <c r="N233" i="12" s="1"/>
  <c r="P233" i="12" s="1"/>
  <c r="AU233" i="12" s="1"/>
  <c r="BI52" i="12"/>
  <c r="BI169" i="12"/>
  <c r="BG100" i="14"/>
  <c r="BG116" i="12"/>
  <c r="BG100" i="12"/>
  <c r="BG139" i="12"/>
  <c r="BI100" i="12" l="1"/>
  <c r="EC18" i="22" s="1"/>
  <c r="AT253" i="12"/>
  <c r="BC253" i="12"/>
  <c r="BD253" i="12"/>
  <c r="BE253" i="12"/>
  <c r="AM253" i="12"/>
  <c r="AH253" i="12"/>
  <c r="AL253" i="12"/>
  <c r="AZ253" i="12"/>
  <c r="AY253" i="12"/>
  <c r="AC253" i="12"/>
  <c r="AU253" i="12"/>
  <c r="AP253" i="12"/>
  <c r="AS253" i="12"/>
  <c r="AQ253" i="12"/>
  <c r="Z253" i="12"/>
  <c r="AW253" i="12"/>
  <c r="AW112" i="14" s="1"/>
  <c r="BF253" i="12"/>
  <c r="AA253" i="12"/>
  <c r="AO253" i="12"/>
  <c r="AD253" i="12"/>
  <c r="AG253" i="12"/>
  <c r="X253" i="12"/>
  <c r="BG253" i="12"/>
  <c r="AE253" i="12"/>
  <c r="AE112" i="14" s="1"/>
  <c r="Y253" i="12"/>
  <c r="AX253" i="12"/>
  <c r="AK253" i="12"/>
  <c r="V253" i="12"/>
  <c r="AN253" i="12"/>
  <c r="AR253" i="12"/>
  <c r="AB253" i="12"/>
  <c r="U253" i="12"/>
  <c r="U112" i="14" s="1"/>
  <c r="T253" i="12"/>
  <c r="AI253" i="12"/>
  <c r="BA253" i="12"/>
  <c r="AF253" i="12"/>
  <c r="AJ253" i="12"/>
  <c r="BB253" i="12"/>
  <c r="W253" i="12"/>
  <c r="AC88" i="38"/>
  <c r="EH18" i="22"/>
  <c r="EA18" i="22"/>
  <c r="U255" i="12"/>
  <c r="AC255" i="12"/>
  <c r="AK255" i="12"/>
  <c r="AS255" i="12"/>
  <c r="BA255" i="12"/>
  <c r="V255" i="12"/>
  <c r="AD255" i="12"/>
  <c r="AL255" i="12"/>
  <c r="AT255" i="12"/>
  <c r="BB255" i="12"/>
  <c r="Y255" i="12"/>
  <c r="AI255" i="12"/>
  <c r="AU255" i="12"/>
  <c r="BE255" i="12"/>
  <c r="Z255" i="12"/>
  <c r="AJ255" i="12"/>
  <c r="AV255" i="12"/>
  <c r="AV112" i="14" s="1"/>
  <c r="BF255" i="12"/>
  <c r="AA255" i="12"/>
  <c r="AM255" i="12"/>
  <c r="AW255" i="12"/>
  <c r="BG255" i="12"/>
  <c r="AB255" i="12"/>
  <c r="AN255" i="12"/>
  <c r="AX255" i="12"/>
  <c r="AE255" i="12"/>
  <c r="AO255" i="12"/>
  <c r="AY255" i="12"/>
  <c r="T255" i="12"/>
  <c r="AF255" i="12"/>
  <c r="AP255" i="12"/>
  <c r="AZ255" i="12"/>
  <c r="W255" i="12"/>
  <c r="AG255" i="12"/>
  <c r="AQ255" i="12"/>
  <c r="BC255" i="12"/>
  <c r="AR255" i="12"/>
  <c r="X255" i="12"/>
  <c r="AH255" i="12"/>
  <c r="BD255" i="12"/>
  <c r="AL254" i="12"/>
  <c r="AN254" i="12"/>
  <c r="AC254" i="12"/>
  <c r="BB254" i="12"/>
  <c r="BG254" i="12"/>
  <c r="AH254" i="12"/>
  <c r="AI254" i="12"/>
  <c r="AR254" i="12"/>
  <c r="Z254" i="12"/>
  <c r="AQ254" i="12"/>
  <c r="AU254" i="12"/>
  <c r="AG254" i="12"/>
  <c r="BD254" i="12"/>
  <c r="U254" i="12"/>
  <c r="BC254" i="12"/>
  <c r="AV254" i="12"/>
  <c r="AD254" i="12"/>
  <c r="V254" i="12"/>
  <c r="BF254" i="12"/>
  <c r="AK254" i="12"/>
  <c r="Y254" i="12"/>
  <c r="BE254" i="12"/>
  <c r="AS254" i="12"/>
  <c r="AT254" i="12"/>
  <c r="AM254" i="12"/>
  <c r="W254" i="12"/>
  <c r="AB254" i="12"/>
  <c r="AO254" i="12"/>
  <c r="BA254" i="12"/>
  <c r="T254" i="12"/>
  <c r="AZ254" i="12"/>
  <c r="AE254" i="12"/>
  <c r="AJ254" i="12"/>
  <c r="X254" i="12"/>
  <c r="AP254" i="12"/>
  <c r="AY254" i="12"/>
  <c r="AX254" i="12"/>
  <c r="AF254" i="12"/>
  <c r="AW254" i="12"/>
  <c r="AA254" i="12"/>
  <c r="DD18" i="22"/>
  <c r="AD8" i="19" s="1"/>
  <c r="CN83" i="28" s="1"/>
  <c r="EH20" i="22"/>
  <c r="DD20" i="22"/>
  <c r="EH19" i="22"/>
  <c r="DD19" i="22"/>
  <c r="AF233" i="12"/>
  <c r="BB233" i="12"/>
  <c r="AC233" i="12"/>
  <c r="U233" i="12"/>
  <c r="BG233" i="12"/>
  <c r="BE233" i="12"/>
  <c r="Z233" i="12"/>
  <c r="AE233" i="12"/>
  <c r="AB233" i="12"/>
  <c r="X233" i="12"/>
  <c r="AA233" i="12"/>
  <c r="AP233" i="12"/>
  <c r="AD233" i="12"/>
  <c r="V233" i="12"/>
  <c r="W233" i="12"/>
  <c r="AL233" i="12"/>
  <c r="AX233" i="12"/>
  <c r="AR233" i="12"/>
  <c r="AZ233" i="12"/>
  <c r="AY233" i="12"/>
  <c r="GA13" i="5"/>
  <c r="BD233" i="12"/>
  <c r="Y233" i="12"/>
  <c r="AQ233" i="12"/>
  <c r="T233" i="12"/>
  <c r="AH233" i="12"/>
  <c r="BF233" i="12"/>
  <c r="AI233" i="12"/>
  <c r="AM233" i="12"/>
  <c r="AO233" i="12"/>
  <c r="AS233" i="12"/>
  <c r="AT233" i="12"/>
  <c r="AV233" i="12"/>
  <c r="AK233" i="12"/>
  <c r="BA233" i="12"/>
  <c r="AJ233" i="12"/>
  <c r="AG233" i="12"/>
  <c r="AN233" i="12"/>
  <c r="BC233" i="12"/>
  <c r="AW233" i="12"/>
  <c r="BI139" i="12"/>
  <c r="BI116" i="12"/>
  <c r="BI100" i="14"/>
  <c r="BV100" i="14"/>
  <c r="AZ112" i="14" l="1"/>
  <c r="BB112" i="14"/>
  <c r="AR112" i="14"/>
  <c r="X112" i="14"/>
  <c r="AQ112" i="14"/>
  <c r="AH112" i="14"/>
  <c r="AJ112" i="14"/>
  <c r="AN112" i="14"/>
  <c r="AG112" i="14"/>
  <c r="AS112" i="14"/>
  <c r="AM112" i="14"/>
  <c r="AF112" i="14"/>
  <c r="V112" i="14"/>
  <c r="AD112" i="14"/>
  <c r="AP112" i="14"/>
  <c r="BE112" i="14"/>
  <c r="BA112" i="14"/>
  <c r="AK112" i="14"/>
  <c r="AO112" i="14"/>
  <c r="AU112" i="14"/>
  <c r="BD112" i="14"/>
  <c r="AI112" i="14"/>
  <c r="AX112" i="14"/>
  <c r="AA112" i="14"/>
  <c r="BN112" i="14" s="1"/>
  <c r="AC112" i="14"/>
  <c r="BC112" i="14"/>
  <c r="BU112" i="14" s="1"/>
  <c r="T112" i="14"/>
  <c r="Y112" i="14"/>
  <c r="BF112" i="14"/>
  <c r="AY112" i="14"/>
  <c r="AT112" i="14"/>
  <c r="W112" i="14"/>
  <c r="BM112" i="14" s="1"/>
  <c r="AB112" i="14"/>
  <c r="BO112" i="14" s="1"/>
  <c r="BG112" i="14"/>
  <c r="Z112" i="14"/>
  <c r="AL112" i="14"/>
  <c r="BP112" i="14"/>
  <c r="BT112" i="14"/>
  <c r="BI253" i="12"/>
  <c r="BI255" i="12"/>
  <c r="DE20" i="22" s="1"/>
  <c r="AC97" i="38"/>
  <c r="AC105" i="38"/>
  <c r="AC41" i="38"/>
  <c r="AC36" i="38"/>
  <c r="AC45" i="38"/>
  <c r="AC31" i="38"/>
  <c r="AC44" i="38"/>
  <c r="AC91" i="38"/>
  <c r="AC50" i="38"/>
  <c r="AC30" i="38"/>
  <c r="AC78" i="38"/>
  <c r="AC76" i="38"/>
  <c r="AC80" i="38"/>
  <c r="AC29" i="38"/>
  <c r="AC95" i="38"/>
  <c r="AC94" i="38"/>
  <c r="AC57" i="38"/>
  <c r="AC32" i="38"/>
  <c r="AC47" i="38"/>
  <c r="AC79" i="38"/>
  <c r="AD9" i="19"/>
  <c r="CN85" i="28" s="1"/>
  <c r="AC62" i="38"/>
  <c r="AC86" i="38"/>
  <c r="AC101" i="38"/>
  <c r="AC100" i="38"/>
  <c r="AC58" i="38"/>
  <c r="AC35" i="38"/>
  <c r="AC93" i="38"/>
  <c r="AC89" i="38"/>
  <c r="AC40" i="38"/>
  <c r="AC33" i="38"/>
  <c r="AC98" i="38"/>
  <c r="AC46" i="38"/>
  <c r="AC38" i="38"/>
  <c r="AC54" i="38"/>
  <c r="AC74" i="38"/>
  <c r="AC104" i="38"/>
  <c r="AC99" i="38"/>
  <c r="AC60" i="38"/>
  <c r="AC103" i="38"/>
  <c r="AC34" i="38"/>
  <c r="AC64" i="38"/>
  <c r="AC51" i="38"/>
  <c r="AC63" i="38"/>
  <c r="AC56" i="38"/>
  <c r="AC49" i="38"/>
  <c r="AD88" i="38"/>
  <c r="AE88" i="38"/>
  <c r="AC37" i="38"/>
  <c r="AC87" i="38"/>
  <c r="BI254" i="12"/>
  <c r="DE19" i="22" s="1"/>
  <c r="AC77" i="38"/>
  <c r="AC82" i="38"/>
  <c r="AC48" i="38"/>
  <c r="AC61" i="38"/>
  <c r="AC96" i="38"/>
  <c r="AC52" i="38"/>
  <c r="AC92" i="38"/>
  <c r="AC102" i="38"/>
  <c r="AC90" i="38"/>
  <c r="AC83" i="38"/>
  <c r="AC85" i="38"/>
  <c r="AC55" i="38"/>
  <c r="AC81" i="38"/>
  <c r="AD10" i="19"/>
  <c r="CN82" i="28" s="1"/>
  <c r="AC27" i="38"/>
  <c r="AC43" i="38"/>
  <c r="AC84" i="38"/>
  <c r="AC28" i="38"/>
  <c r="AC75" i="38"/>
  <c r="AC39" i="38"/>
  <c r="AC53" i="38"/>
  <c r="EF18" i="22"/>
  <c r="AH8" i="19"/>
  <c r="AL8" i="19" s="1"/>
  <c r="GC13" i="5"/>
  <c r="GN13" i="5"/>
  <c r="AC8" i="38"/>
  <c r="AD8" i="38" s="1"/>
  <c r="BI233" i="12"/>
  <c r="EO18" i="22" s="1"/>
  <c r="EQ18" i="22"/>
  <c r="DE18" i="22"/>
  <c r="AN8" i="19" s="1"/>
  <c r="BX100" i="14"/>
  <c r="BV112" i="14" l="1"/>
  <c r="BR112" i="14"/>
  <c r="BI112" i="14"/>
  <c r="BQ112" i="14"/>
  <c r="BX112" i="14" s="1"/>
  <c r="BS112" i="14"/>
  <c r="CN86" i="28"/>
  <c r="EQ19" i="22"/>
  <c r="AI8" i="19"/>
  <c r="DJ18" i="22"/>
  <c r="EQ20" i="22"/>
  <c r="AE8" i="38"/>
  <c r="AD82" i="38"/>
  <c r="AE82" i="38"/>
  <c r="AD51" i="38"/>
  <c r="AE51" i="38"/>
  <c r="AD103" i="38"/>
  <c r="AE103" i="38"/>
  <c r="AD101" i="38"/>
  <c r="AE101" i="38"/>
  <c r="AE75" i="38"/>
  <c r="AD75" i="38"/>
  <c r="AD83" i="38"/>
  <c r="AE83" i="38"/>
  <c r="AD38" i="38"/>
  <c r="AE38" i="38"/>
  <c r="AD33" i="38"/>
  <c r="AE33" i="38"/>
  <c r="AE93" i="38"/>
  <c r="AD93" i="38"/>
  <c r="AD78" i="38"/>
  <c r="AE78" i="38"/>
  <c r="AD91" i="38"/>
  <c r="AE91" i="38"/>
  <c r="AE43" i="38"/>
  <c r="AD43" i="38"/>
  <c r="AD102" i="38"/>
  <c r="AE102" i="38"/>
  <c r="AD92" i="38"/>
  <c r="AE92" i="38"/>
  <c r="AD37" i="38"/>
  <c r="AE37" i="38"/>
  <c r="AD63" i="38"/>
  <c r="AE63" i="38"/>
  <c r="AD46" i="38"/>
  <c r="AE46" i="38"/>
  <c r="AD44" i="38"/>
  <c r="AE44" i="38"/>
  <c r="AD45" i="38"/>
  <c r="AE45" i="38"/>
  <c r="AD39" i="38"/>
  <c r="AE39" i="38"/>
  <c r="AD85" i="38"/>
  <c r="AE85" i="38"/>
  <c r="AD48" i="38"/>
  <c r="AE48" i="38"/>
  <c r="AD99" i="38"/>
  <c r="AE99" i="38"/>
  <c r="AD98" i="38"/>
  <c r="AE98" i="38"/>
  <c r="AE58" i="38"/>
  <c r="AD58" i="38"/>
  <c r="AE100" i="38"/>
  <c r="AD100" i="38"/>
  <c r="AE94" i="38"/>
  <c r="AD94" i="38"/>
  <c r="AD29" i="38"/>
  <c r="AE29" i="38"/>
  <c r="AD30" i="38"/>
  <c r="AE30" i="38"/>
  <c r="AD50" i="38"/>
  <c r="AE50" i="38"/>
  <c r="AE84" i="38"/>
  <c r="AD84" i="38"/>
  <c r="AD96" i="38"/>
  <c r="AE96" i="38"/>
  <c r="AD61" i="38"/>
  <c r="AE61" i="38"/>
  <c r="AE49" i="38"/>
  <c r="AD49" i="38"/>
  <c r="AD56" i="38"/>
  <c r="AE56" i="38"/>
  <c r="AD34" i="38"/>
  <c r="AE34" i="38"/>
  <c r="AE54" i="38"/>
  <c r="AD54" i="38"/>
  <c r="AD47" i="38"/>
  <c r="AE47" i="38"/>
  <c r="AE31" i="38"/>
  <c r="AD31" i="38"/>
  <c r="AE41" i="38"/>
  <c r="AD41" i="38"/>
  <c r="AD105" i="38"/>
  <c r="AE105" i="38"/>
  <c r="AD27" i="38"/>
  <c r="AE27" i="38"/>
  <c r="AE81" i="38"/>
  <c r="AD81" i="38"/>
  <c r="AE55" i="38"/>
  <c r="AD55" i="38"/>
  <c r="AD89" i="38"/>
  <c r="AE89" i="38"/>
  <c r="AD35" i="38"/>
  <c r="AE35" i="38"/>
  <c r="AE62" i="38"/>
  <c r="AD62" i="38"/>
  <c r="AE57" i="38"/>
  <c r="AD57" i="38"/>
  <c r="AD95" i="38"/>
  <c r="AE95" i="38"/>
  <c r="AE76" i="38"/>
  <c r="AD76" i="38"/>
  <c r="DP20" i="22"/>
  <c r="AN10" i="19"/>
  <c r="AE53" i="38"/>
  <c r="AD53" i="38"/>
  <c r="AE28" i="38"/>
  <c r="AD28" i="38"/>
  <c r="AE77" i="38"/>
  <c r="AD77" i="38"/>
  <c r="AE87" i="38"/>
  <c r="AD87" i="38"/>
  <c r="AD40" i="38"/>
  <c r="AE40" i="38"/>
  <c r="AD80" i="38"/>
  <c r="AE80" i="38"/>
  <c r="AD97" i="38"/>
  <c r="AE97" i="38"/>
  <c r="DP19" i="22"/>
  <c r="AN9" i="19"/>
  <c r="AD90" i="38"/>
  <c r="AE90" i="38"/>
  <c r="AD52" i="38"/>
  <c r="AE52" i="38"/>
  <c r="AD64" i="38"/>
  <c r="AE64" i="38"/>
  <c r="AD60" i="38"/>
  <c r="AE60" i="38"/>
  <c r="AE104" i="38"/>
  <c r="AD104" i="38"/>
  <c r="AE74" i="38"/>
  <c r="AD74" i="38"/>
  <c r="AD86" i="38"/>
  <c r="AE86" i="38"/>
  <c r="AD79" i="38"/>
  <c r="AE79" i="38"/>
  <c r="AD32" i="38"/>
  <c r="AE32" i="38"/>
  <c r="AD36" i="38"/>
  <c r="AE36" i="38"/>
  <c r="F40" i="45"/>
  <c r="AF40" i="45" s="1"/>
  <c r="F28" i="45"/>
  <c r="AF28" i="45" s="1"/>
  <c r="F50" i="45"/>
  <c r="AF50" i="45" s="1"/>
  <c r="F51" i="45"/>
  <c r="AF51" i="45" s="1"/>
  <c r="F74" i="45"/>
  <c r="AF74" i="45" s="1"/>
  <c r="F75" i="45"/>
  <c r="AF75" i="45" s="1"/>
  <c r="F76" i="45"/>
  <c r="AF76" i="45" s="1"/>
  <c r="F78" i="45"/>
  <c r="AF78" i="45" s="1"/>
  <c r="F80" i="45"/>
  <c r="AF80" i="45" s="1"/>
  <c r="F83" i="45"/>
  <c r="AF83" i="45" s="1"/>
  <c r="F86" i="45"/>
  <c r="AF86" i="45" s="1"/>
  <c r="F88" i="45"/>
  <c r="AF88" i="45" s="1"/>
  <c r="F89" i="45"/>
  <c r="AF89" i="45" s="1"/>
  <c r="F91" i="45"/>
  <c r="AF91" i="45" s="1"/>
  <c r="F92" i="45"/>
  <c r="AF92" i="45" s="1"/>
  <c r="F93" i="45"/>
  <c r="AF93" i="45" s="1"/>
  <c r="F95" i="45"/>
  <c r="AF95" i="45" s="1"/>
  <c r="F94" i="45"/>
  <c r="AF94" i="45" s="1"/>
  <c r="F97" i="45"/>
  <c r="AF97" i="45" s="1"/>
  <c r="F98" i="45"/>
  <c r="AF98" i="45" s="1"/>
  <c r="F99" i="45"/>
  <c r="AF99" i="45" s="1"/>
  <c r="F101" i="45"/>
  <c r="AF101" i="45" s="1"/>
  <c r="F102" i="45"/>
  <c r="AF102" i="45" s="1"/>
  <c r="F103" i="45"/>
  <c r="AF103" i="45" s="1"/>
  <c r="F104" i="45"/>
  <c r="AF104" i="45" s="1"/>
  <c r="F105" i="45"/>
  <c r="AF105" i="45" s="1"/>
  <c r="F60" i="45"/>
  <c r="AF60" i="45" s="1"/>
  <c r="F37" i="45"/>
  <c r="AF37" i="45" s="1"/>
  <c r="F38" i="45"/>
  <c r="AF38" i="45" s="1"/>
  <c r="F53" i="45"/>
  <c r="AF53" i="45" s="1"/>
  <c r="F56" i="45"/>
  <c r="AF56" i="45" s="1"/>
  <c r="F30" i="45"/>
  <c r="AF30" i="45" s="1"/>
  <c r="F36" i="45"/>
  <c r="AF36" i="45" s="1"/>
  <c r="F49" i="45"/>
  <c r="AF49" i="45" s="1"/>
  <c r="F39" i="45"/>
  <c r="AF39" i="45" s="1"/>
  <c r="F57" i="45"/>
  <c r="AF57" i="45" s="1"/>
  <c r="F47" i="45"/>
  <c r="AF47" i="45" s="1"/>
  <c r="F44" i="45"/>
  <c r="AF44" i="45" s="1"/>
  <c r="F46" i="45"/>
  <c r="AF46" i="45" s="1"/>
  <c r="F34" i="45"/>
  <c r="AF34" i="45" s="1"/>
  <c r="F31" i="45"/>
  <c r="AF31" i="45" s="1"/>
  <c r="F54" i="45"/>
  <c r="AF54" i="45" s="1"/>
  <c r="F29" i="45"/>
  <c r="AF29" i="45" s="1"/>
  <c r="F64" i="45"/>
  <c r="AF64" i="45" s="1"/>
  <c r="F43" i="45"/>
  <c r="AF43" i="45" s="1"/>
  <c r="F32" i="45"/>
  <c r="AF32" i="45" s="1"/>
  <c r="F61" i="45"/>
  <c r="AF61" i="45" s="1"/>
  <c r="F41" i="45"/>
  <c r="AF41" i="45" s="1"/>
  <c r="F35" i="45"/>
  <c r="AF35" i="45" s="1"/>
  <c r="F63" i="45"/>
  <c r="AF63" i="45" s="1"/>
  <c r="F52" i="45"/>
  <c r="AF52" i="45" s="1"/>
  <c r="F33" i="45"/>
  <c r="AF33" i="45" s="1"/>
  <c r="F62" i="45"/>
  <c r="AF62" i="45" s="1"/>
  <c r="F45" i="45"/>
  <c r="AF45" i="45" s="1"/>
  <c r="F58" i="45"/>
  <c r="AF58" i="45" s="1"/>
  <c r="F55" i="45"/>
  <c r="AF55" i="45" s="1"/>
  <c r="F48" i="45"/>
  <c r="AF48" i="45" s="1"/>
  <c r="F27" i="45"/>
  <c r="AF27" i="45" s="1"/>
  <c r="F42" i="45"/>
  <c r="AF42" i="45" s="1"/>
  <c r="F77" i="45"/>
  <c r="AF77" i="45" s="1"/>
  <c r="F79" i="45"/>
  <c r="AF79" i="45" s="1"/>
  <c r="F81" i="45"/>
  <c r="AF81" i="45" s="1"/>
  <c r="F82" i="45"/>
  <c r="AF82" i="45" s="1"/>
  <c r="F84" i="45"/>
  <c r="AF84" i="45" s="1"/>
  <c r="F85" i="45"/>
  <c r="AF85" i="45" s="1"/>
  <c r="F87" i="45"/>
  <c r="AF87" i="45" s="1"/>
  <c r="F90" i="45"/>
  <c r="AF90" i="45" s="1"/>
  <c r="F96" i="45"/>
  <c r="AF96" i="45" s="1"/>
  <c r="F100" i="45"/>
  <c r="AF100" i="45" s="1"/>
  <c r="DP18" i="22"/>
  <c r="F8" i="45" l="1"/>
  <c r="AF8" i="45" s="1"/>
  <c r="BX83" i="28"/>
  <c r="BY83" i="28" s="1"/>
  <c r="DL18" i="22"/>
  <c r="G15" i="42"/>
  <c r="G12" i="42"/>
  <c r="G13" i="42"/>
  <c r="G11" i="42"/>
  <c r="G14" i="42"/>
  <c r="G10" i="42"/>
  <c r="G16" i="42" l="1"/>
  <c r="Z100" i="17" l="1"/>
  <c r="AG100" i="17" s="1"/>
  <c r="AE100" i="17"/>
  <c r="AL100" i="17" s="1"/>
  <c r="AA100" i="17"/>
  <c r="AH100" i="17" s="1"/>
  <c r="AB100" i="17"/>
  <c r="AI100" i="17" s="1"/>
  <c r="AF100" i="17"/>
  <c r="AM100" i="17" s="1"/>
  <c r="AD100" i="17"/>
  <c r="AK100" i="17" s="1"/>
  <c r="AJ100" i="17"/>
  <c r="T283" i="12" l="1"/>
  <c r="T368" i="12"/>
  <c r="T114" i="16" s="1"/>
  <c r="T381" i="12"/>
  <c r="T136" i="16" s="1"/>
  <c r="T358" i="12"/>
  <c r="T26" i="16" l="1"/>
  <c r="T20" i="16" s="1"/>
  <c r="T224" i="16" s="1"/>
  <c r="T105" i="16"/>
  <c r="T392" i="16"/>
  <c r="U381" i="12"/>
  <c r="U136" i="16" s="1"/>
  <c r="U392" i="16" s="1"/>
  <c r="U368" i="12"/>
  <c r="U114" i="16" s="1"/>
  <c r="U376" i="16" s="1"/>
  <c r="U358" i="12"/>
  <c r="U283" i="12"/>
  <c r="T376" i="16"/>
  <c r="BM26" i="16" l="1"/>
  <c r="F9" i="18" s="1"/>
  <c r="F9" i="37"/>
  <c r="V381" i="12"/>
  <c r="V136" i="16" s="1"/>
  <c r="V392" i="16" s="1"/>
  <c r="V283" i="12"/>
  <c r="V368" i="12"/>
  <c r="V114" i="16" s="1"/>
  <c r="V376" i="16" s="1"/>
  <c r="V358" i="12"/>
  <c r="H17" i="47"/>
  <c r="T125" i="16"/>
  <c r="U26" i="16"/>
  <c r="T284" i="12"/>
  <c r="U105" i="16"/>
  <c r="T27" i="16" l="1"/>
  <c r="T21" i="16" s="1"/>
  <c r="W381" i="12"/>
  <c r="W136" i="16" s="1"/>
  <c r="BM136" i="16" s="1"/>
  <c r="W283" i="12"/>
  <c r="W368" i="12"/>
  <c r="W114" i="16" s="1"/>
  <c r="W376" i="16" s="1"/>
  <c r="W358" i="12"/>
  <c r="T382" i="16"/>
  <c r="F27" i="37"/>
  <c r="V105" i="16"/>
  <c r="U20" i="16"/>
  <c r="G9" i="37"/>
  <c r="V26" i="16"/>
  <c r="U284" i="12"/>
  <c r="T28" i="16" l="1"/>
  <c r="F10" i="37"/>
  <c r="U27" i="16"/>
  <c r="U28" i="16" s="1"/>
  <c r="BM114" i="16"/>
  <c r="V20" i="16"/>
  <c r="H9" i="37"/>
  <c r="W105" i="16"/>
  <c r="W26" i="16"/>
  <c r="V284" i="12"/>
  <c r="X381" i="12"/>
  <c r="X136" i="16" s="1"/>
  <c r="X368" i="12"/>
  <c r="X114" i="16" s="1"/>
  <c r="X283" i="12"/>
  <c r="X358" i="12"/>
  <c r="W392" i="16"/>
  <c r="U125" i="16"/>
  <c r="G10" i="37" l="1"/>
  <c r="U21" i="16"/>
  <c r="V27" i="16"/>
  <c r="V21" i="16" s="1"/>
  <c r="BM105" i="16"/>
  <c r="X392" i="16"/>
  <c r="V125" i="16"/>
  <c r="G27" i="37"/>
  <c r="U382" i="16"/>
  <c r="I9" i="37"/>
  <c r="W20" i="16"/>
  <c r="Y381" i="12"/>
  <c r="Y136" i="16" s="1"/>
  <c r="Y392" i="16" s="1"/>
  <c r="Y283" i="12"/>
  <c r="Y368" i="12"/>
  <c r="Y114" i="16" s="1"/>
  <c r="Y376" i="16" s="1"/>
  <c r="Y358" i="12"/>
  <c r="X105" i="16"/>
  <c r="X26" i="16"/>
  <c r="W284" i="12"/>
  <c r="X376" i="16"/>
  <c r="V28" i="16" l="1"/>
  <c r="H10" i="37"/>
  <c r="W27" i="16"/>
  <c r="W21" i="16" s="1"/>
  <c r="Z381" i="12"/>
  <c r="Z136" i="16" s="1"/>
  <c r="Z392" i="16" s="1"/>
  <c r="Z283" i="12"/>
  <c r="Z368" i="12"/>
  <c r="Z114" i="16" s="1"/>
  <c r="Z358" i="12"/>
  <c r="X20" i="16"/>
  <c r="J9" i="37"/>
  <c r="BN26" i="16"/>
  <c r="G9" i="18" s="1"/>
  <c r="W125" i="16"/>
  <c r="Y105" i="16"/>
  <c r="H27" i="37"/>
  <c r="V382" i="16"/>
  <c r="Y26" i="16"/>
  <c r="X284" i="12"/>
  <c r="W28" i="16" l="1"/>
  <c r="BM27" i="16"/>
  <c r="F10" i="18" s="1"/>
  <c r="I10" i="37"/>
  <c r="X27" i="16"/>
  <c r="X21" i="16" s="1"/>
  <c r="BM21" i="16"/>
  <c r="AA381" i="12"/>
  <c r="AA136" i="16" s="1"/>
  <c r="AA283" i="12"/>
  <c r="AA368" i="12"/>
  <c r="AA114" i="16" s="1"/>
  <c r="AA376" i="16" s="1"/>
  <c r="AA358" i="12"/>
  <c r="I27" i="37"/>
  <c r="W382" i="16"/>
  <c r="BM125" i="16"/>
  <c r="Y20" i="16"/>
  <c r="K9" i="37"/>
  <c r="Z105" i="16"/>
  <c r="X125" i="16"/>
  <c r="Z376" i="16"/>
  <c r="Z26" i="16"/>
  <c r="Y284" i="12"/>
  <c r="X28" i="16" l="1"/>
  <c r="J10" i="37"/>
  <c r="Y27" i="16"/>
  <c r="Y21" i="16" s="1"/>
  <c r="BN114" i="16"/>
  <c r="F27" i="18"/>
  <c r="AA105" i="16"/>
  <c r="L9" i="37"/>
  <c r="Z20" i="16"/>
  <c r="AA26" i="16"/>
  <c r="Z284" i="12"/>
  <c r="AA392" i="16"/>
  <c r="BN136" i="16"/>
  <c r="Y125" i="16"/>
  <c r="AB381" i="12"/>
  <c r="AB136" i="16" s="1"/>
  <c r="AB283" i="12"/>
  <c r="AB368" i="12"/>
  <c r="AB114" i="16" s="1"/>
  <c r="AB358" i="12"/>
  <c r="J27" i="37"/>
  <c r="X382" i="16"/>
  <c r="BN105" i="16" l="1"/>
  <c r="K10" i="37"/>
  <c r="Y28" i="16"/>
  <c r="Z27" i="16"/>
  <c r="L10" i="37" s="1"/>
  <c r="AB105" i="16"/>
  <c r="Z125" i="16"/>
  <c r="AB376" i="16"/>
  <c r="AB26" i="16"/>
  <c r="AA284" i="12"/>
  <c r="AB392" i="16"/>
  <c r="AA20" i="16"/>
  <c r="M9" i="37"/>
  <c r="AC381" i="12"/>
  <c r="AC136" i="16" s="1"/>
  <c r="AC392" i="16" s="1"/>
  <c r="AC368" i="12"/>
  <c r="AC114" i="16" s="1"/>
  <c r="AC376" i="16" s="1"/>
  <c r="AC283" i="12"/>
  <c r="AC358" i="12"/>
  <c r="K27" i="37"/>
  <c r="Y382" i="16"/>
  <c r="Z21" i="16" l="1"/>
  <c r="Z28" i="16"/>
  <c r="AA27" i="16"/>
  <c r="AA28" i="16" s="1"/>
  <c r="AB20" i="16"/>
  <c r="BO26" i="16"/>
  <c r="H9" i="18" s="1"/>
  <c r="AC105" i="16"/>
  <c r="AC26" i="16"/>
  <c r="AB284" i="12"/>
  <c r="AA125" i="16"/>
  <c r="BN125" i="16" s="1"/>
  <c r="L27" i="37"/>
  <c r="C4" i="44" s="1"/>
  <c r="Z382" i="16"/>
  <c r="AD381" i="12"/>
  <c r="AD136" i="16" s="1"/>
  <c r="AD392" i="16" s="1"/>
  <c r="AD283" i="12"/>
  <c r="AD368" i="12"/>
  <c r="AD114" i="16" s="1"/>
  <c r="AD376" i="16" s="1"/>
  <c r="AD358" i="12"/>
  <c r="BN27" i="16" l="1"/>
  <c r="G10" i="18" s="1"/>
  <c r="AA21" i="16"/>
  <c r="BN21" i="16" s="1"/>
  <c r="M10" i="37"/>
  <c r="AB27" i="16"/>
  <c r="AB21" i="16" s="1"/>
  <c r="AD26" i="16"/>
  <c r="AC284" i="12"/>
  <c r="G27" i="18"/>
  <c r="AE381" i="12"/>
  <c r="AE136" i="16" s="1"/>
  <c r="AE392" i="16" s="1"/>
  <c r="AE368" i="12"/>
  <c r="AE114" i="16" s="1"/>
  <c r="AE376" i="16" s="1"/>
  <c r="AE283" i="12"/>
  <c r="AE358" i="12"/>
  <c r="M27" i="37"/>
  <c r="N27" i="37" s="1"/>
  <c r="AA382" i="16"/>
  <c r="AB125" i="16"/>
  <c r="AC20" i="16"/>
  <c r="AD105" i="16"/>
  <c r="AB28" i="16" l="1"/>
  <c r="BO114" i="16"/>
  <c r="AC27" i="16"/>
  <c r="AF381" i="12"/>
  <c r="AF136" i="16" s="1"/>
  <c r="AF283" i="12"/>
  <c r="AF368" i="12"/>
  <c r="AF114" i="16" s="1"/>
  <c r="AF358" i="12"/>
  <c r="AE26" i="16"/>
  <c r="AD284" i="12"/>
  <c r="AB382" i="16"/>
  <c r="AC125" i="16"/>
  <c r="AC382" i="16" s="1"/>
  <c r="BO136" i="16"/>
  <c r="AE105" i="16"/>
  <c r="AD20" i="16"/>
  <c r="AD27" i="16" l="1"/>
  <c r="AD21" i="16" s="1"/>
  <c r="AC21" i="16"/>
  <c r="AC28" i="16"/>
  <c r="BO105" i="16"/>
  <c r="AD125" i="16"/>
  <c r="AD382" i="16" s="1"/>
  <c r="AG381" i="12"/>
  <c r="AG136" i="16" s="1"/>
  <c r="AG392" i="16" s="1"/>
  <c r="AG283" i="12"/>
  <c r="AG368" i="12"/>
  <c r="AG114" i="16" s="1"/>
  <c r="AG376" i="16" s="1"/>
  <c r="AG358" i="12"/>
  <c r="AE20" i="16"/>
  <c r="AF105" i="16"/>
  <c r="AF376" i="16"/>
  <c r="AF26" i="16"/>
  <c r="AE284" i="12"/>
  <c r="AF392" i="16"/>
  <c r="AD28" i="16" l="1"/>
  <c r="AE27" i="16"/>
  <c r="AE21" i="16" s="1"/>
  <c r="AH381" i="12"/>
  <c r="AH136" i="16" s="1"/>
  <c r="AH392" i="16" s="1"/>
  <c r="AH283" i="12"/>
  <c r="AH368" i="12"/>
  <c r="AH114" i="16" s="1"/>
  <c r="AH376" i="16" s="1"/>
  <c r="AE125" i="16"/>
  <c r="AG105" i="16"/>
  <c r="BP105" i="16" s="1"/>
  <c r="BX105" i="16" s="1"/>
  <c r="AG26" i="16"/>
  <c r="AF284" i="12"/>
  <c r="AF20" i="16"/>
  <c r="BP26" i="16"/>
  <c r="I9" i="18" s="1"/>
  <c r="AE28" i="16" l="1"/>
  <c r="BO27" i="16"/>
  <c r="H10" i="18" s="1"/>
  <c r="AF27" i="16"/>
  <c r="AF21" i="16" s="1"/>
  <c r="AF125" i="16"/>
  <c r="BI105" i="16"/>
  <c r="O453" i="16" s="1"/>
  <c r="AI381" i="12"/>
  <c r="AI136" i="16" s="1"/>
  <c r="AI368" i="12"/>
  <c r="AI114" i="16" s="1"/>
  <c r="AI376" i="16" s="1"/>
  <c r="AI283" i="12"/>
  <c r="BO21" i="16"/>
  <c r="AE382" i="16"/>
  <c r="BO125" i="16"/>
  <c r="AG20" i="16"/>
  <c r="AH26" i="16"/>
  <c r="AG284" i="12"/>
  <c r="AF28" i="16" l="1"/>
  <c r="BP114" i="16"/>
  <c r="AG27" i="16"/>
  <c r="AG125" i="16"/>
  <c r="AG382" i="16" s="1"/>
  <c r="AI26" i="16"/>
  <c r="AH284" i="12"/>
  <c r="H27" i="18"/>
  <c r="AI392" i="16"/>
  <c r="BP136" i="16"/>
  <c r="AJ381" i="12"/>
  <c r="AJ136" i="16" s="1"/>
  <c r="AJ283" i="12"/>
  <c r="AJ368" i="12"/>
  <c r="AJ114" i="16" s="1"/>
  <c r="AH20" i="16"/>
  <c r="AF382" i="16"/>
  <c r="AH27" i="16" l="1"/>
  <c r="AG21" i="16"/>
  <c r="AG28" i="16"/>
  <c r="AK381" i="12"/>
  <c r="AK136" i="16" s="1"/>
  <c r="AK392" i="16" s="1"/>
  <c r="AK283" i="12"/>
  <c r="AK368" i="12"/>
  <c r="AK114" i="16" s="1"/>
  <c r="AK376" i="16" s="1"/>
  <c r="AH125" i="16"/>
  <c r="AJ376" i="16"/>
  <c r="AI20" i="16"/>
  <c r="AJ26" i="16"/>
  <c r="AI284" i="12"/>
  <c r="AJ392" i="16"/>
  <c r="AI27" i="16" l="1"/>
  <c r="AI28" i="16" s="1"/>
  <c r="AH21" i="16"/>
  <c r="AH28" i="16"/>
  <c r="AI125" i="16"/>
  <c r="AI382" i="16" s="1"/>
  <c r="AL381" i="12"/>
  <c r="AL136" i="16" s="1"/>
  <c r="AL392" i="16" s="1"/>
  <c r="AL283" i="12"/>
  <c r="AL368" i="12"/>
  <c r="AL114" i="16" s="1"/>
  <c r="AL376" i="16" s="1"/>
  <c r="AH382" i="16"/>
  <c r="AJ20" i="16"/>
  <c r="BQ26" i="16"/>
  <c r="J9" i="18" s="1"/>
  <c r="AK26" i="16"/>
  <c r="AJ284" i="12"/>
  <c r="BP27" i="16" l="1"/>
  <c r="I10" i="18" s="1"/>
  <c r="AI21" i="16"/>
  <c r="BP21" i="16" s="1"/>
  <c r="BP125" i="16"/>
  <c r="I27" i="18" s="1"/>
  <c r="AJ27" i="16"/>
  <c r="AK20" i="16"/>
  <c r="AL26" i="16"/>
  <c r="AK284" i="12"/>
  <c r="AJ125" i="16"/>
  <c r="AM381" i="12"/>
  <c r="AM136" i="16" s="1"/>
  <c r="AM392" i="16" s="1"/>
  <c r="AM283" i="12"/>
  <c r="AM368" i="12"/>
  <c r="AM114" i="16" s="1"/>
  <c r="AM376" i="16" s="1"/>
  <c r="AK27" i="16" l="1"/>
  <c r="AK21" i="16" s="1"/>
  <c r="AJ21" i="16"/>
  <c r="AJ28" i="16"/>
  <c r="BQ114" i="16"/>
  <c r="AJ382" i="16"/>
  <c r="AN381" i="12"/>
  <c r="AN136" i="16" s="1"/>
  <c r="AN283" i="12"/>
  <c r="AN368" i="12"/>
  <c r="AN114" i="16" s="1"/>
  <c r="AM26" i="16"/>
  <c r="AL284" i="12"/>
  <c r="AL20" i="16"/>
  <c r="BQ136" i="16"/>
  <c r="AK125" i="16"/>
  <c r="AK382" i="16" s="1"/>
  <c r="AK28" i="16" l="1"/>
  <c r="AL27" i="16"/>
  <c r="AL21" i="16" s="1"/>
  <c r="AM20" i="16"/>
  <c r="AN376" i="16"/>
  <c r="AN26" i="16"/>
  <c r="AM284" i="12"/>
  <c r="AN392" i="16"/>
  <c r="AO381" i="12"/>
  <c r="AO136" i="16" s="1"/>
  <c r="AO392" i="16" s="1"/>
  <c r="AO283" i="12"/>
  <c r="AO368" i="12"/>
  <c r="AO114" i="16" s="1"/>
  <c r="AO376" i="16" s="1"/>
  <c r="AL125" i="16"/>
  <c r="AL382" i="16" s="1"/>
  <c r="AL28" i="16" l="1"/>
  <c r="AM27" i="16"/>
  <c r="AM21" i="16" s="1"/>
  <c r="AP381" i="12"/>
  <c r="AP136" i="16" s="1"/>
  <c r="AP392" i="16" s="1"/>
  <c r="AP368" i="12"/>
  <c r="AP114" i="16" s="1"/>
  <c r="AP376" i="16" s="1"/>
  <c r="AP283" i="12"/>
  <c r="AN20" i="16"/>
  <c r="BR26" i="16"/>
  <c r="AO26" i="16"/>
  <c r="AN284" i="12"/>
  <c r="AM125" i="16"/>
  <c r="AM382" i="16" s="1"/>
  <c r="AM28" i="16" l="1"/>
  <c r="BQ27" i="16"/>
  <c r="J10" i="18" s="1"/>
  <c r="AN27" i="16"/>
  <c r="AN21" i="16" s="1"/>
  <c r="BQ125" i="16"/>
  <c r="J27" i="18" s="1"/>
  <c r="K27" i="18" s="1"/>
  <c r="AQ381" i="12"/>
  <c r="AQ136" i="16" s="1"/>
  <c r="AQ392" i="16" s="1"/>
  <c r="AQ368" i="12"/>
  <c r="AQ114" i="16" s="1"/>
  <c r="AQ376" i="16" s="1"/>
  <c r="AQ283" i="12"/>
  <c r="AN125" i="16"/>
  <c r="AP26" i="16"/>
  <c r="AO284" i="12"/>
  <c r="AO20" i="16"/>
  <c r="BQ21" i="16"/>
  <c r="AN28" i="16" l="1"/>
  <c r="AO27" i="16"/>
  <c r="AO21" i="16" s="1"/>
  <c r="AP20" i="16"/>
  <c r="BR136" i="16"/>
  <c r="AR381" i="12"/>
  <c r="AR136" i="16" s="1"/>
  <c r="AR283" i="12"/>
  <c r="AR368" i="12"/>
  <c r="AR114" i="16" s="1"/>
  <c r="BR114" i="16"/>
  <c r="AN382" i="16"/>
  <c r="AO125" i="16"/>
  <c r="AO382" i="16" s="1"/>
  <c r="AQ26" i="16"/>
  <c r="AP284" i="12"/>
  <c r="AO28" i="16" l="1"/>
  <c r="AP27" i="16"/>
  <c r="AP21" i="16" s="1"/>
  <c r="AS381" i="12"/>
  <c r="AS136" i="16" s="1"/>
  <c r="AS392" i="16" s="1"/>
  <c r="AS368" i="12"/>
  <c r="AS114" i="16" s="1"/>
  <c r="AS376" i="16" s="1"/>
  <c r="AS283" i="12"/>
  <c r="AR376" i="16"/>
  <c r="AQ20" i="16"/>
  <c r="AR26" i="16"/>
  <c r="AQ284" i="12"/>
  <c r="AR392" i="16"/>
  <c r="AP125" i="16"/>
  <c r="AP382" i="16" s="1"/>
  <c r="AP28" i="16" l="1"/>
  <c r="AQ27" i="16"/>
  <c r="AQ28" i="16" s="1"/>
  <c r="AR20" i="16"/>
  <c r="BS26" i="16"/>
  <c r="AQ125" i="16"/>
  <c r="AT381" i="12"/>
  <c r="AT136" i="16" s="1"/>
  <c r="AT283" i="12"/>
  <c r="AT368" i="12"/>
  <c r="AT114" i="16" s="1"/>
  <c r="AT376" i="16" s="1"/>
  <c r="AS26" i="16"/>
  <c r="AR284" i="12"/>
  <c r="AQ21" i="16" l="1"/>
  <c r="BR21" i="16" s="1"/>
  <c r="BR27" i="16"/>
  <c r="AR27" i="16"/>
  <c r="AR21" i="16" s="1"/>
  <c r="AT26" i="16"/>
  <c r="AS284" i="12"/>
  <c r="AT392" i="16"/>
  <c r="AU381" i="12"/>
  <c r="AU136" i="16" s="1"/>
  <c r="AU392" i="16" s="1"/>
  <c r="AU368" i="12"/>
  <c r="AU114" i="16" s="1"/>
  <c r="AU376" i="16" s="1"/>
  <c r="AQ382" i="16"/>
  <c r="BR125" i="16"/>
  <c r="AS20" i="16"/>
  <c r="AR125" i="16"/>
  <c r="AR28" i="16" l="1"/>
  <c r="AS27" i="16"/>
  <c r="BS114" i="16"/>
  <c r="AR382" i="16"/>
  <c r="BS136" i="16"/>
  <c r="AV381" i="12"/>
  <c r="AV136" i="16" s="1"/>
  <c r="AV368" i="12"/>
  <c r="AV114" i="16" s="1"/>
  <c r="AS125" i="16"/>
  <c r="AS382" i="16" s="1"/>
  <c r="AT20" i="16"/>
  <c r="AT28" i="16"/>
  <c r="AT21" i="16"/>
  <c r="AW381" i="12" l="1"/>
  <c r="AW136" i="16" s="1"/>
  <c r="AW392" i="16" s="1"/>
  <c r="AS21" i="16"/>
  <c r="AS28" i="16"/>
  <c r="AT125" i="16"/>
  <c r="AV376" i="16"/>
  <c r="BT114" i="16"/>
  <c r="BX114" i="16" s="1"/>
  <c r="BI114" i="16"/>
  <c r="AV392" i="16"/>
  <c r="AX381" i="12" l="1"/>
  <c r="AX136" i="16" s="1"/>
  <c r="AX392" i="16" s="1"/>
  <c r="AT382" i="16"/>
  <c r="BI125" i="16"/>
  <c r="BS125" i="16"/>
  <c r="BX125" i="16" s="1"/>
  <c r="AY381" i="12" l="1"/>
  <c r="AY136" i="16" s="1"/>
  <c r="AY392" i="16" s="1"/>
  <c r="BT136" i="16" l="1"/>
  <c r="AZ381" i="12"/>
  <c r="AZ136" i="16" s="1"/>
  <c r="AZ392" i="16" s="1"/>
  <c r="BA381" i="12" l="1"/>
  <c r="BA136" i="16" s="1"/>
  <c r="BA392" i="16" s="1"/>
  <c r="BB381" i="12" l="1"/>
  <c r="BB136" i="16" s="1"/>
  <c r="BB392" i="16" s="1"/>
  <c r="BC381" i="12" l="1"/>
  <c r="BC136" i="16" s="1"/>
  <c r="BC392" i="16" s="1"/>
  <c r="BU136" i="16" l="1"/>
  <c r="BD381" i="12"/>
  <c r="BD136" i="16" s="1"/>
  <c r="BD392" i="16" s="1"/>
  <c r="BE381" i="12" l="1"/>
  <c r="BE136" i="16" s="1"/>
  <c r="BE392" i="16" s="1"/>
  <c r="BG381" i="12" l="1"/>
  <c r="BG136" i="16" s="1"/>
  <c r="BG392" i="16" s="1"/>
  <c r="BF381" i="12"/>
  <c r="BF136" i="16" s="1"/>
  <c r="BI136" i="16" l="1"/>
  <c r="BF392" i="16"/>
  <c r="BV136" i="16"/>
  <c r="BX136" i="16" s="1"/>
  <c r="BI94" i="7" l="1"/>
  <c r="K45" i="39"/>
  <c r="BA118" i="12" l="1"/>
  <c r="BA82" i="14" s="1"/>
  <c r="BA102" i="12"/>
  <c r="BA80" i="14" s="1"/>
  <c r="BA141" i="12"/>
  <c r="BA91" i="14" s="1"/>
  <c r="BF141" i="12"/>
  <c r="BF91" i="14" s="1"/>
  <c r="BF118" i="12"/>
  <c r="BF82" i="14" s="1"/>
  <c r="BF102" i="12"/>
  <c r="BF80" i="14" s="1"/>
  <c r="BF84" i="14" s="1"/>
  <c r="BE141" i="12"/>
  <c r="BE91" i="14" s="1"/>
  <c r="BE118" i="12"/>
  <c r="BE82" i="14" s="1"/>
  <c r="BE102" i="12"/>
  <c r="BE80" i="14" s="1"/>
  <c r="U141" i="12"/>
  <c r="U91" i="14" s="1"/>
  <c r="U118" i="12"/>
  <c r="U82" i="14" s="1"/>
  <c r="U102" i="12"/>
  <c r="U80" i="14" s="1"/>
  <c r="AX141" i="12"/>
  <c r="AX91" i="14" s="1"/>
  <c r="AX118" i="12"/>
  <c r="AX82" i="14" s="1"/>
  <c r="AX102" i="12"/>
  <c r="AX80" i="14" s="1"/>
  <c r="AN141" i="12"/>
  <c r="AN91" i="14" s="1"/>
  <c r="AN118" i="12"/>
  <c r="AN82" i="14" s="1"/>
  <c r="AN102" i="12"/>
  <c r="AN80" i="14" s="1"/>
  <c r="AR141" i="12"/>
  <c r="AR91" i="14" s="1"/>
  <c r="AR118" i="12"/>
  <c r="AR82" i="14" s="1"/>
  <c r="AR102" i="12"/>
  <c r="AR80" i="14" s="1"/>
  <c r="AK141" i="12"/>
  <c r="AK91" i="14" s="1"/>
  <c r="AK118" i="12"/>
  <c r="AK82" i="14" s="1"/>
  <c r="AK102" i="12"/>
  <c r="AK80" i="14" s="1"/>
  <c r="AK84" i="14" s="1"/>
  <c r="AH141" i="12"/>
  <c r="AH91" i="14" s="1"/>
  <c r="AH118" i="12"/>
  <c r="AH82" i="14" s="1"/>
  <c r="AH102" i="12"/>
  <c r="AH80" i="14" s="1"/>
  <c r="BC141" i="12"/>
  <c r="BC91" i="14" s="1"/>
  <c r="BC118" i="12"/>
  <c r="BC82" i="14" s="1"/>
  <c r="BC102" i="12"/>
  <c r="BC80" i="14" s="1"/>
  <c r="BC84" i="14" s="1"/>
  <c r="Z141" i="12"/>
  <c r="Z91" i="14" s="1"/>
  <c r="Z118" i="12"/>
  <c r="Z82" i="14" s="1"/>
  <c r="Z102" i="12"/>
  <c r="Z80" i="14" s="1"/>
  <c r="W141" i="12"/>
  <c r="W91" i="14" s="1"/>
  <c r="W118" i="12"/>
  <c r="W82" i="14" s="1"/>
  <c r="W102" i="12"/>
  <c r="W80" i="14" s="1"/>
  <c r="W84" i="14" s="1"/>
  <c r="AF118" i="12"/>
  <c r="AF82" i="14" s="1"/>
  <c r="AF102" i="12"/>
  <c r="AF80" i="14" s="1"/>
  <c r="AF141" i="12"/>
  <c r="AF91" i="14" s="1"/>
  <c r="Y141" i="12"/>
  <c r="Y91" i="14" s="1"/>
  <c r="Y118" i="12"/>
  <c r="Y82" i="14" s="1"/>
  <c r="Y102" i="12"/>
  <c r="Y80" i="14" s="1"/>
  <c r="BG20" i="22"/>
  <c r="BI20" i="22" s="1"/>
  <c r="BK20" i="22" s="1"/>
  <c r="T141" i="12"/>
  <c r="T91" i="14" s="1"/>
  <c r="T118" i="12"/>
  <c r="T82" i="14" s="1"/>
  <c r="T102" i="12"/>
  <c r="T80" i="14" s="1"/>
  <c r="BK54" i="12"/>
  <c r="K235" i="12" s="1"/>
  <c r="N235" i="12" s="1"/>
  <c r="P235" i="12" s="1"/>
  <c r="GA15" i="5" s="1"/>
  <c r="X21" i="15" s="1"/>
  <c r="X22" i="15" s="1"/>
  <c r="BI54" i="12"/>
  <c r="EA20" i="22" s="1"/>
  <c r="AV141" i="12"/>
  <c r="AV91" i="14" s="1"/>
  <c r="AV118" i="12"/>
  <c r="AV82" i="14" s="1"/>
  <c r="AV102" i="12"/>
  <c r="AV80" i="14" s="1"/>
  <c r="AV84" i="14" s="1"/>
  <c r="AO141" i="12"/>
  <c r="AO91" i="14" s="1"/>
  <c r="AO118" i="12"/>
  <c r="AO82" i="14" s="1"/>
  <c r="AO102" i="12"/>
  <c r="AO80" i="14" s="1"/>
  <c r="AD141" i="12"/>
  <c r="AD91" i="14" s="1"/>
  <c r="AD118" i="12"/>
  <c r="AD82" i="14" s="1"/>
  <c r="AD102" i="12"/>
  <c r="AD80" i="14" s="1"/>
  <c r="BG118" i="12"/>
  <c r="BG82" i="14" s="1"/>
  <c r="BG102" i="12"/>
  <c r="BG80" i="14" s="1"/>
  <c r="BG84" i="14" s="1"/>
  <c r="BG141" i="12"/>
  <c r="BG91" i="14" s="1"/>
  <c r="AJ118" i="12"/>
  <c r="AJ82" i="14" s="1"/>
  <c r="AJ141" i="12"/>
  <c r="AJ91" i="14" s="1"/>
  <c r="AJ102" i="12"/>
  <c r="AJ80" i="14" s="1"/>
  <c r="AC102" i="12"/>
  <c r="AC80" i="14" s="1"/>
  <c r="AC84" i="14" s="1"/>
  <c r="AC141" i="12"/>
  <c r="AC91" i="14" s="1"/>
  <c r="AC118" i="12"/>
  <c r="AC82" i="14" s="1"/>
  <c r="AB102" i="12"/>
  <c r="AB80" i="14" s="1"/>
  <c r="AB141" i="12"/>
  <c r="AB91" i="14" s="1"/>
  <c r="AB118" i="12"/>
  <c r="AB82" i="14" s="1"/>
  <c r="AL141" i="12"/>
  <c r="AL91" i="14" s="1"/>
  <c r="AL118" i="12"/>
  <c r="AL82" i="14" s="1"/>
  <c r="AL102" i="12"/>
  <c r="AL80" i="14" s="1"/>
  <c r="AL84" i="14" s="1"/>
  <c r="AE102" i="12"/>
  <c r="AE80" i="14" s="1"/>
  <c r="AE141" i="12"/>
  <c r="AE91" i="14" s="1"/>
  <c r="AE118" i="12"/>
  <c r="AE82" i="14" s="1"/>
  <c r="X118" i="12"/>
  <c r="X82" i="14" s="1"/>
  <c r="X102" i="12"/>
  <c r="X80" i="14" s="1"/>
  <c r="X141" i="12"/>
  <c r="X91" i="14" s="1"/>
  <c r="AA141" i="12"/>
  <c r="AA91" i="14" s="1"/>
  <c r="AA118" i="12"/>
  <c r="AA82" i="14" s="1"/>
  <c r="BN82" i="14" s="1"/>
  <c r="AA102" i="12"/>
  <c r="AA80" i="14" s="1"/>
  <c r="CE20" i="22"/>
  <c r="X12" i="15" s="1"/>
  <c r="BD141" i="12"/>
  <c r="BD91" i="14" s="1"/>
  <c r="BV91" i="14" s="1"/>
  <c r="BD118" i="12"/>
  <c r="BD82" i="14" s="1"/>
  <c r="BD102" i="12"/>
  <c r="BD80" i="14" s="1"/>
  <c r="V141" i="12"/>
  <c r="V91" i="14" s="1"/>
  <c r="V102" i="12"/>
  <c r="V80" i="14" s="1"/>
  <c r="V118" i="12"/>
  <c r="V82" i="14" s="1"/>
  <c r="AW141" i="12"/>
  <c r="AW91" i="14" s="1"/>
  <c r="AW118" i="12"/>
  <c r="AW82" i="14" s="1"/>
  <c r="AW102" i="12"/>
  <c r="AW80" i="14" s="1"/>
  <c r="AW84" i="14" s="1"/>
  <c r="AG118" i="12"/>
  <c r="AG82" i="14" s="1"/>
  <c r="AG102" i="12"/>
  <c r="AG80" i="14" s="1"/>
  <c r="AG141" i="12"/>
  <c r="AG91" i="14" s="1"/>
  <c r="AM118" i="12"/>
  <c r="AM82" i="14" s="1"/>
  <c r="AM102" i="12"/>
  <c r="AM80" i="14" s="1"/>
  <c r="AM84" i="14" s="1"/>
  <c r="AM141" i="12"/>
  <c r="AM91" i="14" s="1"/>
  <c r="BQ91" i="14" s="1"/>
  <c r="AI102" i="12"/>
  <c r="AI80" i="14" s="1"/>
  <c r="AI84" i="14" s="1"/>
  <c r="AI141" i="12"/>
  <c r="AI91" i="14" s="1"/>
  <c r="BP91" i="14" s="1"/>
  <c r="AI118" i="12"/>
  <c r="AI82" i="14" s="1"/>
  <c r="BB102" i="12"/>
  <c r="BB80" i="14" s="1"/>
  <c r="BB141" i="12"/>
  <c r="BB91" i="14" s="1"/>
  <c r="BB118" i="12"/>
  <c r="BB82" i="14" s="1"/>
  <c r="AS141" i="12"/>
  <c r="AS91" i="14" s="1"/>
  <c r="AS118" i="12"/>
  <c r="AS82" i="14" s="1"/>
  <c r="AS102" i="12"/>
  <c r="AS80" i="14" s="1"/>
  <c r="AS84" i="14" s="1"/>
  <c r="AP118" i="12"/>
  <c r="AP82" i="14" s="1"/>
  <c r="AP102" i="12"/>
  <c r="AP80" i="14" s="1"/>
  <c r="AP141" i="12"/>
  <c r="AP91" i="14" s="1"/>
  <c r="AQ141" i="12"/>
  <c r="AQ91" i="14" s="1"/>
  <c r="AQ118" i="12"/>
  <c r="AQ82" i="14" s="1"/>
  <c r="AQ102" i="12"/>
  <c r="AQ80" i="14" s="1"/>
  <c r="AQ84" i="14" s="1"/>
  <c r="AT141" i="12"/>
  <c r="AT91" i="14" s="1"/>
  <c r="AT118" i="12"/>
  <c r="AT82" i="14" s="1"/>
  <c r="AT102" i="12"/>
  <c r="AT80" i="14" s="1"/>
  <c r="AT84" i="14" s="1"/>
  <c r="AY141" i="12"/>
  <c r="AY91" i="14" s="1"/>
  <c r="BT91" i="14" s="1"/>
  <c r="AY118" i="12"/>
  <c r="AY82" i="14" s="1"/>
  <c r="AY102" i="12"/>
  <c r="AY80" i="14" s="1"/>
  <c r="AU141" i="12"/>
  <c r="AU91" i="14" s="1"/>
  <c r="AU118" i="12"/>
  <c r="AU82" i="14" s="1"/>
  <c r="AU102" i="12"/>
  <c r="AU80" i="14" s="1"/>
  <c r="AZ102" i="12"/>
  <c r="AZ80" i="14" s="1"/>
  <c r="AZ141" i="12"/>
  <c r="AZ91" i="14" s="1"/>
  <c r="AZ118" i="12"/>
  <c r="AZ82" i="14" s="1"/>
  <c r="AX84" i="14" l="1"/>
  <c r="BO91" i="14"/>
  <c r="AZ84" i="14"/>
  <c r="BU80" i="14"/>
  <c r="BR82" i="14"/>
  <c r="BN91" i="14"/>
  <c r="AJ84" i="14"/>
  <c r="BQ80" i="14"/>
  <c r="BS91" i="14"/>
  <c r="V84" i="14"/>
  <c r="BT80" i="14"/>
  <c r="AY84" i="14"/>
  <c r="BR91" i="14"/>
  <c r="AO84" i="14"/>
  <c r="T84" i="14"/>
  <c r="BM80" i="14"/>
  <c r="BI80" i="14"/>
  <c r="AF84" i="14"/>
  <c r="BP80" i="14"/>
  <c r="BB84" i="14"/>
  <c r="AG84" i="14"/>
  <c r="BD84" i="14"/>
  <c r="BV80" i="14"/>
  <c r="X84" i="14"/>
  <c r="BN80" i="14"/>
  <c r="BN84" i="14" s="1"/>
  <c r="BO82" i="14"/>
  <c r="BQ82" i="14"/>
  <c r="BQ84" i="14" s="1"/>
  <c r="BM82" i="14"/>
  <c r="BI82" i="14"/>
  <c r="BP82" i="14"/>
  <c r="BU82" i="14"/>
  <c r="AR84" i="14"/>
  <c r="BS80" i="14"/>
  <c r="AB84" i="14"/>
  <c r="BO80" i="14"/>
  <c r="AP84" i="14"/>
  <c r="BV82" i="14"/>
  <c r="BI91" i="14"/>
  <c r="BU91" i="14"/>
  <c r="BS82" i="14"/>
  <c r="U84" i="14"/>
  <c r="BT82" i="14"/>
  <c r="BT84" i="14" s="1"/>
  <c r="Y84" i="14"/>
  <c r="BM91" i="14"/>
  <c r="AH84" i="14"/>
  <c r="AN84" i="14"/>
  <c r="BR80" i="14"/>
  <c r="BR84" i="14" s="1"/>
  <c r="BA84" i="14"/>
  <c r="AU84" i="14"/>
  <c r="AA84" i="14"/>
  <c r="AE84" i="14"/>
  <c r="AD84" i="14"/>
  <c r="Z84" i="14"/>
  <c r="BE84" i="14"/>
  <c r="I10" i="45"/>
  <c r="AI10" i="45" s="1"/>
  <c r="BV82" i="28"/>
  <c r="CK20" i="22"/>
  <c r="CJ20" i="22"/>
  <c r="CR20" i="22"/>
  <c r="BM20" i="22"/>
  <c r="BI102" i="12"/>
  <c r="EC20" i="22" s="1"/>
  <c r="BN20" i="22"/>
  <c r="BI118" i="12"/>
  <c r="BI141" i="12"/>
  <c r="EF20" i="22" s="1"/>
  <c r="I11" i="45"/>
  <c r="AI11" i="45" s="1"/>
  <c r="V10" i="19"/>
  <c r="AL10" i="38"/>
  <c r="CG20" i="22"/>
  <c r="CI20" i="22" s="1"/>
  <c r="AO235" i="12"/>
  <c r="AO110" i="14" s="1"/>
  <c r="BC235" i="12"/>
  <c r="BC110" i="14" s="1"/>
  <c r="AD235" i="12"/>
  <c r="AD110" i="14" s="1"/>
  <c r="AR235" i="12"/>
  <c r="AR110" i="14" s="1"/>
  <c r="AA235" i="12"/>
  <c r="AA110" i="14" s="1"/>
  <c r="AG235" i="12"/>
  <c r="AG110" i="14" s="1"/>
  <c r="AU235" i="12"/>
  <c r="AU110" i="14" s="1"/>
  <c r="V235" i="12"/>
  <c r="V110" i="14" s="1"/>
  <c r="AJ235" i="12"/>
  <c r="AJ110" i="14" s="1"/>
  <c r="BQ110" i="14" s="1"/>
  <c r="BF235" i="12"/>
  <c r="BF110" i="14" s="1"/>
  <c r="Y235" i="12"/>
  <c r="Y110" i="14" s="1"/>
  <c r="AM235" i="12"/>
  <c r="AM110" i="14" s="1"/>
  <c r="BA235" i="12"/>
  <c r="BA110" i="14" s="1"/>
  <c r="AB235" i="12"/>
  <c r="AB110" i="14" s="1"/>
  <c r="AX235" i="12"/>
  <c r="AX110" i="14" s="1"/>
  <c r="BD235" i="12"/>
  <c r="BD110" i="14" s="1"/>
  <c r="AE235" i="12"/>
  <c r="AE110" i="14" s="1"/>
  <c r="AS235" i="12"/>
  <c r="AS110" i="14" s="1"/>
  <c r="T235" i="12"/>
  <c r="T110" i="14" s="1"/>
  <c r="AP235" i="12"/>
  <c r="AP110" i="14" s="1"/>
  <c r="AV235" i="12"/>
  <c r="AV110" i="14" s="1"/>
  <c r="W235" i="12"/>
  <c r="W110" i="14" s="1"/>
  <c r="AK235" i="12"/>
  <c r="AK110" i="14" s="1"/>
  <c r="BG235" i="12"/>
  <c r="BG110" i="14" s="1"/>
  <c r="AH235" i="12"/>
  <c r="AH110" i="14" s="1"/>
  <c r="AN235" i="12"/>
  <c r="AN110" i="14" s="1"/>
  <c r="BR110" i="14" s="1"/>
  <c r="BB235" i="12"/>
  <c r="BB110" i="14" s="1"/>
  <c r="AC235" i="12"/>
  <c r="AC110" i="14" s="1"/>
  <c r="AY235" i="12"/>
  <c r="AY110" i="14" s="1"/>
  <c r="Z235" i="12"/>
  <c r="Z110" i="14" s="1"/>
  <c r="BE235" i="12"/>
  <c r="BE110" i="14" s="1"/>
  <c r="AF235" i="12"/>
  <c r="AF110" i="14" s="1"/>
  <c r="AT235" i="12"/>
  <c r="AT110" i="14" s="1"/>
  <c r="U235" i="12"/>
  <c r="U110" i="14" s="1"/>
  <c r="AQ235" i="12"/>
  <c r="AQ110" i="14" s="1"/>
  <c r="AW235" i="12"/>
  <c r="AW110" i="14" s="1"/>
  <c r="X235" i="12"/>
  <c r="X110" i="14" s="1"/>
  <c r="BN110" i="14" s="1"/>
  <c r="AL235" i="12"/>
  <c r="AL110" i="14" s="1"/>
  <c r="AZ235" i="12"/>
  <c r="AZ110" i="14" s="1"/>
  <c r="AI235" i="12"/>
  <c r="AI110" i="14" s="1"/>
  <c r="BM84" i="14" l="1"/>
  <c r="BI84" i="14"/>
  <c r="BP84" i="14"/>
  <c r="BX91" i="14"/>
  <c r="BO84" i="14"/>
  <c r="BS110" i="14"/>
  <c r="BM110" i="14"/>
  <c r="BI110" i="14"/>
  <c r="BS84" i="14"/>
  <c r="BX80" i="14"/>
  <c r="BV84" i="14"/>
  <c r="BV110" i="14"/>
  <c r="BX82" i="14"/>
  <c r="BP110" i="14"/>
  <c r="BU110" i="14"/>
  <c r="BO110" i="14"/>
  <c r="BU84" i="14"/>
  <c r="BT110" i="14"/>
  <c r="CO82" i="28"/>
  <c r="AC11" i="38"/>
  <c r="AD11" i="38" s="1"/>
  <c r="I12" i="45"/>
  <c r="AI12" i="45" s="1"/>
  <c r="AL11" i="38"/>
  <c r="BI235" i="12"/>
  <c r="BX84" i="14" l="1"/>
  <c r="BX110" i="14"/>
  <c r="AE11" i="38"/>
  <c r="AC12" i="38"/>
  <c r="AD12" i="38" s="1"/>
  <c r="AC13" i="38"/>
  <c r="AD13" i="38" s="1"/>
  <c r="EO20" i="22"/>
  <c r="DJ20" i="22"/>
  <c r="BX82" i="28" s="1"/>
  <c r="AL12" i="38"/>
  <c r="I13" i="45"/>
  <c r="AI13" i="45" s="1"/>
  <c r="BY82" i="28" l="1"/>
  <c r="F10" i="45"/>
  <c r="AF10" i="45" s="1"/>
  <c r="AE12" i="38"/>
  <c r="AL13" i="38"/>
  <c r="AE13" i="38" s="1"/>
  <c r="DL20" i="22"/>
  <c r="F11" i="45" l="1"/>
  <c r="AF11" i="45" s="1"/>
  <c r="F13" i="45"/>
  <c r="AF13" i="45" s="1"/>
  <c r="I14" i="45"/>
  <c r="AI14" i="45" s="1"/>
  <c r="F12" i="45" l="1"/>
  <c r="AF12" i="45" s="1"/>
  <c r="AC15" i="38"/>
  <c r="AD15" i="38" s="1"/>
  <c r="AC14" i="38"/>
  <c r="AD14" i="38" s="1"/>
  <c r="I16" i="45"/>
  <c r="AI16" i="45" s="1"/>
  <c r="I15" i="45"/>
  <c r="AI15" i="45" s="1"/>
  <c r="AL14" i="38"/>
  <c r="AE14" i="38" l="1"/>
  <c r="AC16" i="38"/>
  <c r="AD16" i="38" s="1"/>
  <c r="AL16" i="38"/>
  <c r="I17" i="45"/>
  <c r="AI17" i="45" s="1"/>
  <c r="AL15" i="38"/>
  <c r="AE15" i="38" s="1"/>
  <c r="AE16" i="38" l="1"/>
  <c r="AC17" i="38"/>
  <c r="AD17" i="38" s="1"/>
  <c r="F15" i="45"/>
  <c r="AF15" i="45" s="1"/>
  <c r="I18" i="45"/>
  <c r="AI18" i="45" s="1"/>
  <c r="AL17" i="38"/>
  <c r="AE17" i="38" l="1"/>
  <c r="F14" i="45"/>
  <c r="AF14" i="45" s="1"/>
  <c r="AC18" i="38"/>
  <c r="AD18" i="38" s="1"/>
  <c r="AL18" i="38"/>
  <c r="F16" i="45" l="1"/>
  <c r="AF16" i="45" s="1"/>
  <c r="AE18" i="38"/>
  <c r="AC20" i="38"/>
  <c r="AD20" i="38" s="1"/>
  <c r="I19" i="45"/>
  <c r="AI19" i="45" s="1"/>
  <c r="I20" i="45"/>
  <c r="AI20" i="45" s="1"/>
  <c r="F17" i="45" l="1"/>
  <c r="AF17" i="45" s="1"/>
  <c r="AC19" i="38"/>
  <c r="AD19" i="38" s="1"/>
  <c r="AC21" i="38"/>
  <c r="AD21" i="38" s="1"/>
  <c r="AL19" i="38"/>
  <c r="AL20" i="38"/>
  <c r="AE20" i="38" s="1"/>
  <c r="I21" i="45"/>
  <c r="AI21" i="45" s="1"/>
  <c r="F18" i="45" l="1"/>
  <c r="AF18" i="45" s="1"/>
  <c r="AE19" i="38"/>
  <c r="AC22" i="38"/>
  <c r="AD22" i="38" s="1"/>
  <c r="I22" i="45"/>
  <c r="AI22" i="45" s="1"/>
  <c r="AL21" i="38"/>
  <c r="AE21" i="38" s="1"/>
  <c r="F20" i="45"/>
  <c r="AF20" i="45" s="1"/>
  <c r="AQ15" i="5" l="1"/>
  <c r="AQ13" i="5"/>
  <c r="S18" i="22"/>
  <c r="S19" i="22"/>
  <c r="AQ14" i="5"/>
  <c r="S20" i="22"/>
  <c r="C30" i="23"/>
  <c r="J49" i="15"/>
  <c r="C65" i="28"/>
  <c r="F49" i="15"/>
  <c r="F48" i="15"/>
  <c r="C68" i="28"/>
  <c r="C66" i="28"/>
  <c r="G50" i="15"/>
  <c r="G48" i="15"/>
  <c r="E49" i="15"/>
  <c r="C67" i="28"/>
  <c r="E48" i="15"/>
  <c r="F50" i="15"/>
  <c r="J48" i="15"/>
  <c r="C69" i="28"/>
  <c r="C63" i="28"/>
  <c r="E50" i="15"/>
  <c r="G49" i="15"/>
  <c r="J50" i="15"/>
  <c r="K50" i="15" s="1"/>
  <c r="C64" i="28"/>
  <c r="C62" i="28"/>
  <c r="GS17" i="6"/>
  <c r="GS15" i="6"/>
  <c r="GT15" i="6" s="1"/>
  <c r="GS16" i="6"/>
  <c r="GT16" i="6" s="1"/>
  <c r="GU16" i="6" s="1"/>
  <c r="I23" i="45"/>
  <c r="AI23" i="45" s="1"/>
  <c r="J107" i="38"/>
  <c r="H106" i="34"/>
  <c r="M107" i="38"/>
  <c r="F21" i="45"/>
  <c r="AF21" i="45" s="1"/>
  <c r="J47" i="15"/>
  <c r="J44" i="15"/>
  <c r="G44" i="15"/>
  <c r="F42" i="15"/>
  <c r="E41" i="15"/>
  <c r="F47" i="15"/>
  <c r="G43" i="15"/>
  <c r="J42" i="15"/>
  <c r="E44" i="15"/>
  <c r="P44" i="15" s="1"/>
  <c r="R44" i="15" s="1"/>
  <c r="G47" i="15"/>
  <c r="E47" i="15"/>
  <c r="P47" i="15" s="1"/>
  <c r="R47" i="15" s="1"/>
  <c r="H23" i="28"/>
  <c r="E45" i="15"/>
  <c r="P45" i="15" s="1"/>
  <c r="R45" i="15" s="1"/>
  <c r="F45" i="15"/>
  <c r="E42" i="15"/>
  <c r="P42" i="15" s="1"/>
  <c r="R42" i="15" s="1"/>
  <c r="F46" i="15"/>
  <c r="C61" i="28"/>
  <c r="J43" i="15"/>
  <c r="E43" i="15"/>
  <c r="P43" i="15" s="1"/>
  <c r="R43" i="15" s="1"/>
  <c r="F44" i="15"/>
  <c r="F41" i="15"/>
  <c r="J41" i="15"/>
  <c r="G46" i="15"/>
  <c r="J46" i="15"/>
  <c r="G42" i="15"/>
  <c r="E46" i="15"/>
  <c r="P46" i="15" s="1"/>
  <c r="R46" i="15" s="1"/>
  <c r="F43" i="15"/>
  <c r="G45" i="15"/>
  <c r="J45" i="15"/>
  <c r="G41" i="15"/>
  <c r="C60" i="28"/>
  <c r="AL22" i="38"/>
  <c r="AE22" i="38" s="1"/>
  <c r="GU15" i="6" l="1"/>
  <c r="C31" i="23"/>
  <c r="T9" i="40" s="1"/>
  <c r="I9" i="40" s="1"/>
  <c r="K49" i="15"/>
  <c r="L55" i="38"/>
  <c r="L64" i="38"/>
  <c r="L88" i="38"/>
  <c r="L81" i="38"/>
  <c r="L47" i="38"/>
  <c r="L98" i="38"/>
  <c r="N47" i="38"/>
  <c r="Z47" i="38" s="1"/>
  <c r="N36" i="38"/>
  <c r="Z36" i="38" s="1"/>
  <c r="N68" i="38"/>
  <c r="Z68" i="38" s="1"/>
  <c r="L36" i="38"/>
  <c r="L68" i="38"/>
  <c r="L73" i="38"/>
  <c r="U18" i="22"/>
  <c r="AG18" i="22"/>
  <c r="T18" i="22"/>
  <c r="AR13" i="5"/>
  <c r="AT13" i="5" s="1"/>
  <c r="AS13" i="5"/>
  <c r="BC13" i="5" s="1"/>
  <c r="BE13" i="5" s="1"/>
  <c r="AR15" i="5"/>
  <c r="AT15" i="5" s="1"/>
  <c r="AS15" i="5"/>
  <c r="BC15" i="5" s="1"/>
  <c r="BE15" i="5" s="1"/>
  <c r="AG20" i="22"/>
  <c r="T20" i="22"/>
  <c r="U20" i="22"/>
  <c r="AS14" i="5"/>
  <c r="BC14" i="5" s="1"/>
  <c r="BE14" i="5" s="1"/>
  <c r="AR14" i="5"/>
  <c r="AT14" i="5" s="1"/>
  <c r="T19" i="22"/>
  <c r="AG19" i="22"/>
  <c r="U19" i="22"/>
  <c r="F19" i="45"/>
  <c r="AF19" i="45" s="1"/>
  <c r="Y22" i="22"/>
  <c r="K9" i="29" s="1"/>
  <c r="E7" i="41"/>
  <c r="F7" i="41" s="1"/>
  <c r="E8" i="41"/>
  <c r="F8" i="41" s="1"/>
  <c r="E3" i="41"/>
  <c r="F3" i="41" s="1"/>
  <c r="E5" i="41"/>
  <c r="F5" i="41" s="1"/>
  <c r="E6" i="41"/>
  <c r="F6" i="41" s="1"/>
  <c r="E4" i="41"/>
  <c r="F4" i="41" s="1"/>
  <c r="P50" i="15"/>
  <c r="R50" i="15" s="1"/>
  <c r="N50" i="15"/>
  <c r="L50" i="15"/>
  <c r="H50" i="15"/>
  <c r="P49" i="15"/>
  <c r="R49" i="15" s="1"/>
  <c r="N49" i="15"/>
  <c r="L49" i="15"/>
  <c r="K48" i="15"/>
  <c r="H48" i="15"/>
  <c r="P48" i="15"/>
  <c r="R48" i="15" s="1"/>
  <c r="N48" i="15"/>
  <c r="L48" i="15"/>
  <c r="H49" i="15"/>
  <c r="H44" i="15"/>
  <c r="D66" i="28"/>
  <c r="D63" i="28"/>
  <c r="D68" i="28"/>
  <c r="D69" i="28"/>
  <c r="D64" i="28"/>
  <c r="D67" i="28"/>
  <c r="D62" i="28"/>
  <c r="D65" i="28"/>
  <c r="H24" i="28"/>
  <c r="J21" i="36"/>
  <c r="H45" i="15"/>
  <c r="G51" i="15"/>
  <c r="K51" i="15" s="1"/>
  <c r="K47" i="15"/>
  <c r="K42" i="15"/>
  <c r="AC23" i="38"/>
  <c r="AD23" i="38" s="1"/>
  <c r="AC24" i="38"/>
  <c r="AD24" i="38" s="1"/>
  <c r="S43" i="23"/>
  <c r="H105" i="34"/>
  <c r="M106" i="38"/>
  <c r="Y106" i="38" s="1"/>
  <c r="O12" i="19"/>
  <c r="L12" i="19" s="1"/>
  <c r="H107" i="34"/>
  <c r="BE40" i="14"/>
  <c r="AT40" i="14"/>
  <c r="BF38" i="14"/>
  <c r="AR38" i="14"/>
  <c r="AN40" i="14"/>
  <c r="H43" i="15"/>
  <c r="H41" i="15"/>
  <c r="F51" i="15"/>
  <c r="H46" i="15"/>
  <c r="K44" i="15"/>
  <c r="BD40" i="14"/>
  <c r="AV38" i="14"/>
  <c r="BA40" i="14"/>
  <c r="AZ38" i="14"/>
  <c r="AL40" i="14"/>
  <c r="Z40" i="14"/>
  <c r="D60" i="28"/>
  <c r="BA38" i="14"/>
  <c r="BF40" i="14"/>
  <c r="BB40" i="14"/>
  <c r="BD38" i="14"/>
  <c r="AW40" i="14"/>
  <c r="I24" i="45"/>
  <c r="AI24" i="45" s="1"/>
  <c r="AP38" i="14"/>
  <c r="AB40" i="14"/>
  <c r="AF40" i="14"/>
  <c r="AT38" i="14"/>
  <c r="AO38" i="14"/>
  <c r="V40" i="14"/>
  <c r="AX38" i="14"/>
  <c r="Y40" i="14"/>
  <c r="AV40" i="14"/>
  <c r="AK38" i="14"/>
  <c r="K15" i="29"/>
  <c r="K16" i="29"/>
  <c r="C7" i="35"/>
  <c r="K14" i="29"/>
  <c r="S39" i="23"/>
  <c r="M8" i="23" s="1"/>
  <c r="G23" i="36"/>
  <c r="K13" i="29"/>
  <c r="K17" i="29"/>
  <c r="K12" i="29"/>
  <c r="K8" i="29"/>
  <c r="K10" i="29"/>
  <c r="AF38" i="14"/>
  <c r="AS40" i="14"/>
  <c r="AB38" i="14"/>
  <c r="AK40" i="14"/>
  <c r="AG40" i="14"/>
  <c r="BB38" i="14"/>
  <c r="AJ38" i="14"/>
  <c r="AP40" i="14"/>
  <c r="AS38" i="14"/>
  <c r="AH38" i="14"/>
  <c r="K45" i="15"/>
  <c r="K46" i="15"/>
  <c r="H47" i="15"/>
  <c r="X107" i="38"/>
  <c r="AZ40" i="14"/>
  <c r="Z38" i="14"/>
  <c r="T38" i="14"/>
  <c r="V38" i="14"/>
  <c r="AH40" i="14"/>
  <c r="AX40" i="14"/>
  <c r="AJ40" i="14"/>
  <c r="E51" i="15"/>
  <c r="P41" i="15"/>
  <c r="AA22" i="22"/>
  <c r="AL23" i="38"/>
  <c r="AD40" i="14"/>
  <c r="X40" i="14"/>
  <c r="AD38" i="14"/>
  <c r="AW38" i="14"/>
  <c r="AR40" i="14"/>
  <c r="X38" i="14"/>
  <c r="BE38" i="14"/>
  <c r="AN38" i="14"/>
  <c r="X42" i="14"/>
  <c r="AL38" i="14"/>
  <c r="AC40" i="14"/>
  <c r="K43" i="15"/>
  <c r="H42" i="15"/>
  <c r="AO40" i="14"/>
  <c r="U40" i="14"/>
  <c r="U38" i="14"/>
  <c r="Y38" i="14"/>
  <c r="T40" i="14"/>
  <c r="AC38" i="14"/>
  <c r="AG38" i="14"/>
  <c r="K41" i="15"/>
  <c r="J51" i="15"/>
  <c r="D61" i="28"/>
  <c r="Y107" i="38"/>
  <c r="E12" i="17" l="1"/>
  <c r="H7" i="29"/>
  <c r="K7" i="29"/>
  <c r="M14" i="23"/>
  <c r="AH19" i="22"/>
  <c r="AC46" i="28"/>
  <c r="AZ73" i="28"/>
  <c r="AC47" i="28"/>
  <c r="AZ72" i="28"/>
  <c r="AH20" i="22"/>
  <c r="AI20" i="22" s="1"/>
  <c r="AC48" i="28"/>
  <c r="AZ74" i="28"/>
  <c r="AI19" i="22"/>
  <c r="N9" i="40"/>
  <c r="AT115" i="45"/>
  <c r="AZ115" i="45" s="1"/>
  <c r="I32" i="40"/>
  <c r="L785" i="4"/>
  <c r="V127" i="17" s="1"/>
  <c r="M785" i="4"/>
  <c r="W127" i="17" s="1"/>
  <c r="N785" i="4"/>
  <c r="X127" i="17" s="1"/>
  <c r="K785" i="4"/>
  <c r="U127" i="17" s="1"/>
  <c r="O785" i="4"/>
  <c r="J785" i="4"/>
  <c r="I785" i="4"/>
  <c r="AH18" i="22"/>
  <c r="AI18" i="22" s="1"/>
  <c r="Q28" i="28"/>
  <c r="AN22" i="22"/>
  <c r="E17" i="17" s="1"/>
  <c r="AT120" i="45" s="1"/>
  <c r="AZ120" i="45" s="1"/>
  <c r="BG14" i="5"/>
  <c r="AV16" i="6"/>
  <c r="AX16" i="6" s="1"/>
  <c r="BG15" i="5"/>
  <c r="AV17" i="6"/>
  <c r="AX17" i="6" s="1"/>
  <c r="BG13" i="5"/>
  <c r="AV15" i="6"/>
  <c r="AX15" i="6" s="1"/>
  <c r="L34" i="38"/>
  <c r="L101" i="38"/>
  <c r="L24" i="38"/>
  <c r="N26" i="38"/>
  <c r="Z26" i="38" s="1"/>
  <c r="N71" i="38"/>
  <c r="Z71" i="38" s="1"/>
  <c r="N95" i="38"/>
  <c r="Z95" i="38" s="1"/>
  <c r="L93" i="38"/>
  <c r="L91" i="38"/>
  <c r="N57" i="38"/>
  <c r="Z57" i="38" s="1"/>
  <c r="L13" i="38"/>
  <c r="N79" i="38"/>
  <c r="Z79" i="38" s="1"/>
  <c r="L77" i="38"/>
  <c r="L76" i="38"/>
  <c r="L40" i="38"/>
  <c r="N45" i="38"/>
  <c r="Z45" i="38" s="1"/>
  <c r="L54" i="38"/>
  <c r="L23" i="38"/>
  <c r="N103" i="38"/>
  <c r="Z103" i="38" s="1"/>
  <c r="N38" i="38"/>
  <c r="Z38" i="38" s="1"/>
  <c r="L46" i="38"/>
  <c r="N15" i="38"/>
  <c r="Z15" i="38" s="1"/>
  <c r="L19" i="38"/>
  <c r="N51" i="38"/>
  <c r="Z51" i="38" s="1"/>
  <c r="L50" i="38"/>
  <c r="N82" i="38"/>
  <c r="Z82" i="38" s="1"/>
  <c r="N90" i="38"/>
  <c r="Z90" i="38" s="1"/>
  <c r="N43" i="38"/>
  <c r="Z43" i="38" s="1"/>
  <c r="N39" i="38"/>
  <c r="Z39" i="38" s="1"/>
  <c r="L74" i="38"/>
  <c r="N83" i="38"/>
  <c r="Z83" i="38" s="1"/>
  <c r="N27" i="38"/>
  <c r="Z27" i="38" s="1"/>
  <c r="N55" i="38"/>
  <c r="Z55" i="38" s="1"/>
  <c r="N73" i="38"/>
  <c r="Z73" i="38" s="1"/>
  <c r="L71" i="38"/>
  <c r="L95" i="38"/>
  <c r="N93" i="38"/>
  <c r="Z93" i="38" s="1"/>
  <c r="N13" i="38"/>
  <c r="Z13" i="38" s="1"/>
  <c r="N77" i="38"/>
  <c r="Z77" i="38" s="1"/>
  <c r="N76" i="38"/>
  <c r="Z76" i="38" s="1"/>
  <c r="N40" i="38"/>
  <c r="Z40" i="38" s="1"/>
  <c r="L45" i="38"/>
  <c r="L67" i="38"/>
  <c r="L103" i="38"/>
  <c r="L38" i="38"/>
  <c r="N46" i="38"/>
  <c r="Z46" i="38" s="1"/>
  <c r="L15" i="38"/>
  <c r="N19" i="38"/>
  <c r="Z19" i="38" s="1"/>
  <c r="L96" i="38"/>
  <c r="L53" i="38"/>
  <c r="L51" i="38"/>
  <c r="N50" i="38"/>
  <c r="Z50" i="38" s="1"/>
  <c r="L82" i="38"/>
  <c r="L87" i="38"/>
  <c r="L43" i="38"/>
  <c r="N74" i="38"/>
  <c r="Z74" i="38" s="1"/>
  <c r="L27" i="38"/>
  <c r="L102" i="38"/>
  <c r="L75" i="38"/>
  <c r="L94" i="38"/>
  <c r="L79" i="38"/>
  <c r="L105" i="38"/>
  <c r="L37" i="38"/>
  <c r="L44" i="38"/>
  <c r="L41" i="38"/>
  <c r="L33" i="38"/>
  <c r="N65" i="38"/>
  <c r="Z65" i="38" s="1"/>
  <c r="L80" i="38"/>
  <c r="L48" i="38"/>
  <c r="N100" i="38"/>
  <c r="Z100" i="38" s="1"/>
  <c r="L9" i="38"/>
  <c r="N9" i="19"/>
  <c r="L60" i="38"/>
  <c r="N84" i="38"/>
  <c r="Z84" i="38" s="1"/>
  <c r="N49" i="38"/>
  <c r="Z49" i="38" s="1"/>
  <c r="L56" i="38"/>
  <c r="L63" i="38"/>
  <c r="L17" i="38"/>
  <c r="L21" i="38"/>
  <c r="N42" i="38"/>
  <c r="Z42" i="38" s="1"/>
  <c r="N70" i="38"/>
  <c r="Z70" i="38" s="1"/>
  <c r="N69" i="38"/>
  <c r="Z69" i="38" s="1"/>
  <c r="L32" i="38"/>
  <c r="L61" i="38"/>
  <c r="L58" i="38"/>
  <c r="L92" i="38"/>
  <c r="L99" i="38"/>
  <c r="N37" i="38"/>
  <c r="Z37" i="38" s="1"/>
  <c r="N96" i="38"/>
  <c r="Z96" i="38" s="1"/>
  <c r="N31" i="38"/>
  <c r="Z31" i="38" s="1"/>
  <c r="L65" i="38"/>
  <c r="L100" i="38"/>
  <c r="N9" i="38"/>
  <c r="Z9" i="38" s="1"/>
  <c r="P9" i="19"/>
  <c r="N60" i="38"/>
  <c r="Z60" i="38" s="1"/>
  <c r="L84" i="38"/>
  <c r="L49" i="38"/>
  <c r="N56" i="38"/>
  <c r="Z56" i="38" s="1"/>
  <c r="N17" i="38"/>
  <c r="Z17" i="38" s="1"/>
  <c r="N21" i="38"/>
  <c r="Z21" i="38" s="1"/>
  <c r="L10" i="38"/>
  <c r="N10" i="19"/>
  <c r="L42" i="38"/>
  <c r="L70" i="38"/>
  <c r="L69" i="38"/>
  <c r="N61" i="38"/>
  <c r="Z61" i="38" s="1"/>
  <c r="L59" i="38"/>
  <c r="N92" i="38"/>
  <c r="Z92" i="38" s="1"/>
  <c r="N30" i="38"/>
  <c r="Z30" i="38" s="1"/>
  <c r="L31" i="38"/>
  <c r="L86" i="38"/>
  <c r="L85" i="38"/>
  <c r="L25" i="38"/>
  <c r="L28" i="38"/>
  <c r="N22" i="38"/>
  <c r="Z22" i="38" s="1"/>
  <c r="N62" i="38"/>
  <c r="Z62" i="38" s="1"/>
  <c r="L30" i="38"/>
  <c r="L11" i="38"/>
  <c r="L20" i="38"/>
  <c r="N89" i="38"/>
  <c r="Z89" i="38" s="1"/>
  <c r="N81" i="38"/>
  <c r="Z81" i="38" s="1"/>
  <c r="L104" i="38"/>
  <c r="L18" i="38"/>
  <c r="L57" i="38"/>
  <c r="L72" i="38"/>
  <c r="L29" i="38"/>
  <c r="N14" i="38"/>
  <c r="Z14" i="38" s="1"/>
  <c r="L16" i="38"/>
  <c r="L35" i="38"/>
  <c r="L22" i="38"/>
  <c r="L62" i="38"/>
  <c r="N11" i="38"/>
  <c r="Z11" i="38" s="1"/>
  <c r="L97" i="38"/>
  <c r="L83" i="38"/>
  <c r="L89" i="38"/>
  <c r="N88" i="38"/>
  <c r="Z88" i="38" s="1"/>
  <c r="M109" i="38"/>
  <c r="Y109" i="38" s="1"/>
  <c r="L78" i="38"/>
  <c r="N101" i="38"/>
  <c r="Z101" i="38" s="1"/>
  <c r="N24" i="38"/>
  <c r="Z24" i="38" s="1"/>
  <c r="L26" i="38"/>
  <c r="L66" i="38"/>
  <c r="N86" i="38"/>
  <c r="Z86" i="38" s="1"/>
  <c r="L52" i="38"/>
  <c r="L14" i="38"/>
  <c r="L8" i="38"/>
  <c r="N8" i="19"/>
  <c r="L90" i="38"/>
  <c r="L12" i="38"/>
  <c r="L39" i="38"/>
  <c r="N64" i="38"/>
  <c r="Z64" i="38" s="1"/>
  <c r="N98" i="38"/>
  <c r="Z98" i="38" s="1"/>
  <c r="FQ13" i="5"/>
  <c r="FG13" i="5"/>
  <c r="K199" i="12" s="1"/>
  <c r="AU13" i="5"/>
  <c r="FG14" i="5"/>
  <c r="K200" i="12" s="1"/>
  <c r="FQ14" i="5"/>
  <c r="AU14" i="5"/>
  <c r="AU15" i="5"/>
  <c r="FG15" i="5"/>
  <c r="K201" i="12" s="1"/>
  <c r="FQ15" i="5"/>
  <c r="O12" i="15"/>
  <c r="H19" i="4"/>
  <c r="H22" i="4" s="1"/>
  <c r="AO22" i="22"/>
  <c r="F22" i="45"/>
  <c r="AF22" i="45" s="1"/>
  <c r="K107" i="38"/>
  <c r="AJ66" i="28"/>
  <c r="AJ65" i="28"/>
  <c r="AJ64" i="28"/>
  <c r="AJ63" i="28"/>
  <c r="H14" i="33"/>
  <c r="K14" i="33" s="1"/>
  <c r="CO22" i="22"/>
  <c r="AE23" i="38"/>
  <c r="T127" i="17"/>
  <c r="S127" i="17"/>
  <c r="Y127" i="17"/>
  <c r="V785" i="4"/>
  <c r="AC127" i="17" s="1"/>
  <c r="W785" i="4"/>
  <c r="AD127" i="17" s="1"/>
  <c r="T785" i="4"/>
  <c r="AA127" i="17" s="1"/>
  <c r="AF785" i="4"/>
  <c r="AJ127" i="17" s="1"/>
  <c r="U785" i="4"/>
  <c r="AB127" i="17" s="1"/>
  <c r="X785" i="4"/>
  <c r="AE127" i="17" s="1"/>
  <c r="AE785" i="4"/>
  <c r="AI127" i="17" s="1"/>
  <c r="S785" i="4"/>
  <c r="Z127" i="17" s="1"/>
  <c r="AG785" i="4"/>
  <c r="AK127" i="17" s="1"/>
  <c r="Y785" i="4"/>
  <c r="AF127" i="17" s="1"/>
  <c r="AH785" i="4"/>
  <c r="AL127" i="17" s="1"/>
  <c r="AD785" i="4"/>
  <c r="AH127" i="17" s="1"/>
  <c r="AC785" i="4"/>
  <c r="AG127" i="17" s="1"/>
  <c r="AI785" i="4"/>
  <c r="AM127" i="17" s="1"/>
  <c r="AC26" i="38"/>
  <c r="AD26" i="38" s="1"/>
  <c r="V19" i="22"/>
  <c r="W19" i="22" s="1"/>
  <c r="V20" i="22"/>
  <c r="W20" i="22" s="1"/>
  <c r="V18" i="22"/>
  <c r="W18" i="22" s="1"/>
  <c r="U42" i="14"/>
  <c r="AK155" i="12"/>
  <c r="V42" i="14"/>
  <c r="AY40" i="14"/>
  <c r="BT29" i="14"/>
  <c r="BA405" i="12"/>
  <c r="BA155" i="16" s="1"/>
  <c r="AS154" i="12"/>
  <c r="AC153" i="12"/>
  <c r="AE38" i="14"/>
  <c r="BO28" i="14"/>
  <c r="BC36" i="14"/>
  <c r="BU27" i="14"/>
  <c r="O741" i="4"/>
  <c r="N752" i="4"/>
  <c r="I741" i="4"/>
  <c r="K773" i="4"/>
  <c r="L741" i="4"/>
  <c r="I752" i="4"/>
  <c r="L752" i="4"/>
  <c r="J773" i="4"/>
  <c r="O773" i="4"/>
  <c r="M741" i="4"/>
  <c r="J741" i="4"/>
  <c r="O752" i="4"/>
  <c r="M773" i="4"/>
  <c r="I773" i="4"/>
  <c r="N741" i="4"/>
  <c r="M752" i="4"/>
  <c r="K741" i="4"/>
  <c r="N773" i="4"/>
  <c r="J14" i="17"/>
  <c r="J752" i="4"/>
  <c r="L773" i="4"/>
  <c r="K752" i="4"/>
  <c r="BG36" i="14"/>
  <c r="BV27" i="14"/>
  <c r="I26" i="45"/>
  <c r="AI26" i="45" s="1"/>
  <c r="AJ60" i="28"/>
  <c r="AJ67" i="28"/>
  <c r="AJ68" i="28"/>
  <c r="AJ69" i="28"/>
  <c r="AJ61" i="28"/>
  <c r="AJ62" i="28"/>
  <c r="AI36" i="14"/>
  <c r="BP27" i="14"/>
  <c r="AC36" i="14"/>
  <c r="AC42" i="14"/>
  <c r="W38" i="14"/>
  <c r="BM28" i="14"/>
  <c r="AE40" i="14"/>
  <c r="BO29" i="14"/>
  <c r="AR36" i="14"/>
  <c r="AR42" i="14"/>
  <c r="AA38" i="14"/>
  <c r="BN28" i="14"/>
  <c r="C9" i="36"/>
  <c r="D9" i="36" s="1"/>
  <c r="C14" i="36"/>
  <c r="D14" i="36" s="1"/>
  <c r="C13" i="36"/>
  <c r="D13" i="36" s="1"/>
  <c r="G9" i="36"/>
  <c r="C18" i="36"/>
  <c r="D18" i="36" s="1"/>
  <c r="G14" i="36"/>
  <c r="C15" i="36"/>
  <c r="D15" i="36" s="1"/>
  <c r="G10" i="36"/>
  <c r="G18" i="36"/>
  <c r="C11" i="36"/>
  <c r="C10" i="36"/>
  <c r="D10" i="36" s="1"/>
  <c r="G12" i="36"/>
  <c r="C12" i="36"/>
  <c r="D12" i="36" s="1"/>
  <c r="G13" i="36"/>
  <c r="G17" i="36"/>
  <c r="G16" i="36"/>
  <c r="G15" i="36"/>
  <c r="G11" i="36"/>
  <c r="C17" i="36"/>
  <c r="D17" i="36" s="1"/>
  <c r="C16" i="36"/>
  <c r="D16" i="36" s="1"/>
  <c r="AM38" i="14"/>
  <c r="BQ28" i="14"/>
  <c r="BC40" i="14"/>
  <c r="BU29" i="14"/>
  <c r="AJ154" i="12"/>
  <c r="AB155" i="12"/>
  <c r="AB153" i="12"/>
  <c r="AB154" i="12"/>
  <c r="T154" i="12"/>
  <c r="T405" i="12"/>
  <c r="T155" i="16" s="1"/>
  <c r="T153" i="12"/>
  <c r="AO36" i="14"/>
  <c r="AO42" i="14"/>
  <c r="BN30" i="14"/>
  <c r="BN27" i="14"/>
  <c r="BG38" i="14"/>
  <c r="BV28" i="14"/>
  <c r="BB36" i="14"/>
  <c r="BB42" i="14"/>
  <c r="H51" i="15"/>
  <c r="AL36" i="14"/>
  <c r="AL42" i="14"/>
  <c r="BG154" i="12"/>
  <c r="BG153" i="12"/>
  <c r="AY155" i="12"/>
  <c r="AY153" i="12"/>
  <c r="AY405" i="12"/>
  <c r="AY155" i="16" s="1"/>
  <c r="AY154" i="12"/>
  <c r="AQ155" i="12"/>
  <c r="AQ154" i="12"/>
  <c r="AQ405" i="12"/>
  <c r="AQ155" i="16" s="1"/>
  <c r="AA155" i="12"/>
  <c r="AA153" i="12"/>
  <c r="AA154" i="12"/>
  <c r="AA405" i="12"/>
  <c r="AA155" i="16" s="1"/>
  <c r="AB42" i="14"/>
  <c r="AQ36" i="14"/>
  <c r="BR27" i="14"/>
  <c r="AT36" i="14"/>
  <c r="AT42" i="14"/>
  <c r="AZ36" i="14"/>
  <c r="AZ42" i="14"/>
  <c r="AY36" i="14"/>
  <c r="BT27" i="14"/>
  <c r="BD36" i="14"/>
  <c r="BD42" i="14"/>
  <c r="AG36" i="14"/>
  <c r="AG42" i="14"/>
  <c r="AM40" i="14"/>
  <c r="BQ29" i="14"/>
  <c r="W40" i="14"/>
  <c r="BM29" i="14"/>
  <c r="AE22" i="22"/>
  <c r="AF22" i="22"/>
  <c r="AC22" i="22"/>
  <c r="AM36" i="14"/>
  <c r="BQ27" i="14"/>
  <c r="AX155" i="12"/>
  <c r="AP155" i="12"/>
  <c r="AP154" i="12"/>
  <c r="AP153" i="12"/>
  <c r="AH155" i="12"/>
  <c r="AH153" i="12"/>
  <c r="AH405" i="12"/>
  <c r="AH155" i="16" s="1"/>
  <c r="AH154" i="12"/>
  <c r="Z155" i="12"/>
  <c r="Z153" i="12"/>
  <c r="Z405" i="12"/>
  <c r="Z154" i="12"/>
  <c r="AJ36" i="14"/>
  <c r="AJ42" i="14"/>
  <c r="AL24" i="38"/>
  <c r="AE24" i="38" s="1"/>
  <c r="AU38" i="14"/>
  <c r="BS28" i="14"/>
  <c r="AS36" i="14"/>
  <c r="AS42" i="14"/>
  <c r="AP36" i="14"/>
  <c r="AP42" i="14"/>
  <c r="BA36" i="14"/>
  <c r="BA42" i="14"/>
  <c r="P51" i="15"/>
  <c r="R51" i="15" s="1"/>
  <c r="R41" i="15"/>
  <c r="BG40" i="14"/>
  <c r="BV29" i="14"/>
  <c r="BE155" i="12"/>
  <c r="BE153" i="12"/>
  <c r="BE154" i="12"/>
  <c r="BE405" i="12"/>
  <c r="BE155" i="16" s="1"/>
  <c r="AW155" i="12"/>
  <c r="AW154" i="12"/>
  <c r="AW153" i="12"/>
  <c r="AO155" i="12"/>
  <c r="AO154" i="12"/>
  <c r="AO405" i="12"/>
  <c r="AO155" i="16" s="1"/>
  <c r="AO153" i="12"/>
  <c r="AG155" i="12"/>
  <c r="AG153" i="12"/>
  <c r="AG154" i="12"/>
  <c r="AG405" i="12"/>
  <c r="AG155" i="16" s="1"/>
  <c r="Y155" i="12"/>
  <c r="Y154" i="12"/>
  <c r="Y153" i="12"/>
  <c r="Y405" i="12"/>
  <c r="AQ38" i="14"/>
  <c r="BR28" i="14"/>
  <c r="AV36" i="14"/>
  <c r="AV42" i="14"/>
  <c r="AQ40" i="14"/>
  <c r="BR29" i="14"/>
  <c r="AE36" i="14"/>
  <c r="BO27" i="14"/>
  <c r="AK36" i="14"/>
  <c r="AK42" i="14"/>
  <c r="AU40" i="14"/>
  <c r="BS29" i="14"/>
  <c r="I59" i="45"/>
  <c r="AI59" i="45" s="1"/>
  <c r="BD155" i="12"/>
  <c r="BD153" i="12"/>
  <c r="BD154" i="12"/>
  <c r="BD405" i="12"/>
  <c r="BD155" i="16" s="1"/>
  <c r="AV155" i="12"/>
  <c r="AV153" i="12"/>
  <c r="AV405" i="12"/>
  <c r="AV155" i="16" s="1"/>
  <c r="AV154" i="12"/>
  <c r="AN155" i="12"/>
  <c r="AN405" i="12"/>
  <c r="AN155" i="16" s="1"/>
  <c r="AN154" i="12"/>
  <c r="AN153" i="12"/>
  <c r="X155" i="12"/>
  <c r="X154" i="12"/>
  <c r="X153" i="12"/>
  <c r="X405" i="12"/>
  <c r="H23" i="36"/>
  <c r="AN42" i="14"/>
  <c r="AN36" i="14"/>
  <c r="AY38" i="14"/>
  <c r="BT28" i="14"/>
  <c r="V36" i="14"/>
  <c r="L107" i="38"/>
  <c r="AA36" i="14"/>
  <c r="BF36" i="14"/>
  <c r="BF42" i="14"/>
  <c r="AA40" i="14"/>
  <c r="BN29" i="14"/>
  <c r="AF36" i="14"/>
  <c r="AF42" i="14"/>
  <c r="AU36" i="14"/>
  <c r="BS27" i="14"/>
  <c r="BC405" i="12"/>
  <c r="BC155" i="16" s="1"/>
  <c r="AU155" i="12"/>
  <c r="AU405" i="12"/>
  <c r="AU155" i="16" s="1"/>
  <c r="AU154" i="12"/>
  <c r="AU153" i="12"/>
  <c r="AM155" i="12"/>
  <c r="AM153" i="12"/>
  <c r="AM405" i="12"/>
  <c r="AM155" i="16" s="1"/>
  <c r="AM154" i="12"/>
  <c r="AE155" i="12"/>
  <c r="AE154" i="12"/>
  <c r="AE405" i="12"/>
  <c r="AE153" i="12"/>
  <c r="W155" i="12"/>
  <c r="W405" i="12"/>
  <c r="W154" i="12"/>
  <c r="W153" i="12"/>
  <c r="AH36" i="14"/>
  <c r="AH42" i="14"/>
  <c r="AW36" i="14"/>
  <c r="AW42" i="14"/>
  <c r="I25" i="45"/>
  <c r="AI25" i="45" s="1"/>
  <c r="BC38" i="14"/>
  <c r="BU28" i="14"/>
  <c r="AI40" i="14"/>
  <c r="BP29" i="14"/>
  <c r="BE36" i="14"/>
  <c r="BE42" i="14"/>
  <c r="AI38" i="14"/>
  <c r="BP28" i="14"/>
  <c r="BB155" i="12"/>
  <c r="BB405" i="12"/>
  <c r="BB155" i="16" s="1"/>
  <c r="BB154" i="12"/>
  <c r="BB153" i="12"/>
  <c r="AT155" i="12"/>
  <c r="AT154" i="12"/>
  <c r="AT153" i="12"/>
  <c r="AT405" i="12"/>
  <c r="AT155" i="16" s="1"/>
  <c r="AL155" i="12"/>
  <c r="AL405" i="12"/>
  <c r="AL155" i="16" s="1"/>
  <c r="AL153" i="12"/>
  <c r="AL154" i="12"/>
  <c r="AD155" i="12"/>
  <c r="AD153" i="12"/>
  <c r="AD405" i="12"/>
  <c r="AD154" i="12"/>
  <c r="V155" i="12"/>
  <c r="V154" i="12"/>
  <c r="V405" i="12"/>
  <c r="V153" i="12"/>
  <c r="AX36" i="14"/>
  <c r="AX42" i="14"/>
  <c r="AD36" i="14"/>
  <c r="AD42" i="14"/>
  <c r="P10" i="19" l="1"/>
  <c r="N10" i="38"/>
  <c r="Z10" i="38" s="1"/>
  <c r="BA72" i="28"/>
  <c r="AZ76" i="28"/>
  <c r="BD72" i="28"/>
  <c r="AD47" i="28"/>
  <c r="AG47" i="28"/>
  <c r="BA73" i="28"/>
  <c r="BD73" i="28"/>
  <c r="AC58" i="28"/>
  <c r="AD46" i="28"/>
  <c r="AG46" i="28"/>
  <c r="BA74" i="28"/>
  <c r="BD74" i="28"/>
  <c r="AD48" i="28"/>
  <c r="AG48" i="28"/>
  <c r="J11" i="29"/>
  <c r="K11" i="29" s="1"/>
  <c r="K32" i="40"/>
  <c r="K10" i="40" s="1"/>
  <c r="M10" i="40" s="1"/>
  <c r="H12" i="27"/>
  <c r="K12" i="27" s="1"/>
  <c r="R28" i="28"/>
  <c r="U28" i="28"/>
  <c r="BL78" i="28"/>
  <c r="Q44" i="28"/>
  <c r="R44" i="28" s="1"/>
  <c r="N75" i="38"/>
  <c r="Z75" i="38" s="1"/>
  <c r="CB15" i="6"/>
  <c r="M100" i="10"/>
  <c r="M109" i="7"/>
  <c r="M100" i="11"/>
  <c r="M106" i="8"/>
  <c r="X18" i="22"/>
  <c r="CB17" i="6"/>
  <c r="M108" i="8"/>
  <c r="M102" i="11"/>
  <c r="X20" i="22"/>
  <c r="M111" i="7"/>
  <c r="M102" i="10"/>
  <c r="CB16" i="6"/>
  <c r="M101" i="10"/>
  <c r="M107" i="8"/>
  <c r="M101" i="11"/>
  <c r="X19" i="22"/>
  <c r="M110" i="7"/>
  <c r="N20" i="38"/>
  <c r="Z20" i="38" s="1"/>
  <c r="N32" i="38"/>
  <c r="Z32" i="38" s="1"/>
  <c r="N53" i="38"/>
  <c r="Z53" i="38" s="1"/>
  <c r="N91" i="38"/>
  <c r="Z91" i="38" s="1"/>
  <c r="N102" i="38"/>
  <c r="Z102" i="38" s="1"/>
  <c r="N12" i="38"/>
  <c r="Z12" i="38" s="1"/>
  <c r="N85" i="38"/>
  <c r="Z85" i="38" s="1"/>
  <c r="N23" i="38"/>
  <c r="Z23" i="38" s="1"/>
  <c r="N78" i="38"/>
  <c r="Z78" i="38" s="1"/>
  <c r="N59" i="38"/>
  <c r="Z59" i="38" s="1"/>
  <c r="N72" i="38"/>
  <c r="Z72" i="38" s="1"/>
  <c r="N33" i="38"/>
  <c r="Z33" i="38" s="1"/>
  <c r="N54" i="38"/>
  <c r="Z54" i="38" s="1"/>
  <c r="N66" i="38"/>
  <c r="Z66" i="38" s="1"/>
  <c r="N48" i="38"/>
  <c r="Z48" i="38" s="1"/>
  <c r="N28" i="38"/>
  <c r="Z28" i="38" s="1"/>
  <c r="N99" i="38"/>
  <c r="Z99" i="38" s="1"/>
  <c r="N34" i="38"/>
  <c r="Z34" i="38" s="1"/>
  <c r="N41" i="38"/>
  <c r="Z41" i="38" s="1"/>
  <c r="P8" i="19"/>
  <c r="P30" i="46" s="1"/>
  <c r="N8" i="38"/>
  <c r="Z8" i="38" s="1"/>
  <c r="O17" i="15"/>
  <c r="O18" i="15" s="1"/>
  <c r="N18" i="38"/>
  <c r="Z18" i="38" s="1"/>
  <c r="N58" i="38"/>
  <c r="Z58" i="38" s="1"/>
  <c r="N63" i="38"/>
  <c r="Z63" i="38" s="1"/>
  <c r="N94" i="38"/>
  <c r="Z94" i="38" s="1"/>
  <c r="N97" i="38"/>
  <c r="Z97" i="38" s="1"/>
  <c r="N29" i="38"/>
  <c r="Z29" i="38" s="1"/>
  <c r="N87" i="38"/>
  <c r="Z87" i="38" s="1"/>
  <c r="N80" i="38"/>
  <c r="Z80" i="38" s="1"/>
  <c r="N25" i="38"/>
  <c r="Z25" i="38" s="1"/>
  <c r="N52" i="38"/>
  <c r="Z52" i="38" s="1"/>
  <c r="N35" i="38"/>
  <c r="Z35" i="38" s="1"/>
  <c r="N44" i="38"/>
  <c r="Z44" i="38" s="1"/>
  <c r="N16" i="38"/>
  <c r="Z16" i="38" s="1"/>
  <c r="N104" i="38"/>
  <c r="Z104" i="38" s="1"/>
  <c r="N67" i="38"/>
  <c r="Z67" i="38" s="1"/>
  <c r="N105" i="38"/>
  <c r="Z105" i="38" s="1"/>
  <c r="AC199" i="12"/>
  <c r="Y199" i="12"/>
  <c r="W199" i="12"/>
  <c r="Z199" i="12"/>
  <c r="T199" i="12"/>
  <c r="V199" i="12"/>
  <c r="AH199" i="12"/>
  <c r="AK199" i="12"/>
  <c r="AF199" i="12"/>
  <c r="AB199" i="12"/>
  <c r="AJ199" i="12"/>
  <c r="AD199" i="12"/>
  <c r="AE199" i="12"/>
  <c r="AG199" i="12"/>
  <c r="U199" i="12"/>
  <c r="AA199" i="12"/>
  <c r="X199" i="12"/>
  <c r="AI199" i="12"/>
  <c r="AL199" i="12"/>
  <c r="AM199" i="12"/>
  <c r="AN199" i="12"/>
  <c r="AO199" i="12"/>
  <c r="AP199" i="12"/>
  <c r="AQ199" i="12"/>
  <c r="AR199" i="12"/>
  <c r="AS199" i="12"/>
  <c r="AT199" i="12"/>
  <c r="AU199" i="12"/>
  <c r="AV199" i="12"/>
  <c r="AW199" i="12"/>
  <c r="AX199" i="12"/>
  <c r="AY199" i="12"/>
  <c r="AZ199" i="12"/>
  <c r="BA199" i="12"/>
  <c r="BB199" i="12"/>
  <c r="BC199" i="12"/>
  <c r="BD199" i="12"/>
  <c r="BE199" i="12"/>
  <c r="BF199" i="12"/>
  <c r="BG199" i="12"/>
  <c r="FV14" i="5"/>
  <c r="FV13" i="5"/>
  <c r="T200" i="12"/>
  <c r="X200" i="12"/>
  <c r="AA200" i="12"/>
  <c r="AE200" i="12"/>
  <c r="AI200" i="12"/>
  <c r="AF200" i="12"/>
  <c r="AK200" i="12"/>
  <c r="Y200" i="12"/>
  <c r="W200" i="12"/>
  <c r="AC200" i="12"/>
  <c r="AD200" i="12"/>
  <c r="V200" i="12"/>
  <c r="U200" i="12"/>
  <c r="AH200" i="12"/>
  <c r="AJ200" i="12"/>
  <c r="Z200" i="12"/>
  <c r="AB200" i="12"/>
  <c r="AG200" i="12"/>
  <c r="AL200" i="12"/>
  <c r="AM200" i="12"/>
  <c r="AN200" i="12"/>
  <c r="AO200" i="12"/>
  <c r="AP200" i="12"/>
  <c r="AQ200" i="12"/>
  <c r="AR200" i="12"/>
  <c r="AS200" i="12"/>
  <c r="AT200" i="12"/>
  <c r="AU200" i="12"/>
  <c r="AV200" i="12"/>
  <c r="AW200" i="12"/>
  <c r="AX200" i="12"/>
  <c r="AY200" i="12"/>
  <c r="AZ200" i="12"/>
  <c r="BA200" i="12"/>
  <c r="BB200" i="12"/>
  <c r="BC200" i="12"/>
  <c r="BD200" i="12"/>
  <c r="BE200" i="12"/>
  <c r="BF200" i="12"/>
  <c r="BG200" i="12"/>
  <c r="FV15" i="5"/>
  <c r="W201" i="12"/>
  <c r="AE201" i="12"/>
  <c r="X201" i="12"/>
  <c r="AF201" i="12"/>
  <c r="Y201" i="12"/>
  <c r="Z201" i="12"/>
  <c r="AG201" i="12"/>
  <c r="AH201" i="12"/>
  <c r="AA201" i="12"/>
  <c r="T201" i="12"/>
  <c r="AB201" i="12"/>
  <c r="U201" i="12"/>
  <c r="AC201" i="12"/>
  <c r="V201" i="12"/>
  <c r="AD201" i="12"/>
  <c r="AI201" i="12"/>
  <c r="AJ201" i="12"/>
  <c r="AK201" i="12"/>
  <c r="AL201" i="12"/>
  <c r="AM201" i="12"/>
  <c r="AN201" i="12"/>
  <c r="AO201" i="12"/>
  <c r="AP201" i="12"/>
  <c r="AQ201" i="12"/>
  <c r="AR201" i="12"/>
  <c r="AS201" i="12"/>
  <c r="AT201" i="12"/>
  <c r="AU201" i="12"/>
  <c r="AV201" i="12"/>
  <c r="AW201" i="12"/>
  <c r="AX201" i="12"/>
  <c r="AY201" i="12"/>
  <c r="AZ201" i="12"/>
  <c r="BA201" i="12"/>
  <c r="BB201" i="12"/>
  <c r="BC201" i="12"/>
  <c r="BD201" i="12"/>
  <c r="BE201" i="12"/>
  <c r="BF201" i="12"/>
  <c r="BG201" i="12"/>
  <c r="BC153" i="12"/>
  <c r="BC93" i="14" s="1"/>
  <c r="AF153" i="12"/>
  <c r="BC154" i="12"/>
  <c r="AF154" i="12"/>
  <c r="AD22" i="22"/>
  <c r="AF405" i="12"/>
  <c r="AF155" i="16" s="1"/>
  <c r="BF154" i="12"/>
  <c r="BC155" i="12"/>
  <c r="BE158" i="45"/>
  <c r="BE178" i="45" s="1"/>
  <c r="AF155" i="12"/>
  <c r="U153" i="12"/>
  <c r="BF405" i="12"/>
  <c r="BF155" i="16" s="1"/>
  <c r="AP405" i="12"/>
  <c r="AP155" i="16" s="1"/>
  <c r="T155" i="12"/>
  <c r="AK20" i="22" s="1"/>
  <c r="AZ405" i="12"/>
  <c r="AZ155" i="16" s="1"/>
  <c r="AB405" i="12"/>
  <c r="AB155" i="16" s="1"/>
  <c r="AZ154" i="12"/>
  <c r="BF153" i="12"/>
  <c r="BF155" i="12"/>
  <c r="AZ153" i="12"/>
  <c r="AZ155" i="12"/>
  <c r="AI155" i="12"/>
  <c r="AQ153" i="12"/>
  <c r="AQ93" i="14" s="1"/>
  <c r="AJ405" i="12"/>
  <c r="AJ155" i="16" s="1"/>
  <c r="AI154" i="12"/>
  <c r="BG405" i="12"/>
  <c r="BG155" i="16" s="1"/>
  <c r="AI153" i="12"/>
  <c r="AI405" i="12"/>
  <c r="AI155" i="16" s="1"/>
  <c r="AR154" i="12"/>
  <c r="AJ153" i="12"/>
  <c r="AC405" i="12"/>
  <c r="AC155" i="16" s="1"/>
  <c r="AC154" i="12"/>
  <c r="AS405" i="12"/>
  <c r="AS155" i="16" s="1"/>
  <c r="AS153" i="12"/>
  <c r="U155" i="12"/>
  <c r="U405" i="12"/>
  <c r="U154" i="12"/>
  <c r="AS155" i="12"/>
  <c r="BG155" i="12"/>
  <c r="BG374" i="12" s="1"/>
  <c r="BA154" i="12"/>
  <c r="BA155" i="12"/>
  <c r="AJ155" i="12"/>
  <c r="AC155" i="12"/>
  <c r="AK154" i="12"/>
  <c r="BA153" i="12"/>
  <c r="AR155" i="12"/>
  <c r="AR153" i="12"/>
  <c r="AR93" i="14" s="1"/>
  <c r="AR405" i="12"/>
  <c r="AR155" i="16" s="1"/>
  <c r="AK153" i="12"/>
  <c r="AK93" i="14" s="1"/>
  <c r="AK405" i="12"/>
  <c r="AK155" i="16" s="1"/>
  <c r="AW405" i="12"/>
  <c r="AW155" i="16" s="1"/>
  <c r="AX405" i="12"/>
  <c r="AX155" i="16" s="1"/>
  <c r="AX154" i="12"/>
  <c r="AL22" i="22"/>
  <c r="AX153" i="12"/>
  <c r="AX93" i="14" s="1"/>
  <c r="AP63" i="28"/>
  <c r="AN63" i="28"/>
  <c r="AL63" i="28"/>
  <c r="AS63" i="28"/>
  <c r="AK63" i="28"/>
  <c r="AL64" i="28"/>
  <c r="AS64" i="28"/>
  <c r="AK64" i="28"/>
  <c r="AN64" i="28"/>
  <c r="AP64" i="28"/>
  <c r="AS65" i="28"/>
  <c r="AK65" i="28"/>
  <c r="AP65" i="28"/>
  <c r="AL65" i="28"/>
  <c r="AN65" i="28"/>
  <c r="AP66" i="28"/>
  <c r="AN66" i="28"/>
  <c r="AS66" i="28"/>
  <c r="AK66" i="28"/>
  <c r="AL66" i="28"/>
  <c r="D11" i="36"/>
  <c r="J11" i="36"/>
  <c r="Y773" i="4"/>
  <c r="Y113" i="17"/>
  <c r="T773" i="4"/>
  <c r="T113" i="17"/>
  <c r="V773" i="4"/>
  <c r="V113" i="17"/>
  <c r="S773" i="4"/>
  <c r="S113" i="17"/>
  <c r="W773" i="4"/>
  <c r="W113" i="17"/>
  <c r="U773" i="4"/>
  <c r="U113" i="17"/>
  <c r="X773" i="4"/>
  <c r="X113" i="17"/>
  <c r="CQ20" i="22"/>
  <c r="CQ19" i="22"/>
  <c r="AR343" i="12"/>
  <c r="AR88" i="16" s="1"/>
  <c r="AS343" i="12"/>
  <c r="AS88" i="16" s="1"/>
  <c r="BR63" i="14"/>
  <c r="BB343" i="12"/>
  <c r="BB88" i="16" s="1"/>
  <c r="BD343" i="12"/>
  <c r="BD88" i="16" s="1"/>
  <c r="X343" i="12"/>
  <c r="X88" i="16" s="1"/>
  <c r="AW343" i="12"/>
  <c r="AW88" i="16" s="1"/>
  <c r="AZ343" i="12"/>
  <c r="AZ88" i="16" s="1"/>
  <c r="AY343" i="12"/>
  <c r="AY88" i="16" s="1"/>
  <c r="AT343" i="12"/>
  <c r="AT88" i="16" s="1"/>
  <c r="AV343" i="12"/>
  <c r="AV88" i="16" s="1"/>
  <c r="AD343" i="12"/>
  <c r="AD88" i="16" s="1"/>
  <c r="AG343" i="12"/>
  <c r="AG88" i="16" s="1"/>
  <c r="Y343" i="12"/>
  <c r="Y88" i="16" s="1"/>
  <c r="AM343" i="12"/>
  <c r="AM88" i="16" s="1"/>
  <c r="AF343" i="12"/>
  <c r="AF88" i="16" s="1"/>
  <c r="AI343" i="12"/>
  <c r="AI88" i="16" s="1"/>
  <c r="BA343" i="12"/>
  <c r="BA88" i="16" s="1"/>
  <c r="AA343" i="12"/>
  <c r="AA88" i="16" s="1"/>
  <c r="BE343" i="12"/>
  <c r="BE88" i="16" s="1"/>
  <c r="BC343" i="12"/>
  <c r="BC88" i="16" s="1"/>
  <c r="AQ343" i="12"/>
  <c r="AQ88" i="16" s="1"/>
  <c r="BF343" i="12"/>
  <c r="BF88" i="16" s="1"/>
  <c r="AL343" i="12"/>
  <c r="AL88" i="16" s="1"/>
  <c r="AX343" i="12"/>
  <c r="AX88" i="16" s="1"/>
  <c r="BG343" i="12"/>
  <c r="BG88" i="16" s="1"/>
  <c r="W343" i="12"/>
  <c r="W88" i="16" s="1"/>
  <c r="V343" i="12"/>
  <c r="V88" i="16" s="1"/>
  <c r="AB343" i="12"/>
  <c r="AB88" i="16" s="1"/>
  <c r="AH343" i="12"/>
  <c r="AH88" i="16" s="1"/>
  <c r="U343" i="12"/>
  <c r="U88" i="16" s="1"/>
  <c r="AJ343" i="12"/>
  <c r="AJ88" i="16" s="1"/>
  <c r="AP343" i="12"/>
  <c r="AP88" i="16" s="1"/>
  <c r="AU343" i="12"/>
  <c r="AU88" i="16" s="1"/>
  <c r="AO343" i="12"/>
  <c r="AO88" i="16" s="1"/>
  <c r="AC59" i="38"/>
  <c r="AD59" i="38" s="1"/>
  <c r="AC25" i="38"/>
  <c r="AD25" i="38" s="1"/>
  <c r="W374" i="12"/>
  <c r="W93" i="14"/>
  <c r="AH374" i="12"/>
  <c r="AH93" i="14"/>
  <c r="CQ18" i="22"/>
  <c r="AA93" i="14"/>
  <c r="AA374" i="12"/>
  <c r="AB93" i="14"/>
  <c r="AB374" i="12"/>
  <c r="E16" i="36"/>
  <c r="I16" i="36" s="1"/>
  <c r="H12" i="36"/>
  <c r="E18" i="36"/>
  <c r="I18" i="36" s="1"/>
  <c r="AS62" i="28"/>
  <c r="AP62" i="28"/>
  <c r="AN62" i="28"/>
  <c r="AK62" i="28"/>
  <c r="AL62" i="28"/>
  <c r="AL26" i="38"/>
  <c r="AE26" i="38" s="1"/>
  <c r="W752" i="4"/>
  <c r="AD86" i="17" s="1"/>
  <c r="W86" i="17"/>
  <c r="AG752" i="4"/>
  <c r="AK86" i="17" s="1"/>
  <c r="Y741" i="4"/>
  <c r="Y72" i="17"/>
  <c r="BC42" i="14"/>
  <c r="BU30" i="14"/>
  <c r="AC93" i="14"/>
  <c r="W42" i="14"/>
  <c r="BM30" i="14"/>
  <c r="AO93" i="14"/>
  <c r="AO374" i="12"/>
  <c r="AK19" i="22"/>
  <c r="E17" i="36"/>
  <c r="I17" i="36" s="1"/>
  <c r="E10" i="36"/>
  <c r="G19" i="36"/>
  <c r="G21" i="36" s="1"/>
  <c r="H9" i="36"/>
  <c r="AI42" i="14"/>
  <c r="BP30" i="14"/>
  <c r="AS61" i="28"/>
  <c r="AP61" i="28"/>
  <c r="AN61" i="28"/>
  <c r="AK61" i="28"/>
  <c r="AL61" i="28"/>
  <c r="X741" i="4"/>
  <c r="X72" i="17"/>
  <c r="AT93" i="14"/>
  <c r="AT374" i="12"/>
  <c r="AL25" i="38"/>
  <c r="AU93" i="14"/>
  <c r="AU374" i="12"/>
  <c r="Z93" i="14"/>
  <c r="Z374" i="12"/>
  <c r="AQ42" i="14"/>
  <c r="BR30" i="14"/>
  <c r="AZ93" i="14"/>
  <c r="H11" i="36"/>
  <c r="E11" i="36"/>
  <c r="E13" i="36"/>
  <c r="I13" i="36" s="1"/>
  <c r="AS69" i="28"/>
  <c r="AP69" i="28"/>
  <c r="AN69" i="28"/>
  <c r="AL69" i="28"/>
  <c r="AK69" i="28"/>
  <c r="AE752" i="4"/>
  <c r="AI86" i="17" s="1"/>
  <c r="U86" i="17"/>
  <c r="U752" i="4"/>
  <c r="AB86" i="17" s="1"/>
  <c r="V86" i="17"/>
  <c r="V752" i="4"/>
  <c r="AC86" i="17" s="1"/>
  <c r="AF752" i="4"/>
  <c r="AJ86" i="17" s="1"/>
  <c r="X93" i="14"/>
  <c r="X374" i="12"/>
  <c r="AE42" i="14"/>
  <c r="BO30" i="14"/>
  <c r="AM42" i="14"/>
  <c r="BQ30" i="14"/>
  <c r="AA42" i="14"/>
  <c r="AI107" i="38"/>
  <c r="CA22" i="22"/>
  <c r="AY93" i="14"/>
  <c r="AY374" i="12"/>
  <c r="H15" i="36"/>
  <c r="H18" i="36"/>
  <c r="E14" i="36"/>
  <c r="I14" i="36" s="1"/>
  <c r="AP68" i="28"/>
  <c r="AN68" i="28"/>
  <c r="AS68" i="28"/>
  <c r="AL68" i="28"/>
  <c r="AK68" i="28"/>
  <c r="AC752" i="4"/>
  <c r="AG86" i="17" s="1"/>
  <c r="S86" i="17"/>
  <c r="S752" i="4"/>
  <c r="Z86" i="17" s="1"/>
  <c r="U93" i="14"/>
  <c r="AL374" i="12"/>
  <c r="AL93" i="14"/>
  <c r="BD93" i="14"/>
  <c r="BD374" i="12"/>
  <c r="AL59" i="38"/>
  <c r="H16" i="36"/>
  <c r="H10" i="36"/>
  <c r="E9" i="36"/>
  <c r="AS67" i="28"/>
  <c r="AP67" i="28"/>
  <c r="AN67" i="28"/>
  <c r="AL67" i="28"/>
  <c r="AK67" i="28"/>
  <c r="T86" i="17"/>
  <c r="T752" i="4"/>
  <c r="AA86" i="17" s="1"/>
  <c r="AD752" i="4"/>
  <c r="AH86" i="17" s="1"/>
  <c r="V741" i="4"/>
  <c r="V72" i="17"/>
  <c r="BI63" i="14"/>
  <c r="W334" i="12"/>
  <c r="AG93" i="14"/>
  <c r="AG374" i="12"/>
  <c r="AP374" i="12"/>
  <c r="AP93" i="14"/>
  <c r="H17" i="36"/>
  <c r="AP60" i="28"/>
  <c r="AN60" i="28"/>
  <c r="AL60" i="28"/>
  <c r="AK60" i="28"/>
  <c r="AS60" i="28"/>
  <c r="AI752" i="4"/>
  <c r="AM86" i="17" s="1"/>
  <c r="Y86" i="17"/>
  <c r="Y752" i="4"/>
  <c r="AF86" i="17" s="1"/>
  <c r="F24" i="45"/>
  <c r="AF24" i="45" s="1"/>
  <c r="AE93" i="14"/>
  <c r="AE374" i="12"/>
  <c r="AM93" i="14"/>
  <c r="AM374" i="12"/>
  <c r="AN374" i="12"/>
  <c r="AN93" i="14"/>
  <c r="AV93" i="14"/>
  <c r="AV374" i="12"/>
  <c r="N107" i="38"/>
  <c r="Y93" i="14"/>
  <c r="Y374" i="12"/>
  <c r="AY42" i="14"/>
  <c r="BT30" i="14"/>
  <c r="AI93" i="14"/>
  <c r="N97" i="45"/>
  <c r="AN97" i="45" s="1"/>
  <c r="H13" i="36"/>
  <c r="E15" i="36"/>
  <c r="AJ334" i="12"/>
  <c r="T72" i="17"/>
  <c r="T741" i="4"/>
  <c r="S72" i="17"/>
  <c r="S741" i="4"/>
  <c r="AS93" i="14"/>
  <c r="AS374" i="12"/>
  <c r="V374" i="12"/>
  <c r="V93" i="14"/>
  <c r="AD374" i="12"/>
  <c r="AD93" i="14"/>
  <c r="BB93" i="14"/>
  <c r="BB374" i="12"/>
  <c r="AU42" i="14"/>
  <c r="BS30" i="14"/>
  <c r="AW93" i="14"/>
  <c r="AW374" i="12"/>
  <c r="BE93" i="14"/>
  <c r="BE374" i="12"/>
  <c r="BM63" i="14"/>
  <c r="BG93" i="14"/>
  <c r="N87" i="45"/>
  <c r="AN87" i="45" s="1"/>
  <c r="N60" i="45"/>
  <c r="AN60" i="45" s="1"/>
  <c r="N84" i="45"/>
  <c r="AN84" i="45" s="1"/>
  <c r="N66" i="45"/>
  <c r="AN66" i="45" s="1"/>
  <c r="N48" i="45"/>
  <c r="AN48" i="45" s="1"/>
  <c r="N76" i="45"/>
  <c r="AN76" i="45" s="1"/>
  <c r="N93" i="45"/>
  <c r="AN93" i="45" s="1"/>
  <c r="N39" i="45"/>
  <c r="AN39" i="45" s="1"/>
  <c r="N88" i="45"/>
  <c r="AN88" i="45" s="1"/>
  <c r="N80" i="45"/>
  <c r="AN80" i="45" s="1"/>
  <c r="N72" i="45"/>
  <c r="AN72" i="45" s="1"/>
  <c r="T93" i="14"/>
  <c r="AK18" i="22"/>
  <c r="T374" i="12"/>
  <c r="E12" i="36"/>
  <c r="H14" i="36"/>
  <c r="BG42" i="14"/>
  <c r="BV30" i="14"/>
  <c r="U741" i="4"/>
  <c r="U72" i="17"/>
  <c r="W72" i="17"/>
  <c r="W741" i="4"/>
  <c r="X86" i="17"/>
  <c r="X752" i="4"/>
  <c r="AE86" i="17" s="1"/>
  <c r="AH752" i="4"/>
  <c r="AL86" i="17" s="1"/>
  <c r="BF93" i="14" l="1"/>
  <c r="AF93" i="14"/>
  <c r="AJ93" i="14"/>
  <c r="K9" i="40"/>
  <c r="M9" i="40" s="1"/>
  <c r="BD76" i="28"/>
  <c r="BA76" i="28"/>
  <c r="AD58" i="28"/>
  <c r="AG58" i="28"/>
  <c r="U44" i="28"/>
  <c r="AK374" i="12"/>
  <c r="U374" i="12"/>
  <c r="AZ374" i="12"/>
  <c r="AQ374" i="12"/>
  <c r="AF374" i="12"/>
  <c r="BF374" i="12"/>
  <c r="BA374" i="12"/>
  <c r="AC374" i="12"/>
  <c r="AX374" i="12"/>
  <c r="BC374" i="12"/>
  <c r="AJ374" i="12"/>
  <c r="AI374" i="12"/>
  <c r="BI155" i="12"/>
  <c r="EY20" i="22" s="1"/>
  <c r="AR374" i="12"/>
  <c r="BA93" i="14"/>
  <c r="BU93" i="14" s="1"/>
  <c r="BI154" i="12"/>
  <c r="EY19" i="22" s="1"/>
  <c r="BI153" i="12"/>
  <c r="EY18" i="22" s="1"/>
  <c r="BP78" i="28"/>
  <c r="BM78" i="28"/>
  <c r="BL80" i="28"/>
  <c r="BM80" i="28" s="1"/>
  <c r="N101" i="10"/>
  <c r="W101" i="10" s="1"/>
  <c r="N107" i="8"/>
  <c r="AW107" i="8" s="1"/>
  <c r="N110" i="7"/>
  <c r="AS110" i="7" s="1"/>
  <c r="N101" i="11"/>
  <c r="BE101" i="11" s="1"/>
  <c r="N111" i="7"/>
  <c r="AT111" i="7" s="1"/>
  <c r="N108" i="8"/>
  <c r="AZ108" i="8" s="1"/>
  <c r="N102" i="10"/>
  <c r="AX102" i="10" s="1"/>
  <c r="N102" i="11"/>
  <c r="AS102" i="11" s="1"/>
  <c r="AJ110" i="7"/>
  <c r="AZ110" i="7"/>
  <c r="AP101" i="11"/>
  <c r="AG101" i="11"/>
  <c r="AD101" i="11"/>
  <c r="AQ101" i="11"/>
  <c r="AF101" i="11"/>
  <c r="AE101" i="11"/>
  <c r="AC101" i="11"/>
  <c r="AX101" i="11"/>
  <c r="BF101" i="11"/>
  <c r="W101" i="11"/>
  <c r="AY101" i="11"/>
  <c r="BG101" i="11"/>
  <c r="V101" i="11"/>
  <c r="AS101" i="11"/>
  <c r="AH101" i="11"/>
  <c r="X101" i="11"/>
  <c r="AR101" i="11"/>
  <c r="AN101" i="11"/>
  <c r="Z101" i="11"/>
  <c r="AB101" i="11"/>
  <c r="BC101" i="11"/>
  <c r="AU101" i="11"/>
  <c r="AM101" i="11"/>
  <c r="AA101" i="11"/>
  <c r="BD101" i="11"/>
  <c r="AJ101" i="11"/>
  <c r="Y101" i="11"/>
  <c r="BA101" i="11"/>
  <c r="AO101" i="11"/>
  <c r="AT101" i="11"/>
  <c r="BB101" i="11"/>
  <c r="N100" i="10"/>
  <c r="AR100" i="10" s="1"/>
  <c r="N106" i="8"/>
  <c r="BF106" i="8" s="1"/>
  <c r="N109" i="7"/>
  <c r="AM109" i="7" s="1"/>
  <c r="N100" i="11"/>
  <c r="X100" i="11" s="1"/>
  <c r="N16" i="45"/>
  <c r="AN16" i="45" s="1"/>
  <c r="N103" i="45"/>
  <c r="AN103" i="45" s="1"/>
  <c r="N38" i="45"/>
  <c r="AN38" i="45" s="1"/>
  <c r="N70" i="45"/>
  <c r="AN70" i="45" s="1"/>
  <c r="N35" i="45"/>
  <c r="AN35" i="45" s="1"/>
  <c r="N79" i="45"/>
  <c r="AN79" i="45" s="1"/>
  <c r="N90" i="45"/>
  <c r="AN90" i="45" s="1"/>
  <c r="N15" i="45"/>
  <c r="AN15" i="45" s="1"/>
  <c r="N106" i="45"/>
  <c r="AN106" i="45" s="1"/>
  <c r="N32" i="45"/>
  <c r="AN32" i="45" s="1"/>
  <c r="N91" i="45"/>
  <c r="AN91" i="45" s="1"/>
  <c r="N44" i="45"/>
  <c r="AN44" i="45" s="1"/>
  <c r="N45" i="45"/>
  <c r="AN45" i="45" s="1"/>
  <c r="N99" i="45"/>
  <c r="AN99" i="45" s="1"/>
  <c r="N59" i="45"/>
  <c r="AN59" i="45" s="1"/>
  <c r="N50" i="45"/>
  <c r="AN50" i="45" s="1"/>
  <c r="N42" i="45"/>
  <c r="AN42" i="45" s="1"/>
  <c r="N12" i="45"/>
  <c r="AN12" i="45" s="1"/>
  <c r="N83" i="45"/>
  <c r="AN83" i="45" s="1"/>
  <c r="N81" i="45"/>
  <c r="AN81" i="45" s="1"/>
  <c r="N18" i="45"/>
  <c r="AN18" i="45" s="1"/>
  <c r="N52" i="45"/>
  <c r="AN52" i="45" s="1"/>
  <c r="N22" i="45"/>
  <c r="AN22" i="45" s="1"/>
  <c r="N69" i="45"/>
  <c r="AN69" i="45" s="1"/>
  <c r="N61" i="45"/>
  <c r="AN61" i="45" s="1"/>
  <c r="N31" i="45"/>
  <c r="AN31" i="45" s="1"/>
  <c r="N98" i="45"/>
  <c r="AN98" i="45" s="1"/>
  <c r="N33" i="45"/>
  <c r="AN33" i="45" s="1"/>
  <c r="N96" i="45"/>
  <c r="AN96" i="45" s="1"/>
  <c r="N34" i="45"/>
  <c r="AN34" i="45" s="1"/>
  <c r="N37" i="45"/>
  <c r="AN37" i="45" s="1"/>
  <c r="N62" i="45"/>
  <c r="AN62" i="45" s="1"/>
  <c r="BI201" i="12"/>
  <c r="BK201" i="12" s="1"/>
  <c r="K211" i="12" s="1"/>
  <c r="N57" i="45"/>
  <c r="AN57" i="45" s="1"/>
  <c r="N64" i="45"/>
  <c r="AN64" i="45" s="1"/>
  <c r="N11" i="45"/>
  <c r="AN11" i="45" s="1"/>
  <c r="N104" i="45"/>
  <c r="AN104" i="45" s="1"/>
  <c r="N75" i="45"/>
  <c r="AN75" i="45" s="1"/>
  <c r="N36" i="45"/>
  <c r="AN36" i="45" s="1"/>
  <c r="N46" i="45"/>
  <c r="AN46" i="45" s="1"/>
  <c r="N41" i="45"/>
  <c r="AN41" i="45" s="1"/>
  <c r="N56" i="45"/>
  <c r="AN56" i="45" s="1"/>
  <c r="N49" i="45"/>
  <c r="AN49" i="45" s="1"/>
  <c r="N74" i="45"/>
  <c r="AN74" i="45" s="1"/>
  <c r="N54" i="45"/>
  <c r="AN54" i="45" s="1"/>
  <c r="BI199" i="12"/>
  <c r="N17" i="45"/>
  <c r="AN17" i="45" s="1"/>
  <c r="N89" i="45"/>
  <c r="AN89" i="45" s="1"/>
  <c r="N25" i="45"/>
  <c r="AN25" i="45" s="1"/>
  <c r="N71" i="45"/>
  <c r="AN71" i="45" s="1"/>
  <c r="N102" i="45"/>
  <c r="AN102" i="45" s="1"/>
  <c r="N85" i="45"/>
  <c r="AN85" i="45" s="1"/>
  <c r="N51" i="45"/>
  <c r="AN51" i="45" s="1"/>
  <c r="N82" i="45"/>
  <c r="AN82" i="45" s="1"/>
  <c r="N86" i="45"/>
  <c r="AN86" i="45" s="1"/>
  <c r="N29" i="45"/>
  <c r="AN29" i="45" s="1"/>
  <c r="N67" i="45"/>
  <c r="AN67" i="45" s="1"/>
  <c r="N73" i="45"/>
  <c r="AN73" i="45" s="1"/>
  <c r="AO63" i="28"/>
  <c r="BI200" i="12"/>
  <c r="N53" i="45"/>
  <c r="AN53" i="45" s="1"/>
  <c r="N100" i="45"/>
  <c r="AN100" i="45" s="1"/>
  <c r="N43" i="45"/>
  <c r="AN43" i="45" s="1"/>
  <c r="N13" i="45"/>
  <c r="AN13" i="45" s="1"/>
  <c r="N77" i="45"/>
  <c r="AN77" i="45" s="1"/>
  <c r="N107" i="45"/>
  <c r="AN107" i="45" s="1"/>
  <c r="N19" i="45"/>
  <c r="AN19" i="45" s="1"/>
  <c r="N101" i="45"/>
  <c r="AN101" i="45" s="1"/>
  <c r="N40" i="45"/>
  <c r="AN40" i="45" s="1"/>
  <c r="N63" i="45"/>
  <c r="AN63" i="45" s="1"/>
  <c r="AO64" i="28"/>
  <c r="N27" i="45"/>
  <c r="AN27" i="45" s="1"/>
  <c r="N24" i="45"/>
  <c r="AN24" i="45" s="1"/>
  <c r="N78" i="45"/>
  <c r="AN78" i="45" s="1"/>
  <c r="N14" i="45"/>
  <c r="AN14" i="45" s="1"/>
  <c r="N92" i="45"/>
  <c r="AN92" i="45" s="1"/>
  <c r="N94" i="45"/>
  <c r="AN94" i="45" s="1"/>
  <c r="N95" i="45"/>
  <c r="AN95" i="45" s="1"/>
  <c r="N55" i="45"/>
  <c r="AN55" i="45" s="1"/>
  <c r="N26" i="45"/>
  <c r="AN26" i="45" s="1"/>
  <c r="N47" i="45"/>
  <c r="AN47" i="45" s="1"/>
  <c r="N20" i="45"/>
  <c r="AN20" i="45" s="1"/>
  <c r="N68" i="45"/>
  <c r="AN68" i="45" s="1"/>
  <c r="N23" i="45"/>
  <c r="AN23" i="45" s="1"/>
  <c r="N30" i="45"/>
  <c r="AN30" i="45" s="1"/>
  <c r="N28" i="45"/>
  <c r="AN28" i="45" s="1"/>
  <c r="N105" i="45"/>
  <c r="AN105" i="45" s="1"/>
  <c r="N21" i="45"/>
  <c r="AN21" i="45" s="1"/>
  <c r="N58" i="45"/>
  <c r="AN58" i="45" s="1"/>
  <c r="N65" i="45"/>
  <c r="AN65" i="45" s="1"/>
  <c r="AO65" i="28"/>
  <c r="F23" i="45"/>
  <c r="AF23" i="45" s="1"/>
  <c r="AK22" i="22"/>
  <c r="AE59" i="38"/>
  <c r="X22" i="22"/>
  <c r="AE25" i="38"/>
  <c r="AR65" i="28"/>
  <c r="AO66" i="28"/>
  <c r="AR64" i="28"/>
  <c r="AR66" i="28"/>
  <c r="AR63" i="28"/>
  <c r="AC773" i="4"/>
  <c r="AG113" i="17" s="1"/>
  <c r="Z113" i="17"/>
  <c r="AD773" i="4"/>
  <c r="AH113" i="17" s="1"/>
  <c r="AA113" i="17"/>
  <c r="CQ22" i="22"/>
  <c r="AE773" i="4"/>
  <c r="AI113" i="17" s="1"/>
  <c r="AB113" i="17"/>
  <c r="AF773" i="4"/>
  <c r="AJ113" i="17" s="1"/>
  <c r="AC113" i="17"/>
  <c r="AH773" i="4"/>
  <c r="AL113" i="17" s="1"/>
  <c r="AE113" i="17"/>
  <c r="AG773" i="4"/>
  <c r="AK113" i="17" s="1"/>
  <c r="AD113" i="17"/>
  <c r="AI773" i="4"/>
  <c r="AM113" i="17" s="1"/>
  <c r="AF113" i="17"/>
  <c r="AO68" i="28"/>
  <c r="BR93" i="14"/>
  <c r="I10" i="36"/>
  <c r="AZ334" i="12"/>
  <c r="AZ59" i="16" s="1"/>
  <c r="AR68" i="28"/>
  <c r="BN63" i="14"/>
  <c r="BV63" i="14"/>
  <c r="M47" i="15"/>
  <c r="N47" i="15" s="1"/>
  <c r="BS63" i="14"/>
  <c r="BU63" i="14"/>
  <c r="AC65" i="38"/>
  <c r="AD65" i="38" s="1"/>
  <c r="AQ334" i="12"/>
  <c r="AQ59" i="16" s="1"/>
  <c r="I11" i="36"/>
  <c r="BP88" i="16"/>
  <c r="L41" i="15"/>
  <c r="BS88" i="16"/>
  <c r="L47" i="15"/>
  <c r="AO67" i="28"/>
  <c r="BG334" i="12"/>
  <c r="BG59" i="16" s="1"/>
  <c r="M41" i="15"/>
  <c r="L46" i="15"/>
  <c r="AI106" i="38"/>
  <c r="AI109" i="38" s="1"/>
  <c r="M46" i="15"/>
  <c r="N46" i="15" s="1"/>
  <c r="BC334" i="12"/>
  <c r="BC59" i="16" s="1"/>
  <c r="Z334" i="12"/>
  <c r="Z59" i="16" s="1"/>
  <c r="BV88" i="16"/>
  <c r="M42" i="15"/>
  <c r="N42" i="15" s="1"/>
  <c r="AN334" i="12"/>
  <c r="AN59" i="16" s="1"/>
  <c r="L43" i="15"/>
  <c r="L44" i="15"/>
  <c r="L45" i="15"/>
  <c r="EB9" i="6"/>
  <c r="D37" i="2" s="1"/>
  <c r="BE334" i="12"/>
  <c r="BE59" i="16" s="1"/>
  <c r="AO61" i="28"/>
  <c r="AR334" i="12"/>
  <c r="AR59" i="16" s="1"/>
  <c r="AO62" i="28"/>
  <c r="AX334" i="12"/>
  <c r="AX59" i="16" s="1"/>
  <c r="M43" i="15"/>
  <c r="N43" i="15" s="1"/>
  <c r="M44" i="15"/>
  <c r="N44" i="15" s="1"/>
  <c r="BT88" i="16"/>
  <c r="AF334" i="12"/>
  <c r="AF59" i="16" s="1"/>
  <c r="BF334" i="12"/>
  <c r="BF59" i="16" s="1"/>
  <c r="AO334" i="12"/>
  <c r="AO59" i="16" s="1"/>
  <c r="AW334" i="12"/>
  <c r="AW59" i="16" s="1"/>
  <c r="BU88" i="16"/>
  <c r="AL334" i="12"/>
  <c r="AL59" i="16" s="1"/>
  <c r="L42" i="15"/>
  <c r="M45" i="15"/>
  <c r="N45" i="15" s="1"/>
  <c r="Z107" i="38"/>
  <c r="AB334" i="12"/>
  <c r="AK70" i="28"/>
  <c r="V334" i="12"/>
  <c r="W59" i="16"/>
  <c r="AF741" i="4"/>
  <c r="AJ72" i="17" s="1"/>
  <c r="AC72" i="17"/>
  <c r="AR67" i="28"/>
  <c r="AA334" i="12"/>
  <c r="AQ20" i="22"/>
  <c r="BP93" i="14"/>
  <c r="AL70" i="28"/>
  <c r="AM68" i="28" s="1"/>
  <c r="BQ93" i="14"/>
  <c r="E19" i="36"/>
  <c r="AG334" i="12"/>
  <c r="AQ19" i="22"/>
  <c r="BN93" i="14"/>
  <c r="AR61" i="28"/>
  <c r="I9" i="36"/>
  <c r="AE334" i="12"/>
  <c r="I66" i="45"/>
  <c r="AI66" i="45" s="1"/>
  <c r="AG741" i="4"/>
  <c r="AK72" i="17" s="1"/>
  <c r="AD72" i="17"/>
  <c r="Z72" i="17"/>
  <c r="AC741" i="4"/>
  <c r="AG72" i="17" s="1"/>
  <c r="AO60" i="28"/>
  <c r="AN70" i="28"/>
  <c r="F26" i="45"/>
  <c r="AF26" i="45" s="1"/>
  <c r="AU334" i="12"/>
  <c r="D19" i="36"/>
  <c r="D21" i="36" s="1"/>
  <c r="BS93" i="14"/>
  <c r="X334" i="12"/>
  <c r="I15" i="36"/>
  <c r="AO69" i="28"/>
  <c r="AV334" i="12"/>
  <c r="AK334" i="12"/>
  <c r="H19" i="36"/>
  <c r="H21" i="36" s="1"/>
  <c r="AQ18" i="22"/>
  <c r="BI93" i="14"/>
  <c r="BM93" i="14"/>
  <c r="AJ59" i="16"/>
  <c r="AR60" i="28"/>
  <c r="AP70" i="28"/>
  <c r="AQ65" i="28" s="1"/>
  <c r="U334" i="12"/>
  <c r="AE335" i="12"/>
  <c r="AE60" i="16" s="1"/>
  <c r="BB335" i="12"/>
  <c r="BB60" i="16" s="1"/>
  <c r="BV93" i="14"/>
  <c r="AR69" i="28"/>
  <c r="J13" i="36"/>
  <c r="T334" i="12"/>
  <c r="AD334" i="12"/>
  <c r="AR62" i="28"/>
  <c r="J18" i="36"/>
  <c r="BO93" i="14"/>
  <c r="AD741" i="4"/>
  <c r="AH72" i="17" s="1"/>
  <c r="AA72" i="17"/>
  <c r="AI334" i="12"/>
  <c r="AE741" i="4"/>
  <c r="AI72" i="17" s="1"/>
  <c r="AB72" i="17"/>
  <c r="AA335" i="12"/>
  <c r="AA60" i="16" s="1"/>
  <c r="J10" i="36"/>
  <c r="AF72" i="17"/>
  <c r="AI741" i="4"/>
  <c r="AM72" i="17" s="1"/>
  <c r="I12" i="36"/>
  <c r="AH334" i="12"/>
  <c r="BT93" i="14"/>
  <c r="AC334" i="12"/>
  <c r="AS335" i="12"/>
  <c r="S12" i="19"/>
  <c r="AH741" i="4"/>
  <c r="AL72" i="17" s="1"/>
  <c r="AE72" i="17"/>
  <c r="AK335" i="12"/>
  <c r="AK60" i="16" s="1"/>
  <c r="AS70" i="28"/>
  <c r="AB335" i="12"/>
  <c r="AB60" i="16" s="1"/>
  <c r="AT335" i="12"/>
  <c r="AL335" i="12"/>
  <c r="AN335" i="12"/>
  <c r="BD335" i="12"/>
  <c r="AC335" i="12"/>
  <c r="AC60" i="16" s="1"/>
  <c r="AM334" i="12"/>
  <c r="I65" i="45"/>
  <c r="AI65" i="45" s="1"/>
  <c r="BE110" i="7" l="1"/>
  <c r="AV107" i="8"/>
  <c r="AV101" i="11"/>
  <c r="AZ101" i="11"/>
  <c r="U101" i="11"/>
  <c r="AW101" i="11"/>
  <c r="AV110" i="7"/>
  <c r="W110" i="7"/>
  <c r="W107" i="8"/>
  <c r="AU110" i="7"/>
  <c r="AD107" i="8"/>
  <c r="Y110" i="7"/>
  <c r="AR102" i="10"/>
  <c r="AE102" i="11"/>
  <c r="T101" i="11"/>
  <c r="AI101" i="11"/>
  <c r="AK101" i="11"/>
  <c r="AL101" i="11"/>
  <c r="AE110" i="7"/>
  <c r="BB110" i="7"/>
  <c r="AK107" i="8"/>
  <c r="BD111" i="7"/>
  <c r="AI110" i="7"/>
  <c r="AV102" i="11"/>
  <c r="AA111" i="7"/>
  <c r="T102" i="11"/>
  <c r="AL102" i="10"/>
  <c r="BF110" i="7"/>
  <c r="AK110" i="7"/>
  <c r="T102" i="10"/>
  <c r="Y102" i="11"/>
  <c r="AQ107" i="8"/>
  <c r="AL110" i="7"/>
  <c r="BC110" i="7"/>
  <c r="AJ102" i="11"/>
  <c r="AU107" i="8"/>
  <c r="AM111" i="7"/>
  <c r="AC102" i="11"/>
  <c r="AO107" i="8"/>
  <c r="AJ102" i="10"/>
  <c r="AW102" i="11"/>
  <c r="Y107" i="8"/>
  <c r="AI102" i="10"/>
  <c r="AM67" i="28"/>
  <c r="N9" i="45"/>
  <c r="AN9" i="45" s="1"/>
  <c r="BP80" i="28"/>
  <c r="N8" i="45"/>
  <c r="AN8" i="45" s="1"/>
  <c r="BB102" i="11"/>
  <c r="T107" i="8"/>
  <c r="BA111" i="7"/>
  <c r="AW102" i="10"/>
  <c r="AQ102" i="10"/>
  <c r="AX110" i="7"/>
  <c r="U110" i="7"/>
  <c r="AL102" i="11"/>
  <c r="AC107" i="8"/>
  <c r="AG111" i="7"/>
  <c r="AO102" i="10"/>
  <c r="AC111" i="7"/>
  <c r="BE102" i="11"/>
  <c r="BG102" i="11"/>
  <c r="AB107" i="8"/>
  <c r="AY111" i="7"/>
  <c r="AB102" i="10"/>
  <c r="AM110" i="7"/>
  <c r="AW110" i="7"/>
  <c r="BA110" i="7"/>
  <c r="N10" i="45"/>
  <c r="AN10" i="45" s="1"/>
  <c r="AJ111" i="7"/>
  <c r="BA102" i="11"/>
  <c r="BF102" i="11"/>
  <c r="X102" i="11"/>
  <c r="AT107" i="8"/>
  <c r="BF107" i="8"/>
  <c r="Y111" i="7"/>
  <c r="BC111" i="7"/>
  <c r="BC102" i="10"/>
  <c r="BG102" i="10"/>
  <c r="AX102" i="11"/>
  <c r="AU102" i="11"/>
  <c r="BD107" i="8"/>
  <c r="AJ107" i="8"/>
  <c r="AE107" i="8"/>
  <c r="AX111" i="7"/>
  <c r="AD111" i="7"/>
  <c r="AT102" i="10"/>
  <c r="BF102" i="10"/>
  <c r="T110" i="7"/>
  <c r="V110" i="7"/>
  <c r="AP111" i="7"/>
  <c r="V111" i="7"/>
  <c r="AF102" i="11"/>
  <c r="AQ102" i="11"/>
  <c r="BB107" i="8"/>
  <c r="AH107" i="8"/>
  <c r="AR111" i="7"/>
  <c r="AN111" i="7"/>
  <c r="AV102" i="10"/>
  <c r="W102" i="10"/>
  <c r="AY110" i="7"/>
  <c r="AH110" i="7"/>
  <c r="Z110" i="7"/>
  <c r="AR102" i="11"/>
  <c r="BD102" i="11"/>
  <c r="Z102" i="11"/>
  <c r="AP102" i="11"/>
  <c r="BC107" i="8"/>
  <c r="AS107" i="8"/>
  <c r="AY107" i="8"/>
  <c r="AF107" i="8"/>
  <c r="BG111" i="7"/>
  <c r="X111" i="7"/>
  <c r="BB111" i="7"/>
  <c r="AF102" i="10"/>
  <c r="AD102" i="10"/>
  <c r="Y102" i="10"/>
  <c r="AK102" i="11"/>
  <c r="AA102" i="11"/>
  <c r="AT102" i="11"/>
  <c r="AD102" i="11"/>
  <c r="U107" i="8"/>
  <c r="AM107" i="8"/>
  <c r="AI107" i="8"/>
  <c r="AS111" i="7"/>
  <c r="U111" i="7"/>
  <c r="AV111" i="7"/>
  <c r="BE102" i="10"/>
  <c r="AU102" i="10"/>
  <c r="AZ102" i="10"/>
  <c r="Z102" i="10"/>
  <c r="AC110" i="7"/>
  <c r="AG110" i="7"/>
  <c r="AO110" i="7"/>
  <c r="AD110" i="7"/>
  <c r="AZ102" i="11"/>
  <c r="AO102" i="11"/>
  <c r="AM102" i="11"/>
  <c r="V102" i="11"/>
  <c r="X107" i="8"/>
  <c r="Z107" i="8"/>
  <c r="BG107" i="8"/>
  <c r="BE107" i="8"/>
  <c r="AK111" i="7"/>
  <c r="AO111" i="7"/>
  <c r="W111" i="7"/>
  <c r="X102" i="10"/>
  <c r="AE102" i="10"/>
  <c r="AC102" i="10"/>
  <c r="BG110" i="7"/>
  <c r="AF110" i="7"/>
  <c r="AR110" i="7"/>
  <c r="AA110" i="7"/>
  <c r="AA107" i="8"/>
  <c r="AZ111" i="7"/>
  <c r="AF111" i="7"/>
  <c r="AW111" i="7"/>
  <c r="AI111" i="7"/>
  <c r="AL111" i="7"/>
  <c r="BD102" i="10"/>
  <c r="AA102" i="10"/>
  <c r="AS102" i="10"/>
  <c r="AK102" i="10"/>
  <c r="AP102" i="10"/>
  <c r="AG102" i="11"/>
  <c r="AN102" i="11"/>
  <c r="U102" i="11"/>
  <c r="AY102" i="11"/>
  <c r="W102" i="11"/>
  <c r="AL107" i="8"/>
  <c r="BA107" i="8"/>
  <c r="AG107" i="8"/>
  <c r="AX107" i="8"/>
  <c r="AN107" i="8"/>
  <c r="Z111" i="7"/>
  <c r="BF111" i="7"/>
  <c r="AE111" i="7"/>
  <c r="AU111" i="7"/>
  <c r="AH111" i="7"/>
  <c r="AN102" i="10"/>
  <c r="BB102" i="10"/>
  <c r="U102" i="10"/>
  <c r="AY102" i="10"/>
  <c r="AG102" i="10"/>
  <c r="AP110" i="7"/>
  <c r="AT110" i="7"/>
  <c r="X110" i="7"/>
  <c r="AH102" i="11"/>
  <c r="AB102" i="11"/>
  <c r="BC102" i="11"/>
  <c r="AI102" i="11"/>
  <c r="AR107" i="8"/>
  <c r="AP107" i="8"/>
  <c r="AZ107" i="8"/>
  <c r="V107" i="8"/>
  <c r="AB111" i="7"/>
  <c r="AQ111" i="7"/>
  <c r="BE111" i="7"/>
  <c r="T111" i="7"/>
  <c r="V102" i="10"/>
  <c r="AM102" i="10"/>
  <c r="BA102" i="10"/>
  <c r="AH102" i="10"/>
  <c r="AQ110" i="7"/>
  <c r="AN110" i="7"/>
  <c r="BD110" i="7"/>
  <c r="AB110" i="7"/>
  <c r="AR101" i="10"/>
  <c r="AR69" i="12" s="1"/>
  <c r="AR85" i="12" s="1"/>
  <c r="AR133" i="12" s="1"/>
  <c r="AS101" i="10"/>
  <c r="AS69" i="12" s="1"/>
  <c r="AS85" i="12" s="1"/>
  <c r="AS133" i="12" s="1"/>
  <c r="BG101" i="10"/>
  <c r="BG69" i="12" s="1"/>
  <c r="BG85" i="12" s="1"/>
  <c r="BG133" i="12" s="1"/>
  <c r="X101" i="10"/>
  <c r="X69" i="12" s="1"/>
  <c r="AM61" i="28"/>
  <c r="BD101" i="10"/>
  <c r="AQ109" i="7"/>
  <c r="AY109" i="7"/>
  <c r="BF100" i="10"/>
  <c r="AB100" i="10"/>
  <c r="AU100" i="10"/>
  <c r="AK100" i="10"/>
  <c r="U100" i="10"/>
  <c r="AH109" i="7"/>
  <c r="W109" i="7"/>
  <c r="AL109" i="7"/>
  <c r="T109" i="7"/>
  <c r="AG100" i="11"/>
  <c r="AG354" i="12" s="1"/>
  <c r="AG100" i="16" s="1"/>
  <c r="AN100" i="11"/>
  <c r="AN354" i="12" s="1"/>
  <c r="AN100" i="16" s="1"/>
  <c r="AY100" i="11"/>
  <c r="AY354" i="12" s="1"/>
  <c r="AY100" i="16" s="1"/>
  <c r="AH100" i="11"/>
  <c r="Z100" i="11"/>
  <c r="W69" i="12"/>
  <c r="U106" i="8"/>
  <c r="Y106" i="8"/>
  <c r="BA106" i="8"/>
  <c r="AB106" i="8"/>
  <c r="AX106" i="8"/>
  <c r="AD108" i="8"/>
  <c r="AD70" i="12" s="1"/>
  <c r="AD86" i="12" s="1"/>
  <c r="AD134" i="12" s="1"/>
  <c r="AO108" i="8"/>
  <c r="BC108" i="8"/>
  <c r="BC70" i="12" s="1"/>
  <c r="BC86" i="12" s="1"/>
  <c r="BC134" i="12" s="1"/>
  <c r="X108" i="8"/>
  <c r="X70" i="12" s="1"/>
  <c r="X86" i="12" s="1"/>
  <c r="X134" i="12" s="1"/>
  <c r="AR108" i="8"/>
  <c r="AR70" i="12" s="1"/>
  <c r="AR86" i="12" s="1"/>
  <c r="AR134" i="12" s="1"/>
  <c r="AN101" i="10"/>
  <c r="AN69" i="12" s="1"/>
  <c r="AN85" i="12" s="1"/>
  <c r="AN133" i="12" s="1"/>
  <c r="U101" i="10"/>
  <c r="AY101" i="10"/>
  <c r="AY69" i="12" s="1"/>
  <c r="AY85" i="12" s="1"/>
  <c r="AY133" i="12" s="1"/>
  <c r="AI101" i="10"/>
  <c r="AI69" i="12" s="1"/>
  <c r="AI85" i="12" s="1"/>
  <c r="AI133" i="12" s="1"/>
  <c r="AV101" i="10"/>
  <c r="AV69" i="12" s="1"/>
  <c r="AV85" i="12" s="1"/>
  <c r="AV133" i="12" s="1"/>
  <c r="AX100" i="10"/>
  <c r="AG100" i="10"/>
  <c r="AI100" i="10"/>
  <c r="BA100" i="10"/>
  <c r="AN100" i="10"/>
  <c r="AP109" i="7"/>
  <c r="AP351" i="12" s="1"/>
  <c r="AW109" i="7"/>
  <c r="BE109" i="7"/>
  <c r="BB109" i="7"/>
  <c r="BA109" i="7"/>
  <c r="BD100" i="11"/>
  <c r="BD354" i="12" s="1"/>
  <c r="BD100" i="16" s="1"/>
  <c r="AK100" i="11"/>
  <c r="AK354" i="12" s="1"/>
  <c r="AK100" i="16" s="1"/>
  <c r="Y100" i="11"/>
  <c r="AP100" i="11"/>
  <c r="AP354" i="12" s="1"/>
  <c r="AP100" i="16" s="1"/>
  <c r="AE100" i="11"/>
  <c r="AE354" i="12" s="1"/>
  <c r="AE100" i="16" s="1"/>
  <c r="BD106" i="8"/>
  <c r="AP106" i="8"/>
  <c r="AS106" i="8"/>
  <c r="AQ106" i="8"/>
  <c r="AD106" i="8"/>
  <c r="BF108" i="8"/>
  <c r="BF70" i="12" s="1"/>
  <c r="BF86" i="12" s="1"/>
  <c r="BF134" i="12" s="1"/>
  <c r="AG108" i="8"/>
  <c r="AG70" i="12" s="1"/>
  <c r="AG86" i="12" s="1"/>
  <c r="AG134" i="12" s="1"/>
  <c r="AU108" i="8"/>
  <c r="AU70" i="12" s="1"/>
  <c r="AU86" i="12" s="1"/>
  <c r="AU134" i="12" s="1"/>
  <c r="V108" i="8"/>
  <c r="W108" i="8"/>
  <c r="W70" i="12" s="1"/>
  <c r="BB101" i="10"/>
  <c r="BB69" i="12" s="1"/>
  <c r="BB85" i="12" s="1"/>
  <c r="BB133" i="12" s="1"/>
  <c r="AZ101" i="10"/>
  <c r="AZ69" i="12" s="1"/>
  <c r="AZ85" i="12" s="1"/>
  <c r="AZ133" i="12" s="1"/>
  <c r="AJ101" i="10"/>
  <c r="AJ69" i="12" s="1"/>
  <c r="AJ85" i="12" s="1"/>
  <c r="AJ133" i="12" s="1"/>
  <c r="AF101" i="10"/>
  <c r="AF69" i="12" s="1"/>
  <c r="AF85" i="12" s="1"/>
  <c r="AF133" i="12" s="1"/>
  <c r="AC101" i="10"/>
  <c r="AC69" i="12" s="1"/>
  <c r="AC85" i="12" s="1"/>
  <c r="AC133" i="12" s="1"/>
  <c r="AJ100" i="10"/>
  <c r="BD100" i="10"/>
  <c r="AM100" i="10"/>
  <c r="AS100" i="10"/>
  <c r="AQ100" i="10"/>
  <c r="V109" i="7"/>
  <c r="AI109" i="7"/>
  <c r="AI351" i="12" s="1"/>
  <c r="AE109" i="7"/>
  <c r="AE351" i="12" s="1"/>
  <c r="AT109" i="7"/>
  <c r="AS109" i="7"/>
  <c r="AV100" i="11"/>
  <c r="AV354" i="12" s="1"/>
  <c r="AV100" i="16" s="1"/>
  <c r="W100" i="11"/>
  <c r="AZ100" i="11"/>
  <c r="AZ354" i="12" s="1"/>
  <c r="AZ100" i="16" s="1"/>
  <c r="AM100" i="11"/>
  <c r="U100" i="11"/>
  <c r="U354" i="12" s="1"/>
  <c r="U100" i="16" s="1"/>
  <c r="AV106" i="8"/>
  <c r="AM106" i="8"/>
  <c r="T106" i="8"/>
  <c r="BG106" i="8"/>
  <c r="W106" i="8"/>
  <c r="AX108" i="8"/>
  <c r="AC108" i="8"/>
  <c r="AM108" i="8"/>
  <c r="BA108" i="8"/>
  <c r="T108" i="8"/>
  <c r="AT101" i="10"/>
  <c r="AM101" i="10"/>
  <c r="AM69" i="12" s="1"/>
  <c r="AM85" i="12" s="1"/>
  <c r="AM133" i="12" s="1"/>
  <c r="AH101" i="10"/>
  <c r="AH69" i="12" s="1"/>
  <c r="AH85" i="12" s="1"/>
  <c r="AH133" i="12" s="1"/>
  <c r="BE101" i="10"/>
  <c r="BE69" i="12" s="1"/>
  <c r="BE85" i="12" s="1"/>
  <c r="BE133" i="12" s="1"/>
  <c r="Y101" i="10"/>
  <c r="Y69" i="12" s="1"/>
  <c r="Y85" i="12" s="1"/>
  <c r="Y133" i="12" s="1"/>
  <c r="BG100" i="10"/>
  <c r="AH100" i="10"/>
  <c r="AV100" i="10"/>
  <c r="V100" i="10"/>
  <c r="AP100" i="10"/>
  <c r="AO109" i="7"/>
  <c r="BC109" i="7"/>
  <c r="BC351" i="12" s="1"/>
  <c r="AD109" i="7"/>
  <c r="U109" i="7"/>
  <c r="U351" i="12" s="1"/>
  <c r="AO100" i="11"/>
  <c r="AO354" i="12" s="1"/>
  <c r="AO100" i="16" s="1"/>
  <c r="AC100" i="11"/>
  <c r="AC354" i="12" s="1"/>
  <c r="AC100" i="16" s="1"/>
  <c r="AR100" i="11"/>
  <c r="AR354" i="12" s="1"/>
  <c r="AR100" i="16" s="1"/>
  <c r="AJ100" i="11"/>
  <c r="AJ354" i="12" s="1"/>
  <c r="AJ100" i="16" s="1"/>
  <c r="V100" i="11"/>
  <c r="V354" i="12" s="1"/>
  <c r="V100" i="16" s="1"/>
  <c r="AC106" i="8"/>
  <c r="BB106" i="8"/>
  <c r="AF106" i="8"/>
  <c r="AY106" i="8"/>
  <c r="AE106" i="8"/>
  <c r="AP108" i="8"/>
  <c r="BD108" i="8"/>
  <c r="BD70" i="12" s="1"/>
  <c r="BD86" i="12" s="1"/>
  <c r="BD134" i="12" s="1"/>
  <c r="AF108" i="8"/>
  <c r="AS108" i="8"/>
  <c r="AK108" i="8"/>
  <c r="AK70" i="12" s="1"/>
  <c r="AK86" i="12" s="1"/>
  <c r="AK134" i="12" s="1"/>
  <c r="V101" i="10"/>
  <c r="V69" i="12" s="1"/>
  <c r="V85" i="12" s="1"/>
  <c r="V133" i="12" s="1"/>
  <c r="AO101" i="10"/>
  <c r="AO69" i="12" s="1"/>
  <c r="AO85" i="12" s="1"/>
  <c r="AO133" i="12" s="1"/>
  <c r="AL101" i="10"/>
  <c r="AW101" i="10"/>
  <c r="AQ101" i="10"/>
  <c r="AQ69" i="12" s="1"/>
  <c r="AQ85" i="12" s="1"/>
  <c r="AQ133" i="12" s="1"/>
  <c r="AY100" i="10"/>
  <c r="AL100" i="10"/>
  <c r="W100" i="10"/>
  <c r="BB100" i="10"/>
  <c r="Z100" i="10"/>
  <c r="AX109" i="7"/>
  <c r="BD109" i="7"/>
  <c r="AU109" i="7"/>
  <c r="AU351" i="12" s="1"/>
  <c r="AJ109" i="7"/>
  <c r="AN109" i="7"/>
  <c r="T100" i="11"/>
  <c r="T354" i="12" s="1"/>
  <c r="T100" i="16" s="1"/>
  <c r="BB100" i="11"/>
  <c r="BB354" i="12" s="1"/>
  <c r="BB100" i="16" s="1"/>
  <c r="AF100" i="11"/>
  <c r="AF354" i="12" s="1"/>
  <c r="AF100" i="16" s="1"/>
  <c r="AS100" i="11"/>
  <c r="AS354" i="12" s="1"/>
  <c r="AS100" i="16" s="1"/>
  <c r="BE100" i="11"/>
  <c r="BE354" i="12" s="1"/>
  <c r="BE100" i="16" s="1"/>
  <c r="BE106" i="8"/>
  <c r="Z106" i="8"/>
  <c r="AT106" i="8"/>
  <c r="AA106" i="8"/>
  <c r="AO106" i="8"/>
  <c r="BG108" i="8"/>
  <c r="BG70" i="12" s="1"/>
  <c r="BG86" i="12" s="1"/>
  <c r="BG134" i="12" s="1"/>
  <c r="Z108" i="8"/>
  <c r="AV108" i="8"/>
  <c r="AJ108" i="8"/>
  <c r="AJ70" i="12" s="1"/>
  <c r="AJ86" i="12" s="1"/>
  <c r="AJ134" i="12" s="1"/>
  <c r="AI108" i="8"/>
  <c r="AI70" i="12" s="1"/>
  <c r="AI86" i="12" s="1"/>
  <c r="AI134" i="12" s="1"/>
  <c r="BC101" i="10"/>
  <c r="BC69" i="12" s="1"/>
  <c r="BC85" i="12" s="1"/>
  <c r="BC133" i="12" s="1"/>
  <c r="AE101" i="10"/>
  <c r="AE69" i="12" s="1"/>
  <c r="AE85" i="12" s="1"/>
  <c r="AE133" i="12" s="1"/>
  <c r="Z101" i="10"/>
  <c r="Z69" i="12" s="1"/>
  <c r="AD101" i="10"/>
  <c r="AD69" i="12" s="1"/>
  <c r="AD85" i="12" s="1"/>
  <c r="AD133" i="12" s="1"/>
  <c r="AP101" i="10"/>
  <c r="AP69" i="12" s="1"/>
  <c r="AP85" i="12" s="1"/>
  <c r="AP133" i="12" s="1"/>
  <c r="AC100" i="10"/>
  <c r="BE100" i="10"/>
  <c r="AO100" i="10"/>
  <c r="AT100" i="10"/>
  <c r="Y100" i="10"/>
  <c r="Y353" i="12" s="1"/>
  <c r="Y99" i="16" s="1"/>
  <c r="Z109" i="7"/>
  <c r="Z351" i="12" s="1"/>
  <c r="Y109" i="7"/>
  <c r="AV109" i="7"/>
  <c r="AA109" i="7"/>
  <c r="X109" i="7"/>
  <c r="AD100" i="11"/>
  <c r="AD354" i="12" s="1"/>
  <c r="AD100" i="16" s="1"/>
  <c r="AT100" i="11"/>
  <c r="AT354" i="12" s="1"/>
  <c r="AT100" i="16" s="1"/>
  <c r="AL100" i="11"/>
  <c r="AL354" i="12" s="1"/>
  <c r="AL100" i="16" s="1"/>
  <c r="AA100" i="11"/>
  <c r="AA354" i="12" s="1"/>
  <c r="AA100" i="16" s="1"/>
  <c r="AW100" i="11"/>
  <c r="AW354" i="12" s="1"/>
  <c r="AW100" i="16" s="1"/>
  <c r="AW106" i="8"/>
  <c r="AG106" i="8"/>
  <c r="AJ106" i="8"/>
  <c r="AZ106" i="8"/>
  <c r="AI106" i="8"/>
  <c r="AY108" i="8"/>
  <c r="AY70" i="12" s="1"/>
  <c r="AY86" i="12" s="1"/>
  <c r="AY134" i="12" s="1"/>
  <c r="AA108" i="8"/>
  <c r="AA70" i="12" s="1"/>
  <c r="AA86" i="12" s="1"/>
  <c r="AA134" i="12" s="1"/>
  <c r="AN108" i="8"/>
  <c r="AN70" i="12" s="1"/>
  <c r="AN86" i="12" s="1"/>
  <c r="AN134" i="12" s="1"/>
  <c r="BB108" i="8"/>
  <c r="BB70" i="12" s="1"/>
  <c r="BB86" i="12" s="1"/>
  <c r="BB134" i="12" s="1"/>
  <c r="AE108" i="8"/>
  <c r="AE70" i="12" s="1"/>
  <c r="AE86" i="12" s="1"/>
  <c r="AE134" i="12" s="1"/>
  <c r="AU101" i="10"/>
  <c r="AU69" i="12" s="1"/>
  <c r="AU85" i="12" s="1"/>
  <c r="AU133" i="12" s="1"/>
  <c r="T101" i="10"/>
  <c r="AA101" i="10"/>
  <c r="BF101" i="10"/>
  <c r="BF69" i="12" s="1"/>
  <c r="BF85" i="12" s="1"/>
  <c r="BF133" i="12" s="1"/>
  <c r="AK101" i="10"/>
  <c r="AK69" i="12" s="1"/>
  <c r="AK85" i="12" s="1"/>
  <c r="AK133" i="12" s="1"/>
  <c r="AF100" i="10"/>
  <c r="AW100" i="10"/>
  <c r="AD100" i="10"/>
  <c r="X100" i="10"/>
  <c r="AZ100" i="10"/>
  <c r="BI101" i="11"/>
  <c r="AZ109" i="7"/>
  <c r="BG109" i="7"/>
  <c r="BG351" i="12" s="1"/>
  <c r="AB109" i="7"/>
  <c r="AB351" i="12" s="1"/>
  <c r="AG109" i="7"/>
  <c r="BF109" i="7"/>
  <c r="BC100" i="11"/>
  <c r="BC354" i="12" s="1"/>
  <c r="BC100" i="16" s="1"/>
  <c r="AI100" i="11"/>
  <c r="AI354" i="12" s="1"/>
  <c r="AI100" i="16" s="1"/>
  <c r="AQ100" i="11"/>
  <c r="AQ354" i="12" s="1"/>
  <c r="AQ100" i="16" s="1"/>
  <c r="BF100" i="11"/>
  <c r="BF354" i="12" s="1"/>
  <c r="BF100" i="16" s="1"/>
  <c r="AB100" i="11"/>
  <c r="AB354" i="12" s="1"/>
  <c r="AB100" i="16" s="1"/>
  <c r="AK106" i="8"/>
  <c r="BC106" i="8"/>
  <c r="AN106" i="8"/>
  <c r="AR106" i="8"/>
  <c r="X106" i="8"/>
  <c r="AQ108" i="8"/>
  <c r="AQ70" i="12" s="1"/>
  <c r="AQ86" i="12" s="1"/>
  <c r="AQ134" i="12" s="1"/>
  <c r="BE108" i="8"/>
  <c r="BE70" i="12" s="1"/>
  <c r="BE86" i="12" s="1"/>
  <c r="BE134" i="12" s="1"/>
  <c r="Y108" i="8"/>
  <c r="Y70" i="12" s="1"/>
  <c r="Y86" i="12" s="1"/>
  <c r="Y134" i="12" s="1"/>
  <c r="AT108" i="8"/>
  <c r="AT70" i="12" s="1"/>
  <c r="AT86" i="12" s="1"/>
  <c r="AT134" i="12" s="1"/>
  <c r="AB108" i="8"/>
  <c r="AG101" i="10"/>
  <c r="AG69" i="12" s="1"/>
  <c r="AG85" i="12" s="1"/>
  <c r="AG133" i="12" s="1"/>
  <c r="BA101" i="10"/>
  <c r="BA69" i="12" s="1"/>
  <c r="BA85" i="12" s="1"/>
  <c r="BA133" i="12" s="1"/>
  <c r="AB101" i="10"/>
  <c r="AX101" i="10"/>
  <c r="AX69" i="12" s="1"/>
  <c r="AX85" i="12" s="1"/>
  <c r="AX133" i="12" s="1"/>
  <c r="AA100" i="10"/>
  <c r="T100" i="10"/>
  <c r="BC100" i="10"/>
  <c r="AE100" i="10"/>
  <c r="AR109" i="7"/>
  <c r="AF109" i="7"/>
  <c r="AK109" i="7"/>
  <c r="AC109" i="7"/>
  <c r="AC351" i="12" s="1"/>
  <c r="AU100" i="11"/>
  <c r="AU354" i="12" s="1"/>
  <c r="AU100" i="16" s="1"/>
  <c r="BA100" i="11"/>
  <c r="BA354" i="12" s="1"/>
  <c r="BA100" i="16" s="1"/>
  <c r="BG100" i="11"/>
  <c r="BG354" i="12" s="1"/>
  <c r="BG100" i="16" s="1"/>
  <c r="AX100" i="11"/>
  <c r="AX354" i="12" s="1"/>
  <c r="AX100" i="16" s="1"/>
  <c r="AH106" i="8"/>
  <c r="AU106" i="8"/>
  <c r="AL106" i="8"/>
  <c r="V106" i="8"/>
  <c r="AH108" i="8"/>
  <c r="AH70" i="12" s="1"/>
  <c r="AH86" i="12" s="1"/>
  <c r="AH134" i="12" s="1"/>
  <c r="AW108" i="8"/>
  <c r="AW70" i="12" s="1"/>
  <c r="AW86" i="12" s="1"/>
  <c r="AW134" i="12" s="1"/>
  <c r="U108" i="8"/>
  <c r="U70" i="12" s="1"/>
  <c r="U86" i="12" s="1"/>
  <c r="U134" i="12" s="1"/>
  <c r="AL108" i="8"/>
  <c r="AN108" i="45"/>
  <c r="AO70" i="28"/>
  <c r="EY22" i="22"/>
  <c r="BK199" i="12"/>
  <c r="K209" i="12" s="1"/>
  <c r="AW211" i="12"/>
  <c r="AW219" i="12" s="1"/>
  <c r="BA211" i="12"/>
  <c r="BA219" i="12" s="1"/>
  <c r="AR211" i="12"/>
  <c r="AR219" i="12" s="1"/>
  <c r="AC211" i="12"/>
  <c r="AC219" i="12" s="1"/>
  <c r="AU211" i="12"/>
  <c r="AU219" i="12" s="1"/>
  <c r="BC211" i="12"/>
  <c r="BC219" i="12" s="1"/>
  <c r="AV211" i="12"/>
  <c r="AV219" i="12" s="1"/>
  <c r="BD211" i="12"/>
  <c r="BD219" i="12" s="1"/>
  <c r="AA211" i="12"/>
  <c r="AA219" i="12" s="1"/>
  <c r="AO211" i="12"/>
  <c r="AO219" i="12" s="1"/>
  <c r="AH211" i="12"/>
  <c r="AH219" i="12" s="1"/>
  <c r="AG211" i="12"/>
  <c r="AG219" i="12" s="1"/>
  <c r="BE211" i="12"/>
  <c r="BE219" i="12" s="1"/>
  <c r="AN211" i="12"/>
  <c r="AN219" i="12" s="1"/>
  <c r="AM211" i="12"/>
  <c r="AM219" i="12" s="1"/>
  <c r="AY211" i="12"/>
  <c r="AY219" i="12" s="1"/>
  <c r="AZ211" i="12"/>
  <c r="AZ219" i="12" s="1"/>
  <c r="AF211" i="12"/>
  <c r="AF219" i="12" s="1"/>
  <c r="AE211" i="12"/>
  <c r="AE219" i="12" s="1"/>
  <c r="AS211" i="12"/>
  <c r="AS219" i="12" s="1"/>
  <c r="BG211" i="12"/>
  <c r="BG219" i="12" s="1"/>
  <c r="AQ211" i="12"/>
  <c r="AQ219" i="12" s="1"/>
  <c r="AI211" i="12"/>
  <c r="AI219" i="12" s="1"/>
  <c r="BF211" i="12"/>
  <c r="BF219" i="12" s="1"/>
  <c r="Y211" i="12"/>
  <c r="Y219" i="12" s="1"/>
  <c r="AX211" i="12"/>
  <c r="AX219" i="12" s="1"/>
  <c r="X211" i="12"/>
  <c r="X219" i="12" s="1"/>
  <c r="V211" i="12"/>
  <c r="V219" i="12" s="1"/>
  <c r="AB211" i="12"/>
  <c r="AB219" i="12" s="1"/>
  <c r="Z211" i="12"/>
  <c r="Z219" i="12" s="1"/>
  <c r="AD211" i="12"/>
  <c r="AD219" i="12" s="1"/>
  <c r="AL211" i="12"/>
  <c r="AL219" i="12" s="1"/>
  <c r="AT211" i="12"/>
  <c r="AT219" i="12" s="1"/>
  <c r="AJ211" i="12"/>
  <c r="AJ219" i="12" s="1"/>
  <c r="BB211" i="12"/>
  <c r="BB219" i="12" s="1"/>
  <c r="W211" i="12"/>
  <c r="W219" i="12" s="1"/>
  <c r="AK211" i="12"/>
  <c r="AK219" i="12" s="1"/>
  <c r="U211" i="12"/>
  <c r="U219" i="12" s="1"/>
  <c r="T211" i="12"/>
  <c r="AP211" i="12"/>
  <c r="AP219" i="12" s="1"/>
  <c r="N108" i="45"/>
  <c r="CW19" i="22"/>
  <c r="BK200" i="12"/>
  <c r="K210" i="12" s="1"/>
  <c r="AQ63" i="28"/>
  <c r="AQ66" i="28"/>
  <c r="AQ64" i="28"/>
  <c r="AM66" i="28"/>
  <c r="AM63" i="28"/>
  <c r="AM64" i="28"/>
  <c r="AM65" i="28"/>
  <c r="AM69" i="28"/>
  <c r="AQ68" i="28"/>
  <c r="AQ62" i="28"/>
  <c r="AQ69" i="28"/>
  <c r="AW346" i="12"/>
  <c r="AW91" i="16" s="1"/>
  <c r="X346" i="12"/>
  <c r="X91" i="16" s="1"/>
  <c r="AW337" i="12"/>
  <c r="AW62" i="16" s="1"/>
  <c r="AU346" i="12"/>
  <c r="AU91" i="16" s="1"/>
  <c r="X344" i="12"/>
  <c r="AF337" i="12"/>
  <c r="AF62" i="16" s="1"/>
  <c r="AN346" i="12"/>
  <c r="AN91" i="16" s="1"/>
  <c r="BD346" i="12"/>
  <c r="BD91" i="16" s="1"/>
  <c r="AF346" i="12"/>
  <c r="AF91" i="16" s="1"/>
  <c r="AO346" i="12"/>
  <c r="AO91" i="16" s="1"/>
  <c r="BE346" i="12"/>
  <c r="BE91" i="16" s="1"/>
  <c r="Z346" i="12"/>
  <c r="Z91" i="16" s="1"/>
  <c r="AT346" i="12"/>
  <c r="AT91" i="16" s="1"/>
  <c r="AG346" i="12"/>
  <c r="AG91" i="16" s="1"/>
  <c r="BE337" i="12"/>
  <c r="BE62" i="16" s="1"/>
  <c r="T346" i="12"/>
  <c r="T91" i="16" s="1"/>
  <c r="AM346" i="12"/>
  <c r="AM91" i="16" s="1"/>
  <c r="BC346" i="12"/>
  <c r="BC91" i="16" s="1"/>
  <c r="AL344" i="12"/>
  <c r="BC337" i="12"/>
  <c r="BC62" i="16" s="1"/>
  <c r="AV346" i="12"/>
  <c r="AV91" i="16" s="1"/>
  <c r="AC66" i="38"/>
  <c r="AD66" i="38" s="1"/>
  <c r="AT60" i="16"/>
  <c r="AJ346" i="12"/>
  <c r="AJ91" i="16" s="1"/>
  <c r="AX346" i="12"/>
  <c r="AX91" i="16" s="1"/>
  <c r="BP66" i="14"/>
  <c r="AH346" i="12"/>
  <c r="AH91" i="16" s="1"/>
  <c r="AY346" i="12"/>
  <c r="AY91" i="16" s="1"/>
  <c r="AZ346" i="12"/>
  <c r="AZ91" i="16" s="1"/>
  <c r="AS346" i="12"/>
  <c r="AS91" i="16" s="1"/>
  <c r="AJ344" i="12"/>
  <c r="AM344" i="12"/>
  <c r="BC344" i="12"/>
  <c r="AN60" i="16"/>
  <c r="Y346" i="12"/>
  <c r="Y91" i="16" s="1"/>
  <c r="U344" i="12"/>
  <c r="AN344" i="12"/>
  <c r="BD344" i="12"/>
  <c r="AY337" i="12"/>
  <c r="AY62" i="16" s="1"/>
  <c r="AC346" i="12"/>
  <c r="AC91" i="16" s="1"/>
  <c r="AS337" i="12"/>
  <c r="AS62" i="16" s="1"/>
  <c r="BC335" i="12"/>
  <c r="AX337" i="12"/>
  <c r="AX62" i="16" s="1"/>
  <c r="AH337" i="12"/>
  <c r="AH62" i="16" s="1"/>
  <c r="Y337" i="12"/>
  <c r="Y62" i="16" s="1"/>
  <c r="AE346" i="12"/>
  <c r="AE91" i="16" s="1"/>
  <c r="AL60" i="16"/>
  <c r="AP346" i="12"/>
  <c r="AP91" i="16" s="1"/>
  <c r="BF346" i="12"/>
  <c r="BF91" i="16" s="1"/>
  <c r="AX335" i="12"/>
  <c r="AQ346" i="12"/>
  <c r="AQ91" i="16" s="1"/>
  <c r="BG346" i="12"/>
  <c r="BG91" i="16" s="1"/>
  <c r="AC344" i="12"/>
  <c r="AO344" i="12"/>
  <c r="BE344" i="12"/>
  <c r="V344" i="12"/>
  <c r="AP344" i="12"/>
  <c r="BF344" i="12"/>
  <c r="AI346" i="12"/>
  <c r="AI91" i="16" s="1"/>
  <c r="AF344" i="12"/>
  <c r="AU344" i="12"/>
  <c r="Y344" i="12"/>
  <c r="AV344" i="12"/>
  <c r="AQ337" i="12"/>
  <c r="AQ62" i="16" s="1"/>
  <c r="BG337" i="12"/>
  <c r="BG62" i="16" s="1"/>
  <c r="AR337" i="12"/>
  <c r="AR62" i="16" s="1"/>
  <c r="W335" i="12"/>
  <c r="AP337" i="12"/>
  <c r="AP62" i="16" s="1"/>
  <c r="BF337" i="12"/>
  <c r="BF62" i="16" s="1"/>
  <c r="AA346" i="12"/>
  <c r="AA91" i="16" s="1"/>
  <c r="AD344" i="12"/>
  <c r="AQ344" i="12"/>
  <c r="BG344" i="12"/>
  <c r="AT337" i="12"/>
  <c r="AT62" i="16" s="1"/>
  <c r="AU337" i="12"/>
  <c r="AU62" i="16" s="1"/>
  <c r="V346" i="12"/>
  <c r="V91" i="16" s="1"/>
  <c r="BD60" i="16"/>
  <c r="AJ335" i="12"/>
  <c r="AJ337" i="12"/>
  <c r="AJ62" i="16" s="1"/>
  <c r="AS60" i="16"/>
  <c r="AA337" i="12"/>
  <c r="AA62" i="16" s="1"/>
  <c r="AB346" i="12"/>
  <c r="AB91" i="16" s="1"/>
  <c r="W346" i="12"/>
  <c r="W91" i="16" s="1"/>
  <c r="AD346" i="12"/>
  <c r="AD91" i="16" s="1"/>
  <c r="AP335" i="12"/>
  <c r="AM60" i="28"/>
  <c r="U337" i="12"/>
  <c r="U62" i="16" s="1"/>
  <c r="T337" i="12"/>
  <c r="T62" i="16" s="1"/>
  <c r="AC337" i="12"/>
  <c r="AC62" i="16" s="1"/>
  <c r="AR344" i="12"/>
  <c r="AY344" i="12"/>
  <c r="AS344" i="12"/>
  <c r="BD337" i="12"/>
  <c r="BD62" i="16" s="1"/>
  <c r="AT344" i="12"/>
  <c r="AO351" i="12"/>
  <c r="AF351" i="12"/>
  <c r="AR351" i="12"/>
  <c r="AD351" i="12"/>
  <c r="AV337" i="12"/>
  <c r="AV62" i="16" s="1"/>
  <c r="V337" i="12"/>
  <c r="V62" i="16" s="1"/>
  <c r="AG337" i="12"/>
  <c r="AG62" i="16" s="1"/>
  <c r="AN337" i="12"/>
  <c r="AN62" i="16" s="1"/>
  <c r="W344" i="12"/>
  <c r="BS66" i="14"/>
  <c r="AJ351" i="12"/>
  <c r="BF351" i="12"/>
  <c r="AE344" i="12"/>
  <c r="AR346" i="12"/>
  <c r="AR91" i="16" s="1"/>
  <c r="Y354" i="12"/>
  <c r="Y100" i="16" s="1"/>
  <c r="BB337" i="12"/>
  <c r="BB62" i="16" s="1"/>
  <c r="BA337" i="12"/>
  <c r="BA62" i="16" s="1"/>
  <c r="AA351" i="12"/>
  <c r="AM351" i="12"/>
  <c r="AX351" i="12"/>
  <c r="AZ337" i="12"/>
  <c r="AZ62" i="16" s="1"/>
  <c r="AM337" i="12"/>
  <c r="AM62" i="16" s="1"/>
  <c r="AI344" i="12"/>
  <c r="AH354" i="12"/>
  <c r="AH100" i="16" s="1"/>
  <c r="AB337" i="12"/>
  <c r="AB62" i="16" s="1"/>
  <c r="Z344" i="12"/>
  <c r="AK337" i="12"/>
  <c r="AK62" i="16" s="1"/>
  <c r="AB344" i="12"/>
  <c r="AO337" i="12"/>
  <c r="AO62" i="16" s="1"/>
  <c r="AZ344" i="12"/>
  <c r="AD337" i="12"/>
  <c r="AD62" i="16" s="1"/>
  <c r="AH344" i="12"/>
  <c r="AG344" i="12"/>
  <c r="BD351" i="12"/>
  <c r="V351" i="12"/>
  <c r="AS351" i="12"/>
  <c r="AK351" i="12"/>
  <c r="AK346" i="12"/>
  <c r="AK91" i="16" s="1"/>
  <c r="BA344" i="12"/>
  <c r="BB346" i="12"/>
  <c r="BB91" i="16" s="1"/>
  <c r="W337" i="12"/>
  <c r="W62" i="16" s="1"/>
  <c r="AK344" i="12"/>
  <c r="AX344" i="12"/>
  <c r="X337" i="12"/>
  <c r="X62" i="16" s="1"/>
  <c r="AV351" i="12"/>
  <c r="W351" i="12"/>
  <c r="AL351" i="12"/>
  <c r="AI337" i="12"/>
  <c r="AI62" i="16" s="1"/>
  <c r="X354" i="12"/>
  <c r="X100" i="16" s="1"/>
  <c r="N41" i="15"/>
  <c r="N51" i="15"/>
  <c r="M51" i="15"/>
  <c r="Z337" i="12"/>
  <c r="Z62" i="16" s="1"/>
  <c r="AL337" i="12"/>
  <c r="AL62" i="16" s="1"/>
  <c r="AN351" i="12"/>
  <c r="BB351" i="12"/>
  <c r="Y351" i="12"/>
  <c r="AY351" i="12"/>
  <c r="AG351" i="12"/>
  <c r="AW344" i="12"/>
  <c r="T344" i="12"/>
  <c r="BB344" i="12"/>
  <c r="BA346" i="12"/>
  <c r="BA91" i="16" s="1"/>
  <c r="W354" i="12"/>
  <c r="W100" i="16" s="1"/>
  <c r="AE337" i="12"/>
  <c r="AE62" i="16" s="1"/>
  <c r="AL346" i="12"/>
  <c r="AL91" i="16" s="1"/>
  <c r="AA344" i="12"/>
  <c r="BR66" i="14"/>
  <c r="AD335" i="12"/>
  <c r="AD60" i="16" s="1"/>
  <c r="BO60" i="16" s="1"/>
  <c r="BE351" i="12"/>
  <c r="AT351" i="12"/>
  <c r="T351" i="12"/>
  <c r="AQ351" i="12"/>
  <c r="U346" i="12"/>
  <c r="U91" i="16" s="1"/>
  <c r="AM100" i="38"/>
  <c r="AF100" i="38" s="1"/>
  <c r="AM98" i="38"/>
  <c r="AF98" i="38" s="1"/>
  <c r="BG335" i="12"/>
  <c r="AM60" i="38"/>
  <c r="AF60" i="38" s="1"/>
  <c r="AO335" i="12"/>
  <c r="AM86" i="38"/>
  <c r="AF86" i="38" s="1"/>
  <c r="BA335" i="12"/>
  <c r="AF335" i="12"/>
  <c r="AQ61" i="28"/>
  <c r="AG59" i="16"/>
  <c r="AM78" i="38"/>
  <c r="AF78" i="38" s="1"/>
  <c r="AA59" i="16"/>
  <c r="AM76" i="38"/>
  <c r="AF76" i="38" s="1"/>
  <c r="AU335" i="12"/>
  <c r="AU60" i="16" s="1"/>
  <c r="AM27" i="38"/>
  <c r="AF27" i="38" s="1"/>
  <c r="AZ335" i="12"/>
  <c r="AV335" i="12"/>
  <c r="AV60" i="16" s="1"/>
  <c r="AM64" i="38"/>
  <c r="AF64" i="38" s="1"/>
  <c r="AQ60" i="28"/>
  <c r="AV59" i="16"/>
  <c r="AM12" i="38"/>
  <c r="AF12" i="38" s="1"/>
  <c r="BP64" i="14"/>
  <c r="AR335" i="12"/>
  <c r="AM88" i="38"/>
  <c r="AF88" i="38" s="1"/>
  <c r="BM66" i="14"/>
  <c r="AI59" i="16"/>
  <c r="T59" i="16"/>
  <c r="AM335" i="12"/>
  <c r="AM60" i="16" s="1"/>
  <c r="BF335" i="12"/>
  <c r="AH335" i="12"/>
  <c r="AH60" i="16" s="1"/>
  <c r="X59" i="16"/>
  <c r="AY335" i="12"/>
  <c r="AM34" i="38"/>
  <c r="AF34" i="38" s="1"/>
  <c r="U59" i="16"/>
  <c r="AR70" i="28"/>
  <c r="AM13" i="38"/>
  <c r="AF13" i="38" s="1"/>
  <c r="J16" i="36"/>
  <c r="AM62" i="28"/>
  <c r="AI335" i="12"/>
  <c r="AM32" i="38"/>
  <c r="AF32" i="38" s="1"/>
  <c r="AM85" i="38"/>
  <c r="AF85" i="38" s="1"/>
  <c r="AM92" i="38"/>
  <c r="AF92" i="38" s="1"/>
  <c r="AQ335" i="12"/>
  <c r="BE335" i="12"/>
  <c r="Y335" i="12"/>
  <c r="V335" i="12"/>
  <c r="V60" i="16" s="1"/>
  <c r="AM21" i="38"/>
  <c r="AF21" i="38" s="1"/>
  <c r="I19" i="36"/>
  <c r="AB59" i="16"/>
  <c r="AM74" i="38"/>
  <c r="AF74" i="38" s="1"/>
  <c r="BG60" i="12"/>
  <c r="AE60" i="12"/>
  <c r="BG61" i="12"/>
  <c r="AM77" i="38"/>
  <c r="AF77" i="38" s="1"/>
  <c r="T335" i="12"/>
  <c r="BG336" i="12"/>
  <c r="BG61" i="16" s="1"/>
  <c r="AM18" i="38"/>
  <c r="AF18" i="38" s="1"/>
  <c r="AU59" i="16"/>
  <c r="AM49" i="38"/>
  <c r="AF49" i="38" s="1"/>
  <c r="W336" i="12"/>
  <c r="W61" i="16" s="1"/>
  <c r="AL66" i="38"/>
  <c r="X62" i="12"/>
  <c r="AE59" i="16"/>
  <c r="V59" i="16"/>
  <c r="AL65" i="38"/>
  <c r="AE65" i="38" s="1"/>
  <c r="AM59" i="16"/>
  <c r="AP60" i="12"/>
  <c r="AX60" i="12"/>
  <c r="Z335" i="12"/>
  <c r="AU60" i="12"/>
  <c r="AY60" i="12"/>
  <c r="AS61" i="12"/>
  <c r="AC60" i="12"/>
  <c r="AG335" i="12"/>
  <c r="AL61" i="12"/>
  <c r="BB61" i="12"/>
  <c r="BC60" i="12"/>
  <c r="U335" i="12"/>
  <c r="U60" i="16" s="1"/>
  <c r="BC62" i="12"/>
  <c r="I70" i="45"/>
  <c r="AI70" i="45" s="1"/>
  <c r="AC62" i="12"/>
  <c r="AM57" i="38"/>
  <c r="AF57" i="38" s="1"/>
  <c r="AC59" i="16"/>
  <c r="AH59" i="16"/>
  <c r="W60" i="12"/>
  <c r="T60" i="12"/>
  <c r="BA62" i="12"/>
  <c r="AD59" i="16"/>
  <c r="AT60" i="12"/>
  <c r="AE61" i="12"/>
  <c r="AX61" i="12"/>
  <c r="J15" i="36"/>
  <c r="J14" i="36"/>
  <c r="J9" i="36"/>
  <c r="J12" i="36"/>
  <c r="AI62" i="12"/>
  <c r="AK59" i="16"/>
  <c r="AM30" i="38"/>
  <c r="AF30" i="38" s="1"/>
  <c r="AN60" i="12"/>
  <c r="AN62" i="12"/>
  <c r="AN61" i="12"/>
  <c r="AK62" i="12"/>
  <c r="AM36" i="38"/>
  <c r="AF36" i="38" s="1"/>
  <c r="AQ67" i="28"/>
  <c r="AH351" i="12" l="1"/>
  <c r="BI111" i="7"/>
  <c r="BI110" i="7"/>
  <c r="X351" i="12"/>
  <c r="AZ351" i="12"/>
  <c r="AW351" i="12"/>
  <c r="BA351" i="12"/>
  <c r="AC70" i="12"/>
  <c r="AC86" i="12" s="1"/>
  <c r="AC134" i="12" s="1"/>
  <c r="U69" i="12"/>
  <c r="AB69" i="12"/>
  <c r="AF70" i="12"/>
  <c r="AF86" i="12" s="1"/>
  <c r="AF134" i="12" s="1"/>
  <c r="AL70" i="12"/>
  <c r="AL86" i="12" s="1"/>
  <c r="AL134" i="12" s="1"/>
  <c r="AV70" i="12"/>
  <c r="AV86" i="12" s="1"/>
  <c r="AV134" i="12" s="1"/>
  <c r="AW69" i="12"/>
  <c r="AW85" i="12" s="1"/>
  <c r="AW133" i="12" s="1"/>
  <c r="AP70" i="12"/>
  <c r="AP86" i="12" s="1"/>
  <c r="AP134" i="12" s="1"/>
  <c r="V70" i="12"/>
  <c r="V86" i="12" s="1"/>
  <c r="V134" i="12" s="1"/>
  <c r="AB70" i="12"/>
  <c r="AB86" i="12" s="1"/>
  <c r="AB134" i="12" s="1"/>
  <c r="AZ70" i="12"/>
  <c r="AZ86" i="12" s="1"/>
  <c r="AZ134" i="12" s="1"/>
  <c r="BI107" i="8"/>
  <c r="BI102" i="11"/>
  <c r="BI102" i="10"/>
  <c r="AT69" i="12"/>
  <c r="AT85" i="12" s="1"/>
  <c r="AT133" i="12" s="1"/>
  <c r="Z70" i="12"/>
  <c r="Z86" i="12" s="1"/>
  <c r="Z134" i="12" s="1"/>
  <c r="AL69" i="12"/>
  <c r="AL85" i="12" s="1"/>
  <c r="AL133" i="12" s="1"/>
  <c r="BA70" i="12"/>
  <c r="BA86" i="12" s="1"/>
  <c r="BA134" i="12" s="1"/>
  <c r="AM70" i="12"/>
  <c r="AM86" i="12" s="1"/>
  <c r="AM134" i="12" s="1"/>
  <c r="AM354" i="12"/>
  <c r="AM100" i="16" s="1"/>
  <c r="AO70" i="12"/>
  <c r="AO86" i="12" s="1"/>
  <c r="AO134" i="12" s="1"/>
  <c r="Z354" i="12"/>
  <c r="Z100" i="16" s="1"/>
  <c r="BN100" i="16" s="1"/>
  <c r="BD69" i="12"/>
  <c r="BD85" i="12" s="1"/>
  <c r="BD133" i="12" s="1"/>
  <c r="AA69" i="12"/>
  <c r="AS70" i="12"/>
  <c r="AS86" i="12" s="1"/>
  <c r="AS134" i="12" s="1"/>
  <c r="AZ352" i="12"/>
  <c r="AZ98" i="16" s="1"/>
  <c r="AD352" i="12"/>
  <c r="AD98" i="16" s="1"/>
  <c r="AR353" i="12"/>
  <c r="AR99" i="16" s="1"/>
  <c r="V352" i="12"/>
  <c r="V98" i="16" s="1"/>
  <c r="CD19" i="22"/>
  <c r="BF352" i="12"/>
  <c r="BF98" i="16" s="1"/>
  <c r="AO352" i="12"/>
  <c r="AO98" i="16" s="1"/>
  <c r="AS353" i="12"/>
  <c r="AS99" i="16" s="1"/>
  <c r="X352" i="12"/>
  <c r="X98" i="16" s="1"/>
  <c r="AD353" i="12"/>
  <c r="AD99" i="16" s="1"/>
  <c r="AX352" i="12"/>
  <c r="AX98" i="16" s="1"/>
  <c r="AP352" i="12"/>
  <c r="AP98" i="16" s="1"/>
  <c r="AV352" i="12"/>
  <c r="AV98" i="16" s="1"/>
  <c r="AQ352" i="12"/>
  <c r="AQ98" i="16" s="1"/>
  <c r="AU352" i="12"/>
  <c r="AU98" i="16" s="1"/>
  <c r="BC352" i="12"/>
  <c r="BC98" i="16" s="1"/>
  <c r="W352" i="12"/>
  <c r="W98" i="16" s="1"/>
  <c r="AN352" i="12"/>
  <c r="AN98" i="16" s="1"/>
  <c r="BA352" i="12"/>
  <c r="BA98" i="16" s="1"/>
  <c r="BG352" i="12"/>
  <c r="BG98" i="16" s="1"/>
  <c r="BD352" i="12"/>
  <c r="BD98" i="16" s="1"/>
  <c r="AC352" i="12"/>
  <c r="AC98" i="16" s="1"/>
  <c r="AR352" i="12"/>
  <c r="AR98" i="16" s="1"/>
  <c r="AC68" i="12"/>
  <c r="AC74" i="14" s="1"/>
  <c r="AE66" i="38"/>
  <c r="AG352" i="12"/>
  <c r="AG98" i="16" s="1"/>
  <c r="AX70" i="12"/>
  <c r="AX86" i="12" s="1"/>
  <c r="AX134" i="12" s="1"/>
  <c r="AW352" i="12"/>
  <c r="AW98" i="16" s="1"/>
  <c r="AF352" i="12"/>
  <c r="AF98" i="16" s="1"/>
  <c r="AY352" i="12"/>
  <c r="AY98" i="16" s="1"/>
  <c r="AG68" i="12"/>
  <c r="AG84" i="12" s="1"/>
  <c r="AI352" i="12"/>
  <c r="AI98" i="16" s="1"/>
  <c r="AF353" i="12"/>
  <c r="AF99" i="16" s="1"/>
  <c r="U68" i="12"/>
  <c r="U84" i="12" s="1"/>
  <c r="Y352" i="12"/>
  <c r="Y98" i="16" s="1"/>
  <c r="AK352" i="12"/>
  <c r="AK98" i="16" s="1"/>
  <c r="AE352" i="12"/>
  <c r="AE98" i="16" s="1"/>
  <c r="Z352" i="12"/>
  <c r="Z98" i="16" s="1"/>
  <c r="T352" i="12"/>
  <c r="T98" i="16" s="1"/>
  <c r="AT352" i="12"/>
  <c r="AT98" i="16" s="1"/>
  <c r="BM91" i="16"/>
  <c r="AA352" i="12"/>
  <c r="AA98" i="16" s="1"/>
  <c r="AS352" i="12"/>
  <c r="AS98" i="16" s="1"/>
  <c r="BR100" i="16"/>
  <c r="AL352" i="12"/>
  <c r="AL98" i="16" s="1"/>
  <c r="BE352" i="12"/>
  <c r="BE98" i="16" s="1"/>
  <c r="AH352" i="12"/>
  <c r="AH98" i="16" s="1"/>
  <c r="AK68" i="12"/>
  <c r="AK74" i="14" s="1"/>
  <c r="AV68" i="12"/>
  <c r="AV74" i="14" s="1"/>
  <c r="AJ352" i="12"/>
  <c r="AJ98" i="16" s="1"/>
  <c r="BB352" i="12"/>
  <c r="BB98" i="16" s="1"/>
  <c r="AB352" i="12"/>
  <c r="AB98" i="16" s="1"/>
  <c r="AM352" i="12"/>
  <c r="AM98" i="16" s="1"/>
  <c r="BT62" i="16"/>
  <c r="U352" i="12"/>
  <c r="U98" i="16" s="1"/>
  <c r="BV62" i="16"/>
  <c r="BS91" i="16"/>
  <c r="AB68" i="12"/>
  <c r="BN91" i="16"/>
  <c r="AM68" i="12"/>
  <c r="AM84" i="12" s="1"/>
  <c r="BT91" i="16"/>
  <c r="BO91" i="16"/>
  <c r="BV91" i="16"/>
  <c r="AJ68" i="12"/>
  <c r="AJ74" i="14" s="1"/>
  <c r="AQ68" i="12"/>
  <c r="AQ74" i="14" s="1"/>
  <c r="AS68" i="12"/>
  <c r="AS84" i="12" s="1"/>
  <c r="AY68" i="12"/>
  <c r="AY74" i="14" s="1"/>
  <c r="AA68" i="12"/>
  <c r="AA74" i="14" s="1"/>
  <c r="AQ70" i="28"/>
  <c r="BI101" i="10"/>
  <c r="BI108" i="8"/>
  <c r="AM70" i="28"/>
  <c r="BI100" i="11"/>
  <c r="AU68" i="12"/>
  <c r="AD68" i="12"/>
  <c r="T68" i="12"/>
  <c r="BI109" i="7"/>
  <c r="AF68" i="12"/>
  <c r="BD68" i="12"/>
  <c r="BC68" i="12"/>
  <c r="AT68" i="12"/>
  <c r="BA68" i="12"/>
  <c r="AL68" i="12"/>
  <c r="T69" i="12"/>
  <c r="W86" i="12"/>
  <c r="W134" i="12" s="1"/>
  <c r="CN20" i="22" s="1"/>
  <c r="CD20" i="22"/>
  <c r="AR68" i="12"/>
  <c r="BF68" i="12"/>
  <c r="X68" i="12"/>
  <c r="AX68" i="12"/>
  <c r="AO68" i="12"/>
  <c r="AE68" i="12"/>
  <c r="BB68" i="12"/>
  <c r="W68" i="12"/>
  <c r="AI68" i="12"/>
  <c r="BE68" i="12"/>
  <c r="AH68" i="12"/>
  <c r="V68" i="12"/>
  <c r="T70" i="12"/>
  <c r="AW68" i="12"/>
  <c r="BI100" i="10"/>
  <c r="BG68" i="12"/>
  <c r="Y68" i="12"/>
  <c r="AP68" i="12"/>
  <c r="AZ68" i="12"/>
  <c r="Z68" i="12"/>
  <c r="AN68" i="12"/>
  <c r="BI106" i="8"/>
  <c r="BR91" i="16"/>
  <c r="AU209" i="12"/>
  <c r="AU217" i="12" s="1"/>
  <c r="AU99" i="14" s="1"/>
  <c r="AM209" i="12"/>
  <c r="AM217" i="12" s="1"/>
  <c r="AM99" i="14" s="1"/>
  <c r="X209" i="12"/>
  <c r="X217" i="12" s="1"/>
  <c r="X99" i="14" s="1"/>
  <c r="AK209" i="12"/>
  <c r="AK217" i="12" s="1"/>
  <c r="AK99" i="14" s="1"/>
  <c r="AD209" i="12"/>
  <c r="AD217" i="12" s="1"/>
  <c r="AD99" i="14" s="1"/>
  <c r="AL209" i="12"/>
  <c r="AL217" i="12" s="1"/>
  <c r="AL99" i="14" s="1"/>
  <c r="AH209" i="12"/>
  <c r="AH217" i="12" s="1"/>
  <c r="AH99" i="14" s="1"/>
  <c r="BC209" i="12"/>
  <c r="BC217" i="12" s="1"/>
  <c r="BC99" i="14" s="1"/>
  <c r="AC209" i="12"/>
  <c r="AC217" i="12" s="1"/>
  <c r="AC99" i="14" s="1"/>
  <c r="BB209" i="12"/>
  <c r="BB217" i="12" s="1"/>
  <c r="BB99" i="14" s="1"/>
  <c r="Z209" i="12"/>
  <c r="Z217" i="12" s="1"/>
  <c r="Z99" i="14" s="1"/>
  <c r="T209" i="12"/>
  <c r="BG209" i="12"/>
  <c r="BG217" i="12" s="1"/>
  <c r="BG99" i="14" s="1"/>
  <c r="BF209" i="12"/>
  <c r="BF217" i="12" s="1"/>
  <c r="BF99" i="14" s="1"/>
  <c r="AJ209" i="12"/>
  <c r="AJ217" i="12" s="1"/>
  <c r="AJ99" i="14" s="1"/>
  <c r="BD209" i="12"/>
  <c r="BD217" i="12" s="1"/>
  <c r="BD99" i="14" s="1"/>
  <c r="AE209" i="12"/>
  <c r="AE217" i="12" s="1"/>
  <c r="AE99" i="14" s="1"/>
  <c r="AR209" i="12"/>
  <c r="AR217" i="12" s="1"/>
  <c r="AR99" i="14" s="1"/>
  <c r="AZ209" i="12"/>
  <c r="AZ217" i="12" s="1"/>
  <c r="AZ99" i="14" s="1"/>
  <c r="Y209" i="12"/>
  <c r="Y217" i="12" s="1"/>
  <c r="Y99" i="14" s="1"/>
  <c r="W209" i="12"/>
  <c r="W217" i="12" s="1"/>
  <c r="W99" i="14" s="1"/>
  <c r="AG209" i="12"/>
  <c r="AG217" i="12" s="1"/>
  <c r="AG99" i="14" s="1"/>
  <c r="AW209" i="12"/>
  <c r="AW217" i="12" s="1"/>
  <c r="AW99" i="14" s="1"/>
  <c r="AP209" i="12"/>
  <c r="AP217" i="12" s="1"/>
  <c r="AP99" i="14" s="1"/>
  <c r="AB209" i="12"/>
  <c r="AB217" i="12" s="1"/>
  <c r="AB99" i="14" s="1"/>
  <c r="AV209" i="12"/>
  <c r="AV217" i="12" s="1"/>
  <c r="AV99" i="14" s="1"/>
  <c r="AO209" i="12"/>
  <c r="AO217" i="12" s="1"/>
  <c r="AO99" i="14" s="1"/>
  <c r="AF209" i="12"/>
  <c r="AF217" i="12" s="1"/>
  <c r="AF99" i="14" s="1"/>
  <c r="AQ209" i="12"/>
  <c r="AQ217" i="12" s="1"/>
  <c r="AQ99" i="14" s="1"/>
  <c r="V209" i="12"/>
  <c r="V217" i="12" s="1"/>
  <c r="V99" i="14" s="1"/>
  <c r="U209" i="12"/>
  <c r="U217" i="12" s="1"/>
  <c r="U99" i="14" s="1"/>
  <c r="AN209" i="12"/>
  <c r="AN217" i="12" s="1"/>
  <c r="AN99" i="14" s="1"/>
  <c r="BA209" i="12"/>
  <c r="BA217" i="12" s="1"/>
  <c r="BA99" i="14" s="1"/>
  <c r="BE209" i="12"/>
  <c r="BE217" i="12" s="1"/>
  <c r="BE99" i="14" s="1"/>
  <c r="AA209" i="12"/>
  <c r="AA217" i="12" s="1"/>
  <c r="AA99" i="14" s="1"/>
  <c r="AI209" i="12"/>
  <c r="AI217" i="12" s="1"/>
  <c r="AI99" i="14" s="1"/>
  <c r="AS209" i="12"/>
  <c r="AS217" i="12" s="1"/>
  <c r="AS99" i="14" s="1"/>
  <c r="AY209" i="12"/>
  <c r="AY217" i="12" s="1"/>
  <c r="AY99" i="14" s="1"/>
  <c r="AX209" i="12"/>
  <c r="AX217" i="12" s="1"/>
  <c r="AX99" i="14" s="1"/>
  <c r="AT209" i="12"/>
  <c r="AT217" i="12" s="1"/>
  <c r="AT99" i="14" s="1"/>
  <c r="BI211" i="12"/>
  <c r="BK211" i="12" s="1"/>
  <c r="BK219" i="12" s="1"/>
  <c r="K245" i="12" s="1"/>
  <c r="T219" i="12"/>
  <c r="CW20" i="22"/>
  <c r="CW18" i="22"/>
  <c r="AU210" i="12"/>
  <c r="AU218" i="12" s="1"/>
  <c r="AO210" i="12"/>
  <c r="AO218" i="12" s="1"/>
  <c r="X210" i="12"/>
  <c r="X218" i="12" s="1"/>
  <c r="AK210" i="12"/>
  <c r="AK218" i="12" s="1"/>
  <c r="AB210" i="12"/>
  <c r="AB218" i="12" s="1"/>
  <c r="AJ210" i="12"/>
  <c r="AJ218" i="12" s="1"/>
  <c r="T210" i="12"/>
  <c r="BC210" i="12"/>
  <c r="BC218" i="12" s="1"/>
  <c r="AC210" i="12"/>
  <c r="AC218" i="12" s="1"/>
  <c r="AZ210" i="12"/>
  <c r="AZ218" i="12" s="1"/>
  <c r="Y210" i="12"/>
  <c r="Y218" i="12" s="1"/>
  <c r="BF210" i="12"/>
  <c r="BF218" i="12" s="1"/>
  <c r="AR210" i="12"/>
  <c r="AR218" i="12" s="1"/>
  <c r="U210" i="12"/>
  <c r="U218" i="12" s="1"/>
  <c r="BE210" i="12"/>
  <c r="BE218" i="12" s="1"/>
  <c r="BD210" i="12"/>
  <c r="BD218" i="12" s="1"/>
  <c r="AE210" i="12"/>
  <c r="AE218" i="12" s="1"/>
  <c r="AQ210" i="12"/>
  <c r="AQ218" i="12" s="1"/>
  <c r="AY210" i="12"/>
  <c r="AY218" i="12" s="1"/>
  <c r="V210" i="12"/>
  <c r="V218" i="12" s="1"/>
  <c r="AV210" i="12"/>
  <c r="AV218" i="12" s="1"/>
  <c r="AD210" i="12"/>
  <c r="AD218" i="12" s="1"/>
  <c r="AL210" i="12"/>
  <c r="AL218" i="12" s="1"/>
  <c r="BG210" i="12"/>
  <c r="BG218" i="12" s="1"/>
  <c r="AM210" i="12"/>
  <c r="AM218" i="12" s="1"/>
  <c r="AA210" i="12"/>
  <c r="AA218" i="12" s="1"/>
  <c r="AI210" i="12"/>
  <c r="AI218" i="12" s="1"/>
  <c r="AG210" i="12"/>
  <c r="AG218" i="12" s="1"/>
  <c r="W210" i="12"/>
  <c r="W218" i="12" s="1"/>
  <c r="AF210" i="12"/>
  <c r="AF218" i="12" s="1"/>
  <c r="AP210" i="12"/>
  <c r="AP218" i="12" s="1"/>
  <c r="AW210" i="12"/>
  <c r="AW218" i="12" s="1"/>
  <c r="AN210" i="12"/>
  <c r="AN218" i="12" s="1"/>
  <c r="BA210" i="12"/>
  <c r="BA218" i="12" s="1"/>
  <c r="BB210" i="12"/>
  <c r="BB218" i="12" s="1"/>
  <c r="Z210" i="12"/>
  <c r="Z218" i="12" s="1"/>
  <c r="AT210" i="12"/>
  <c r="AT218" i="12" s="1"/>
  <c r="AS210" i="12"/>
  <c r="AS218" i="12" s="1"/>
  <c r="AX210" i="12"/>
  <c r="AX218" i="12" s="1"/>
  <c r="AH210" i="12"/>
  <c r="AH218" i="12" s="1"/>
  <c r="F59" i="45"/>
  <c r="AF59" i="45" s="1"/>
  <c r="F25" i="45"/>
  <c r="AF25" i="45" s="1"/>
  <c r="BP91" i="16"/>
  <c r="BV66" i="14"/>
  <c r="Y89" i="16"/>
  <c r="BE89" i="16"/>
  <c r="BO64" i="14"/>
  <c r="AI89" i="16"/>
  <c r="AU89" i="16"/>
  <c r="AW89" i="16"/>
  <c r="AB89" i="16"/>
  <c r="AF89" i="16"/>
  <c r="AO89" i="16"/>
  <c r="BS64" i="14"/>
  <c r="BB89" i="16"/>
  <c r="AG89" i="16"/>
  <c r="AE89" i="16"/>
  <c r="AT89" i="16"/>
  <c r="BO66" i="14"/>
  <c r="AC89" i="16"/>
  <c r="BC89" i="16"/>
  <c r="AA89" i="16"/>
  <c r="T89" i="16"/>
  <c r="AK89" i="16"/>
  <c r="AH89" i="16"/>
  <c r="BP62" i="16"/>
  <c r="AY89" i="16"/>
  <c r="BG89" i="16"/>
  <c r="BF89" i="16"/>
  <c r="BD89" i="16"/>
  <c r="AM89" i="16"/>
  <c r="AL89" i="16"/>
  <c r="AS89" i="16"/>
  <c r="AR89" i="16"/>
  <c r="AQ89" i="16"/>
  <c r="AP89" i="16"/>
  <c r="AN89" i="16"/>
  <c r="AJ89" i="16"/>
  <c r="AX89" i="16"/>
  <c r="Z89" i="16"/>
  <c r="AD89" i="16"/>
  <c r="AV89" i="16"/>
  <c r="V89" i="16"/>
  <c r="U89" i="16"/>
  <c r="X89" i="16"/>
  <c r="BA89" i="16"/>
  <c r="AZ89" i="16"/>
  <c r="W89" i="16"/>
  <c r="AR68" i="14"/>
  <c r="AR345" i="12"/>
  <c r="AR90" i="16" s="1"/>
  <c r="AR61" i="12"/>
  <c r="AM353" i="12"/>
  <c r="AM99" i="16" s="1"/>
  <c r="AB60" i="12"/>
  <c r="AR62" i="12"/>
  <c r="U60" i="12"/>
  <c r="U345" i="12"/>
  <c r="U90" i="16" s="1"/>
  <c r="T353" i="12"/>
  <c r="T99" i="16" s="1"/>
  <c r="AL39" i="14"/>
  <c r="AL35" i="14"/>
  <c r="AL37" i="14"/>
  <c r="BF61" i="12"/>
  <c r="BE60" i="16"/>
  <c r="AC345" i="12"/>
  <c r="AC90" i="16" s="1"/>
  <c r="AU39" i="14"/>
  <c r="AU37" i="14"/>
  <c r="BS37" i="14" s="1"/>
  <c r="BS38" i="14" s="1"/>
  <c r="AU35" i="14"/>
  <c r="BS35" i="14" s="1"/>
  <c r="BS36" i="14" s="1"/>
  <c r="AI60" i="16"/>
  <c r="AT61" i="12"/>
  <c r="AZ35" i="14"/>
  <c r="AH37" i="14"/>
  <c r="AH39" i="14"/>
  <c r="AH35" i="14"/>
  <c r="AK35" i="14"/>
  <c r="AK39" i="14"/>
  <c r="AU353" i="12"/>
  <c r="AU99" i="16" s="1"/>
  <c r="AS35" i="14"/>
  <c r="W353" i="12"/>
  <c r="W99" i="16" s="1"/>
  <c r="AG39" i="14"/>
  <c r="AG35" i="14"/>
  <c r="AG37" i="14"/>
  <c r="AT345" i="12"/>
  <c r="AT90" i="16" s="1"/>
  <c r="AT62" i="12"/>
  <c r="AY35" i="14"/>
  <c r="BT35" i="14" s="1"/>
  <c r="BT36" i="14" s="1"/>
  <c r="AY39" i="14"/>
  <c r="AC41" i="14"/>
  <c r="BC61" i="12"/>
  <c r="BC345" i="12"/>
  <c r="BC90" i="16" s="1"/>
  <c r="X60" i="12"/>
  <c r="T62" i="12"/>
  <c r="AV39" i="14"/>
  <c r="BQ59" i="16"/>
  <c r="Y60" i="12"/>
  <c r="AA353" i="12"/>
  <c r="AA99" i="16" s="1"/>
  <c r="AB345" i="12"/>
  <c r="AB90" i="16" s="1"/>
  <c r="AB62" i="12"/>
  <c r="AR39" i="14"/>
  <c r="AR37" i="14"/>
  <c r="AR35" i="14"/>
  <c r="BC353" i="12"/>
  <c r="BC99" i="16" s="1"/>
  <c r="AJ345" i="12"/>
  <c r="AJ90" i="16" s="1"/>
  <c r="AJ60" i="12"/>
  <c r="BA68" i="14"/>
  <c r="BA61" i="12"/>
  <c r="BA345" i="12"/>
  <c r="BA90" i="16" s="1"/>
  <c r="BA60" i="12"/>
  <c r="BF62" i="12"/>
  <c r="AN353" i="12"/>
  <c r="AN99" i="16" s="1"/>
  <c r="AG353" i="12"/>
  <c r="AG99" i="16" s="1"/>
  <c r="AK353" i="12"/>
  <c r="AK99" i="16" s="1"/>
  <c r="AO353" i="12"/>
  <c r="AO99" i="16" s="1"/>
  <c r="AS62" i="12"/>
  <c r="AC353" i="12"/>
  <c r="AC99" i="16" s="1"/>
  <c r="BF60" i="12"/>
  <c r="U353" i="12"/>
  <c r="U99" i="16" s="1"/>
  <c r="AP353" i="12"/>
  <c r="AP99" i="16" s="1"/>
  <c r="AL353" i="12"/>
  <c r="AL99" i="16" s="1"/>
  <c r="AZ60" i="12"/>
  <c r="AZ345" i="12"/>
  <c r="AZ90" i="16" s="1"/>
  <c r="AZ61" i="12"/>
  <c r="AZ62" i="12"/>
  <c r="AD60" i="12"/>
  <c r="AW60" i="12"/>
  <c r="AW62" i="12"/>
  <c r="AW61" i="12"/>
  <c r="AJ39" i="14"/>
  <c r="AJ35" i="14"/>
  <c r="AJ37" i="14"/>
  <c r="AH60" i="12"/>
  <c r="AI61" i="12"/>
  <c r="AX62" i="12"/>
  <c r="AV353" i="12"/>
  <c r="AV99" i="16" s="1"/>
  <c r="X68" i="14"/>
  <c r="X345" i="12"/>
  <c r="X90" i="16" s="1"/>
  <c r="AT35" i="14"/>
  <c r="AT37" i="14"/>
  <c r="AT39" i="14"/>
  <c r="AG62" i="12"/>
  <c r="AE336" i="12"/>
  <c r="BO37" i="14"/>
  <c r="BO38" i="14" s="1"/>
  <c r="BG62" i="12"/>
  <c r="AW353" i="12"/>
  <c r="AW99" i="16" s="1"/>
  <c r="AM62" i="12"/>
  <c r="AM61" i="12"/>
  <c r="AM60" i="12"/>
  <c r="AM345" i="12"/>
  <c r="AM90" i="16" s="1"/>
  <c r="BC37" i="14"/>
  <c r="BU37" i="14" s="1"/>
  <c r="BU38" i="14" s="1"/>
  <c r="BC39" i="14"/>
  <c r="AK61" i="12"/>
  <c r="AY61" i="12"/>
  <c r="AZ353" i="12"/>
  <c r="AZ99" i="16" s="1"/>
  <c r="AK37" i="14"/>
  <c r="AX353" i="12"/>
  <c r="AX99" i="16" s="1"/>
  <c r="AT353" i="12"/>
  <c r="AT99" i="16" s="1"/>
  <c r="AD61" i="12"/>
  <c r="AG60" i="16"/>
  <c r="Z60" i="16"/>
  <c r="BA37" i="14"/>
  <c r="Y61" i="12"/>
  <c r="BD353" i="12"/>
  <c r="BD99" i="16" s="1"/>
  <c r="BB60" i="12"/>
  <c r="BB62" i="12"/>
  <c r="BB345" i="12"/>
  <c r="BB90" i="16" s="1"/>
  <c r="AD62" i="12"/>
  <c r="BG39" i="14"/>
  <c r="BG37" i="14"/>
  <c r="BV37" i="14" s="1"/>
  <c r="BV38" i="14" s="1"/>
  <c r="AJ61" i="12"/>
  <c r="BE353" i="12"/>
  <c r="BE99" i="16" s="1"/>
  <c r="AY62" i="12"/>
  <c r="BE60" i="12"/>
  <c r="AS60" i="12"/>
  <c r="BF353" i="12"/>
  <c r="BF99" i="16" s="1"/>
  <c r="AI60" i="12"/>
  <c r="BD37" i="14"/>
  <c r="BD35" i="14"/>
  <c r="BB353" i="12"/>
  <c r="BB99" i="16" s="1"/>
  <c r="AR60" i="12"/>
  <c r="AZ37" i="14"/>
  <c r="AZ39" i="14"/>
  <c r="AP62" i="12"/>
  <c r="BP59" i="16"/>
  <c r="W62" i="12"/>
  <c r="AQ60" i="12"/>
  <c r="AQ62" i="12"/>
  <c r="AQ61" i="12"/>
  <c r="AM35" i="14"/>
  <c r="BQ35" i="14" s="1"/>
  <c r="BQ36" i="14" s="1"/>
  <c r="AM39" i="14"/>
  <c r="T41" i="14"/>
  <c r="T42" i="14" s="1"/>
  <c r="BI66" i="14"/>
  <c r="AF345" i="12"/>
  <c r="AF90" i="16" s="1"/>
  <c r="AF62" i="12"/>
  <c r="AF61" i="12"/>
  <c r="AF60" i="12"/>
  <c r="AL62" i="12"/>
  <c r="AL60" i="12"/>
  <c r="AL345" i="12"/>
  <c r="AL90" i="16" s="1"/>
  <c r="BB39" i="14"/>
  <c r="BB37" i="14"/>
  <c r="BB35" i="14"/>
  <c r="U62" i="12"/>
  <c r="AJ62" i="12"/>
  <c r="V345" i="12"/>
  <c r="V90" i="16" s="1"/>
  <c r="V60" i="12"/>
  <c r="V62" i="12"/>
  <c r="V61" i="12"/>
  <c r="AU345" i="12"/>
  <c r="AU90" i="16" s="1"/>
  <c r="AU62" i="12"/>
  <c r="AU61" i="12"/>
  <c r="BE62" i="12"/>
  <c r="AK345" i="12"/>
  <c r="AK90" i="16" s="1"/>
  <c r="AK60" i="12"/>
  <c r="T68" i="14"/>
  <c r="T345" i="12"/>
  <c r="T90" i="16" s="1"/>
  <c r="AA62" i="12"/>
  <c r="AO60" i="12"/>
  <c r="V353" i="12"/>
  <c r="V99" i="16" s="1"/>
  <c r="AS345" i="12"/>
  <c r="AS90" i="16" s="1"/>
  <c r="T60" i="16"/>
  <c r="AG68" i="14"/>
  <c r="AG60" i="12"/>
  <c r="AG61" i="12"/>
  <c r="AG345" i="12"/>
  <c r="AG90" i="16" s="1"/>
  <c r="Y60" i="16"/>
  <c r="AQ60" i="16"/>
  <c r="BE61" i="12"/>
  <c r="AB353" i="12"/>
  <c r="AB99" i="16" s="1"/>
  <c r="AY353" i="12"/>
  <c r="AY99" i="16" s="1"/>
  <c r="AD41" i="14"/>
  <c r="BD60" i="12"/>
  <c r="AI345" i="12"/>
  <c r="AI90" i="16" s="1"/>
  <c r="AN345" i="12"/>
  <c r="AN90" i="16" s="1"/>
  <c r="BD39" i="14"/>
  <c r="BG353" i="12"/>
  <c r="BG99" i="16" s="1"/>
  <c r="AO345" i="12"/>
  <c r="AO90" i="16" s="1"/>
  <c r="BE39" i="14"/>
  <c r="BE35" i="14"/>
  <c r="BE37" i="14"/>
  <c r="BD61" i="12"/>
  <c r="AP37" i="14"/>
  <c r="AH345" i="12"/>
  <c r="AH90" i="16" s="1"/>
  <c r="AH61" i="12"/>
  <c r="BF60" i="16"/>
  <c r="AO62" i="12"/>
  <c r="AO61" i="12"/>
  <c r="AI353" i="12"/>
  <c r="AI99" i="16" s="1"/>
  <c r="AX345" i="12"/>
  <c r="AX90" i="16" s="1"/>
  <c r="AN37" i="14"/>
  <c r="AN35" i="14"/>
  <c r="AS37" i="14"/>
  <c r="AS39" i="14"/>
  <c r="AA60" i="12"/>
  <c r="AA345" i="12"/>
  <c r="AA90" i="16" s="1"/>
  <c r="AO35" i="14"/>
  <c r="AO37" i="14"/>
  <c r="AV345" i="12"/>
  <c r="AV90" i="16" s="1"/>
  <c r="AV62" i="12"/>
  <c r="AV61" i="12"/>
  <c r="AV60" i="12"/>
  <c r="AW345" i="12"/>
  <c r="AW90" i="16" s="1"/>
  <c r="AR60" i="16"/>
  <c r="BD62" i="12"/>
  <c r="AZ60" i="16"/>
  <c r="AX39" i="14"/>
  <c r="AX37" i="14"/>
  <c r="BC35" i="14"/>
  <c r="BU35" i="14" s="1"/>
  <c r="BU36" i="14" s="1"/>
  <c r="AH353" i="12"/>
  <c r="AH99" i="16" s="1"/>
  <c r="AJ353" i="12"/>
  <c r="AJ99" i="16" s="1"/>
  <c r="BN37" i="14"/>
  <c r="BN38" i="14" s="1"/>
  <c r="BN35" i="14"/>
  <c r="BN36" i="14" s="1"/>
  <c r="AH62" i="12"/>
  <c r="AM37" i="14"/>
  <c r="BQ37" i="14" s="1"/>
  <c r="BQ38" i="14" s="1"/>
  <c r="AV35" i="14"/>
  <c r="AV37" i="14"/>
  <c r="BA353" i="12"/>
  <c r="BA99" i="16" s="1"/>
  <c r="BA39" i="14"/>
  <c r="BA35" i="14"/>
  <c r="AW37" i="14"/>
  <c r="AW35" i="14"/>
  <c r="AW39" i="14"/>
  <c r="Y62" i="12"/>
  <c r="Y345" i="12"/>
  <c r="Y90" i="16" s="1"/>
  <c r="BD345" i="12"/>
  <c r="BD90" i="16" s="1"/>
  <c r="AY60" i="16"/>
  <c r="AQ353" i="12"/>
  <c r="AQ99" i="16" s="1"/>
  <c r="AD345" i="12"/>
  <c r="AD90" i="16" s="1"/>
  <c r="BE345" i="12"/>
  <c r="BE90" i="16" s="1"/>
  <c r="X353" i="12"/>
  <c r="X99" i="16" s="1"/>
  <c r="AE353" i="12"/>
  <c r="AE99" i="16" s="1"/>
  <c r="AP39" i="14"/>
  <c r="AQ97" i="16"/>
  <c r="AB97" i="16"/>
  <c r="BG97" i="16"/>
  <c r="BM37" i="14"/>
  <c r="AS97" i="16"/>
  <c r="BU62" i="16"/>
  <c r="BF97" i="16"/>
  <c r="BR62" i="16"/>
  <c r="W60" i="16"/>
  <c r="W63" i="16" s="1"/>
  <c r="W338" i="12"/>
  <c r="AP345" i="12"/>
  <c r="AP90" i="16" s="1"/>
  <c r="AY345" i="12"/>
  <c r="AY90" i="16" s="1"/>
  <c r="Z60" i="12"/>
  <c r="BE97" i="16"/>
  <c r="X97" i="16"/>
  <c r="BO35" i="14"/>
  <c r="BO36" i="14" s="1"/>
  <c r="Z353" i="12"/>
  <c r="Z99" i="16" s="1"/>
  <c r="BO62" i="16"/>
  <c r="AM97" i="16"/>
  <c r="AQ39" i="14"/>
  <c r="AJ97" i="16"/>
  <c r="BU100" i="16"/>
  <c r="BC97" i="16"/>
  <c r="AP35" i="14"/>
  <c r="Z345" i="12"/>
  <c r="Z90" i="16" s="1"/>
  <c r="BC60" i="16"/>
  <c r="BR64" i="14"/>
  <c r="BT100" i="16"/>
  <c r="BB97" i="16"/>
  <c r="V97" i="16"/>
  <c r="AX97" i="16"/>
  <c r="AA97" i="16"/>
  <c r="BF39" i="14"/>
  <c r="AC97" i="16"/>
  <c r="BS62" i="16"/>
  <c r="BF35" i="14"/>
  <c r="BI91" i="16"/>
  <c r="AX60" i="16"/>
  <c r="BQ91" i="16"/>
  <c r="BG60" i="16"/>
  <c r="BG63" i="16" s="1"/>
  <c r="BG338" i="12"/>
  <c r="T97" i="16"/>
  <c r="AN97" i="16"/>
  <c r="BV100" i="16"/>
  <c r="W97" i="16"/>
  <c r="AQ35" i="14"/>
  <c r="BR35" i="14" s="1"/>
  <c r="BR36" i="14" s="1"/>
  <c r="U97" i="16"/>
  <c r="BQ100" i="16"/>
  <c r="AD97" i="16"/>
  <c r="W345" i="12"/>
  <c r="W90" i="16" s="1"/>
  <c r="BQ66" i="14"/>
  <c r="Z62" i="12"/>
  <c r="AG97" i="16"/>
  <c r="BN62" i="16"/>
  <c r="AH97" i="16"/>
  <c r="AO97" i="16"/>
  <c r="AI97" i="16"/>
  <c r="AW97" i="16"/>
  <c r="AI39" i="14"/>
  <c r="AE345" i="12"/>
  <c r="AE90" i="16" s="1"/>
  <c r="BU91" i="16"/>
  <c r="AE68" i="14"/>
  <c r="AE62" i="12"/>
  <c r="BO100" i="16"/>
  <c r="AY97" i="16"/>
  <c r="AP97" i="16"/>
  <c r="BD97" i="16"/>
  <c r="Z97" i="16"/>
  <c r="AZ97" i="16"/>
  <c r="BQ62" i="16"/>
  <c r="BG345" i="12"/>
  <c r="BG90" i="16" s="1"/>
  <c r="BF345" i="12"/>
  <c r="BF90" i="16" s="1"/>
  <c r="BU66" i="14"/>
  <c r="AF60" i="16"/>
  <c r="AT97" i="16"/>
  <c r="BF37" i="14"/>
  <c r="AL97" i="16"/>
  <c r="AV97" i="16"/>
  <c r="BS100" i="16"/>
  <c r="AI35" i="14"/>
  <c r="BP35" i="14" s="1"/>
  <c r="BP36" i="14" s="1"/>
  <c r="AR97" i="16"/>
  <c r="BP100" i="16"/>
  <c r="AP60" i="16"/>
  <c r="AQ37" i="14"/>
  <c r="BR37" i="14" s="1"/>
  <c r="BR38" i="14" s="1"/>
  <c r="AJ60" i="16"/>
  <c r="BT64" i="14"/>
  <c r="BA60" i="16"/>
  <c r="AO60" i="16"/>
  <c r="AP61" i="12"/>
  <c r="BI100" i="16"/>
  <c r="Y97" i="16"/>
  <c r="AI37" i="14"/>
  <c r="BP37" i="14" s="1"/>
  <c r="BP38" i="14" s="1"/>
  <c r="AK97" i="16"/>
  <c r="BA97" i="16"/>
  <c r="AU97" i="16"/>
  <c r="BG35" i="14"/>
  <c r="BV35" i="14" s="1"/>
  <c r="BV36" i="14" s="1"/>
  <c r="BM100" i="16"/>
  <c r="AF97" i="16"/>
  <c r="BM62" i="16"/>
  <c r="AE97" i="16"/>
  <c r="AQ345" i="12"/>
  <c r="AQ90" i="16" s="1"/>
  <c r="BM35" i="14"/>
  <c r="AY37" i="14"/>
  <c r="BT37" i="14" s="1"/>
  <c r="BT38" i="14" s="1"/>
  <c r="AS398" i="12"/>
  <c r="AJ398" i="12"/>
  <c r="AC398" i="12"/>
  <c r="AZ398" i="12"/>
  <c r="BC398" i="12"/>
  <c r="AW398" i="12"/>
  <c r="AP398" i="12"/>
  <c r="Y398" i="12"/>
  <c r="BD398" i="12"/>
  <c r="AX398" i="12"/>
  <c r="AM93" i="38"/>
  <c r="AF93" i="38" s="1"/>
  <c r="BM64" i="14"/>
  <c r="BI64" i="14"/>
  <c r="AU336" i="12"/>
  <c r="AN68" i="14"/>
  <c r="BD336" i="12"/>
  <c r="AM53" i="38"/>
  <c r="AF53" i="38" s="1"/>
  <c r="AM87" i="38"/>
  <c r="AF87" i="38" s="1"/>
  <c r="AL336" i="12"/>
  <c r="AX336" i="12"/>
  <c r="AS68" i="14"/>
  <c r="AM80" i="38"/>
  <c r="AF80" i="38" s="1"/>
  <c r="AM37" i="38"/>
  <c r="AF37" i="38" s="1"/>
  <c r="AM38" i="38"/>
  <c r="AF38" i="38" s="1"/>
  <c r="AM42" i="38"/>
  <c r="AY336" i="12"/>
  <c r="AY61" i="16" s="1"/>
  <c r="AM63" i="38"/>
  <c r="AF63" i="38" s="1"/>
  <c r="AC68" i="14"/>
  <c r="AM95" i="38"/>
  <c r="AF95" i="38" s="1"/>
  <c r="AM35" i="38"/>
  <c r="AF35" i="38" s="1"/>
  <c r="AL70" i="38"/>
  <c r="AM61" i="38"/>
  <c r="AF61" i="38" s="1"/>
  <c r="AF336" i="12"/>
  <c r="AF61" i="16" s="1"/>
  <c r="AC336" i="12"/>
  <c r="I67" i="45"/>
  <c r="AI67" i="45" s="1"/>
  <c r="Z336" i="12"/>
  <c r="Z61" i="16" s="1"/>
  <c r="AM26" i="38"/>
  <c r="AF26" i="38" s="1"/>
  <c r="AM105" i="38"/>
  <c r="AF105" i="38" s="1"/>
  <c r="AZ68" i="14"/>
  <c r="AM81" i="38"/>
  <c r="AF81" i="38" s="1"/>
  <c r="AM90" i="38"/>
  <c r="AF90" i="38" s="1"/>
  <c r="F65" i="45"/>
  <c r="AF65" i="45" s="1"/>
  <c r="AM11" i="38"/>
  <c r="AF11" i="38" s="1"/>
  <c r="AE398" i="12"/>
  <c r="AM17" i="38"/>
  <c r="AF17" i="38" s="1"/>
  <c r="AL398" i="12"/>
  <c r="AH378" i="12"/>
  <c r="AH133" i="16" s="1"/>
  <c r="AH389" i="16" s="1"/>
  <c r="AN336" i="12"/>
  <c r="I68" i="45"/>
  <c r="AI68" i="45" s="1"/>
  <c r="AM82" i="38"/>
  <c r="AF82" i="38" s="1"/>
  <c r="AM99" i="38"/>
  <c r="AF99" i="38" s="1"/>
  <c r="AM39" i="38"/>
  <c r="AF39" i="38" s="1"/>
  <c r="AD336" i="12"/>
  <c r="AM66" i="38"/>
  <c r="AF66" i="38" s="1"/>
  <c r="AA68" i="14"/>
  <c r="AR336" i="12"/>
  <c r="AR61" i="16" s="1"/>
  <c r="AW336" i="12"/>
  <c r="AM89" i="38"/>
  <c r="AF89" i="38" s="1"/>
  <c r="T336" i="12"/>
  <c r="T61" i="16" s="1"/>
  <c r="AM41" i="38"/>
  <c r="AF41" i="38" s="1"/>
  <c r="AM56" i="38"/>
  <c r="AF56" i="38" s="1"/>
  <c r="BN64" i="14"/>
  <c r="BC336" i="12"/>
  <c r="BC61" i="16" s="1"/>
  <c r="AM20" i="38"/>
  <c r="AF20" i="38" s="1"/>
  <c r="AM79" i="38"/>
  <c r="AF79" i="38" s="1"/>
  <c r="AM33" i="38"/>
  <c r="AF33" i="38" s="1"/>
  <c r="AM94" i="38"/>
  <c r="AF94" i="38" s="1"/>
  <c r="AH336" i="12"/>
  <c r="AO68" i="14"/>
  <c r="BE336" i="12"/>
  <c r="BE61" i="16" s="1"/>
  <c r="AM25" i="38"/>
  <c r="AF25" i="38" s="1"/>
  <c r="BF336" i="12"/>
  <c r="BF61" i="16" s="1"/>
  <c r="AM29" i="38"/>
  <c r="AF29" i="38" s="1"/>
  <c r="AM40" i="38"/>
  <c r="AF40" i="38" s="1"/>
  <c r="BM65" i="14"/>
  <c r="AJ336" i="12"/>
  <c r="AJ61" i="16" s="1"/>
  <c r="AQ336" i="12"/>
  <c r="AQ61" i="16" s="1"/>
  <c r="AK68" i="14"/>
  <c r="AK398" i="12"/>
  <c r="BA336" i="12"/>
  <c r="BA61" i="16" s="1"/>
  <c r="AM22" i="38"/>
  <c r="AF22" i="38" s="1"/>
  <c r="AM43" i="38"/>
  <c r="AF43" i="38" s="1"/>
  <c r="AM84" i="38"/>
  <c r="AF84" i="38" s="1"/>
  <c r="AM31" i="38"/>
  <c r="AF31" i="38" s="1"/>
  <c r="AM55" i="38"/>
  <c r="AF55" i="38" s="1"/>
  <c r="AM75" i="38"/>
  <c r="AF75" i="38" s="1"/>
  <c r="AB336" i="12"/>
  <c r="AM23" i="38"/>
  <c r="AF23" i="38" s="1"/>
  <c r="BQ64" i="14"/>
  <c r="Y336" i="12"/>
  <c r="Y61" i="16" s="1"/>
  <c r="AM83" i="38"/>
  <c r="AF83" i="38" s="1"/>
  <c r="BU64" i="14"/>
  <c r="BB336" i="12"/>
  <c r="AM45" i="38"/>
  <c r="AF45" i="38" s="1"/>
  <c r="AM14" i="38"/>
  <c r="AF14" i="38" s="1"/>
  <c r="AM59" i="38"/>
  <c r="AF59" i="38" s="1"/>
  <c r="AZ336" i="12"/>
  <c r="AZ61" i="16" s="1"/>
  <c r="Z68" i="14"/>
  <c r="AM46" i="38"/>
  <c r="AF46" i="38" s="1"/>
  <c r="AM50" i="38"/>
  <c r="AF50" i="38" s="1"/>
  <c r="AM16" i="38"/>
  <c r="AF16" i="38" s="1"/>
  <c r="AG336" i="12"/>
  <c r="AG61" i="16" s="1"/>
  <c r="BO59" i="16"/>
  <c r="AM54" i="38"/>
  <c r="AF54" i="38" s="1"/>
  <c r="V336" i="12"/>
  <c r="AM336" i="12"/>
  <c r="AM96" i="38"/>
  <c r="AF96" i="38" s="1"/>
  <c r="BM59" i="16"/>
  <c r="AO336" i="12"/>
  <c r="AO61" i="16" s="1"/>
  <c r="AM19" i="38"/>
  <c r="AF19" i="38" s="1"/>
  <c r="AI336" i="12"/>
  <c r="AI61" i="16" s="1"/>
  <c r="AP336" i="12"/>
  <c r="AP61" i="16" s="1"/>
  <c r="AM102" i="38"/>
  <c r="AF102" i="38" s="1"/>
  <c r="AM52" i="38"/>
  <c r="AF52" i="38" s="1"/>
  <c r="I69" i="45"/>
  <c r="AI69" i="45" s="1"/>
  <c r="AM51" i="38"/>
  <c r="AF51" i="38" s="1"/>
  <c r="AM62" i="38"/>
  <c r="AF62" i="38" s="1"/>
  <c r="AK336" i="12"/>
  <c r="AM103" i="38"/>
  <c r="AF103" i="38" s="1"/>
  <c r="AM104" i="38"/>
  <c r="AF104" i="38" s="1"/>
  <c r="BD68" i="14"/>
  <c r="I72" i="45"/>
  <c r="AI72" i="45" s="1"/>
  <c r="AM48" i="38"/>
  <c r="AF48" i="38" s="1"/>
  <c r="AW68" i="14"/>
  <c r="X336" i="12"/>
  <c r="BV64" i="14"/>
  <c r="AT68" i="14"/>
  <c r="AV336" i="12"/>
  <c r="AM101" i="38"/>
  <c r="AF101" i="38" s="1"/>
  <c r="AS336" i="12"/>
  <c r="I71" i="45"/>
  <c r="AI71" i="45" s="1"/>
  <c r="AM58" i="38"/>
  <c r="AF58" i="38" s="1"/>
  <c r="AM91" i="38"/>
  <c r="AF91" i="38" s="1"/>
  <c r="U336" i="12"/>
  <c r="AM15" i="38"/>
  <c r="AF15" i="38" s="1"/>
  <c r="AT336" i="12"/>
  <c r="AM47" i="38"/>
  <c r="AF47" i="38" s="1"/>
  <c r="I73" i="45"/>
  <c r="AI73" i="45" s="1"/>
  <c r="AA336" i="12"/>
  <c r="AM24" i="38"/>
  <c r="AF24" i="38" s="1"/>
  <c r="AM97" i="38"/>
  <c r="AF97" i="38" s="1"/>
  <c r="AM28" i="38"/>
  <c r="AF28" i="38" s="1"/>
  <c r="AM44" i="38"/>
  <c r="AF44" i="38" s="1"/>
  <c r="AB74" i="14" l="1"/>
  <c r="AR355" i="12"/>
  <c r="AD101" i="16"/>
  <c r="AD102" i="16" s="1"/>
  <c r="AG101" i="16"/>
  <c r="AG102" i="16" s="1"/>
  <c r="AD355" i="12"/>
  <c r="AD356" i="12" s="1"/>
  <c r="AB84" i="12"/>
  <c r="AB132" i="12" s="1"/>
  <c r="BQ89" i="16"/>
  <c r="Y355" i="12"/>
  <c r="Y356" i="12" s="1"/>
  <c r="AZ355" i="12"/>
  <c r="AZ356" i="12" s="1"/>
  <c r="AO355" i="12"/>
  <c r="AO356" i="12" s="1"/>
  <c r="AO101" i="16"/>
  <c r="AO102" i="16" s="1"/>
  <c r="BS98" i="16"/>
  <c r="BU98" i="16"/>
  <c r="BB355" i="12"/>
  <c r="BB356" i="12" s="1"/>
  <c r="Y101" i="16"/>
  <c r="Y102" i="16" s="1"/>
  <c r="AG355" i="12"/>
  <c r="AG356" i="12" s="1"/>
  <c r="BD355" i="12"/>
  <c r="BD356" i="12" s="1"/>
  <c r="AL101" i="16"/>
  <c r="AL102" i="16" s="1"/>
  <c r="BP89" i="16"/>
  <c r="T63" i="16"/>
  <c r="T355" i="12"/>
  <c r="T356" i="12" s="1"/>
  <c r="BA355" i="12"/>
  <c r="BA356" i="12" s="1"/>
  <c r="BA101" i="16"/>
  <c r="BA102" i="16" s="1"/>
  <c r="AX355" i="12"/>
  <c r="AX356" i="12" s="1"/>
  <c r="AI63" i="16"/>
  <c r="AX101" i="16"/>
  <c r="AX102" i="16" s="1"/>
  <c r="BP98" i="16"/>
  <c r="BR89" i="16"/>
  <c r="BN98" i="16"/>
  <c r="BT98" i="16"/>
  <c r="BR98" i="16"/>
  <c r="BV89" i="16"/>
  <c r="BO98" i="16"/>
  <c r="AU355" i="12"/>
  <c r="AU356" i="12" s="1"/>
  <c r="DM20" i="22"/>
  <c r="BU89" i="16"/>
  <c r="BI89" i="16"/>
  <c r="AM10" i="38"/>
  <c r="AU101" i="16"/>
  <c r="AU102" i="16" s="1"/>
  <c r="AP101" i="16"/>
  <c r="AP102" i="16" s="1"/>
  <c r="AN355" i="12"/>
  <c r="AN356" i="12" s="1"/>
  <c r="W10" i="19"/>
  <c r="AP355" i="12"/>
  <c r="AP356" i="12" s="1"/>
  <c r="AC101" i="16"/>
  <c r="AC102" i="16" s="1"/>
  <c r="BF101" i="16"/>
  <c r="BF102" i="16" s="1"/>
  <c r="AC355" i="12"/>
  <c r="AC356" i="12" s="1"/>
  <c r="BM89" i="16"/>
  <c r="BE101" i="16"/>
  <c r="BE102" i="16" s="1"/>
  <c r="BF355" i="12"/>
  <c r="BF356" i="12" s="1"/>
  <c r="AG63" i="16"/>
  <c r="BS99" i="16"/>
  <c r="AV355" i="12"/>
  <c r="AV356" i="12" s="1"/>
  <c r="AK101" i="16"/>
  <c r="AK102" i="16" s="1"/>
  <c r="AT101" i="16"/>
  <c r="AT102" i="16" s="1"/>
  <c r="W101" i="16"/>
  <c r="W102" i="16" s="1"/>
  <c r="W103" i="16" s="1"/>
  <c r="BC101" i="16"/>
  <c r="BC102" i="16" s="1"/>
  <c r="W355" i="12"/>
  <c r="W356" i="12" s="1"/>
  <c r="AA355" i="12"/>
  <c r="AA356" i="12" s="1"/>
  <c r="BQ99" i="16"/>
  <c r="AK355" i="12"/>
  <c r="AK356" i="12" s="1"/>
  <c r="AT355" i="12"/>
  <c r="AT356" i="12" s="1"/>
  <c r="AW355" i="12"/>
  <c r="AW356" i="12" s="1"/>
  <c r="AA101" i="16"/>
  <c r="AA102" i="16" s="1"/>
  <c r="AW101" i="16"/>
  <c r="AW102" i="16" s="1"/>
  <c r="AI355" i="12"/>
  <c r="AI356" i="12" s="1"/>
  <c r="AS355" i="12"/>
  <c r="AS356" i="12" s="1"/>
  <c r="AS101" i="16"/>
  <c r="AS102" i="16" s="1"/>
  <c r="BC355" i="12"/>
  <c r="BC356" i="12" s="1"/>
  <c r="V101" i="16"/>
  <c r="V102" i="16" s="1"/>
  <c r="BG355" i="12"/>
  <c r="BG356" i="12" s="1"/>
  <c r="BB101" i="16"/>
  <c r="BB102" i="16" s="1"/>
  <c r="BE355" i="12"/>
  <c r="BE356" i="12" s="1"/>
  <c r="AH355" i="12"/>
  <c r="BT89" i="16"/>
  <c r="AW289" i="12"/>
  <c r="AW66" i="16" s="1"/>
  <c r="BS89" i="16"/>
  <c r="BQ98" i="16"/>
  <c r="BI98" i="16"/>
  <c r="BV98" i="16"/>
  <c r="AE355" i="12"/>
  <c r="AL355" i="12"/>
  <c r="AL356" i="12" s="1"/>
  <c r="AM101" i="16"/>
  <c r="AM102" i="16" s="1"/>
  <c r="AM355" i="12"/>
  <c r="AM356" i="12" s="1"/>
  <c r="AF355" i="12"/>
  <c r="AF356" i="12" s="1"/>
  <c r="U101" i="16"/>
  <c r="U102" i="16" s="1"/>
  <c r="AY355" i="12"/>
  <c r="AY356" i="12" s="1"/>
  <c r="U355" i="12"/>
  <c r="U356" i="12" s="1"/>
  <c r="AQ355" i="12"/>
  <c r="AQ356" i="12" s="1"/>
  <c r="AY101" i="16"/>
  <c r="AY102" i="16" s="1"/>
  <c r="AB355" i="12"/>
  <c r="AB356" i="12" s="1"/>
  <c r="U74" i="14"/>
  <c r="AH101" i="16"/>
  <c r="AH102" i="16" s="1"/>
  <c r="BD41" i="14"/>
  <c r="AC84" i="12"/>
  <c r="AC132" i="12" s="1"/>
  <c r="AI101" i="16"/>
  <c r="AI102" i="16" s="1"/>
  <c r="AQ101" i="16"/>
  <c r="AQ102" i="16" s="1"/>
  <c r="V355" i="12"/>
  <c r="V356" i="12" s="1"/>
  <c r="AG74" i="14"/>
  <c r="AV84" i="12"/>
  <c r="AV132" i="12" s="1"/>
  <c r="AK84" i="12"/>
  <c r="AK132" i="12" s="1"/>
  <c r="AE101" i="16"/>
  <c r="AE102" i="16" s="1"/>
  <c r="Z101" i="16"/>
  <c r="Z102" i="16" s="1"/>
  <c r="BG101" i="16"/>
  <c r="BG102" i="16" s="1"/>
  <c r="BG103" i="16" s="1"/>
  <c r="BM98" i="16"/>
  <c r="AA84" i="12"/>
  <c r="AA132" i="12" s="1"/>
  <c r="AS74" i="14"/>
  <c r="AM74" i="14"/>
  <c r="BP99" i="16"/>
  <c r="AW41" i="14"/>
  <c r="AJ84" i="12"/>
  <c r="AJ132" i="12" s="1"/>
  <c r="AG41" i="14"/>
  <c r="AQ84" i="12"/>
  <c r="AQ132" i="12" s="1"/>
  <c r="AL41" i="14"/>
  <c r="AS41" i="14"/>
  <c r="AR41" i="14"/>
  <c r="AY84" i="12"/>
  <c r="AY132" i="12" s="1"/>
  <c r="AJ355" i="12"/>
  <c r="AJ356" i="12" s="1"/>
  <c r="X355" i="12"/>
  <c r="X356" i="12" s="1"/>
  <c r="BV60" i="16"/>
  <c r="AX74" i="14"/>
  <c r="AX84" i="12"/>
  <c r="AX361" i="12" s="1"/>
  <c r="AX106" i="16" s="1"/>
  <c r="AG132" i="12"/>
  <c r="AG70" i="14"/>
  <c r="AG72" i="14" s="1"/>
  <c r="X74" i="14"/>
  <c r="X84" i="12"/>
  <c r="AW74" i="14"/>
  <c r="AW84" i="12"/>
  <c r="AW361" i="12" s="1"/>
  <c r="AW106" i="16" s="1"/>
  <c r="BF74" i="14"/>
  <c r="BF84" i="12"/>
  <c r="BF361" i="12" s="1"/>
  <c r="AL74" i="14"/>
  <c r="AL84" i="12"/>
  <c r="AL70" i="14" s="1"/>
  <c r="AP74" i="14"/>
  <c r="AP84" i="12"/>
  <c r="AP361" i="12" s="1"/>
  <c r="AP106" i="16" s="1"/>
  <c r="T86" i="12"/>
  <c r="T134" i="12" s="1"/>
  <c r="BK70" i="12"/>
  <c r="BI70" i="12"/>
  <c r="AH84" i="12"/>
  <c r="AH74" i="14"/>
  <c r="AR74" i="14"/>
  <c r="AR84" i="12"/>
  <c r="BA74" i="14"/>
  <c r="BA84" i="12"/>
  <c r="BA361" i="12" s="1"/>
  <c r="BA106" i="16" s="1"/>
  <c r="BI68" i="12"/>
  <c r="T84" i="12"/>
  <c r="T74" i="14"/>
  <c r="BK68" i="12"/>
  <c r="Y74" i="14"/>
  <c r="Y84" i="12"/>
  <c r="Y361" i="12" s="1"/>
  <c r="Y106" i="16" s="1"/>
  <c r="V74" i="14"/>
  <c r="V84" i="12"/>
  <c r="V361" i="12" s="1"/>
  <c r="BE84" i="12"/>
  <c r="BE361" i="12" s="1"/>
  <c r="BE106" i="16" s="1"/>
  <c r="BE74" i="14"/>
  <c r="W74" i="14"/>
  <c r="W84" i="12"/>
  <c r="CD18" i="22"/>
  <c r="X14" i="15" s="1"/>
  <c r="X15" i="15" s="1"/>
  <c r="X24" i="15" s="1"/>
  <c r="AT74" i="14"/>
  <c r="AT84" i="12"/>
  <c r="AT70" i="14" s="1"/>
  <c r="AT72" i="14" s="1"/>
  <c r="AS132" i="12"/>
  <c r="AS70" i="14"/>
  <c r="AS72" i="14" s="1"/>
  <c r="AM132" i="12"/>
  <c r="AM70" i="14"/>
  <c r="AN74" i="14"/>
  <c r="AN84" i="12"/>
  <c r="AN361" i="12" s="1"/>
  <c r="BG74" i="14"/>
  <c r="BG84" i="12"/>
  <c r="AI74" i="14"/>
  <c r="AI84" i="12"/>
  <c r="AI361" i="12" s="1"/>
  <c r="BB74" i="14"/>
  <c r="BB84" i="12"/>
  <c r="BB361" i="12" s="1"/>
  <c r="BB106" i="16" s="1"/>
  <c r="BC74" i="14"/>
  <c r="BC84" i="12"/>
  <c r="BC361" i="12" s="1"/>
  <c r="BC106" i="16" s="1"/>
  <c r="Z84" i="12"/>
  <c r="Z74" i="14"/>
  <c r="AE74" i="14"/>
  <c r="AE84" i="12"/>
  <c r="BI69" i="12"/>
  <c r="BK69" i="12"/>
  <c r="BD74" i="14"/>
  <c r="BD84" i="12"/>
  <c r="BD361" i="12" s="1"/>
  <c r="BD106" i="16" s="1"/>
  <c r="AD74" i="14"/>
  <c r="AD84" i="12"/>
  <c r="AD361" i="12" s="1"/>
  <c r="AZ74" i="14"/>
  <c r="AZ84" i="12"/>
  <c r="AZ361" i="12" s="1"/>
  <c r="AZ106" i="16" s="1"/>
  <c r="AO74" i="14"/>
  <c r="AO84" i="12"/>
  <c r="AF74" i="14"/>
  <c r="AF84" i="12"/>
  <c r="AU74" i="14"/>
  <c r="AU84" i="12"/>
  <c r="AU361" i="12" s="1"/>
  <c r="U132" i="12"/>
  <c r="U70" i="14"/>
  <c r="BK60" i="12"/>
  <c r="T8" i="19" s="1"/>
  <c r="CW22" i="22"/>
  <c r="M26" i="34"/>
  <c r="BQ99" i="14"/>
  <c r="M33" i="34"/>
  <c r="M25" i="34"/>
  <c r="M47" i="34"/>
  <c r="M41" i="34"/>
  <c r="M81" i="34"/>
  <c r="M103" i="34"/>
  <c r="X54" i="13"/>
  <c r="AF54" i="13"/>
  <c r="AN54" i="13"/>
  <c r="AV54" i="13"/>
  <c r="BD54" i="13"/>
  <c r="U54" i="13"/>
  <c r="AC54" i="13"/>
  <c r="AK54" i="13"/>
  <c r="AS54" i="13"/>
  <c r="BA54" i="13"/>
  <c r="Z54" i="13"/>
  <c r="AJ54" i="13"/>
  <c r="AU54" i="13"/>
  <c r="BF54" i="13"/>
  <c r="AA54" i="13"/>
  <c r="AL54" i="13"/>
  <c r="AW54" i="13"/>
  <c r="BG54" i="13"/>
  <c r="BB54" i="13"/>
  <c r="AB54" i="13"/>
  <c r="AM54" i="13"/>
  <c r="AX54" i="13"/>
  <c r="BI219" i="12"/>
  <c r="AG54" i="13"/>
  <c r="AD54" i="13"/>
  <c r="AO54" i="13"/>
  <c r="AY54" i="13"/>
  <c r="V54" i="13"/>
  <c r="T54" i="13"/>
  <c r="AE54" i="13"/>
  <c r="AP54" i="13"/>
  <c r="AZ54" i="13"/>
  <c r="AQ54" i="13"/>
  <c r="W54" i="13"/>
  <c r="AH54" i="13"/>
  <c r="AR54" i="13"/>
  <c r="BC54" i="13"/>
  <c r="Y54" i="13"/>
  <c r="AI54" i="13"/>
  <c r="AT54" i="13"/>
  <c r="BE54" i="13"/>
  <c r="M45" i="34"/>
  <c r="M76" i="34"/>
  <c r="M65" i="34"/>
  <c r="M89" i="34"/>
  <c r="M48" i="34"/>
  <c r="AB245" i="12"/>
  <c r="AM245" i="12"/>
  <c r="AL245" i="12"/>
  <c r="AN245" i="12"/>
  <c r="AG245" i="12"/>
  <c r="BG245" i="12"/>
  <c r="AK245" i="12"/>
  <c r="V245" i="12"/>
  <c r="AZ245" i="12"/>
  <c r="AO245" i="12"/>
  <c r="X245" i="12"/>
  <c r="AQ245" i="12"/>
  <c r="AX245" i="12"/>
  <c r="AP245" i="12"/>
  <c r="AW245" i="12"/>
  <c r="AJ245" i="12"/>
  <c r="AY245" i="12"/>
  <c r="AH245" i="12"/>
  <c r="AV245" i="12"/>
  <c r="AT245" i="12"/>
  <c r="W245" i="12"/>
  <c r="AS245" i="12"/>
  <c r="BC245" i="12"/>
  <c r="U245" i="12"/>
  <c r="BB245" i="12"/>
  <c r="BE245" i="12"/>
  <c r="T245" i="12"/>
  <c r="Z245" i="12"/>
  <c r="Y245" i="12"/>
  <c r="AF245" i="12"/>
  <c r="AA245" i="12"/>
  <c r="AU245" i="12"/>
  <c r="BD245" i="12"/>
  <c r="BF245" i="12"/>
  <c r="AR245" i="12"/>
  <c r="BA245" i="12"/>
  <c r="AE245" i="12"/>
  <c r="AC245" i="12"/>
  <c r="AD245" i="12"/>
  <c r="AI245" i="12"/>
  <c r="M95" i="34"/>
  <c r="M21" i="34"/>
  <c r="M99" i="34"/>
  <c r="M29" i="34"/>
  <c r="M59" i="34"/>
  <c r="M91" i="34"/>
  <c r="M31" i="34"/>
  <c r="M63" i="34"/>
  <c r="M75" i="34"/>
  <c r="M73" i="34"/>
  <c r="BP99" i="14"/>
  <c r="BI209" i="12"/>
  <c r="T217" i="12"/>
  <c r="T99" i="14" s="1"/>
  <c r="BM99" i="14" s="1"/>
  <c r="M97" i="34"/>
  <c r="M56" i="34"/>
  <c r="M37" i="34"/>
  <c r="M12" i="34"/>
  <c r="BU99" i="14"/>
  <c r="BN99" i="14"/>
  <c r="M101" i="34"/>
  <c r="M39" i="34"/>
  <c r="M83" i="34"/>
  <c r="BT99" i="14"/>
  <c r="BS99" i="14"/>
  <c r="O47" i="45"/>
  <c r="AO47" i="45" s="1"/>
  <c r="M11" i="34"/>
  <c r="M84" i="34"/>
  <c r="M43" i="34"/>
  <c r="BO99" i="14"/>
  <c r="BI210" i="12"/>
  <c r="T218" i="12"/>
  <c r="M35" i="34"/>
  <c r="M27" i="34"/>
  <c r="M85" i="34"/>
  <c r="M55" i="34"/>
  <c r="BR99" i="14"/>
  <c r="BV99" i="14"/>
  <c r="M53" i="34"/>
  <c r="AI378" i="12"/>
  <c r="AI133" i="16" s="1"/>
  <c r="AI389" i="16" s="1"/>
  <c r="AJ78" i="38"/>
  <c r="AO377" i="12"/>
  <c r="AO132" i="16" s="1"/>
  <c r="AO388" i="16" s="1"/>
  <c r="AZ377" i="12"/>
  <c r="AZ132" i="16" s="1"/>
  <c r="BA377" i="12"/>
  <c r="BA132" i="16" s="1"/>
  <c r="BA388" i="16" s="1"/>
  <c r="W377" i="12"/>
  <c r="W132" i="16" s="1"/>
  <c r="AR377" i="12"/>
  <c r="AR132" i="16" s="1"/>
  <c r="BE377" i="12"/>
  <c r="BE132" i="16" s="1"/>
  <c r="BE388" i="16" s="1"/>
  <c r="Y377" i="12"/>
  <c r="Y132" i="16" s="1"/>
  <c r="AY377" i="12"/>
  <c r="AY132" i="16" s="1"/>
  <c r="AY388" i="16" s="1"/>
  <c r="AX377" i="12"/>
  <c r="AX132" i="16" s="1"/>
  <c r="AX388" i="16" s="1"/>
  <c r="AN377" i="12"/>
  <c r="AN132" i="16" s="1"/>
  <c r="AG377" i="12"/>
  <c r="AG132" i="16" s="1"/>
  <c r="AG388" i="16" s="1"/>
  <c r="AI377" i="12"/>
  <c r="AI132" i="16" s="1"/>
  <c r="AI388" i="16" s="1"/>
  <c r="AJ377" i="12"/>
  <c r="AJ132" i="16" s="1"/>
  <c r="AD377" i="12"/>
  <c r="AD132" i="16" s="1"/>
  <c r="AE377" i="12"/>
  <c r="AE132" i="16" s="1"/>
  <c r="AT377" i="12"/>
  <c r="AT132" i="16" s="1"/>
  <c r="AT388" i="16" s="1"/>
  <c r="AB377" i="12"/>
  <c r="AB132" i="16" s="1"/>
  <c r="AH377" i="12"/>
  <c r="AH132" i="16" s="1"/>
  <c r="AH388" i="16" s="1"/>
  <c r="X377" i="12"/>
  <c r="X132" i="16" s="1"/>
  <c r="AC377" i="12"/>
  <c r="AC132" i="16" s="1"/>
  <c r="V377" i="12"/>
  <c r="V132" i="16" s="1"/>
  <c r="AA377" i="12"/>
  <c r="AA132" i="16" s="1"/>
  <c r="AV377" i="12"/>
  <c r="AV132" i="16" s="1"/>
  <c r="BB377" i="12"/>
  <c r="BB132" i="16" s="1"/>
  <c r="BB388" i="16" s="1"/>
  <c r="AM377" i="12"/>
  <c r="AM132" i="16" s="1"/>
  <c r="AM388" i="16" s="1"/>
  <c r="AW377" i="12"/>
  <c r="AW132" i="16" s="1"/>
  <c r="AW388" i="16" s="1"/>
  <c r="AP377" i="12"/>
  <c r="AP132" i="16" s="1"/>
  <c r="AP388" i="16" s="1"/>
  <c r="AJ26" i="38"/>
  <c r="AJ56" i="38"/>
  <c r="AG378" i="12"/>
  <c r="AG133" i="16" s="1"/>
  <c r="AG389" i="16" s="1"/>
  <c r="AD378" i="12"/>
  <c r="AD133" i="16" s="1"/>
  <c r="AD389" i="16" s="1"/>
  <c r="AN378" i="12"/>
  <c r="AN133" i="16" s="1"/>
  <c r="AN389" i="16" s="1"/>
  <c r="BB378" i="12"/>
  <c r="BB133" i="16" s="1"/>
  <c r="BB389" i="16" s="1"/>
  <c r="T378" i="12"/>
  <c r="T133" i="16" s="1"/>
  <c r="T389" i="16" s="1"/>
  <c r="BR60" i="16"/>
  <c r="BX91" i="16"/>
  <c r="AP378" i="12"/>
  <c r="AP133" i="16" s="1"/>
  <c r="AP389" i="16" s="1"/>
  <c r="Y41" i="14"/>
  <c r="Y42" i="14" s="1"/>
  <c r="AL378" i="12"/>
  <c r="AL133" i="16" s="1"/>
  <c r="AL389" i="16" s="1"/>
  <c r="AZ378" i="12"/>
  <c r="AZ133" i="16" s="1"/>
  <c r="AZ389" i="16" s="1"/>
  <c r="AZ41" i="14"/>
  <c r="AU378" i="12"/>
  <c r="AU133" i="16" s="1"/>
  <c r="AU389" i="16" s="1"/>
  <c r="AT41" i="14"/>
  <c r="AB41" i="14"/>
  <c r="V41" i="14"/>
  <c r="Z63" i="16"/>
  <c r="BC378" i="12"/>
  <c r="BC133" i="16" s="1"/>
  <c r="BC389" i="16" s="1"/>
  <c r="BR99" i="16"/>
  <c r="W92" i="16"/>
  <c r="K5" i="47" s="1"/>
  <c r="X347" i="12"/>
  <c r="AD347" i="12"/>
  <c r="AS347" i="12"/>
  <c r="BF347" i="12"/>
  <c r="AH347" i="12"/>
  <c r="BC92" i="16"/>
  <c r="BC93" i="16" s="1"/>
  <c r="AG347" i="12"/>
  <c r="AB347" i="12"/>
  <c r="AI347" i="12"/>
  <c r="BE347" i="12"/>
  <c r="AS361" i="12"/>
  <c r="AS106" i="16" s="1"/>
  <c r="AW378" i="12"/>
  <c r="AW133" i="16" s="1"/>
  <c r="AW389" i="16" s="1"/>
  <c r="BM60" i="16"/>
  <c r="AJ41" i="14"/>
  <c r="AZ347" i="12"/>
  <c r="X92" i="16"/>
  <c r="L5" i="47" s="1"/>
  <c r="AD92" i="16"/>
  <c r="R5" i="47" s="1"/>
  <c r="AP347" i="12"/>
  <c r="AS92" i="16"/>
  <c r="AS93" i="16" s="1"/>
  <c r="AL347" i="12"/>
  <c r="BF92" i="16"/>
  <c r="BF93" i="16" s="1"/>
  <c r="AH92" i="16"/>
  <c r="AH93" i="16" s="1"/>
  <c r="AG92" i="16"/>
  <c r="AG93" i="16" s="1"/>
  <c r="BO89" i="16"/>
  <c r="AB92" i="16"/>
  <c r="P5" i="47" s="1"/>
  <c r="AI92" i="16"/>
  <c r="AI93" i="16" s="1"/>
  <c r="BE92" i="16"/>
  <c r="BE93" i="16" s="1"/>
  <c r="BG339" i="12"/>
  <c r="BC63" i="16"/>
  <c r="BE378" i="12"/>
  <c r="BE133" i="16" s="1"/>
  <c r="BE389" i="16" s="1"/>
  <c r="BO99" i="16"/>
  <c r="BU99" i="16"/>
  <c r="AK41" i="14"/>
  <c r="AH41" i="14"/>
  <c r="BS90" i="16"/>
  <c r="AZ92" i="16"/>
  <c r="U347" i="12"/>
  <c r="AP92" i="16"/>
  <c r="AP93" i="16" s="1"/>
  <c r="AL92" i="16"/>
  <c r="AL93" i="16" s="1"/>
  <c r="BG347" i="12"/>
  <c r="BB347" i="12"/>
  <c r="AO347" i="12"/>
  <c r="AW347" i="12"/>
  <c r="Y347" i="12"/>
  <c r="BU90" i="16"/>
  <c r="BA347" i="12"/>
  <c r="U92" i="16"/>
  <c r="I5" i="47" s="1"/>
  <c r="AQ347" i="12"/>
  <c r="AM347" i="12"/>
  <c r="BG92" i="16"/>
  <c r="BG93" i="16" s="1"/>
  <c r="BG94" i="16" s="1"/>
  <c r="BB92" i="16"/>
  <c r="BB93" i="16" s="1"/>
  <c r="AO92" i="16"/>
  <c r="AO93" i="16" s="1"/>
  <c r="AW92" i="16"/>
  <c r="AW93" i="16" s="1"/>
  <c r="Y92" i="16"/>
  <c r="M5" i="47" s="1"/>
  <c r="AV378" i="12"/>
  <c r="AV133" i="16" s="1"/>
  <c r="AV389" i="16" s="1"/>
  <c r="BB41" i="14"/>
  <c r="BN90" i="16"/>
  <c r="BQ90" i="16"/>
  <c r="BO90" i="16"/>
  <c r="AK378" i="12"/>
  <c r="AK133" i="16" s="1"/>
  <c r="BA92" i="16"/>
  <c r="BA93" i="16" s="1"/>
  <c r="V347" i="12"/>
  <c r="AQ92" i="16"/>
  <c r="AQ93" i="16" s="1"/>
  <c r="AM92" i="16"/>
  <c r="AM93" i="16" s="1"/>
  <c r="AY347" i="12"/>
  <c r="AT347" i="12"/>
  <c r="AF347" i="12"/>
  <c r="BQ65" i="14"/>
  <c r="AP41" i="14"/>
  <c r="AO378" i="12"/>
  <c r="AO133" i="16" s="1"/>
  <c r="AO389" i="16" s="1"/>
  <c r="BD378" i="12"/>
  <c r="BD133" i="16" s="1"/>
  <c r="BD389" i="16" s="1"/>
  <c r="BV99" i="16"/>
  <c r="BA378" i="12"/>
  <c r="BA133" i="16" s="1"/>
  <c r="AB378" i="12"/>
  <c r="AB133" i="16" s="1"/>
  <c r="AB389" i="16" s="1"/>
  <c r="AT378" i="12"/>
  <c r="AT133" i="16" s="1"/>
  <c r="V92" i="16"/>
  <c r="J5" i="47" s="1"/>
  <c r="AX347" i="12"/>
  <c r="AJ347" i="12"/>
  <c r="BD347" i="12"/>
  <c r="AY92" i="16"/>
  <c r="AY93" i="16" s="1"/>
  <c r="AT92" i="16"/>
  <c r="AT93" i="16" s="1"/>
  <c r="AF92" i="16"/>
  <c r="BM90" i="16"/>
  <c r="AV41" i="14"/>
  <c r="AV347" i="12"/>
  <c r="AX92" i="16"/>
  <c r="AX93" i="16" s="1"/>
  <c r="AJ92" i="16"/>
  <c r="AR347" i="12"/>
  <c r="AR359" i="12" s="1"/>
  <c r="BD92" i="16"/>
  <c r="AA347" i="12"/>
  <c r="AU347" i="12"/>
  <c r="BF41" i="14"/>
  <c r="X41" i="14"/>
  <c r="AA378" i="12"/>
  <c r="AA133" i="16" s="1"/>
  <c r="AA389" i="16" s="1"/>
  <c r="BE41" i="14"/>
  <c r="Z41" i="14"/>
  <c r="Z42" i="14" s="1"/>
  <c r="U41" i="14"/>
  <c r="BP90" i="16"/>
  <c r="AF41" i="14"/>
  <c r="Z338" i="12"/>
  <c r="BT99" i="16"/>
  <c r="W347" i="12"/>
  <c r="AV92" i="16"/>
  <c r="AR92" i="16"/>
  <c r="BN89" i="16"/>
  <c r="AA92" i="16"/>
  <c r="O5" i="47" s="1"/>
  <c r="BC347" i="12"/>
  <c r="AU92" i="16"/>
  <c r="AU93" i="16" s="1"/>
  <c r="AJ65" i="38"/>
  <c r="BK62" i="12"/>
  <c r="T10" i="19" s="1"/>
  <c r="BD289" i="12"/>
  <c r="BD66" i="16" s="1"/>
  <c r="AJ49" i="38"/>
  <c r="AJ52" i="38"/>
  <c r="AC72" i="38"/>
  <c r="AD72" i="38" s="1"/>
  <c r="AC68" i="38"/>
  <c r="AD68" i="38" s="1"/>
  <c r="AJ74" i="38"/>
  <c r="AX61" i="16"/>
  <c r="AX63" i="16" s="1"/>
  <c r="AX338" i="12"/>
  <c r="AX339" i="12" s="1"/>
  <c r="AC71" i="38"/>
  <c r="AD71" i="38" s="1"/>
  <c r="U61" i="16"/>
  <c r="U63" i="16" s="1"/>
  <c r="U338" i="12"/>
  <c r="AC70" i="38"/>
  <c r="AD70" i="38" s="1"/>
  <c r="AC73" i="38"/>
  <c r="AD73" i="38" s="1"/>
  <c r="BT65" i="14"/>
  <c r="AF338" i="12"/>
  <c r="BA41" i="14"/>
  <c r="AC69" i="38"/>
  <c r="AD69" i="38" s="1"/>
  <c r="BU65" i="14"/>
  <c r="BU68" i="14" s="1"/>
  <c r="BR65" i="14"/>
  <c r="BR68" i="14" s="1"/>
  <c r="AO338" i="12"/>
  <c r="AJ338" i="12"/>
  <c r="BE338" i="12"/>
  <c r="AC67" i="38"/>
  <c r="AD67" i="38" s="1"/>
  <c r="AO63" i="16"/>
  <c r="AG338" i="12"/>
  <c r="BE63" i="16"/>
  <c r="BS65" i="14"/>
  <c r="BS68" i="14" s="1"/>
  <c r="AJ68" i="38"/>
  <c r="BX100" i="16"/>
  <c r="AQ338" i="12"/>
  <c r="BN65" i="14"/>
  <c r="BO65" i="14"/>
  <c r="AR338" i="12"/>
  <c r="BF338" i="12"/>
  <c r="AQ63" i="16"/>
  <c r="BI65" i="14"/>
  <c r="AZ338" i="12"/>
  <c r="BF63" i="16"/>
  <c r="BP65" i="14"/>
  <c r="BV65" i="14"/>
  <c r="BV68" i="14" s="1"/>
  <c r="BI90" i="16"/>
  <c r="Z355" i="12"/>
  <c r="BC338" i="12"/>
  <c r="BC339" i="12" s="1"/>
  <c r="BN99" i="16"/>
  <c r="BT90" i="16"/>
  <c r="BR90" i="16"/>
  <c r="BV90" i="16"/>
  <c r="T338" i="12"/>
  <c r="AI338" i="12"/>
  <c r="AA61" i="16"/>
  <c r="AA63" i="16" s="1"/>
  <c r="AA338" i="12"/>
  <c r="AA339" i="12" s="1"/>
  <c r="AT61" i="16"/>
  <c r="AS61" i="16"/>
  <c r="AV61" i="16"/>
  <c r="AV338" i="12"/>
  <c r="X61" i="16"/>
  <c r="AK61" i="16"/>
  <c r="AK63" i="16" s="1"/>
  <c r="AK338" i="12"/>
  <c r="AM61" i="16"/>
  <c r="AM63" i="16" s="1"/>
  <c r="AM338" i="12"/>
  <c r="AM339" i="12" s="1"/>
  <c r="V61" i="16"/>
  <c r="V63" i="16" s="1"/>
  <c r="V338" i="12"/>
  <c r="BB61" i="16"/>
  <c r="AB61" i="16"/>
  <c r="AB338" i="12"/>
  <c r="AH61" i="16"/>
  <c r="AH63" i="16" s="1"/>
  <c r="AH338" i="12"/>
  <c r="AW61" i="16"/>
  <c r="AD61" i="16"/>
  <c r="AD63" i="16" s="1"/>
  <c r="AD338" i="12"/>
  <c r="AN61" i="16"/>
  <c r="AN338" i="12"/>
  <c r="AN339" i="12" s="1"/>
  <c r="AC61" i="16"/>
  <c r="AC63" i="16" s="1"/>
  <c r="AC338" i="12"/>
  <c r="AL61" i="16"/>
  <c r="AL63" i="16" s="1"/>
  <c r="AL338" i="12"/>
  <c r="BD61" i="16"/>
  <c r="AU61" i="16"/>
  <c r="AU63" i="16" s="1"/>
  <c r="AU338" i="12"/>
  <c r="AF101" i="16"/>
  <c r="BP97" i="16"/>
  <c r="BM39" i="14"/>
  <c r="BM40" i="14" s="1"/>
  <c r="W41" i="14"/>
  <c r="BM41" i="14" s="1"/>
  <c r="BQ60" i="16"/>
  <c r="AJ63" i="16"/>
  <c r="AR356" i="12"/>
  <c r="AR101" i="16"/>
  <c r="BS97" i="16"/>
  <c r="AV101" i="16"/>
  <c r="BT97" i="16"/>
  <c r="BP60" i="16"/>
  <c r="AF63" i="16"/>
  <c r="AZ101" i="16"/>
  <c r="BU97" i="16"/>
  <c r="BV97" i="16"/>
  <c r="BD101" i="16"/>
  <c r="AI41" i="14"/>
  <c r="BP41" i="14" s="1"/>
  <c r="BP39" i="14"/>
  <c r="BP40" i="14" s="1"/>
  <c r="BG364" i="12"/>
  <c r="BR97" i="16"/>
  <c r="AN101" i="16"/>
  <c r="T101" i="16"/>
  <c r="BM97" i="16"/>
  <c r="BI97" i="16"/>
  <c r="AJ101" i="16"/>
  <c r="BQ97" i="16"/>
  <c r="AQ41" i="14"/>
  <c r="BR41" i="14" s="1"/>
  <c r="BR39" i="14"/>
  <c r="BR40" i="14" s="1"/>
  <c r="X101" i="16"/>
  <c r="BN97" i="16"/>
  <c r="AB101" i="16"/>
  <c r="BO97" i="16"/>
  <c r="AW366" i="12"/>
  <c r="AW112" i="16" s="1"/>
  <c r="AW374" i="16" s="1"/>
  <c r="AV366" i="12"/>
  <c r="AV112" i="16" s="1"/>
  <c r="AV364" i="12"/>
  <c r="Z366" i="12"/>
  <c r="Z112" i="16" s="1"/>
  <c r="Z374" i="16" s="1"/>
  <c r="BU60" i="16"/>
  <c r="AZ63" i="16"/>
  <c r="BS60" i="16"/>
  <c r="AR63" i="16"/>
  <c r="AH366" i="12"/>
  <c r="AH112" i="16" s="1"/>
  <c r="AH374" i="16" s="1"/>
  <c r="AH364" i="12"/>
  <c r="AO366" i="12"/>
  <c r="AO112" i="16" s="1"/>
  <c r="AO374" i="16" s="1"/>
  <c r="I106" i="45"/>
  <c r="AI106" i="45" s="1"/>
  <c r="BE366" i="12"/>
  <c r="BE112" i="16" s="1"/>
  <c r="BE374" i="16" s="1"/>
  <c r="BE364" i="12"/>
  <c r="U366" i="12"/>
  <c r="U112" i="16" s="1"/>
  <c r="U374" i="16" s="1"/>
  <c r="U364" i="12"/>
  <c r="AM41" i="14"/>
  <c r="BQ41" i="14" s="1"/>
  <c r="BQ39" i="14"/>
  <c r="BQ40" i="14" s="1"/>
  <c r="V366" i="12"/>
  <c r="V112" i="16" s="1"/>
  <c r="V374" i="16" s="1"/>
  <c r="V364" i="12"/>
  <c r="AF366" i="12"/>
  <c r="AF112" i="16" s="1"/>
  <c r="AF364" i="12"/>
  <c r="AZ366" i="12"/>
  <c r="AZ112" i="16" s="1"/>
  <c r="AZ374" i="16" s="1"/>
  <c r="BV39" i="14"/>
  <c r="BV40" i="14" s="1"/>
  <c r="BG41" i="14"/>
  <c r="BV41" i="14" s="1"/>
  <c r="AB366" i="12"/>
  <c r="AB112" i="16" s="1"/>
  <c r="AB364" i="12"/>
  <c r="BC41" i="14"/>
  <c r="BU41" i="14" s="1"/>
  <c r="BU39" i="14"/>
  <c r="BU40" i="14" s="1"/>
  <c r="AE41" i="14"/>
  <c r="BO41" i="14" s="1"/>
  <c r="BO39" i="14"/>
  <c r="BO40" i="14" s="1"/>
  <c r="AE61" i="16"/>
  <c r="AE63" i="16" s="1"/>
  <c r="AE338" i="12"/>
  <c r="AJ364" i="12"/>
  <c r="AR366" i="12"/>
  <c r="AR112" i="16" s="1"/>
  <c r="AY41" i="14"/>
  <c r="BT41" i="14" s="1"/>
  <c r="BT39" i="14"/>
  <c r="BT40" i="14" s="1"/>
  <c r="AG366" i="12"/>
  <c r="AG112" i="16" s="1"/>
  <c r="AG374" i="16" s="1"/>
  <c r="AS366" i="12"/>
  <c r="AS112" i="16" s="1"/>
  <c r="AS374" i="16" s="1"/>
  <c r="AS364" i="12"/>
  <c r="AS110" i="16" s="1"/>
  <c r="AK366" i="12"/>
  <c r="AK112" i="16" s="1"/>
  <c r="AK374" i="16" s="1"/>
  <c r="AK364" i="12"/>
  <c r="AU41" i="14"/>
  <c r="BS41" i="14" s="1"/>
  <c r="BS39" i="14"/>
  <c r="BS40" i="14" s="1"/>
  <c r="AL366" i="12"/>
  <c r="AL112" i="16" s="1"/>
  <c r="AL374" i="16" s="1"/>
  <c r="BM99" i="16"/>
  <c r="BI99" i="16"/>
  <c r="M64" i="34"/>
  <c r="AG398" i="12"/>
  <c r="M30" i="34"/>
  <c r="AH398" i="12"/>
  <c r="AU398" i="12"/>
  <c r="AO398" i="12"/>
  <c r="AO289" i="12"/>
  <c r="AO66" i="16" s="1"/>
  <c r="AJ48" i="38"/>
  <c r="AJ103" i="38"/>
  <c r="M10" i="34"/>
  <c r="AI398" i="12"/>
  <c r="M15" i="34"/>
  <c r="AJ46" i="38"/>
  <c r="AJ83" i="38"/>
  <c r="M22" i="34"/>
  <c r="M92" i="34"/>
  <c r="AL400" i="12"/>
  <c r="AL152" i="16"/>
  <c r="M49" i="34"/>
  <c r="AM361" i="12"/>
  <c r="AM398" i="12"/>
  <c r="AJ73" i="38"/>
  <c r="AJ104" i="38"/>
  <c r="AJ77" i="38"/>
  <c r="AX152" i="16"/>
  <c r="AX400" i="12"/>
  <c r="Y400" i="12"/>
  <c r="BF398" i="12"/>
  <c r="AL71" i="38"/>
  <c r="M51" i="34"/>
  <c r="AJ55" i="38"/>
  <c r="M34" i="34"/>
  <c r="AJ39" i="38"/>
  <c r="AN366" i="12"/>
  <c r="AN112" i="16" s="1"/>
  <c r="AJ90" i="38"/>
  <c r="AJ100" i="38"/>
  <c r="M78" i="34"/>
  <c r="M82" i="34"/>
  <c r="BM68" i="14"/>
  <c r="BX64" i="14"/>
  <c r="AL73" i="38"/>
  <c r="M54" i="34"/>
  <c r="M40" i="34"/>
  <c r="AJ44" i="38"/>
  <c r="AL69" i="38"/>
  <c r="M52" i="34"/>
  <c r="AJ87" i="38"/>
  <c r="AJ75" i="38"/>
  <c r="AJ53" i="38"/>
  <c r="AJ36" i="38"/>
  <c r="AJ27" i="38"/>
  <c r="AJ98" i="38"/>
  <c r="M16" i="34"/>
  <c r="AJ31" i="38"/>
  <c r="BD364" i="12"/>
  <c r="BD110" i="16" s="1"/>
  <c r="AP400" i="12"/>
  <c r="AP152" i="16"/>
  <c r="AZ152" i="16"/>
  <c r="AZ400" i="12"/>
  <c r="AJ400" i="12"/>
  <c r="AJ152" i="16"/>
  <c r="M86" i="34"/>
  <c r="V398" i="12"/>
  <c r="V289" i="12"/>
  <c r="V66" i="16" s="1"/>
  <c r="M80" i="34"/>
  <c r="M93" i="34"/>
  <c r="AL72" i="38"/>
  <c r="AJ45" i="38"/>
  <c r="AJ101" i="38"/>
  <c r="AK152" i="16"/>
  <c r="AK400" i="12"/>
  <c r="M32" i="34"/>
  <c r="BE398" i="12"/>
  <c r="M44" i="34"/>
  <c r="M14" i="34"/>
  <c r="BA398" i="12"/>
  <c r="AJ79" i="38"/>
  <c r="AJ62" i="38"/>
  <c r="M58" i="34"/>
  <c r="M96" i="34"/>
  <c r="AJ50" i="38"/>
  <c r="AJ86" i="38"/>
  <c r="M18" i="34"/>
  <c r="AJ63" i="38"/>
  <c r="BD400" i="12"/>
  <c r="BD152" i="16"/>
  <c r="T364" i="12"/>
  <c r="T110" i="16" s="1"/>
  <c r="M50" i="34"/>
  <c r="AJ32" i="38"/>
  <c r="AJ81" i="38"/>
  <c r="M60" i="34"/>
  <c r="M28" i="34"/>
  <c r="AJ16" i="38"/>
  <c r="AN398" i="12"/>
  <c r="AJ76" i="38"/>
  <c r="AC400" i="12"/>
  <c r="AC152" i="16"/>
  <c r="AJ41" i="38"/>
  <c r="AJ85" i="38"/>
  <c r="AM364" i="12"/>
  <c r="AJ38" i="38"/>
  <c r="AJ71" i="38"/>
  <c r="M61" i="34"/>
  <c r="M24" i="34"/>
  <c r="M19" i="34"/>
  <c r="M90" i="34"/>
  <c r="T366" i="12"/>
  <c r="T112" i="16" s="1"/>
  <c r="BC400" i="12"/>
  <c r="BC152" i="16"/>
  <c r="AS400" i="12"/>
  <c r="AS152" i="16"/>
  <c r="M62" i="34"/>
  <c r="AJ61" i="38"/>
  <c r="M46" i="34"/>
  <c r="M100" i="34"/>
  <c r="AJ91" i="38"/>
  <c r="AL68" i="38"/>
  <c r="AJ64" i="38"/>
  <c r="AE400" i="12"/>
  <c r="M42" i="34"/>
  <c r="AJ28" i="38"/>
  <c r="AX366" i="12"/>
  <c r="AX112" i="16" s="1"/>
  <c r="AX374" i="16" s="1"/>
  <c r="AX364" i="12"/>
  <c r="M74" i="34"/>
  <c r="AG361" i="12"/>
  <c r="M23" i="34"/>
  <c r="AJ82" i="38"/>
  <c r="M88" i="34"/>
  <c r="M79" i="34"/>
  <c r="AJ14" i="38"/>
  <c r="AJ89" i="38"/>
  <c r="AU366" i="12"/>
  <c r="AU112" i="16" s="1"/>
  <c r="AU374" i="16" s="1"/>
  <c r="AU364" i="12"/>
  <c r="AU110" i="16" s="1"/>
  <c r="AJ19" i="38"/>
  <c r="BB398" i="12"/>
  <c r="X366" i="12"/>
  <c r="X112" i="16" s="1"/>
  <c r="X364" i="12"/>
  <c r="AD398" i="12"/>
  <c r="AM65" i="38"/>
  <c r="AF65" i="38" s="1"/>
  <c r="AD366" i="12"/>
  <c r="AD112" i="16" s="1"/>
  <c r="AD374" i="16" s="1"/>
  <c r="AD364" i="12"/>
  <c r="AD110" i="16" s="1"/>
  <c r="M98" i="34"/>
  <c r="AJ43" i="38"/>
  <c r="AL67" i="38"/>
  <c r="M94" i="34"/>
  <c r="M104" i="34"/>
  <c r="M102" i="34"/>
  <c r="M36" i="34"/>
  <c r="M38" i="34"/>
  <c r="M13" i="34"/>
  <c r="AW152" i="16"/>
  <c r="AW400" i="12"/>
  <c r="AD359" i="12" l="1"/>
  <c r="AC361" i="12"/>
  <c r="AC106" i="16" s="1"/>
  <c r="AB70" i="14"/>
  <c r="BG359" i="12"/>
  <c r="AG103" i="16"/>
  <c r="AI94" i="16"/>
  <c r="AG359" i="12"/>
  <c r="AG362" i="12" s="1"/>
  <c r="Y359" i="12"/>
  <c r="Y362" i="12" s="1"/>
  <c r="BC103" i="16"/>
  <c r="BE359" i="12"/>
  <c r="BE362" i="12" s="1"/>
  <c r="AO359" i="12"/>
  <c r="AI103" i="16"/>
  <c r="AZ359" i="12"/>
  <c r="AZ362" i="12" s="1"/>
  <c r="AM359" i="12"/>
  <c r="AM362" i="12" s="1"/>
  <c r="BA359" i="12"/>
  <c r="BA362" i="12" s="1"/>
  <c r="AT359" i="12"/>
  <c r="BC359" i="12"/>
  <c r="BC362" i="12" s="1"/>
  <c r="BB359" i="12"/>
  <c r="BB362" i="12" s="1"/>
  <c r="AL359" i="12"/>
  <c r="AH359" i="12"/>
  <c r="BD359" i="12"/>
  <c r="BD362" i="12" s="1"/>
  <c r="AX359" i="12"/>
  <c r="AX362" i="12" s="1"/>
  <c r="AJ8" i="38"/>
  <c r="CT18" i="22"/>
  <c r="AP359" i="12"/>
  <c r="AP362" i="12" s="1"/>
  <c r="AG94" i="16"/>
  <c r="BF359" i="12"/>
  <c r="BF362" i="12" s="1"/>
  <c r="V359" i="12"/>
  <c r="V362" i="12" s="1"/>
  <c r="AU359" i="12"/>
  <c r="AU362" i="12" s="1"/>
  <c r="AI359" i="12"/>
  <c r="AI362" i="12" s="1"/>
  <c r="U359" i="12"/>
  <c r="AE69" i="38"/>
  <c r="AW359" i="12"/>
  <c r="AW362" i="12" s="1"/>
  <c r="AE71" i="38"/>
  <c r="AL361" i="12"/>
  <c r="AL106" i="16" s="1"/>
  <c r="AL107" i="16" s="1"/>
  <c r="AL369" i="16" s="1"/>
  <c r="BX98" i="16"/>
  <c r="AK361" i="12"/>
  <c r="AK106" i="16" s="1"/>
  <c r="AV359" i="12"/>
  <c r="AQ359" i="12"/>
  <c r="BX89" i="16"/>
  <c r="AS359" i="12"/>
  <c r="AS362" i="12" s="1"/>
  <c r="AF359" i="12"/>
  <c r="AB359" i="12"/>
  <c r="AY359" i="12"/>
  <c r="AC70" i="14"/>
  <c r="AC72" i="14" s="1"/>
  <c r="AC87" i="14" s="1"/>
  <c r="BM63" i="16"/>
  <c r="BX99" i="16"/>
  <c r="AJ361" i="12"/>
  <c r="AJ106" i="16" s="1"/>
  <c r="AJ107" i="16" s="1"/>
  <c r="Z103" i="16"/>
  <c r="AJ359" i="12"/>
  <c r="X359" i="12"/>
  <c r="AE68" i="38"/>
  <c r="AV70" i="14"/>
  <c r="AK70" i="14"/>
  <c r="AK72" i="14" s="1"/>
  <c r="AK88" i="14" s="1"/>
  <c r="AA70" i="14"/>
  <c r="AA72" i="14" s="1"/>
  <c r="AA85" i="14" s="1"/>
  <c r="AE72" i="38"/>
  <c r="AQ70" i="14"/>
  <c r="AY70" i="14"/>
  <c r="AJ70" i="14"/>
  <c r="AT87" i="14"/>
  <c r="AT76" i="14"/>
  <c r="AT88" i="14"/>
  <c r="AT85" i="14"/>
  <c r="AT132" i="12"/>
  <c r="AL132" i="12"/>
  <c r="AL402" i="12" s="1"/>
  <c r="AG76" i="14"/>
  <c r="AG88" i="14"/>
  <c r="AG85" i="14"/>
  <c r="AG87" i="14"/>
  <c r="BI134" i="12"/>
  <c r="ED20" i="22" s="1"/>
  <c r="BK134" i="12"/>
  <c r="BQ20" i="22"/>
  <c r="AS76" i="14"/>
  <c r="AS87" i="14"/>
  <c r="AS88" i="14"/>
  <c r="AS85" i="14"/>
  <c r="AO132" i="12"/>
  <c r="AO70" i="14"/>
  <c r="AO72" i="14" s="1"/>
  <c r="AE132" i="12"/>
  <c r="AE70" i="14"/>
  <c r="AE72" i="14" s="1"/>
  <c r="AR132" i="12"/>
  <c r="AR70" i="14"/>
  <c r="AP132" i="12"/>
  <c r="AP70" i="14"/>
  <c r="BB132" i="12"/>
  <c r="BB70" i="14"/>
  <c r="BF132" i="12"/>
  <c r="BF70" i="14"/>
  <c r="AD132" i="12"/>
  <c r="AD70" i="14"/>
  <c r="BE132" i="12"/>
  <c r="BE70" i="14"/>
  <c r="AI132" i="12"/>
  <c r="AI70" i="14"/>
  <c r="V132" i="12"/>
  <c r="V70" i="14"/>
  <c r="BI74" i="14"/>
  <c r="AH132" i="12"/>
  <c r="AH70" i="14"/>
  <c r="AW132" i="12"/>
  <c r="AW402" i="12" s="1"/>
  <c r="AW70" i="14"/>
  <c r="AW72" i="14" s="1"/>
  <c r="AM366" i="12"/>
  <c r="AM112" i="16" s="1"/>
  <c r="AM374" i="16" s="1"/>
  <c r="AU132" i="12"/>
  <c r="AU70" i="14"/>
  <c r="AZ132" i="12"/>
  <c r="AZ402" i="12" s="1"/>
  <c r="AZ70" i="14"/>
  <c r="BD132" i="12"/>
  <c r="BD70" i="14"/>
  <c r="T132" i="12"/>
  <c r="BL18" i="22"/>
  <c r="T70" i="14"/>
  <c r="BI84" i="12"/>
  <c r="EB18" i="22" s="1"/>
  <c r="BG132" i="12"/>
  <c r="BG70" i="14"/>
  <c r="Y132" i="12"/>
  <c r="Y70" i="14"/>
  <c r="AF132" i="12"/>
  <c r="AF70" i="14"/>
  <c r="BA132" i="12"/>
  <c r="BA70" i="14"/>
  <c r="BA72" i="14" s="1"/>
  <c r="Z132" i="12"/>
  <c r="Z70" i="14"/>
  <c r="Z72" i="14" s="1"/>
  <c r="BC132" i="12"/>
  <c r="BC402" i="12" s="1"/>
  <c r="BC70" i="14"/>
  <c r="AN132" i="12"/>
  <c r="AN70" i="14"/>
  <c r="W132" i="12"/>
  <c r="W70" i="14"/>
  <c r="BI86" i="12"/>
  <c r="EB20" i="22" s="1"/>
  <c r="BL20" i="22"/>
  <c r="X132" i="12"/>
  <c r="X70" i="14"/>
  <c r="AX132" i="12"/>
  <c r="AX402" i="12" s="1"/>
  <c r="AX70" i="14"/>
  <c r="AJ12" i="38"/>
  <c r="AP107" i="16"/>
  <c r="AP369" i="16" s="1"/>
  <c r="AJ33" i="38"/>
  <c r="BI54" i="13"/>
  <c r="O18" i="45"/>
  <c r="AO18" i="45" s="1"/>
  <c r="M17" i="34"/>
  <c r="O88" i="45"/>
  <c r="AO88" i="45" s="1"/>
  <c r="M87" i="34"/>
  <c r="AJ42" i="38"/>
  <c r="BC377" i="12"/>
  <c r="BC132" i="16" s="1"/>
  <c r="BC388" i="16" s="1"/>
  <c r="AE73" i="38"/>
  <c r="O78" i="45"/>
  <c r="AO78" i="45" s="1"/>
  <c r="M77" i="34"/>
  <c r="BI99" i="14"/>
  <c r="AU377" i="12"/>
  <c r="AU132" i="16" s="1"/>
  <c r="AU388" i="16" s="1"/>
  <c r="O58" i="45"/>
  <c r="AO58" i="45" s="1"/>
  <c r="M57" i="34"/>
  <c r="BI245" i="12"/>
  <c r="K102" i="13" s="1"/>
  <c r="O55" i="45"/>
  <c r="AO55" i="45" s="1"/>
  <c r="O79" i="45"/>
  <c r="AO79" i="45" s="1"/>
  <c r="T52" i="13"/>
  <c r="W52" i="13"/>
  <c r="AR52" i="13"/>
  <c r="AB52" i="13"/>
  <c r="X52" i="13"/>
  <c r="U52" i="13"/>
  <c r="AA52" i="13"/>
  <c r="AX52" i="13"/>
  <c r="AT52" i="13"/>
  <c r="Y52" i="13"/>
  <c r="AP52" i="13"/>
  <c r="BE52" i="13"/>
  <c r="AL52" i="13"/>
  <c r="AJ52" i="13"/>
  <c r="AD52" i="13"/>
  <c r="AH52" i="13"/>
  <c r="AW52" i="13"/>
  <c r="BI217" i="12"/>
  <c r="BD52" i="13"/>
  <c r="BA52" i="13"/>
  <c r="Z52" i="13"/>
  <c r="AO52" i="13"/>
  <c r="AV52" i="13"/>
  <c r="AU52" i="13"/>
  <c r="AG52" i="13"/>
  <c r="BC52" i="13"/>
  <c r="V52" i="13"/>
  <c r="AF52" i="13"/>
  <c r="AS52" i="13"/>
  <c r="BG52" i="13"/>
  <c r="AN52" i="13"/>
  <c r="AZ52" i="13"/>
  <c r="AK52" i="13"/>
  <c r="AM52" i="13"/>
  <c r="AC52" i="13"/>
  <c r="AQ52" i="13"/>
  <c r="AE52" i="13"/>
  <c r="AI52" i="13"/>
  <c r="BF52" i="13"/>
  <c r="BB52" i="13"/>
  <c r="AY52" i="13"/>
  <c r="O52" i="45"/>
  <c r="AO52" i="45" s="1"/>
  <c r="O16" i="45"/>
  <c r="AO16" i="45" s="1"/>
  <c r="O82" i="45"/>
  <c r="AO82" i="45" s="1"/>
  <c r="AS377" i="12"/>
  <c r="AS132" i="16" s="1"/>
  <c r="AS388" i="16" s="1"/>
  <c r="BF377" i="12"/>
  <c r="BF132" i="16" s="1"/>
  <c r="BF388" i="16" s="1"/>
  <c r="O54" i="45"/>
  <c r="AO54" i="45" s="1"/>
  <c r="O36" i="45"/>
  <c r="AO36" i="45" s="1"/>
  <c r="O85" i="45"/>
  <c r="AO85" i="45" s="1"/>
  <c r="O39" i="45"/>
  <c r="AO39" i="45" s="1"/>
  <c r="O63" i="45"/>
  <c r="AO63" i="45" s="1"/>
  <c r="O103" i="45"/>
  <c r="AO103" i="45" s="1"/>
  <c r="O31" i="45"/>
  <c r="AO31" i="45" s="1"/>
  <c r="BK209" i="12"/>
  <c r="BK217" i="12" s="1"/>
  <c r="K243" i="12" s="1"/>
  <c r="O76" i="45"/>
  <c r="AO76" i="45" s="1"/>
  <c r="O19" i="45"/>
  <c r="AO19" i="45" s="1"/>
  <c r="O83" i="45"/>
  <c r="AO83" i="45" s="1"/>
  <c r="O24" i="45"/>
  <c r="AO24" i="45" s="1"/>
  <c r="O20" i="45"/>
  <c r="AO20" i="45" s="1"/>
  <c r="AL377" i="12"/>
  <c r="AL132" i="16" s="1"/>
  <c r="AL388" i="16" s="1"/>
  <c r="BG377" i="12"/>
  <c r="BG132" i="16" s="1"/>
  <c r="BG388" i="16" s="1"/>
  <c r="AQ377" i="12"/>
  <c r="AQ132" i="16" s="1"/>
  <c r="AQ388" i="16" s="1"/>
  <c r="O56" i="45"/>
  <c r="AO56" i="45" s="1"/>
  <c r="T53" i="13"/>
  <c r="V53" i="13"/>
  <c r="AB53" i="13"/>
  <c r="AR53" i="13"/>
  <c r="AU53" i="13"/>
  <c r="AS53" i="13"/>
  <c r="Z53" i="13"/>
  <c r="AO53" i="13"/>
  <c r="AF53" i="13"/>
  <c r="AZ53" i="13"/>
  <c r="AM53" i="13"/>
  <c r="AK53" i="13"/>
  <c r="BG53" i="13"/>
  <c r="AG53" i="13"/>
  <c r="X53" i="13"/>
  <c r="AA53" i="13"/>
  <c r="W53" i="13"/>
  <c r="AC53" i="13"/>
  <c r="AY53" i="13"/>
  <c r="Y53" i="13"/>
  <c r="BB53" i="13"/>
  <c r="AX53" i="13"/>
  <c r="U53" i="13"/>
  <c r="AQ53" i="13"/>
  <c r="AT53" i="13"/>
  <c r="BC53" i="13"/>
  <c r="AE53" i="13"/>
  <c r="AI53" i="13"/>
  <c r="BF53" i="13"/>
  <c r="AL53" i="13"/>
  <c r="AD53" i="13"/>
  <c r="AJ53" i="13"/>
  <c r="BI218" i="12"/>
  <c r="AP53" i="13"/>
  <c r="BE53" i="13"/>
  <c r="AV53" i="13"/>
  <c r="BD53" i="13"/>
  <c r="BA53" i="13"/>
  <c r="AH53" i="13"/>
  <c r="AW53" i="13"/>
  <c r="AN53" i="13"/>
  <c r="O37" i="45"/>
  <c r="AO37" i="45" s="1"/>
  <c r="O61" i="45"/>
  <c r="AO61" i="45" s="1"/>
  <c r="O98" i="45"/>
  <c r="AO98" i="45" s="1"/>
  <c r="O64" i="45"/>
  <c r="AO64" i="45" s="1"/>
  <c r="O62" i="45"/>
  <c r="AO62" i="45" s="1"/>
  <c r="O66" i="45"/>
  <c r="AO66" i="45" s="1"/>
  <c r="O42" i="45"/>
  <c r="AO42" i="45" s="1"/>
  <c r="O59" i="45"/>
  <c r="AO59" i="45" s="1"/>
  <c r="AL94" i="16"/>
  <c r="U377" i="12"/>
  <c r="U132" i="16" s="1"/>
  <c r="AK377" i="12"/>
  <c r="AK132" i="16" s="1"/>
  <c r="AK388" i="16" s="1"/>
  <c r="BK210" i="12"/>
  <c r="BK218" i="12" s="1"/>
  <c r="K244" i="12" s="1"/>
  <c r="O91" i="45"/>
  <c r="AO91" i="45" s="1"/>
  <c r="O43" i="45"/>
  <c r="AO43" i="45" s="1"/>
  <c r="O14" i="45"/>
  <c r="AO14" i="45" s="1"/>
  <c r="O89" i="45"/>
  <c r="AO89" i="45" s="1"/>
  <c r="O32" i="45"/>
  <c r="AO32" i="45" s="1"/>
  <c r="O99" i="45"/>
  <c r="AO99" i="45" s="1"/>
  <c r="O15" i="45"/>
  <c r="AO15" i="45" s="1"/>
  <c r="O77" i="45"/>
  <c r="AO77" i="45" s="1"/>
  <c r="O26" i="45"/>
  <c r="AO26" i="45" s="1"/>
  <c r="O86" i="45"/>
  <c r="AO86" i="45" s="1"/>
  <c r="O75" i="45"/>
  <c r="AO75" i="45" s="1"/>
  <c r="O80" i="45"/>
  <c r="AO80" i="45" s="1"/>
  <c r="O84" i="45"/>
  <c r="AO84" i="45" s="1"/>
  <c r="O93" i="45"/>
  <c r="AO93" i="45" s="1"/>
  <c r="O65" i="45"/>
  <c r="AO65" i="45" s="1"/>
  <c r="O38" i="45"/>
  <c r="AO38" i="45" s="1"/>
  <c r="O92" i="45"/>
  <c r="AO92" i="45" s="1"/>
  <c r="O23" i="45"/>
  <c r="AO23" i="45" s="1"/>
  <c r="O22" i="45"/>
  <c r="AO22" i="45" s="1"/>
  <c r="O96" i="45"/>
  <c r="AO96" i="45" s="1"/>
  <c r="O104" i="45"/>
  <c r="AO104" i="45" s="1"/>
  <c r="O48" i="45"/>
  <c r="AO48" i="45" s="1"/>
  <c r="O34" i="45"/>
  <c r="AO34" i="45" s="1"/>
  <c r="BX99" i="14"/>
  <c r="O44" i="45"/>
  <c r="AO44" i="45" s="1"/>
  <c r="O25" i="45"/>
  <c r="AO25" i="45" s="1"/>
  <c r="O29" i="45"/>
  <c r="AO29" i="45" s="1"/>
  <c r="O95" i="45"/>
  <c r="AO95" i="45" s="1"/>
  <c r="O57" i="45"/>
  <c r="AO57" i="45" s="1"/>
  <c r="O50" i="45"/>
  <c r="AO50" i="45" s="1"/>
  <c r="O60" i="45"/>
  <c r="AO60" i="45" s="1"/>
  <c r="O35" i="45"/>
  <c r="AO35" i="45" s="1"/>
  <c r="O49" i="45"/>
  <c r="AO49" i="45" s="1"/>
  <c r="O97" i="45"/>
  <c r="AO97" i="45" s="1"/>
  <c r="AF377" i="12"/>
  <c r="AF132" i="16" s="1"/>
  <c r="AF388" i="16" s="1"/>
  <c r="O28" i="45"/>
  <c r="AO28" i="45" s="1"/>
  <c r="O12" i="45"/>
  <c r="AO12" i="45" s="1"/>
  <c r="O11" i="45"/>
  <c r="AO11" i="45" s="1"/>
  <c r="O40" i="45"/>
  <c r="AO40" i="45" s="1"/>
  <c r="O87" i="45"/>
  <c r="AO87" i="45" s="1"/>
  <c r="O102" i="45"/>
  <c r="AO102" i="45" s="1"/>
  <c r="O13" i="45"/>
  <c r="AO13" i="45" s="1"/>
  <c r="O45" i="45"/>
  <c r="AO45" i="45" s="1"/>
  <c r="O30" i="45"/>
  <c r="AO30" i="45" s="1"/>
  <c r="O94" i="45"/>
  <c r="AO94" i="45" s="1"/>
  <c r="O33" i="45"/>
  <c r="AO33" i="45" s="1"/>
  <c r="O46" i="45"/>
  <c r="AO46" i="45" s="1"/>
  <c r="O41" i="45"/>
  <c r="AO41" i="45" s="1"/>
  <c r="BD377" i="12"/>
  <c r="BD132" i="16" s="1"/>
  <c r="BD388" i="16" s="1"/>
  <c r="Z377" i="12"/>
  <c r="Z132" i="16" s="1"/>
  <c r="BN132" i="16" s="1"/>
  <c r="O101" i="45"/>
  <c r="AO101" i="45" s="1"/>
  <c r="O81" i="45"/>
  <c r="AO81" i="45" s="1"/>
  <c r="O105" i="45"/>
  <c r="AO105" i="45" s="1"/>
  <c r="O74" i="45"/>
  <c r="AO74" i="45" s="1"/>
  <c r="O100" i="45"/>
  <c r="AO100" i="45" s="1"/>
  <c r="O53" i="45"/>
  <c r="AO53" i="45" s="1"/>
  <c r="O90" i="45"/>
  <c r="AO90" i="45" s="1"/>
  <c r="O17" i="45"/>
  <c r="AO17" i="45" s="1"/>
  <c r="O51" i="45"/>
  <c r="AO51" i="45" s="1"/>
  <c r="O27" i="45"/>
  <c r="AO27" i="45" s="1"/>
  <c r="AJ60" i="38"/>
  <c r="AJ59" i="38"/>
  <c r="AD93" i="16"/>
  <c r="AD94" i="16" s="1"/>
  <c r="AC388" i="16"/>
  <c r="AE388" i="16"/>
  <c r="W388" i="16"/>
  <c r="AD388" i="16"/>
  <c r="Y388" i="16"/>
  <c r="AA388" i="16"/>
  <c r="V388" i="16"/>
  <c r="F66" i="45"/>
  <c r="AF66" i="45" s="1"/>
  <c r="AT364" i="12"/>
  <c r="AT110" i="16" s="1"/>
  <c r="AN364" i="12"/>
  <c r="AN110" i="16" s="1"/>
  <c r="BA366" i="12"/>
  <c r="BA112" i="16" s="1"/>
  <c r="BA374" i="16" s="1"/>
  <c r="AE67" i="38"/>
  <c r="BE94" i="16"/>
  <c r="O68" i="45"/>
  <c r="AO68" i="45" s="1"/>
  <c r="BE107" i="16"/>
  <c r="BE369" i="16" s="1"/>
  <c r="AJ13" i="38"/>
  <c r="AJ80" i="38"/>
  <c r="AJ67" i="38"/>
  <c r="BD366" i="12"/>
  <c r="BD112" i="16" s="1"/>
  <c r="BD374" i="16" s="1"/>
  <c r="AP364" i="12"/>
  <c r="AP110" i="16" s="1"/>
  <c r="BF94" i="16"/>
  <c r="AS107" i="16"/>
  <c r="AS369" i="16" s="1"/>
  <c r="BO22" i="22"/>
  <c r="X388" i="16"/>
  <c r="AJ388" i="16"/>
  <c r="BO132" i="16"/>
  <c r="AB388" i="16"/>
  <c r="AZ388" i="16"/>
  <c r="AV388" i="16"/>
  <c r="BT132" i="16"/>
  <c r="AR388" i="16"/>
  <c r="AN388" i="16"/>
  <c r="AO94" i="16"/>
  <c r="BC366" i="12"/>
  <c r="BC112" i="16" s="1"/>
  <c r="BC374" i="16" s="1"/>
  <c r="BA107" i="16"/>
  <c r="BA369" i="16" s="1"/>
  <c r="BE103" i="16"/>
  <c r="BB364" i="12"/>
  <c r="BB110" i="16" s="1"/>
  <c r="Y364" i="12"/>
  <c r="Y110" i="16" s="1"/>
  <c r="Y366" i="12"/>
  <c r="Y112" i="16" s="1"/>
  <c r="Y374" i="16" s="1"/>
  <c r="AJ11" i="38"/>
  <c r="BC364" i="12"/>
  <c r="BC110" i="16" s="1"/>
  <c r="AC364" i="12"/>
  <c r="AC110" i="16" s="1"/>
  <c r="BB366" i="12"/>
  <c r="BB112" i="16" s="1"/>
  <c r="BB374" i="16" s="1"/>
  <c r="AJ10" i="38"/>
  <c r="AQ94" i="16"/>
  <c r="CT20" i="22"/>
  <c r="BA364" i="12"/>
  <c r="BA110" i="16" s="1"/>
  <c r="BA372" i="16" s="1"/>
  <c r="AT366" i="12"/>
  <c r="AT112" i="16" s="1"/>
  <c r="AT374" i="16" s="1"/>
  <c r="AX94" i="16"/>
  <c r="BC107" i="16"/>
  <c r="BC369" i="16" s="1"/>
  <c r="AW107" i="16"/>
  <c r="AW369" i="16" s="1"/>
  <c r="Y107" i="16"/>
  <c r="Y369" i="16" s="1"/>
  <c r="BX90" i="16"/>
  <c r="BB107" i="16"/>
  <c r="BB369" i="16" s="1"/>
  <c r="BC94" i="16"/>
  <c r="AC402" i="12"/>
  <c r="W359" i="12"/>
  <c r="K16" i="37"/>
  <c r="Y93" i="16"/>
  <c r="AB93" i="16"/>
  <c r="AX103" i="16"/>
  <c r="AL364" i="12"/>
  <c r="AL110" i="16" s="1"/>
  <c r="AL372" i="16" s="1"/>
  <c r="BX65" i="14"/>
  <c r="M16" i="37"/>
  <c r="AA93" i="16"/>
  <c r="AA94" i="16" s="1"/>
  <c r="M14" i="37" s="1"/>
  <c r="Z339" i="12"/>
  <c r="U93" i="16"/>
  <c r="U94" i="16" s="1"/>
  <c r="G14" i="37" s="1"/>
  <c r="G16" i="37"/>
  <c r="BA389" i="16"/>
  <c r="BU133" i="16"/>
  <c r="AK389" i="16"/>
  <c r="J16" i="37"/>
  <c r="X93" i="16"/>
  <c r="W93" i="16"/>
  <c r="W94" i="16" s="1"/>
  <c r="I14" i="37" s="1"/>
  <c r="I16" i="37"/>
  <c r="BD93" i="16"/>
  <c r="BV92" i="16"/>
  <c r="AR93" i="16"/>
  <c r="AR94" i="16" s="1"/>
  <c r="BS92" i="16"/>
  <c r="AJ93" i="16"/>
  <c r="AJ94" i="16" s="1"/>
  <c r="H16" i="37"/>
  <c r="V93" i="16"/>
  <c r="V94" i="16" s="1"/>
  <c r="H14" i="37" s="1"/>
  <c r="AX107" i="16"/>
  <c r="AX369" i="16" s="1"/>
  <c r="AQ103" i="16"/>
  <c r="AV93" i="16"/>
  <c r="BT92" i="16"/>
  <c r="AF93" i="16"/>
  <c r="AF94" i="16" s="1"/>
  <c r="BP92" i="16"/>
  <c r="Z5" i="47" s="1"/>
  <c r="AZ93" i="16"/>
  <c r="AZ94" i="16" s="1"/>
  <c r="BU92" i="16"/>
  <c r="AA359" i="12"/>
  <c r="AT389" i="16"/>
  <c r="AG106" i="16"/>
  <c r="AG107" i="16" s="1"/>
  <c r="AG369" i="16" s="1"/>
  <c r="AU106" i="16"/>
  <c r="AU107" i="16" s="1"/>
  <c r="AU369" i="16" s="1"/>
  <c r="BF106" i="16"/>
  <c r="BF107" i="16" s="1"/>
  <c r="BF369" i="16" s="1"/>
  <c r="AI106" i="16"/>
  <c r="AI107" i="16" s="1"/>
  <c r="AI369" i="16" s="1"/>
  <c r="AM106" i="16"/>
  <c r="AM107" i="16" s="1"/>
  <c r="AM369" i="16" s="1"/>
  <c r="V106" i="16"/>
  <c r="V107" i="16" s="1"/>
  <c r="V369" i="16" s="1"/>
  <c r="AJ35" i="38"/>
  <c r="AN106" i="16"/>
  <c r="AE70" i="38"/>
  <c r="AO361" i="12"/>
  <c r="AD106" i="16"/>
  <c r="AD362" i="12"/>
  <c r="BU106" i="16"/>
  <c r="AJ402" i="12"/>
  <c r="AJ21" i="38"/>
  <c r="AJ23" i="38"/>
  <c r="BP22" i="22"/>
  <c r="AJ93" i="38"/>
  <c r="AJ54" i="38"/>
  <c r="V110" i="16"/>
  <c r="AR374" i="16"/>
  <c r="AB374" i="16"/>
  <c r="AB110" i="16"/>
  <c r="U110" i="16"/>
  <c r="U372" i="16" s="1"/>
  <c r="BG110" i="16"/>
  <c r="AS372" i="16"/>
  <c r="AJ110" i="16"/>
  <c r="AJ372" i="16" s="1"/>
  <c r="AF110" i="16"/>
  <c r="AV110" i="16"/>
  <c r="AF374" i="16"/>
  <c r="BE110" i="16"/>
  <c r="AV374" i="16"/>
  <c r="AK110" i="16"/>
  <c r="AK372" i="16" s="1"/>
  <c r="AH110" i="16"/>
  <c r="AH372" i="16" s="1"/>
  <c r="BD107" i="16"/>
  <c r="BD102" i="16"/>
  <c r="BV101" i="16"/>
  <c r="AW364" i="12"/>
  <c r="AL339" i="12"/>
  <c r="AJ366" i="12"/>
  <c r="AJ112" i="16" s="1"/>
  <c r="AO103" i="16"/>
  <c r="BE339" i="12"/>
  <c r="AU339" i="12"/>
  <c r="AF339" i="12"/>
  <c r="AS402" i="12"/>
  <c r="AJ102" i="16"/>
  <c r="AJ103" i="16" s="1"/>
  <c r="BQ101" i="16"/>
  <c r="AR102" i="16"/>
  <c r="AR103" i="16" s="1"/>
  <c r="BS101" i="16"/>
  <c r="AD103" i="16"/>
  <c r="BN61" i="16"/>
  <c r="AR364" i="12"/>
  <c r="AO364" i="12"/>
  <c r="Z364" i="12"/>
  <c r="AJ339" i="12"/>
  <c r="BS61" i="16"/>
  <c r="V339" i="12"/>
  <c r="AV339" i="12"/>
  <c r="BU61" i="16"/>
  <c r="AG364" i="12"/>
  <c r="U339" i="12"/>
  <c r="AP366" i="12"/>
  <c r="AP112" i="16" s="1"/>
  <c r="AP374" i="16" s="1"/>
  <c r="X102" i="16"/>
  <c r="BN101" i="16"/>
  <c r="BX97" i="16"/>
  <c r="AZ102" i="16"/>
  <c r="AZ103" i="16" s="1"/>
  <c r="BU101" i="16"/>
  <c r="AZ107" i="16"/>
  <c r="V103" i="16"/>
  <c r="BT61" i="16"/>
  <c r="AV63" i="16"/>
  <c r="AA103" i="16"/>
  <c r="AK402" i="12"/>
  <c r="AL103" i="16"/>
  <c r="AO339" i="12"/>
  <c r="BG366" i="12"/>
  <c r="BG112" i="16" s="1"/>
  <c r="BG374" i="16" s="1"/>
  <c r="AC366" i="12"/>
  <c r="AC112" i="16" s="1"/>
  <c r="AC374" i="16" s="1"/>
  <c r="T102" i="16"/>
  <c r="BI101" i="16"/>
  <c r="O452" i="16" s="1"/>
  <c r="BM101" i="16"/>
  <c r="BP63" i="16"/>
  <c r="AC339" i="12"/>
  <c r="AH339" i="12"/>
  <c r="AZ364" i="12"/>
  <c r="BQ61" i="16"/>
  <c r="AB102" i="16"/>
  <c r="BO101" i="16"/>
  <c r="AN102" i="16"/>
  <c r="BR101" i="16"/>
  <c r="BP101" i="16"/>
  <c r="AF102" i="16"/>
  <c r="AF103" i="16" s="1"/>
  <c r="AC103" i="16"/>
  <c r="AH103" i="16"/>
  <c r="AH94" i="16"/>
  <c r="AM94" i="16"/>
  <c r="AM103" i="16"/>
  <c r="AR339" i="12"/>
  <c r="AD339" i="12"/>
  <c r="BQ63" i="16"/>
  <c r="AB339" i="12"/>
  <c r="AK339" i="12"/>
  <c r="AG339" i="12"/>
  <c r="AE103" i="16"/>
  <c r="BT101" i="16"/>
  <c r="AV102" i="16"/>
  <c r="AU94" i="16"/>
  <c r="AU103" i="16"/>
  <c r="BO61" i="16"/>
  <c r="AB63" i="16"/>
  <c r="AK103" i="16"/>
  <c r="T339" i="12"/>
  <c r="AZ339" i="12"/>
  <c r="BP61" i="16"/>
  <c r="BF103" i="16"/>
  <c r="BM61" i="16"/>
  <c r="U103" i="16"/>
  <c r="AL106" i="38"/>
  <c r="AK106" i="38"/>
  <c r="BV61" i="16"/>
  <c r="BR61" i="16"/>
  <c r="AN63" i="16"/>
  <c r="AD372" i="16"/>
  <c r="AD400" i="12"/>
  <c r="T372" i="16"/>
  <c r="O70" i="45"/>
  <c r="AO70" i="45" s="1"/>
  <c r="AM110" i="16"/>
  <c r="BA400" i="12"/>
  <c r="BA152" i="16"/>
  <c r="BE400" i="12"/>
  <c r="BE152" i="16"/>
  <c r="AJ69" i="38"/>
  <c r="BD372" i="16"/>
  <c r="AJ72" i="38"/>
  <c r="AN152" i="16"/>
  <c r="AN400" i="12"/>
  <c r="AM70" i="38"/>
  <c r="AF70" i="38" s="1"/>
  <c r="O71" i="45"/>
  <c r="AO71" i="45" s="1"/>
  <c r="V400" i="12"/>
  <c r="AH152" i="16"/>
  <c r="AH400" i="12"/>
  <c r="AM68" i="38"/>
  <c r="AF68" i="38" s="1"/>
  <c r="AX110" i="16"/>
  <c r="AX372" i="16" s="1"/>
  <c r="O67" i="45"/>
  <c r="AO67" i="45" s="1"/>
  <c r="AU400" i="12"/>
  <c r="AU152" i="16"/>
  <c r="AG400" i="12"/>
  <c r="AG152" i="16"/>
  <c r="T374" i="16"/>
  <c r="O69" i="45"/>
  <c r="AO69" i="45" s="1"/>
  <c r="AC42" i="38"/>
  <c r="AA364" i="12"/>
  <c r="O73" i="45"/>
  <c r="AO73" i="45" s="1"/>
  <c r="X110" i="16"/>
  <c r="BB400" i="12"/>
  <c r="BB152" i="16"/>
  <c r="AU372" i="16"/>
  <c r="X374" i="16"/>
  <c r="AA366" i="12"/>
  <c r="AA112" i="16" s="1"/>
  <c r="AA374" i="16" s="1"/>
  <c r="AN374" i="16"/>
  <c r="BF400" i="12"/>
  <c r="BF152" i="16"/>
  <c r="AM400" i="12"/>
  <c r="AM152" i="16"/>
  <c r="AI400" i="12"/>
  <c r="AI152" i="16"/>
  <c r="AO400" i="12"/>
  <c r="AO152" i="16"/>
  <c r="O72" i="45"/>
  <c r="AO72" i="45" s="1"/>
  <c r="M9" i="34" l="1"/>
  <c r="CC82" i="28"/>
  <c r="AL362" i="12"/>
  <c r="AJ362" i="12"/>
  <c r="CN18" i="22"/>
  <c r="DM18" i="22" s="1"/>
  <c r="BP70" i="14"/>
  <c r="AC76" i="14"/>
  <c r="BT70" i="14"/>
  <c r="AC88" i="14"/>
  <c r="AC85" i="14"/>
  <c r="O10" i="45"/>
  <c r="AO10" i="45" s="1"/>
  <c r="BQ70" i="14"/>
  <c r="AK85" i="14"/>
  <c r="AK76" i="14"/>
  <c r="AA76" i="14"/>
  <c r="AK87" i="14"/>
  <c r="AA87" i="14"/>
  <c r="AA88" i="14" s="1"/>
  <c r="BO70" i="14"/>
  <c r="BR70" i="14"/>
  <c r="AN72" i="14"/>
  <c r="BA85" i="14"/>
  <c r="BA76" i="14"/>
  <c r="BA87" i="14"/>
  <c r="BA88" i="14"/>
  <c r="AE76" i="14"/>
  <c r="AE85" i="14"/>
  <c r="AE87" i="14"/>
  <c r="AE88" i="14" s="1"/>
  <c r="BV70" i="14"/>
  <c r="BD72" i="14"/>
  <c r="BN70" i="14"/>
  <c r="X72" i="14"/>
  <c r="AO76" i="14"/>
  <c r="AO88" i="14"/>
  <c r="AO85" i="14"/>
  <c r="AO87" i="14"/>
  <c r="BU70" i="14"/>
  <c r="AZ72" i="14"/>
  <c r="AW88" i="14"/>
  <c r="AW87" i="14"/>
  <c r="AW85" i="14"/>
  <c r="AW76" i="14"/>
  <c r="Z76" i="14"/>
  <c r="Z87" i="14"/>
  <c r="Z88" i="14" s="1"/>
  <c r="Z85" i="14"/>
  <c r="BI70" i="14"/>
  <c r="BM70" i="14"/>
  <c r="T72" i="14"/>
  <c r="BS70" i="14"/>
  <c r="AR72" i="14"/>
  <c r="BQ18" i="22"/>
  <c r="BI132" i="12"/>
  <c r="BK132" i="12"/>
  <c r="AG402" i="12"/>
  <c r="AM402" i="12"/>
  <c r="M67" i="34"/>
  <c r="BU112" i="16"/>
  <c r="AP402" i="12"/>
  <c r="BU132" i="16"/>
  <c r="BV132" i="16"/>
  <c r="U388" i="16"/>
  <c r="BS132" i="16"/>
  <c r="BI52" i="13"/>
  <c r="BI53" i="13"/>
  <c r="BR132" i="16"/>
  <c r="BP132" i="16"/>
  <c r="CX20" i="22"/>
  <c r="CX18" i="22"/>
  <c r="AH244" i="12"/>
  <c r="AM244" i="12"/>
  <c r="AZ244" i="12"/>
  <c r="AY244" i="12"/>
  <c r="AL244" i="12"/>
  <c r="Y244" i="12"/>
  <c r="U244" i="12"/>
  <c r="V244" i="12"/>
  <c r="AB244" i="12"/>
  <c r="AF244" i="12"/>
  <c r="W244" i="12"/>
  <c r="AG244" i="12"/>
  <c r="BA244" i="12"/>
  <c r="AU244" i="12"/>
  <c r="AN244" i="12"/>
  <c r="AK244" i="12"/>
  <c r="AA244" i="12"/>
  <c r="BC244" i="12"/>
  <c r="AW244" i="12"/>
  <c r="BE244" i="12"/>
  <c r="Z244" i="12"/>
  <c r="AV244" i="12"/>
  <c r="AI244" i="12"/>
  <c r="BB244" i="12"/>
  <c r="AS244" i="12"/>
  <c r="AE244" i="12"/>
  <c r="AX244" i="12"/>
  <c r="AQ244" i="12"/>
  <c r="AT244" i="12"/>
  <c r="AP244" i="12"/>
  <c r="BF244" i="12"/>
  <c r="AD244" i="12"/>
  <c r="AR244" i="12"/>
  <c r="AJ244" i="12"/>
  <c r="AC244" i="12"/>
  <c r="AO244" i="12"/>
  <c r="BG244" i="12"/>
  <c r="X244" i="12"/>
  <c r="BD244" i="12"/>
  <c r="T244" i="12"/>
  <c r="CY18" i="22"/>
  <c r="CY20" i="22"/>
  <c r="AC10" i="19" s="1"/>
  <c r="EK20" i="22"/>
  <c r="L9" i="34" s="1"/>
  <c r="CY19" i="22"/>
  <c r="AC9" i="19" s="1"/>
  <c r="Z388" i="16"/>
  <c r="CX19" i="22"/>
  <c r="AK243" i="12"/>
  <c r="AK111" i="14" s="1"/>
  <c r="AK113" i="14" s="1"/>
  <c r="AY243" i="12"/>
  <c r="AY111" i="14" s="1"/>
  <c r="AY113" i="14" s="1"/>
  <c r="U243" i="12"/>
  <c r="U111" i="14" s="1"/>
  <c r="AX243" i="12"/>
  <c r="AX111" i="14" s="1"/>
  <c r="AX113" i="14" s="1"/>
  <c r="BF243" i="12"/>
  <c r="BF111" i="14" s="1"/>
  <c r="BF113" i="14" s="1"/>
  <c r="AU243" i="12"/>
  <c r="AU111" i="14" s="1"/>
  <c r="AU113" i="14" s="1"/>
  <c r="AA243" i="12"/>
  <c r="AA111" i="14" s="1"/>
  <c r="AA113" i="14" s="1"/>
  <c r="BB243" i="12"/>
  <c r="BB111" i="14" s="1"/>
  <c r="BB113" i="14" s="1"/>
  <c r="AN243" i="12"/>
  <c r="AN111" i="14" s="1"/>
  <c r="AP243" i="12"/>
  <c r="AP111" i="14" s="1"/>
  <c r="AP113" i="14" s="1"/>
  <c r="AJ243" i="12"/>
  <c r="AJ111" i="14" s="1"/>
  <c r="AV243" i="12"/>
  <c r="AV111" i="14" s="1"/>
  <c r="AR243" i="12"/>
  <c r="AR111" i="14" s="1"/>
  <c r="AH243" i="12"/>
  <c r="AH111" i="14" s="1"/>
  <c r="AH113" i="14" s="1"/>
  <c r="AC243" i="12"/>
  <c r="AC111" i="14" s="1"/>
  <c r="AC113" i="14" s="1"/>
  <c r="AS243" i="12"/>
  <c r="AS111" i="14" s="1"/>
  <c r="AS113" i="14" s="1"/>
  <c r="BA243" i="12"/>
  <c r="BA111" i="14" s="1"/>
  <c r="BA113" i="14" s="1"/>
  <c r="AW243" i="12"/>
  <c r="AW111" i="14" s="1"/>
  <c r="AW113" i="14" s="1"/>
  <c r="W243" i="12"/>
  <c r="W111" i="14" s="1"/>
  <c r="W113" i="14" s="1"/>
  <c r="AB243" i="12"/>
  <c r="AB111" i="14" s="1"/>
  <c r="X243" i="12"/>
  <c r="X111" i="14" s="1"/>
  <c r="V243" i="12"/>
  <c r="V111" i="14" s="1"/>
  <c r="V113" i="14" s="1"/>
  <c r="AT243" i="12"/>
  <c r="AT111" i="14" s="1"/>
  <c r="AT113" i="14" s="1"/>
  <c r="AI243" i="12"/>
  <c r="AI111" i="14" s="1"/>
  <c r="AI113" i="14" s="1"/>
  <c r="T243" i="12"/>
  <c r="AQ243" i="12"/>
  <c r="AQ111" i="14" s="1"/>
  <c r="AQ113" i="14" s="1"/>
  <c r="BD243" i="12"/>
  <c r="BD111" i="14" s="1"/>
  <c r="AM243" i="12"/>
  <c r="AM111" i="14" s="1"/>
  <c r="AM113" i="14" s="1"/>
  <c r="BC243" i="12"/>
  <c r="BC111" i="14" s="1"/>
  <c r="BC113" i="14" s="1"/>
  <c r="Y243" i="12"/>
  <c r="Y111" i="14" s="1"/>
  <c r="Y113" i="14" s="1"/>
  <c r="BG243" i="12"/>
  <c r="BG111" i="14" s="1"/>
  <c r="BG113" i="14" s="1"/>
  <c r="AO243" i="12"/>
  <c r="AO111" i="14" s="1"/>
  <c r="AO113" i="14" s="1"/>
  <c r="AE243" i="12"/>
  <c r="AE111" i="14" s="1"/>
  <c r="AE113" i="14" s="1"/>
  <c r="AG243" i="12"/>
  <c r="AG111" i="14" s="1"/>
  <c r="AG113" i="14" s="1"/>
  <c r="AF243" i="12"/>
  <c r="AF111" i="14" s="1"/>
  <c r="BE243" i="12"/>
  <c r="BE111" i="14" s="1"/>
  <c r="BE113" i="14" s="1"/>
  <c r="AD243" i="12"/>
  <c r="AD111" i="14" s="1"/>
  <c r="AD113" i="14" s="1"/>
  <c r="Z243" i="12"/>
  <c r="Z111" i="14" s="1"/>
  <c r="Z113" i="14" s="1"/>
  <c r="AZ243" i="12"/>
  <c r="AZ111" i="14" s="1"/>
  <c r="AL243" i="12"/>
  <c r="AL111" i="14" s="1"/>
  <c r="AL113" i="14" s="1"/>
  <c r="BQ132" i="16"/>
  <c r="I16" i="18"/>
  <c r="AO402" i="12"/>
  <c r="BQ110" i="16"/>
  <c r="AD402" i="12"/>
  <c r="AV103" i="16"/>
  <c r="L29" i="34"/>
  <c r="T377" i="12"/>
  <c r="T132" i="16" s="1"/>
  <c r="BS112" i="16"/>
  <c r="BQ106" i="16"/>
  <c r="BE402" i="12"/>
  <c r="AD107" i="16"/>
  <c r="AD369" i="16" s="1"/>
  <c r="V402" i="12"/>
  <c r="BA402" i="12"/>
  <c r="BD402" i="12"/>
  <c r="AU402" i="12"/>
  <c r="BB402" i="12"/>
  <c r="AN402" i="12"/>
  <c r="AO106" i="16"/>
  <c r="AO107" i="16" s="1"/>
  <c r="AO369" i="16" s="1"/>
  <c r="AO362" i="12"/>
  <c r="Y402" i="12"/>
  <c r="BO63" i="16"/>
  <c r="AB94" i="16"/>
  <c r="AB103" i="16"/>
  <c r="AV372" i="16"/>
  <c r="AB372" i="16"/>
  <c r="Z110" i="16"/>
  <c r="AO110" i="16"/>
  <c r="BE372" i="16"/>
  <c r="BX101" i="16"/>
  <c r="BU107" i="16"/>
  <c r="AZ369" i="16"/>
  <c r="AR110" i="16"/>
  <c r="BN112" i="16"/>
  <c r="BD369" i="16"/>
  <c r="AF372" i="16"/>
  <c r="AM106" i="38"/>
  <c r="AN103" i="16"/>
  <c r="AG110" i="16"/>
  <c r="AJ369" i="16"/>
  <c r="AJ374" i="16"/>
  <c r="BQ112" i="16"/>
  <c r="T103" i="16"/>
  <c r="BI102" i="16"/>
  <c r="AZ110" i="16"/>
  <c r="AV94" i="16"/>
  <c r="AW110" i="16"/>
  <c r="BG372" i="16"/>
  <c r="V372" i="16"/>
  <c r="GC15" i="5"/>
  <c r="AH10" i="19"/>
  <c r="AC10" i="38"/>
  <c r="AF10" i="38" s="1"/>
  <c r="GN15" i="5"/>
  <c r="M66" i="34"/>
  <c r="AM72" i="38"/>
  <c r="AF72" i="38" s="1"/>
  <c r="M68" i="34"/>
  <c r="F71" i="45"/>
  <c r="AF71" i="45" s="1"/>
  <c r="AN372" i="16"/>
  <c r="M72" i="34"/>
  <c r="AT372" i="16"/>
  <c r="BB372" i="16"/>
  <c r="AP372" i="16"/>
  <c r="M71" i="34"/>
  <c r="Y372" i="16"/>
  <c r="M70" i="34"/>
  <c r="AM69" i="38"/>
  <c r="AF69" i="38" s="1"/>
  <c r="M69" i="34"/>
  <c r="AM71" i="38"/>
  <c r="AA110" i="16"/>
  <c r="AM67" i="38"/>
  <c r="AF67" i="38" s="1"/>
  <c r="F73" i="45"/>
  <c r="AF73" i="45" s="1"/>
  <c r="F69" i="45"/>
  <c r="AF69" i="45" s="1"/>
  <c r="AC372" i="16"/>
  <c r="AM372" i="16"/>
  <c r="AM73" i="38"/>
  <c r="AF73" i="38" s="1"/>
  <c r="AD42" i="38"/>
  <c r="AE42" i="38"/>
  <c r="AF42" i="38"/>
  <c r="X372" i="16"/>
  <c r="BC372" i="16"/>
  <c r="AM8" i="38" l="1"/>
  <c r="AF8" i="38" s="1"/>
  <c r="W8" i="19"/>
  <c r="AJ8" i="19" s="1"/>
  <c r="X16" i="15"/>
  <c r="X25" i="15" s="1"/>
  <c r="X87" i="14"/>
  <c r="X88" i="14" s="1"/>
  <c r="X76" i="14"/>
  <c r="X85" i="14"/>
  <c r="M20" i="34"/>
  <c r="ED18" i="22"/>
  <c r="CC83" i="28" s="1"/>
  <c r="T87" i="14"/>
  <c r="T88" i="14" s="1"/>
  <c r="T85" i="14"/>
  <c r="T76" i="14"/>
  <c r="BX70" i="14"/>
  <c r="BD87" i="14"/>
  <c r="BD88" i="14"/>
  <c r="BD76" i="14"/>
  <c r="BD85" i="14"/>
  <c r="AR87" i="14"/>
  <c r="AR76" i="14"/>
  <c r="AR88" i="14"/>
  <c r="AR85" i="14"/>
  <c r="AN87" i="14"/>
  <c r="AN85" i="14"/>
  <c r="AN76" i="14"/>
  <c r="AN88" i="14"/>
  <c r="CX22" i="22"/>
  <c r="AZ88" i="14"/>
  <c r="AZ76" i="14"/>
  <c r="AZ87" i="14"/>
  <c r="AZ85" i="14"/>
  <c r="BI243" i="12"/>
  <c r="K100" i="13" s="1"/>
  <c r="T111" i="14"/>
  <c r="T113" i="14" s="1"/>
  <c r="BI244" i="12"/>
  <c r="EP19" i="22" s="1"/>
  <c r="AL115" i="14"/>
  <c r="AL114" i="14"/>
  <c r="AO115" i="14"/>
  <c r="AO114" i="14"/>
  <c r="AI115" i="14"/>
  <c r="AI114" i="14"/>
  <c r="AS114" i="14"/>
  <c r="AS115" i="14"/>
  <c r="BB114" i="14"/>
  <c r="BB115" i="14"/>
  <c r="L28" i="34"/>
  <c r="EK19" i="22"/>
  <c r="L8" i="34" s="1"/>
  <c r="L69" i="34"/>
  <c r="L24" i="34"/>
  <c r="L54" i="34"/>
  <c r="L63" i="34"/>
  <c r="L86" i="34"/>
  <c r="L66" i="34"/>
  <c r="L44" i="34"/>
  <c r="L102" i="34"/>
  <c r="BU111" i="14"/>
  <c r="BU113" i="14" s="1"/>
  <c r="AZ113" i="14"/>
  <c r="BG114" i="14"/>
  <c r="BG115" i="14"/>
  <c r="AT115" i="14"/>
  <c r="AT114" i="14"/>
  <c r="AC115" i="14"/>
  <c r="AC114" i="14"/>
  <c r="AA114" i="14"/>
  <c r="AA115" i="14"/>
  <c r="L61" i="34"/>
  <c r="L38" i="34"/>
  <c r="L37" i="34"/>
  <c r="L47" i="34"/>
  <c r="L95" i="34"/>
  <c r="L87" i="34"/>
  <c r="L104" i="34"/>
  <c r="L62" i="34"/>
  <c r="Z114" i="14"/>
  <c r="Z115" i="14"/>
  <c r="Y114" i="14"/>
  <c r="Y115" i="14"/>
  <c r="V114" i="14"/>
  <c r="V115" i="14"/>
  <c r="AH115" i="14"/>
  <c r="AH114" i="14"/>
  <c r="AU114" i="14"/>
  <c r="AU115" i="14"/>
  <c r="L35" i="34"/>
  <c r="L39" i="34"/>
  <c r="L57" i="34"/>
  <c r="L100" i="34"/>
  <c r="L18" i="34"/>
  <c r="L85" i="34"/>
  <c r="L50" i="34"/>
  <c r="L97" i="34"/>
  <c r="L70" i="34"/>
  <c r="L45" i="34"/>
  <c r="L98" i="34"/>
  <c r="L60" i="34"/>
  <c r="L30" i="34"/>
  <c r="L23" i="34"/>
  <c r="AD114" i="14"/>
  <c r="AD115" i="14"/>
  <c r="BC115" i="14"/>
  <c r="BC114" i="14"/>
  <c r="BN111" i="14"/>
  <c r="BN113" i="14" s="1"/>
  <c r="X113" i="14"/>
  <c r="BS111" i="14"/>
  <c r="BS113" i="14" s="1"/>
  <c r="AR113" i="14"/>
  <c r="BF114" i="14"/>
  <c r="BF115" i="14"/>
  <c r="L16" i="34"/>
  <c r="L55" i="34"/>
  <c r="L71" i="34"/>
  <c r="L68" i="34"/>
  <c r="L88" i="34"/>
  <c r="L82" i="34"/>
  <c r="L73" i="34"/>
  <c r="L78" i="34"/>
  <c r="L20" i="34"/>
  <c r="AC8" i="19"/>
  <c r="E14" i="42"/>
  <c r="E11" i="42"/>
  <c r="E12" i="42"/>
  <c r="E13" i="42"/>
  <c r="E15" i="42"/>
  <c r="E10" i="42"/>
  <c r="BE115" i="14"/>
  <c r="BE114" i="14"/>
  <c r="AM114" i="14"/>
  <c r="AM115" i="14"/>
  <c r="BO111" i="14"/>
  <c r="BO113" i="14" s="1"/>
  <c r="AB113" i="14"/>
  <c r="BT111" i="14"/>
  <c r="BT113" i="14" s="1"/>
  <c r="AV113" i="14"/>
  <c r="AX115" i="14"/>
  <c r="AX114" i="14"/>
  <c r="L67" i="34"/>
  <c r="L48" i="34"/>
  <c r="L93" i="34"/>
  <c r="L101" i="34"/>
  <c r="L89" i="34"/>
  <c r="L75" i="34"/>
  <c r="L65" i="34"/>
  <c r="L84" i="34"/>
  <c r="L25" i="34"/>
  <c r="L99" i="34"/>
  <c r="L11" i="34"/>
  <c r="BP111" i="14"/>
  <c r="BP113" i="14" s="1"/>
  <c r="AF113" i="14"/>
  <c r="BV111" i="14"/>
  <c r="BV113" i="14" s="1"/>
  <c r="BD113" i="14"/>
  <c r="W114" i="14"/>
  <c r="W115" i="14"/>
  <c r="BQ111" i="14"/>
  <c r="BQ113" i="14" s="1"/>
  <c r="AJ113" i="14"/>
  <c r="U113" i="14"/>
  <c r="L74" i="34"/>
  <c r="L92" i="34"/>
  <c r="L15" i="34"/>
  <c r="L43" i="34"/>
  <c r="L49" i="34"/>
  <c r="L103" i="34"/>
  <c r="L53" i="34"/>
  <c r="L36" i="34"/>
  <c r="L12" i="34"/>
  <c r="L64" i="34"/>
  <c r="L81" i="34"/>
  <c r="L26" i="34"/>
  <c r="L76" i="34"/>
  <c r="AG114" i="14"/>
  <c r="AG115" i="14"/>
  <c r="AQ114" i="14"/>
  <c r="AQ115" i="14"/>
  <c r="AW115" i="14"/>
  <c r="AW114" i="14"/>
  <c r="AP115" i="14"/>
  <c r="AP114" i="14"/>
  <c r="AY115" i="14"/>
  <c r="AY114" i="14"/>
  <c r="L59" i="34"/>
  <c r="L13" i="34"/>
  <c r="EK18" i="22"/>
  <c r="L7" i="34" s="1"/>
  <c r="L94" i="34"/>
  <c r="L83" i="34"/>
  <c r="L80" i="34"/>
  <c r="L22" i="34"/>
  <c r="L96" i="34"/>
  <c r="L77" i="34"/>
  <c r="L19" i="34"/>
  <c r="L46" i="34"/>
  <c r="L79" i="34"/>
  <c r="L52" i="34"/>
  <c r="L31" i="34"/>
  <c r="L91" i="34"/>
  <c r="L42" i="34"/>
  <c r="L56" i="34"/>
  <c r="L14" i="34"/>
  <c r="L106" i="34"/>
  <c r="L10" i="34"/>
  <c r="AE114" i="14"/>
  <c r="AE115" i="14"/>
  <c r="DA20" i="22"/>
  <c r="AM10" i="19" s="1"/>
  <c r="AO10" i="19" s="1"/>
  <c r="EP20" i="22"/>
  <c r="ER20" i="22" s="1"/>
  <c r="BA115" i="14"/>
  <c r="BA114" i="14"/>
  <c r="BR111" i="14"/>
  <c r="BR113" i="14" s="1"/>
  <c r="AN113" i="14"/>
  <c r="AK115" i="14"/>
  <c r="AK114" i="14"/>
  <c r="L58" i="34"/>
  <c r="L34" i="34"/>
  <c r="L33" i="34"/>
  <c r="L40" i="34"/>
  <c r="L41" i="34"/>
  <c r="L17" i="34"/>
  <c r="L21" i="34"/>
  <c r="L72" i="34"/>
  <c r="L27" i="34"/>
  <c r="L51" i="34"/>
  <c r="L32" i="34"/>
  <c r="L90" i="34"/>
  <c r="F67" i="45"/>
  <c r="AF67" i="45" s="1"/>
  <c r="F68" i="45"/>
  <c r="AF68" i="45" s="1"/>
  <c r="F70" i="45"/>
  <c r="AF70" i="45" s="1"/>
  <c r="F72" i="45"/>
  <c r="AF72" i="45" s="1"/>
  <c r="BD386" i="12"/>
  <c r="BD145" i="16" s="1"/>
  <c r="U386" i="12"/>
  <c r="U145" i="16" s="1"/>
  <c r="AJ386" i="12"/>
  <c r="AJ145" i="16" s="1"/>
  <c r="V386" i="12"/>
  <c r="V145" i="16" s="1"/>
  <c r="BB386" i="12"/>
  <c r="BB145" i="16" s="1"/>
  <c r="AE386" i="12"/>
  <c r="AE145" i="16" s="1"/>
  <c r="AX386" i="12"/>
  <c r="AX145" i="16" s="1"/>
  <c r="AU386" i="12"/>
  <c r="AU145" i="16" s="1"/>
  <c r="AI386" i="12"/>
  <c r="AI145" i="16" s="1"/>
  <c r="AF386" i="12"/>
  <c r="AF145" i="16" s="1"/>
  <c r="AM386" i="12"/>
  <c r="AM145" i="16" s="1"/>
  <c r="AR386" i="12"/>
  <c r="AR145" i="16" s="1"/>
  <c r="AH386" i="12"/>
  <c r="AH145" i="16" s="1"/>
  <c r="AG386" i="12"/>
  <c r="AG145" i="16" s="1"/>
  <c r="AB386" i="12"/>
  <c r="AB145" i="16" s="1"/>
  <c r="W386" i="12"/>
  <c r="W145" i="16" s="1"/>
  <c r="BE386" i="12"/>
  <c r="BE145" i="16" s="1"/>
  <c r="AW386" i="12"/>
  <c r="AW145" i="16" s="1"/>
  <c r="AZ386" i="12"/>
  <c r="AZ145" i="16" s="1"/>
  <c r="AV386" i="12"/>
  <c r="AV145" i="16" s="1"/>
  <c r="BG386" i="12"/>
  <c r="BG145" i="16" s="1"/>
  <c r="AO386" i="12"/>
  <c r="AO145" i="16" s="1"/>
  <c r="Z386" i="12"/>
  <c r="Z145" i="16" s="1"/>
  <c r="AC386" i="12"/>
  <c r="AC145" i="16" s="1"/>
  <c r="BF386" i="12"/>
  <c r="BF145" i="16" s="1"/>
  <c r="X386" i="12"/>
  <c r="X145" i="16" s="1"/>
  <c r="Y386" i="12"/>
  <c r="Y145" i="16" s="1"/>
  <c r="AA386" i="12"/>
  <c r="AA145" i="16" s="1"/>
  <c r="AY386" i="12"/>
  <c r="AY145" i="16" s="1"/>
  <c r="AL386" i="12"/>
  <c r="AL145" i="16" s="1"/>
  <c r="BC386" i="12"/>
  <c r="BC145" i="16" s="1"/>
  <c r="AK386" i="12"/>
  <c r="AK145" i="16" s="1"/>
  <c r="AP386" i="12"/>
  <c r="AP145" i="16" s="1"/>
  <c r="AD386" i="12"/>
  <c r="AD145" i="16" s="1"/>
  <c r="BM132" i="16"/>
  <c r="BI132" i="16"/>
  <c r="T388" i="16"/>
  <c r="AI10" i="19"/>
  <c r="AJ10" i="19"/>
  <c r="BN110" i="16"/>
  <c r="AF71" i="38"/>
  <c r="AZ372" i="16"/>
  <c r="BU110" i="16"/>
  <c r="AG372" i="16"/>
  <c r="AO372" i="16"/>
  <c r="Z372" i="16"/>
  <c r="AW372" i="16"/>
  <c r="AR372" i="16"/>
  <c r="BS110" i="16"/>
  <c r="AD10" i="38"/>
  <c r="AE10" i="38"/>
  <c r="AL10" i="19"/>
  <c r="AA372" i="16"/>
  <c r="BI111" i="14" l="1"/>
  <c r="DA19" i="22"/>
  <c r="DN19" i="22" s="1"/>
  <c r="EP18" i="22"/>
  <c r="ER18" i="22" s="1"/>
  <c r="ES18" i="22" s="1"/>
  <c r="DA18" i="22"/>
  <c r="X27" i="15" s="1"/>
  <c r="AX116" i="14"/>
  <c r="AG116" i="14"/>
  <c r="BM111" i="14"/>
  <c r="BM113" i="14" s="1"/>
  <c r="AQ386" i="12"/>
  <c r="AQ145" i="16" s="1"/>
  <c r="AN386" i="12"/>
  <c r="AN145" i="16" s="1"/>
  <c r="O21" i="45"/>
  <c r="AO21" i="45" s="1"/>
  <c r="O8" i="45"/>
  <c r="AO8" i="45" s="1"/>
  <c r="M7" i="34"/>
  <c r="AT386" i="12"/>
  <c r="AT145" i="16" s="1"/>
  <c r="AS386" i="12"/>
  <c r="AS145" i="16" s="1"/>
  <c r="BA386" i="12"/>
  <c r="BA145" i="16" s="1"/>
  <c r="BU145" i="16" s="1"/>
  <c r="AS116" i="14"/>
  <c r="AL116" i="14"/>
  <c r="AY116" i="14"/>
  <c r="AK116" i="14"/>
  <c r="AD116" i="14"/>
  <c r="AH116" i="14"/>
  <c r="P68" i="45"/>
  <c r="AP68" i="45" s="1"/>
  <c r="P72" i="45"/>
  <c r="AP72" i="45" s="1"/>
  <c r="P50" i="45"/>
  <c r="AP50" i="45" s="1"/>
  <c r="N89" i="34"/>
  <c r="N57" i="34"/>
  <c r="N82" i="34"/>
  <c r="N24" i="34"/>
  <c r="N86" i="34"/>
  <c r="N85" i="34"/>
  <c r="N23" i="34"/>
  <c r="N99" i="34"/>
  <c r="N65" i="34"/>
  <c r="N59" i="34"/>
  <c r="N100" i="34"/>
  <c r="N81" i="34"/>
  <c r="N54" i="34"/>
  <c r="N12" i="34"/>
  <c r="N25" i="34"/>
  <c r="BC116" i="14"/>
  <c r="Z116" i="14"/>
  <c r="BB116" i="14"/>
  <c r="N72" i="34"/>
  <c r="N70" i="34"/>
  <c r="N93" i="34"/>
  <c r="N18" i="34"/>
  <c r="N28" i="34"/>
  <c r="N77" i="34"/>
  <c r="N87" i="34"/>
  <c r="N90" i="34"/>
  <c r="N83" i="34"/>
  <c r="N22" i="34"/>
  <c r="N95" i="34"/>
  <c r="N26" i="34"/>
  <c r="N102" i="34"/>
  <c r="AP116" i="14"/>
  <c r="N101" i="34"/>
  <c r="N43" i="34"/>
  <c r="P90" i="45"/>
  <c r="AP90" i="45" s="1"/>
  <c r="N42" i="34"/>
  <c r="N84" i="34"/>
  <c r="N32" i="34"/>
  <c r="N73" i="34"/>
  <c r="N11" i="34"/>
  <c r="E16" i="42"/>
  <c r="N75" i="34"/>
  <c r="AM8" i="19"/>
  <c r="AO8" i="19" s="1"/>
  <c r="N49" i="34"/>
  <c r="N92" i="34"/>
  <c r="N47" i="34"/>
  <c r="N46" i="34"/>
  <c r="N21" i="34"/>
  <c r="N29" i="34"/>
  <c r="N63" i="34"/>
  <c r="N60" i="34"/>
  <c r="N17" i="34"/>
  <c r="N97" i="34"/>
  <c r="N78" i="34"/>
  <c r="T114" i="14"/>
  <c r="T115" i="14"/>
  <c r="N91" i="34"/>
  <c r="N74" i="34"/>
  <c r="N96" i="34"/>
  <c r="N76" i="34"/>
  <c r="N50" i="34"/>
  <c r="N51" i="34"/>
  <c r="AI116" i="14"/>
  <c r="N55" i="34"/>
  <c r="N44" i="34"/>
  <c r="N80" i="34"/>
  <c r="N48" i="34"/>
  <c r="N61" i="34"/>
  <c r="N13" i="34"/>
  <c r="N56" i="34"/>
  <c r="N52" i="34"/>
  <c r="N88" i="34"/>
  <c r="N20" i="34"/>
  <c r="N19" i="34"/>
  <c r="N37" i="34"/>
  <c r="N58" i="34"/>
  <c r="N39" i="34"/>
  <c r="ES20" i="22"/>
  <c r="ET20" i="22"/>
  <c r="P49" i="45"/>
  <c r="AP49" i="45" s="1"/>
  <c r="N94" i="34"/>
  <c r="N103" i="34"/>
  <c r="N14" i="34"/>
  <c r="N79" i="34"/>
  <c r="N64" i="34"/>
  <c r="N10" i="34"/>
  <c r="N98" i="34"/>
  <c r="AQ116" i="14"/>
  <c r="AM116" i="14"/>
  <c r="AE116" i="14"/>
  <c r="Y116" i="14"/>
  <c r="AW116" i="14"/>
  <c r="AA116" i="14"/>
  <c r="V116" i="14"/>
  <c r="AC116" i="14"/>
  <c r="AN115" i="14"/>
  <c r="BR115" i="14" s="1"/>
  <c r="AN114" i="14"/>
  <c r="DN20" i="22"/>
  <c r="DO20" i="22" s="1"/>
  <c r="N9" i="34" s="1"/>
  <c r="N62" i="34"/>
  <c r="N104" i="34"/>
  <c r="BG116" i="14"/>
  <c r="N15" i="34"/>
  <c r="BD114" i="14"/>
  <c r="BV114" i="14" s="1"/>
  <c r="BV116" i="14" s="1"/>
  <c r="BD115" i="14"/>
  <c r="AR115" i="14"/>
  <c r="BS115" i="14" s="1"/>
  <c r="AR114" i="14"/>
  <c r="BA116" i="14"/>
  <c r="U114" i="14"/>
  <c r="U115" i="14"/>
  <c r="BI113" i="14"/>
  <c r="AZ115" i="14"/>
  <c r="BU115" i="14" s="1"/>
  <c r="AZ114" i="14"/>
  <c r="BU114" i="14" s="1"/>
  <c r="BU116" i="14" s="1"/>
  <c r="AF115" i="14"/>
  <c r="BP115" i="14" s="1"/>
  <c r="AF114" i="14"/>
  <c r="BP114" i="14" s="1"/>
  <c r="BP116" i="14" s="1"/>
  <c r="X115" i="14"/>
  <c r="BN115" i="14" s="1"/>
  <c r="X114" i="14"/>
  <c r="BN114" i="14" s="1"/>
  <c r="BN116" i="14" s="1"/>
  <c r="DN18" i="22"/>
  <c r="DO18" i="22" s="1"/>
  <c r="N7" i="34" s="1"/>
  <c r="N38" i="34"/>
  <c r="BX111" i="14"/>
  <c r="BE116" i="14"/>
  <c r="AU116" i="14"/>
  <c r="N41" i="34"/>
  <c r="AJ115" i="14"/>
  <c r="BQ115" i="14" s="1"/>
  <c r="AJ114" i="14"/>
  <c r="AV115" i="14"/>
  <c r="BT115" i="14" s="1"/>
  <c r="AV114" i="14"/>
  <c r="BT114" i="14" s="1"/>
  <c r="BT116" i="14" s="1"/>
  <c r="N35" i="34"/>
  <c r="N34" i="34"/>
  <c r="N16" i="34"/>
  <c r="AT116" i="14"/>
  <c r="N27" i="34"/>
  <c r="W116" i="14"/>
  <c r="AB115" i="14"/>
  <c r="BO115" i="14" s="1"/>
  <c r="AB114" i="14"/>
  <c r="BF116" i="14"/>
  <c r="AO116" i="14"/>
  <c r="BX132" i="16"/>
  <c r="BP145" i="16"/>
  <c r="BO145" i="16"/>
  <c r="P69" i="45"/>
  <c r="AP69" i="45" s="1"/>
  <c r="BQ145" i="16"/>
  <c r="BN145" i="16"/>
  <c r="BT145" i="16"/>
  <c r="BV145" i="16"/>
  <c r="T386" i="12"/>
  <c r="T145" i="16" s="1"/>
  <c r="L105" i="34"/>
  <c r="L107" i="34" s="1"/>
  <c r="EK22" i="22"/>
  <c r="AC12" i="19"/>
  <c r="CY22" i="22"/>
  <c r="P71" i="45"/>
  <c r="AP71" i="45" s="1"/>
  <c r="P70" i="45"/>
  <c r="AP70" i="45" s="1"/>
  <c r="N68" i="34"/>
  <c r="AM9" i="19" l="1"/>
  <c r="ET18" i="22"/>
  <c r="EU18" i="22" s="1"/>
  <c r="P8" i="45" s="1"/>
  <c r="AP8" i="45" s="1"/>
  <c r="BS145" i="16"/>
  <c r="BR145" i="16"/>
  <c r="P67" i="45"/>
  <c r="AP67" i="45" s="1"/>
  <c r="P85" i="45"/>
  <c r="AP85" i="45" s="1"/>
  <c r="P19" i="45"/>
  <c r="AP19" i="45" s="1"/>
  <c r="P73" i="45"/>
  <c r="AP73" i="45" s="1"/>
  <c r="N45" i="34"/>
  <c r="O47" i="34"/>
  <c r="N30" i="34"/>
  <c r="N31" i="34"/>
  <c r="O87" i="34"/>
  <c r="EU20" i="22"/>
  <c r="P10" i="45" s="1"/>
  <c r="AP10" i="45" s="1"/>
  <c r="P105" i="45"/>
  <c r="AP105" i="45" s="1"/>
  <c r="P77" i="45"/>
  <c r="AP77" i="45" s="1"/>
  <c r="P66" i="45"/>
  <c r="AP66" i="45" s="1"/>
  <c r="P13" i="45"/>
  <c r="AP13" i="45" s="1"/>
  <c r="P95" i="45"/>
  <c r="AP95" i="45" s="1"/>
  <c r="P40" i="45"/>
  <c r="AP40" i="45" s="1"/>
  <c r="O25" i="34"/>
  <c r="P54" i="45"/>
  <c r="AP54" i="45" s="1"/>
  <c r="P52" i="45"/>
  <c r="AP52" i="45" s="1"/>
  <c r="P76" i="45"/>
  <c r="AP76" i="45" s="1"/>
  <c r="O103" i="34"/>
  <c r="O84" i="34"/>
  <c r="O18" i="34"/>
  <c r="P96" i="45"/>
  <c r="AP96" i="45" s="1"/>
  <c r="O30" i="34"/>
  <c r="P24" i="45"/>
  <c r="AP24" i="45" s="1"/>
  <c r="P34" i="45"/>
  <c r="AP34" i="45" s="1"/>
  <c r="P83" i="45"/>
  <c r="AP83" i="45" s="1"/>
  <c r="P38" i="45"/>
  <c r="AP38" i="45" s="1"/>
  <c r="P29" i="45"/>
  <c r="AP29" i="45" s="1"/>
  <c r="N53" i="34"/>
  <c r="O65" i="34"/>
  <c r="O57" i="34"/>
  <c r="P100" i="45"/>
  <c r="AP100" i="45" s="1"/>
  <c r="P31" i="45"/>
  <c r="AP31" i="45" s="1"/>
  <c r="O56" i="34"/>
  <c r="O80" i="34"/>
  <c r="O17" i="34"/>
  <c r="O42" i="34"/>
  <c r="P65" i="45"/>
  <c r="AP65" i="45" s="1"/>
  <c r="P27" i="45"/>
  <c r="AP27" i="45" s="1"/>
  <c r="P87" i="45"/>
  <c r="AP87" i="45" s="1"/>
  <c r="P59" i="45"/>
  <c r="AP59" i="45" s="1"/>
  <c r="O46" i="34"/>
  <c r="O95" i="34"/>
  <c r="P32" i="45"/>
  <c r="AP32" i="45" s="1"/>
  <c r="P48" i="45"/>
  <c r="AP48" i="45" s="1"/>
  <c r="O22" i="34"/>
  <c r="P23" i="45"/>
  <c r="AP23" i="45" s="1"/>
  <c r="P101" i="45"/>
  <c r="AP101" i="45" s="1"/>
  <c r="P61" i="45"/>
  <c r="AP61" i="45" s="1"/>
  <c r="P60" i="45"/>
  <c r="AP60" i="45" s="1"/>
  <c r="O27" i="34"/>
  <c r="P20" i="45"/>
  <c r="AP20" i="45" s="1"/>
  <c r="O64" i="34"/>
  <c r="O61" i="34"/>
  <c r="O74" i="34"/>
  <c r="O32" i="34"/>
  <c r="O99" i="34"/>
  <c r="P42" i="45"/>
  <c r="AP42" i="45" s="1"/>
  <c r="P88" i="45"/>
  <c r="AP88" i="45" s="1"/>
  <c r="P26" i="45"/>
  <c r="AP26" i="45" s="1"/>
  <c r="P25" i="45"/>
  <c r="AP25" i="45" s="1"/>
  <c r="P36" i="45"/>
  <c r="AP36" i="45" s="1"/>
  <c r="P14" i="45"/>
  <c r="AP14" i="45" s="1"/>
  <c r="P11" i="45"/>
  <c r="AP11" i="45" s="1"/>
  <c r="O82" i="34"/>
  <c r="O77" i="34"/>
  <c r="P78" i="45"/>
  <c r="AP78" i="45" s="1"/>
  <c r="P28" i="45"/>
  <c r="AP28" i="45" s="1"/>
  <c r="P103" i="45"/>
  <c r="AP103" i="45" s="1"/>
  <c r="O97" i="34"/>
  <c r="O102" i="34"/>
  <c r="O83" i="34"/>
  <c r="O54" i="34"/>
  <c r="P43" i="45"/>
  <c r="AP43" i="45" s="1"/>
  <c r="P82" i="45"/>
  <c r="AP82" i="45" s="1"/>
  <c r="P94" i="45"/>
  <c r="AP94" i="45" s="1"/>
  <c r="P102" i="45"/>
  <c r="AP102" i="45" s="1"/>
  <c r="P80" i="45"/>
  <c r="AP80" i="45" s="1"/>
  <c r="P86" i="45"/>
  <c r="AP86" i="45" s="1"/>
  <c r="O26" i="34"/>
  <c r="P91" i="45"/>
  <c r="AP91" i="45" s="1"/>
  <c r="P55" i="45"/>
  <c r="AP55" i="45" s="1"/>
  <c r="P15" i="45"/>
  <c r="AP15" i="45" s="1"/>
  <c r="P33" i="45"/>
  <c r="AP33" i="45" s="1"/>
  <c r="P92" i="45"/>
  <c r="AP92" i="45" s="1"/>
  <c r="P16" i="45"/>
  <c r="AP16" i="45" s="1"/>
  <c r="O60" i="34"/>
  <c r="O43" i="34"/>
  <c r="O24" i="34"/>
  <c r="O89" i="34"/>
  <c r="P79" i="45"/>
  <c r="AP79" i="45" s="1"/>
  <c r="P104" i="45"/>
  <c r="AP104" i="45" s="1"/>
  <c r="P44" i="45"/>
  <c r="AP44" i="45" s="1"/>
  <c r="P56" i="45"/>
  <c r="AP56" i="45" s="1"/>
  <c r="O10" i="34"/>
  <c r="O39" i="34"/>
  <c r="O20" i="34"/>
  <c r="O76" i="34"/>
  <c r="O73" i="34"/>
  <c r="O28" i="34"/>
  <c r="O45" i="34"/>
  <c r="O59" i="34"/>
  <c r="O23" i="34"/>
  <c r="P84" i="45"/>
  <c r="AP84" i="45" s="1"/>
  <c r="P98" i="45"/>
  <c r="AP98" i="45" s="1"/>
  <c r="P12" i="45"/>
  <c r="AP12" i="45" s="1"/>
  <c r="P47" i="45"/>
  <c r="AP47" i="45" s="1"/>
  <c r="P51" i="45"/>
  <c r="AP51" i="45" s="1"/>
  <c r="O53" i="34"/>
  <c r="O58" i="34"/>
  <c r="O88" i="34"/>
  <c r="O44" i="34"/>
  <c r="O96" i="34"/>
  <c r="O29" i="34"/>
  <c r="O90" i="34"/>
  <c r="O12" i="34"/>
  <c r="O81" i="34"/>
  <c r="O85" i="34"/>
  <c r="P18" i="45"/>
  <c r="AP18" i="45" s="1"/>
  <c r="P62" i="45"/>
  <c r="AP62" i="45" s="1"/>
  <c r="P64" i="45"/>
  <c r="AP64" i="45" s="1"/>
  <c r="O94" i="34"/>
  <c r="O101" i="34"/>
  <c r="P35" i="45"/>
  <c r="AP35" i="45" s="1"/>
  <c r="P22" i="45"/>
  <c r="AP22" i="45" s="1"/>
  <c r="P30" i="45"/>
  <c r="AP30" i="45" s="1"/>
  <c r="O79" i="34"/>
  <c r="O37" i="34"/>
  <c r="O52" i="34"/>
  <c r="O55" i="34"/>
  <c r="O78" i="34"/>
  <c r="O21" i="34"/>
  <c r="O92" i="34"/>
  <c r="O93" i="34"/>
  <c r="O100" i="34"/>
  <c r="O86" i="34"/>
  <c r="P99" i="45"/>
  <c r="AP99" i="45" s="1"/>
  <c r="P74" i="45"/>
  <c r="AP74" i="45" s="1"/>
  <c r="P57" i="45"/>
  <c r="AP57" i="45" s="1"/>
  <c r="P63" i="45"/>
  <c r="AP63" i="45" s="1"/>
  <c r="P41" i="45"/>
  <c r="AP41" i="45" s="1"/>
  <c r="P75" i="45"/>
  <c r="AP75" i="45" s="1"/>
  <c r="P93" i="45"/>
  <c r="AP93" i="45" s="1"/>
  <c r="P53" i="45"/>
  <c r="AP53" i="45" s="1"/>
  <c r="O98" i="34"/>
  <c r="O19" i="34"/>
  <c r="O91" i="34"/>
  <c r="O49" i="34"/>
  <c r="O11" i="34"/>
  <c r="P97" i="45"/>
  <c r="AP97" i="45" s="1"/>
  <c r="P81" i="45"/>
  <c r="AP81" i="45" s="1"/>
  <c r="P89" i="45"/>
  <c r="AP89" i="45" s="1"/>
  <c r="P58" i="45"/>
  <c r="AP58" i="45" s="1"/>
  <c r="P45" i="45"/>
  <c r="AP45" i="45" s="1"/>
  <c r="P17" i="45"/>
  <c r="AP17" i="45" s="1"/>
  <c r="P21" i="45"/>
  <c r="AP21" i="45" s="1"/>
  <c r="N69" i="34"/>
  <c r="N71" i="34"/>
  <c r="O50" i="34"/>
  <c r="P39" i="45"/>
  <c r="AP39" i="45" s="1"/>
  <c r="N66" i="34"/>
  <c r="P46" i="45"/>
  <c r="AP46" i="45" s="1"/>
  <c r="O48" i="34"/>
  <c r="O13" i="34"/>
  <c r="O51" i="34"/>
  <c r="O75" i="34"/>
  <c r="O31" i="34"/>
  <c r="O63" i="34"/>
  <c r="N67" i="34"/>
  <c r="T116" i="14"/>
  <c r="N33" i="34"/>
  <c r="DR18" i="22"/>
  <c r="DQ18" i="22"/>
  <c r="U116" i="14"/>
  <c r="BM115" i="14"/>
  <c r="BI115" i="14"/>
  <c r="AJ116" i="14"/>
  <c r="BQ114" i="14"/>
  <c r="BQ116" i="14" s="1"/>
  <c r="BM114" i="14"/>
  <c r="BI114" i="14"/>
  <c r="AN116" i="14"/>
  <c r="BR114" i="14"/>
  <c r="BR116" i="14" s="1"/>
  <c r="X116" i="14"/>
  <c r="BD116" i="14"/>
  <c r="BV115" i="14"/>
  <c r="BX113" i="14"/>
  <c r="AZ116" i="14"/>
  <c r="AB116" i="14"/>
  <c r="BO114" i="14"/>
  <c r="BO116" i="14" s="1"/>
  <c r="N40" i="34"/>
  <c r="AV116" i="14"/>
  <c r="AF116" i="14"/>
  <c r="AR116" i="14"/>
  <c r="BS114" i="14"/>
  <c r="BS116" i="14" s="1"/>
  <c r="DQ20" i="22"/>
  <c r="DR20" i="22"/>
  <c r="BI145" i="16"/>
  <c r="BM145" i="16"/>
  <c r="O72" i="34"/>
  <c r="O70" i="34"/>
  <c r="O68" i="34"/>
  <c r="BX145" i="16" l="1"/>
  <c r="BX115" i="14"/>
  <c r="O34" i="34"/>
  <c r="O14" i="34"/>
  <c r="DS20" i="22"/>
  <c r="O67" i="34"/>
  <c r="O71" i="34"/>
  <c r="O15" i="34"/>
  <c r="O38" i="34"/>
  <c r="O35" i="34"/>
  <c r="O16" i="34"/>
  <c r="EP22" i="22"/>
  <c r="DS18" i="22"/>
  <c r="O66" i="34"/>
  <c r="O104" i="34"/>
  <c r="O33" i="34"/>
  <c r="O62" i="34"/>
  <c r="O41" i="34"/>
  <c r="O40" i="34"/>
  <c r="O69" i="34"/>
  <c r="BI116" i="14"/>
  <c r="BX114" i="14"/>
  <c r="BM116" i="14"/>
  <c r="BX116" i="14" s="1"/>
  <c r="DA22" i="22"/>
  <c r="AM12" i="19"/>
  <c r="O7" i="34" l="1"/>
  <c r="CD83" i="28"/>
  <c r="O9" i="34"/>
  <c r="CD82" i="28"/>
  <c r="DN22" i="22"/>
  <c r="E34" i="17" s="1"/>
  <c r="AT137" i="45" s="1"/>
  <c r="AZ137" i="45" s="1"/>
  <c r="P37" i="45"/>
  <c r="AP37" i="45" s="1"/>
  <c r="N36" i="34"/>
  <c r="BK116" i="14"/>
  <c r="O36" i="34" l="1"/>
  <c r="V372" i="12" l="1"/>
  <c r="V367" i="12"/>
  <c r="V113" i="16" s="1"/>
  <c r="V365" i="12"/>
  <c r="V348" i="12"/>
  <c r="V375" i="16" l="1"/>
  <c r="V111" i="16"/>
  <c r="V369" i="12"/>
  <c r="V370" i="12" s="1"/>
  <c r="V123" i="16"/>
  <c r="V373" i="16" l="1"/>
  <c r="V377" i="16" s="1"/>
  <c r="V115" i="16"/>
  <c r="J6" i="47" s="1"/>
  <c r="J7" i="47" s="1"/>
  <c r="V380" i="16"/>
  <c r="V116" i="16" l="1"/>
  <c r="H20" i="37"/>
  <c r="V118" i="16"/>
  <c r="Y365" i="12"/>
  <c r="Y367" i="12"/>
  <c r="Y113" i="16" s="1"/>
  <c r="Y372" i="12"/>
  <c r="Y123" i="16" s="1"/>
  <c r="Y348" i="12"/>
  <c r="H22" i="37" l="1"/>
  <c r="Y380" i="16"/>
  <c r="Y375" i="16"/>
  <c r="V119" i="16"/>
  <c r="V120" i="16"/>
  <c r="H21" i="37"/>
  <c r="Y111" i="16"/>
  <c r="Y369" i="12"/>
  <c r="Y370" i="12" s="1"/>
  <c r="Y373" i="16" l="1"/>
  <c r="Y377" i="16" s="1"/>
  <c r="Y115" i="16"/>
  <c r="M6" i="47" s="1"/>
  <c r="M7" i="47" s="1"/>
  <c r="H50" i="37"/>
  <c r="K20" i="37" l="1"/>
  <c r="Y118" i="16"/>
  <c r="Y116" i="16"/>
  <c r="K22" i="37" l="1"/>
  <c r="K21" i="37"/>
  <c r="Y119" i="16"/>
  <c r="Y120" i="16"/>
  <c r="AC365" i="12"/>
  <c r="AC372" i="12"/>
  <c r="AC123" i="16" s="1"/>
  <c r="AC380" i="16" s="1"/>
  <c r="AC367" i="12"/>
  <c r="AC113" i="16" s="1"/>
  <c r="AC375" i="16" s="1"/>
  <c r="AC111" i="16" l="1"/>
  <c r="K50" i="37"/>
  <c r="AD367" i="12"/>
  <c r="AD113" i="16" s="1"/>
  <c r="AD375" i="16" s="1"/>
  <c r="AD365" i="12"/>
  <c r="AD372" i="12"/>
  <c r="AD123" i="16" s="1"/>
  <c r="AD380" i="16" s="1"/>
  <c r="AD348" i="12"/>
  <c r="AD111" i="16" l="1"/>
  <c r="AD369" i="12"/>
  <c r="AD370" i="12" s="1"/>
  <c r="AC373" i="16"/>
  <c r="AC377" i="16" s="1"/>
  <c r="AC115" i="16"/>
  <c r="Q6" i="47" s="1"/>
  <c r="AE372" i="12"/>
  <c r="AE123" i="16" s="1"/>
  <c r="AE380" i="16" s="1"/>
  <c r="AE367" i="12"/>
  <c r="AE113" i="16" s="1"/>
  <c r="AE375" i="16" s="1"/>
  <c r="AE365" i="12"/>
  <c r="AE111" i="16" l="1"/>
  <c r="AD373" i="16"/>
  <c r="AD377" i="16" s="1"/>
  <c r="AD115" i="16"/>
  <c r="R6" i="47" s="1"/>
  <c r="R7" i="47" s="1"/>
  <c r="AE373" i="16" l="1"/>
  <c r="AD118" i="16"/>
  <c r="AD116" i="16"/>
  <c r="AG367" i="12"/>
  <c r="AG113" i="16" s="1"/>
  <c r="AG375" i="16" s="1"/>
  <c r="AG372" i="12"/>
  <c r="AG123" i="16" s="1"/>
  <c r="AG380" i="16" s="1"/>
  <c r="AG365" i="12"/>
  <c r="AG348" i="12"/>
  <c r="AD120" i="16" l="1"/>
  <c r="AD119" i="16"/>
  <c r="AG111" i="16"/>
  <c r="AG369" i="12"/>
  <c r="AG370" i="12" s="1"/>
  <c r="AH365" i="12"/>
  <c r="AH367" i="12"/>
  <c r="AH113" i="16" s="1"/>
  <c r="AH375" i="16" s="1"/>
  <c r="AH372" i="12"/>
  <c r="AH123" i="16" s="1"/>
  <c r="AH380" i="16" s="1"/>
  <c r="AH348" i="12"/>
  <c r="AH111" i="16" l="1"/>
  <c r="AG373" i="16"/>
  <c r="AG377" i="16" s="1"/>
  <c r="AG115" i="16"/>
  <c r="AI367" i="12"/>
  <c r="AI113" i="16" s="1"/>
  <c r="AI375" i="16" s="1"/>
  <c r="AI372" i="12"/>
  <c r="AI123" i="16" s="1"/>
  <c r="AI380" i="16" s="1"/>
  <c r="AI365" i="12"/>
  <c r="AI348" i="12"/>
  <c r="AI111" i="16" l="1"/>
  <c r="AI373" i="16" s="1"/>
  <c r="AG116" i="16"/>
  <c r="AG118" i="16"/>
  <c r="AH373" i="16"/>
  <c r="AH377" i="16" s="1"/>
  <c r="AH115" i="16"/>
  <c r="AJ367" i="12"/>
  <c r="AJ113" i="16" s="1"/>
  <c r="AJ365" i="12"/>
  <c r="AJ372" i="12"/>
  <c r="AJ123" i="16" s="1"/>
  <c r="AJ348" i="12"/>
  <c r="AJ111" i="16" l="1"/>
  <c r="AJ115" i="16" s="1"/>
  <c r="AJ369" i="12"/>
  <c r="AJ370" i="12" s="1"/>
  <c r="AG120" i="16"/>
  <c r="AG119" i="16"/>
  <c r="AJ380" i="16"/>
  <c r="AJ375" i="16"/>
  <c r="AK365" i="12"/>
  <c r="AK372" i="12"/>
  <c r="AK123" i="16" s="1"/>
  <c r="AK380" i="16" s="1"/>
  <c r="AK367" i="12"/>
  <c r="AK113" i="16" s="1"/>
  <c r="AK375" i="16" s="1"/>
  <c r="AJ373" i="16" l="1"/>
  <c r="AJ377" i="16" s="1"/>
  <c r="AK111" i="16"/>
  <c r="AJ116" i="16"/>
  <c r="AJ118" i="16"/>
  <c r="AL367" i="12"/>
  <c r="AL113" i="16" s="1"/>
  <c r="AL375" i="16" s="1"/>
  <c r="AL365" i="12"/>
  <c r="AL372" i="12"/>
  <c r="AL123" i="16" s="1"/>
  <c r="AL380" i="16" s="1"/>
  <c r="AL348" i="12"/>
  <c r="AL111" i="16" l="1"/>
  <c r="AL369" i="12"/>
  <c r="AL370" i="12" s="1"/>
  <c r="AK373" i="16"/>
  <c r="AK377" i="16" s="1"/>
  <c r="AK115" i="16"/>
  <c r="AJ119" i="16"/>
  <c r="AJ120" i="16"/>
  <c r="AM367" i="12"/>
  <c r="AM113" i="16" s="1"/>
  <c r="AM375" i="16" s="1"/>
  <c r="AM372" i="12"/>
  <c r="AM123" i="16" s="1"/>
  <c r="AM380" i="16" s="1"/>
  <c r="AM365" i="12"/>
  <c r="AM348" i="12"/>
  <c r="BQ113" i="16" l="1"/>
  <c r="BQ123" i="16"/>
  <c r="AM111" i="16"/>
  <c r="BQ111" i="16" s="1"/>
  <c r="AM369" i="12"/>
  <c r="AM370" i="12" s="1"/>
  <c r="AL373" i="16"/>
  <c r="AL377" i="16" s="1"/>
  <c r="AL115" i="16"/>
  <c r="AN367" i="12"/>
  <c r="AN113" i="16" s="1"/>
  <c r="AN365" i="12"/>
  <c r="AN372" i="12"/>
  <c r="AN123" i="16" s="1"/>
  <c r="AN380" i="16" s="1"/>
  <c r="AN111" i="16" l="1"/>
  <c r="AL116" i="16"/>
  <c r="AL118" i="16"/>
  <c r="AM373" i="16"/>
  <c r="AM377" i="16" s="1"/>
  <c r="AM115" i="16"/>
  <c r="BQ115" i="16" s="1"/>
  <c r="AA6" i="47" s="1"/>
  <c r="AO372" i="12"/>
  <c r="AO123" i="16" s="1"/>
  <c r="AO380" i="16" s="1"/>
  <c r="AO365" i="12"/>
  <c r="AO367" i="12"/>
  <c r="AO113" i="16" s="1"/>
  <c r="AO375" i="16" s="1"/>
  <c r="AO348" i="12"/>
  <c r="AN375" i="16"/>
  <c r="J20" i="18" l="1"/>
  <c r="AO111" i="16"/>
  <c r="AO369" i="12"/>
  <c r="AO370" i="12" s="1"/>
  <c r="AM116" i="16"/>
  <c r="AM118" i="16"/>
  <c r="AL119" i="16"/>
  <c r="AL120" i="16"/>
  <c r="AN373" i="16"/>
  <c r="AN377" i="16" s="1"/>
  <c r="AN115" i="16"/>
  <c r="AP367" i="12"/>
  <c r="AP113" i="16" s="1"/>
  <c r="AP375" i="16" s="1"/>
  <c r="AP365" i="12"/>
  <c r="AP372" i="12"/>
  <c r="AP123" i="16" s="1"/>
  <c r="AP380" i="16" s="1"/>
  <c r="AP348" i="12"/>
  <c r="AM120" i="16" l="1"/>
  <c r="AM119" i="16"/>
  <c r="AP111" i="16"/>
  <c r="AP369" i="12"/>
  <c r="AP370" i="12" s="1"/>
  <c r="AO373" i="16"/>
  <c r="AO377" i="16" s="1"/>
  <c r="AO115" i="16"/>
  <c r="AO118" i="16" l="1"/>
  <c r="AO116" i="16"/>
  <c r="AP373" i="16"/>
  <c r="AP377" i="16" s="1"/>
  <c r="AP115" i="16"/>
  <c r="AP118" i="16" l="1"/>
  <c r="AP116" i="16"/>
  <c r="AO119" i="16"/>
  <c r="AO120" i="16"/>
  <c r="AS365" i="12"/>
  <c r="AS372" i="12"/>
  <c r="AS123" i="16" s="1"/>
  <c r="AS380" i="16" s="1"/>
  <c r="AS367" i="12"/>
  <c r="AS113" i="16" s="1"/>
  <c r="AS375" i="16" s="1"/>
  <c r="AS348" i="12"/>
  <c r="AS111" i="16" l="1"/>
  <c r="AS369" i="12"/>
  <c r="AS370" i="12" s="1"/>
  <c r="AP120" i="16"/>
  <c r="AP119" i="16"/>
  <c r="AS373" i="16" l="1"/>
  <c r="AS377" i="16" s="1"/>
  <c r="AS115" i="16"/>
  <c r="AU367" i="12"/>
  <c r="AU113" i="16" s="1"/>
  <c r="AU375" i="16" s="1"/>
  <c r="AU372" i="12"/>
  <c r="AU123" i="16" s="1"/>
  <c r="AU365" i="12"/>
  <c r="AU348" i="12"/>
  <c r="AU111" i="16" l="1"/>
  <c r="AU369" i="12"/>
  <c r="AU370" i="12" s="1"/>
  <c r="AS118" i="16"/>
  <c r="AS116" i="16"/>
  <c r="AU380" i="16"/>
  <c r="AS120" i="16" l="1"/>
  <c r="AS119" i="16"/>
  <c r="AU373" i="16"/>
  <c r="AU377" i="16" s="1"/>
  <c r="AU115" i="16"/>
  <c r="AW365" i="12"/>
  <c r="AW367" i="12"/>
  <c r="AW113" i="16" s="1"/>
  <c r="AW375" i="16" s="1"/>
  <c r="AW372" i="12"/>
  <c r="AW123" i="16" s="1"/>
  <c r="AW380" i="16" s="1"/>
  <c r="AW348" i="12"/>
  <c r="AU118" i="16" l="1"/>
  <c r="AU116" i="16"/>
  <c r="AW111" i="16"/>
  <c r="AW369" i="12"/>
  <c r="AW370" i="12" s="1"/>
  <c r="AX372" i="12"/>
  <c r="AX123" i="16" s="1"/>
  <c r="AX380" i="16" s="1"/>
  <c r="AX365" i="12"/>
  <c r="AX367" i="12"/>
  <c r="AX113" i="16" s="1"/>
  <c r="AX375" i="16" s="1"/>
  <c r="AX348" i="12"/>
  <c r="AX111" i="16" l="1"/>
  <c r="AX373" i="16" s="1"/>
  <c r="AX377" i="16" s="1"/>
  <c r="AX369" i="12"/>
  <c r="AX370" i="12" s="1"/>
  <c r="AW373" i="16"/>
  <c r="AW377" i="16" s="1"/>
  <c r="AW115" i="16"/>
  <c r="AU120" i="16"/>
  <c r="AU119" i="16"/>
  <c r="AX115" i="16" l="1"/>
  <c r="AX116" i="16" s="1"/>
  <c r="AW118" i="16"/>
  <c r="AW116" i="16"/>
  <c r="AZ348" i="12"/>
  <c r="AZ365" i="12"/>
  <c r="AZ367" i="12"/>
  <c r="AZ113" i="16" s="1"/>
  <c r="AZ372" i="12"/>
  <c r="AZ123" i="16" s="1"/>
  <c r="AX118" i="16" l="1"/>
  <c r="AX120" i="16" s="1"/>
  <c r="AZ111" i="16"/>
  <c r="AZ115" i="16" s="1"/>
  <c r="AZ369" i="12"/>
  <c r="AZ370" i="12" s="1"/>
  <c r="AW119" i="16"/>
  <c r="AW120" i="16"/>
  <c r="AZ380" i="16"/>
  <c r="BA365" i="12"/>
  <c r="BA372" i="12"/>
  <c r="BA123" i="16" s="1"/>
  <c r="BA380" i="16" s="1"/>
  <c r="BA367" i="12"/>
  <c r="BA113" i="16" s="1"/>
  <c r="BA375" i="16" s="1"/>
  <c r="BA348" i="12"/>
  <c r="AZ375" i="16"/>
  <c r="AX119" i="16" l="1"/>
  <c r="AZ373" i="16"/>
  <c r="AZ377" i="16" s="1"/>
  <c r="BA111" i="16"/>
  <c r="BA369" i="12"/>
  <c r="BA370" i="12" s="1"/>
  <c r="AZ116" i="16"/>
  <c r="AZ118" i="16"/>
  <c r="BB365" i="12"/>
  <c r="BB367" i="12"/>
  <c r="BB113" i="16" s="1"/>
  <c r="BB375" i="16" s="1"/>
  <c r="BB372" i="12"/>
  <c r="BB123" i="16" s="1"/>
  <c r="BB380" i="16" s="1"/>
  <c r="BB348" i="12"/>
  <c r="AZ120" i="16" l="1"/>
  <c r="AZ119" i="16"/>
  <c r="BB111" i="16"/>
  <c r="BB369" i="12"/>
  <c r="BB370" i="12" s="1"/>
  <c r="BA373" i="16"/>
  <c r="BA377" i="16" s="1"/>
  <c r="BA115" i="16"/>
  <c r="BC367" i="12"/>
  <c r="BC113" i="16" s="1"/>
  <c r="BC375" i="16" s="1"/>
  <c r="BC372" i="12"/>
  <c r="BC123" i="16" s="1"/>
  <c r="BC380" i="16" s="1"/>
  <c r="BC365" i="12"/>
  <c r="BC348" i="12"/>
  <c r="BU113" i="16" l="1"/>
  <c r="BU123" i="16"/>
  <c r="BB373" i="16"/>
  <c r="BB377" i="16" s="1"/>
  <c r="BB115" i="16"/>
  <c r="BC111" i="16"/>
  <c r="BU111" i="16" s="1"/>
  <c r="BC369" i="12"/>
  <c r="BC370" i="12" s="1"/>
  <c r="BA116" i="16"/>
  <c r="BA118" i="16"/>
  <c r="BD372" i="12"/>
  <c r="BD123" i="16" s="1"/>
  <c r="BD367" i="12"/>
  <c r="BD113" i="16" s="1"/>
  <c r="BD365" i="12"/>
  <c r="BD348" i="12"/>
  <c r="BD111" i="16" l="1"/>
  <c r="BD115" i="16" s="1"/>
  <c r="BD369" i="12"/>
  <c r="BD370" i="12" s="1"/>
  <c r="BA119" i="16"/>
  <c r="BA120" i="16"/>
  <c r="BC373" i="16"/>
  <c r="BC377" i="16" s="1"/>
  <c r="BC115" i="16"/>
  <c r="BU115" i="16" s="1"/>
  <c r="BU116" i="16" s="1"/>
  <c r="BB118" i="16"/>
  <c r="BB116" i="16"/>
  <c r="BD380" i="16"/>
  <c r="BE372" i="12"/>
  <c r="BE123" i="16" s="1"/>
  <c r="BE380" i="16" s="1"/>
  <c r="BE365" i="12"/>
  <c r="BE367" i="12"/>
  <c r="BE113" i="16" s="1"/>
  <c r="BE375" i="16" s="1"/>
  <c r="BE348" i="12"/>
  <c r="BD375" i="16"/>
  <c r="BD373" i="16" l="1"/>
  <c r="BD377" i="16" s="1"/>
  <c r="BE111" i="16"/>
  <c r="BE369" i="12"/>
  <c r="BE370" i="12" s="1"/>
  <c r="BB120" i="16"/>
  <c r="BB119" i="16"/>
  <c r="BC118" i="16"/>
  <c r="BU118" i="16" s="1"/>
  <c r="BC116" i="16"/>
  <c r="BD116" i="16"/>
  <c r="BD118" i="16"/>
  <c r="BF367" i="12"/>
  <c r="BF113" i="16" s="1"/>
  <c r="BF375" i="16" s="1"/>
  <c r="BF365" i="12"/>
  <c r="BF372" i="12"/>
  <c r="BF123" i="16" s="1"/>
  <c r="BF380" i="16" s="1"/>
  <c r="BF348" i="12"/>
  <c r="BF111" i="16" l="1"/>
  <c r="BC120" i="16"/>
  <c r="BU120" i="16" s="1"/>
  <c r="BC119" i="16"/>
  <c r="BU119" i="16" s="1"/>
  <c r="BD119" i="16"/>
  <c r="BD120" i="16"/>
  <c r="BE373" i="16"/>
  <c r="BE377" i="16" s="1"/>
  <c r="BE115" i="16"/>
  <c r="BE116" i="16" l="1"/>
  <c r="BE118" i="16"/>
  <c r="BF373" i="16"/>
  <c r="BE120" i="16" l="1"/>
  <c r="BE119" i="16"/>
  <c r="I12" i="46" l="1"/>
  <c r="F17" i="46"/>
  <c r="H13" i="46"/>
  <c r="G14" i="46"/>
  <c r="G16" i="46"/>
  <c r="G15" i="46"/>
  <c r="F12" i="46"/>
  <c r="F14" i="46"/>
  <c r="I14" i="46"/>
  <c r="G17" i="46"/>
  <c r="F15" i="46"/>
  <c r="G13" i="46"/>
  <c r="G12" i="46"/>
  <c r="I17" i="46"/>
  <c r="H15" i="46"/>
  <c r="H12" i="46"/>
  <c r="I13" i="46"/>
  <c r="J13" i="46" s="1"/>
  <c r="F13" i="46"/>
  <c r="H16" i="46"/>
  <c r="H17" i="46"/>
  <c r="I15" i="46"/>
  <c r="H14" i="46"/>
  <c r="I16" i="46"/>
  <c r="F16" i="46"/>
  <c r="J16" i="46" l="1"/>
  <c r="J15" i="46"/>
  <c r="H18" i="46"/>
  <c r="P24" i="46" s="1"/>
  <c r="J14" i="46"/>
  <c r="J17" i="46"/>
  <c r="I18" i="46"/>
  <c r="J12" i="46"/>
  <c r="C38" i="39"/>
  <c r="X58" i="15"/>
  <c r="O59" i="15"/>
  <c r="O58" i="15"/>
  <c r="S58" i="15"/>
  <c r="U58" i="15"/>
  <c r="V58" i="15"/>
  <c r="T58" i="15"/>
  <c r="J17" i="36"/>
  <c r="J19" i="36" s="1"/>
  <c r="C58" i="15"/>
  <c r="I58" i="15"/>
  <c r="E58" i="15"/>
  <c r="K58" i="15"/>
  <c r="W58" i="15"/>
  <c r="J58" i="15"/>
  <c r="R58" i="15"/>
  <c r="G58" i="15"/>
  <c r="L58" i="15"/>
  <c r="N58" i="15"/>
  <c r="Q58" i="15"/>
  <c r="H58" i="15"/>
  <c r="F58" i="15"/>
  <c r="S60" i="15"/>
  <c r="J62" i="15"/>
  <c r="H65" i="15"/>
  <c r="X64" i="15"/>
  <c r="S63" i="15"/>
  <c r="Q60" i="15"/>
  <c r="R61" i="15"/>
  <c r="K65" i="15"/>
  <c r="H63" i="15"/>
  <c r="C65" i="15"/>
  <c r="V64" i="15"/>
  <c r="L63" i="15"/>
  <c r="N60" i="15"/>
  <c r="G64" i="15"/>
  <c r="N64" i="15"/>
  <c r="G66" i="15"/>
  <c r="I64" i="15"/>
  <c r="V65" i="15"/>
  <c r="V67" i="15"/>
  <c r="C60" i="15"/>
  <c r="U66" i="15"/>
  <c r="W67" i="15"/>
  <c r="J66" i="15"/>
  <c r="F59" i="15"/>
  <c r="H61" i="15"/>
  <c r="T59" i="15"/>
  <c r="O66" i="15"/>
  <c r="F64" i="15"/>
  <c r="G67" i="15"/>
  <c r="I59" i="15"/>
  <c r="E66" i="15"/>
  <c r="W60" i="15"/>
  <c r="W66" i="15"/>
  <c r="E65" i="15"/>
  <c r="C59" i="15"/>
  <c r="N62" i="15"/>
  <c r="E61" i="15"/>
  <c r="C62" i="15"/>
  <c r="W61" i="15"/>
  <c r="L62" i="15"/>
  <c r="J65" i="15"/>
  <c r="C66" i="15"/>
  <c r="V61" i="15"/>
  <c r="O60" i="15"/>
  <c r="R59" i="15"/>
  <c r="Q62" i="15"/>
  <c r="V63" i="15"/>
  <c r="Q61" i="15"/>
  <c r="H67" i="15"/>
  <c r="G59" i="15"/>
  <c r="H62" i="15"/>
  <c r="I66" i="15"/>
  <c r="Q63" i="15"/>
  <c r="T66" i="15"/>
  <c r="R66" i="15"/>
  <c r="K62" i="15"/>
  <c r="W64" i="15"/>
  <c r="G65" i="15"/>
  <c r="W62" i="15"/>
  <c r="X63" i="15"/>
  <c r="L61" i="15"/>
  <c r="U60" i="15"/>
  <c r="N61" i="15"/>
  <c r="N65" i="15"/>
  <c r="G60" i="15"/>
  <c r="V59" i="15"/>
  <c r="E63" i="15"/>
  <c r="K64" i="15"/>
  <c r="Q66" i="15"/>
  <c r="E60" i="15"/>
  <c r="S66" i="15"/>
  <c r="J64" i="15"/>
  <c r="S67" i="15"/>
  <c r="F65" i="15"/>
  <c r="K63" i="15"/>
  <c r="F67" i="15"/>
  <c r="U59" i="15"/>
  <c r="C67" i="15"/>
  <c r="G61" i="15"/>
  <c r="Q59" i="15"/>
  <c r="X65" i="15"/>
  <c r="T65" i="15"/>
  <c r="H64" i="15"/>
  <c r="W63" i="15"/>
  <c r="S65" i="15"/>
  <c r="T67" i="15"/>
  <c r="N66" i="15"/>
  <c r="I63" i="15"/>
  <c r="O65" i="15"/>
  <c r="X59" i="15"/>
  <c r="H59" i="15"/>
  <c r="L59" i="15"/>
  <c r="O62" i="15"/>
  <c r="J67" i="15"/>
  <c r="E62" i="15"/>
  <c r="O64" i="15"/>
  <c r="U65" i="15"/>
  <c r="O61" i="15"/>
  <c r="W59" i="15"/>
  <c r="C64" i="15"/>
  <c r="N63" i="15"/>
  <c r="X61" i="15"/>
  <c r="U63" i="15"/>
  <c r="R65" i="15"/>
  <c r="T61" i="15"/>
  <c r="O67" i="15"/>
  <c r="F66" i="15"/>
  <c r="X66" i="15"/>
  <c r="U67" i="15"/>
  <c r="S61" i="15"/>
  <c r="K59" i="15"/>
  <c r="J59" i="15"/>
  <c r="K67" i="15"/>
  <c r="Q67" i="15"/>
  <c r="K66" i="15"/>
  <c r="T63" i="15"/>
  <c r="N59" i="15"/>
  <c r="T64" i="15"/>
  <c r="C63" i="15"/>
  <c r="N67" i="15"/>
  <c r="F60" i="15"/>
  <c r="K61" i="15"/>
  <c r="O63" i="15"/>
  <c r="H66" i="15"/>
  <c r="X62" i="15"/>
  <c r="F63" i="15"/>
  <c r="R60" i="15"/>
  <c r="I62" i="15"/>
  <c r="R64" i="15"/>
  <c r="F61" i="15"/>
  <c r="Q64" i="15"/>
  <c r="C61" i="15"/>
  <c r="I61" i="15"/>
  <c r="L64" i="15"/>
  <c r="J63" i="15"/>
  <c r="I65" i="15"/>
  <c r="Q65" i="15"/>
  <c r="K60" i="15"/>
  <c r="F62" i="15"/>
  <c r="G62" i="15"/>
  <c r="E67" i="15"/>
  <c r="E59" i="15"/>
  <c r="H60" i="15"/>
  <c r="T60" i="15"/>
  <c r="I60" i="15"/>
  <c r="R63" i="15"/>
  <c r="S59" i="15"/>
  <c r="S64" i="15"/>
  <c r="U64" i="15"/>
  <c r="R67" i="15"/>
  <c r="V66" i="15"/>
  <c r="U61" i="15"/>
  <c r="U62" i="15"/>
  <c r="I67" i="15"/>
  <c r="R62" i="15"/>
  <c r="X67" i="15"/>
  <c r="J61" i="15"/>
  <c r="W65" i="15"/>
  <c r="G63" i="15"/>
  <c r="T62" i="15"/>
  <c r="X60" i="15"/>
  <c r="S62" i="15"/>
  <c r="E64" i="15"/>
  <c r="L60" i="15"/>
  <c r="L67" i="15"/>
  <c r="L66" i="15"/>
  <c r="V62" i="15"/>
  <c r="V60" i="15"/>
  <c r="J60" i="15"/>
  <c r="L65" i="15"/>
  <c r="AN120" i="7"/>
  <c r="P28" i="46" l="1"/>
  <c r="J18" i="46"/>
  <c r="P26" i="46"/>
  <c r="GO15" i="6"/>
  <c r="GO17" i="6"/>
  <c r="GO16" i="6"/>
  <c r="M59" i="15"/>
  <c r="P59" i="15" s="1"/>
  <c r="AU125" i="7"/>
  <c r="AI125" i="7"/>
  <c r="AG124" i="7"/>
  <c r="W125" i="7"/>
  <c r="Q25" i="39"/>
  <c r="P26" i="39" s="1"/>
  <c r="U25" i="39"/>
  <c r="T26" i="39" s="1"/>
  <c r="AZ124" i="7"/>
  <c r="AA125" i="7"/>
  <c r="AW124" i="7"/>
  <c r="AB124" i="7"/>
  <c r="AL125" i="7"/>
  <c r="X125" i="7"/>
  <c r="C40" i="39"/>
  <c r="M67" i="15"/>
  <c r="P67" i="15" s="1"/>
  <c r="M58" i="15"/>
  <c r="P58" i="15" s="1"/>
  <c r="M64" i="15"/>
  <c r="P64" i="15" s="1"/>
  <c r="AX140" i="10"/>
  <c r="V134" i="10"/>
  <c r="AO135" i="10"/>
  <c r="AY133" i="10"/>
  <c r="AB135" i="10"/>
  <c r="BF133" i="10"/>
  <c r="Z135" i="10"/>
  <c r="AC133" i="10"/>
  <c r="AY139" i="10"/>
  <c r="BD140" i="10"/>
  <c r="BB140" i="10"/>
  <c r="AF136" i="10"/>
  <c r="AZ134" i="10"/>
  <c r="AQ133" i="10"/>
  <c r="AI134" i="10"/>
  <c r="AR135" i="10"/>
  <c r="AN133" i="10"/>
  <c r="AN139" i="10"/>
  <c r="BC138" i="10"/>
  <c r="AD139" i="10"/>
  <c r="BD136" i="10"/>
  <c r="AR140" i="10"/>
  <c r="AY137" i="10"/>
  <c r="Y137" i="10"/>
  <c r="BC134" i="10"/>
  <c r="BA140" i="10"/>
  <c r="BG133" i="10"/>
  <c r="AE136" i="10"/>
  <c r="AJ135" i="10"/>
  <c r="Z133" i="10"/>
  <c r="AD135" i="10"/>
  <c r="BE140" i="10"/>
  <c r="AX133" i="10"/>
  <c r="AQ138" i="10"/>
  <c r="AB138" i="10"/>
  <c r="AP140" i="10"/>
  <c r="AI136" i="10"/>
  <c r="AE135" i="10"/>
  <c r="AU135" i="10"/>
  <c r="AP134" i="10"/>
  <c r="AS136" i="10"/>
  <c r="AA133" i="10"/>
  <c r="AV140" i="10"/>
  <c r="AP135" i="10"/>
  <c r="AX137" i="10"/>
  <c r="AD137" i="10"/>
  <c r="T136" i="10"/>
  <c r="AO134" i="10"/>
  <c r="AL134" i="10"/>
  <c r="T139" i="10"/>
  <c r="BD137" i="10"/>
  <c r="AC139" i="10"/>
  <c r="BF134" i="10"/>
  <c r="Z138" i="10"/>
  <c r="Y138" i="10"/>
  <c r="BC140" i="10"/>
  <c r="AO133" i="10"/>
  <c r="BB138" i="10"/>
  <c r="U136" i="10"/>
  <c r="X133" i="10"/>
  <c r="AR139" i="10"/>
  <c r="BE133" i="10"/>
  <c r="AX138" i="10"/>
  <c r="AV134" i="10"/>
  <c r="BG135" i="10"/>
  <c r="AW137" i="10"/>
  <c r="BE134" i="10"/>
  <c r="AM137" i="10"/>
  <c r="AU133" i="10"/>
  <c r="AU136" i="10"/>
  <c r="AY135" i="10"/>
  <c r="Z136" i="10"/>
  <c r="AZ138" i="10"/>
  <c r="W140" i="10"/>
  <c r="X135" i="10"/>
  <c r="AS138" i="10"/>
  <c r="Y134" i="10"/>
  <c r="AE138" i="10"/>
  <c r="AV137" i="10"/>
  <c r="U139" i="10"/>
  <c r="Z134" i="10"/>
  <c r="AJ137" i="10"/>
  <c r="AQ139" i="10"/>
  <c r="AV136" i="10"/>
  <c r="AJ139" i="10"/>
  <c r="T135" i="10"/>
  <c r="AB139" i="10"/>
  <c r="BG137" i="10"/>
  <c r="U133" i="10"/>
  <c r="AW140" i="10"/>
  <c r="AG135" i="10"/>
  <c r="BE137" i="10"/>
  <c r="AX136" i="10"/>
  <c r="BB133" i="10"/>
  <c r="V135" i="10"/>
  <c r="AS134" i="10"/>
  <c r="W138" i="10"/>
  <c r="AM139" i="10"/>
  <c r="V139" i="10"/>
  <c r="AI139" i="10"/>
  <c r="BF138" i="10"/>
  <c r="AN136" i="10"/>
  <c r="AU140" i="10"/>
  <c r="AE139" i="10"/>
  <c r="AK136" i="10"/>
  <c r="AN140" i="10"/>
  <c r="X140" i="10"/>
  <c r="AF133" i="10"/>
  <c r="AT134" i="10"/>
  <c r="AW133" i="10"/>
  <c r="AF134" i="10"/>
  <c r="AI138" i="10"/>
  <c r="AD133" i="10"/>
  <c r="AY136" i="10"/>
  <c r="T140" i="10"/>
  <c r="W139" i="10"/>
  <c r="AL137" i="10"/>
  <c r="AY138" i="10"/>
  <c r="BF135" i="10"/>
  <c r="Z139" i="10"/>
  <c r="AY140" i="10"/>
  <c r="X134" i="10"/>
  <c r="AL133" i="10"/>
  <c r="BF136" i="10"/>
  <c r="AG137" i="10"/>
  <c r="AN138" i="10"/>
  <c r="AQ137" i="10"/>
  <c r="AR134" i="10"/>
  <c r="AD134" i="10"/>
  <c r="BC133" i="10"/>
  <c r="AL139" i="10"/>
  <c r="AB133" i="10"/>
  <c r="AV135" i="10"/>
  <c r="AF140" i="10"/>
  <c r="T133" i="10"/>
  <c r="U134" i="10"/>
  <c r="BD138" i="10"/>
  <c r="AC134" i="10"/>
  <c r="BD134" i="10"/>
  <c r="AC137" i="10"/>
  <c r="V138" i="10"/>
  <c r="AI135" i="10"/>
  <c r="AO140" i="10"/>
  <c r="AT136" i="10"/>
  <c r="BG134" i="10"/>
  <c r="V140" i="10"/>
  <c r="AC135" i="10"/>
  <c r="BC139" i="10"/>
  <c r="Z137" i="10"/>
  <c r="AZ135" i="10"/>
  <c r="AE133" i="10"/>
  <c r="AD136" i="10"/>
  <c r="V136" i="10"/>
  <c r="AL136" i="10"/>
  <c r="AT133" i="10"/>
  <c r="BG139" i="10"/>
  <c r="AP136" i="10"/>
  <c r="AN135" i="10"/>
  <c r="AK137" i="10"/>
  <c r="Y135" i="10"/>
  <c r="AQ140" i="10"/>
  <c r="AF137" i="10"/>
  <c r="AE140" i="10"/>
  <c r="AJ134" i="10"/>
  <c r="AW136" i="10"/>
  <c r="BC135" i="10"/>
  <c r="W135" i="10"/>
  <c r="AZ139" i="10"/>
  <c r="AV133" i="10"/>
  <c r="AI133" i="10"/>
  <c r="AC140" i="10"/>
  <c r="BF139" i="10"/>
  <c r="AE134" i="10"/>
  <c r="AK138" i="10"/>
  <c r="U138" i="10"/>
  <c r="AH137" i="10"/>
  <c r="AX139" i="10"/>
  <c r="AJ136" i="10"/>
  <c r="AR138" i="10"/>
  <c r="AS135" i="10"/>
  <c r="BE136" i="10"/>
  <c r="AC138" i="10"/>
  <c r="AF139" i="10"/>
  <c r="BF140" i="10"/>
  <c r="AC136" i="10"/>
  <c r="AA137" i="10"/>
  <c r="AX134" i="10"/>
  <c r="X137" i="10"/>
  <c r="AB134" i="10"/>
  <c r="W134" i="10"/>
  <c r="BA134" i="10"/>
  <c r="W137" i="10"/>
  <c r="Y139" i="10"/>
  <c r="AS139" i="10"/>
  <c r="AK134" i="10"/>
  <c r="AJ138" i="10"/>
  <c r="AJ133" i="10"/>
  <c r="AP137" i="10"/>
  <c r="BE135" i="10"/>
  <c r="AR136" i="10"/>
  <c r="W136" i="10"/>
  <c r="AR137" i="10"/>
  <c r="AH139" i="10"/>
  <c r="BB134" i="10"/>
  <c r="AL135" i="10"/>
  <c r="AI137" i="10"/>
  <c r="AM140" i="10"/>
  <c r="V137" i="10"/>
  <c r="AT140" i="10"/>
  <c r="AL140" i="10"/>
  <c r="BD133" i="10"/>
  <c r="AH134" i="10"/>
  <c r="BB136" i="10"/>
  <c r="AH133" i="10"/>
  <c r="Y133" i="10"/>
  <c r="AB136" i="10"/>
  <c r="AW135" i="10"/>
  <c r="AK139" i="10"/>
  <c r="AG138" i="10"/>
  <c r="AJ140" i="10"/>
  <c r="AM136" i="10"/>
  <c r="AS133" i="10"/>
  <c r="AO136" i="10"/>
  <c r="AH138" i="10"/>
  <c r="U140" i="10"/>
  <c r="BG140" i="10"/>
  <c r="AP139" i="10"/>
  <c r="T137" i="10"/>
  <c r="AZ137" i="10"/>
  <c r="AP138" i="10"/>
  <c r="AH140" i="10"/>
  <c r="BA138" i="10"/>
  <c r="AS140" i="10"/>
  <c r="BG136" i="10"/>
  <c r="AW134" i="10"/>
  <c r="W133" i="10"/>
  <c r="BG138" i="10"/>
  <c r="AA136" i="10"/>
  <c r="T138" i="10"/>
  <c r="Y136" i="10"/>
  <c r="AU138" i="10"/>
  <c r="AG134" i="10"/>
  <c r="BA136" i="10"/>
  <c r="BA139" i="10"/>
  <c r="AZ133" i="10"/>
  <c r="AE137" i="10"/>
  <c r="AQ136" i="10"/>
  <c r="AM138" i="10"/>
  <c r="Z140" i="10"/>
  <c r="AZ140" i="10"/>
  <c r="AG136" i="10"/>
  <c r="AN137" i="10"/>
  <c r="AO137" i="10"/>
  <c r="AM133" i="10"/>
  <c r="AA138" i="10"/>
  <c r="BE139" i="10"/>
  <c r="AR133" i="10"/>
  <c r="BA137" i="10"/>
  <c r="AA134" i="10"/>
  <c r="BA133" i="10"/>
  <c r="BE138" i="10"/>
  <c r="AM134" i="10"/>
  <c r="BA135" i="10"/>
  <c r="AF138" i="10"/>
  <c r="AQ135" i="10"/>
  <c r="AA140" i="10"/>
  <c r="AH135" i="10"/>
  <c r="AB137" i="10"/>
  <c r="AF135" i="10"/>
  <c r="AQ134" i="10"/>
  <c r="AV138" i="10"/>
  <c r="AD140" i="10"/>
  <c r="T134" i="10"/>
  <c r="AG139" i="10"/>
  <c r="BB137" i="10"/>
  <c r="Y140" i="10"/>
  <c r="AG140" i="10"/>
  <c r="V133" i="10"/>
  <c r="AA135" i="10"/>
  <c r="AD138" i="10"/>
  <c r="BD139" i="10"/>
  <c r="AT138" i="10"/>
  <c r="BC137" i="10"/>
  <c r="AS137" i="10"/>
  <c r="AI140" i="10"/>
  <c r="AV139" i="10"/>
  <c r="AG133" i="10"/>
  <c r="AH136" i="10"/>
  <c r="AO139" i="10"/>
  <c r="AK133" i="10"/>
  <c r="U135" i="10"/>
  <c r="AM135" i="10"/>
  <c r="AK140" i="10"/>
  <c r="BB139" i="10"/>
  <c r="AT137" i="10"/>
  <c r="X138" i="10"/>
  <c r="AW138" i="10"/>
  <c r="AU139" i="10"/>
  <c r="BD135" i="10"/>
  <c r="AX135" i="10"/>
  <c r="U137" i="10"/>
  <c r="AT139" i="10"/>
  <c r="AL138" i="10"/>
  <c r="AO138" i="10"/>
  <c r="X136" i="10"/>
  <c r="AZ136" i="10"/>
  <c r="BC136" i="10"/>
  <c r="AY134" i="10"/>
  <c r="AU134" i="10"/>
  <c r="AP133" i="10"/>
  <c r="AK135" i="10"/>
  <c r="BF137" i="10"/>
  <c r="AN134" i="10"/>
  <c r="AW139" i="10"/>
  <c r="BB135" i="10"/>
  <c r="AA139" i="10"/>
  <c r="AT135" i="10"/>
  <c r="X139" i="10"/>
  <c r="AB140" i="10"/>
  <c r="BC142" i="10"/>
  <c r="BB142" i="10"/>
  <c r="BF142" i="10"/>
  <c r="BG141" i="10"/>
  <c r="V142" i="10"/>
  <c r="AW142" i="10"/>
  <c r="X141" i="10"/>
  <c r="W142" i="10"/>
  <c r="BC141" i="10"/>
  <c r="AI141" i="10"/>
  <c r="BG142" i="10"/>
  <c r="AC141" i="10"/>
  <c r="BE141" i="10"/>
  <c r="AB142" i="10"/>
  <c r="AH142" i="10"/>
  <c r="BA142" i="10"/>
  <c r="W141" i="10"/>
  <c r="AD141" i="10"/>
  <c r="AH141" i="10"/>
  <c r="AZ141" i="10"/>
  <c r="AO141" i="10"/>
  <c r="AA142" i="10"/>
  <c r="AR141" i="10"/>
  <c r="BD142" i="10"/>
  <c r="AK141" i="10"/>
  <c r="Z141" i="10"/>
  <c r="AF142" i="10"/>
  <c r="AV141" i="10"/>
  <c r="AV142" i="10"/>
  <c r="AY142" i="10"/>
  <c r="AX141" i="10"/>
  <c r="AS141" i="10"/>
  <c r="AX142" i="10"/>
  <c r="T141" i="10"/>
  <c r="AP142" i="10"/>
  <c r="AS142" i="10"/>
  <c r="AG141" i="10"/>
  <c r="AM141" i="10"/>
  <c r="AJ142" i="10"/>
  <c r="AA141" i="10"/>
  <c r="AN141" i="10"/>
  <c r="AB141" i="10"/>
  <c r="Y142" i="10"/>
  <c r="AO142" i="10"/>
  <c r="AI142" i="10"/>
  <c r="AF141" i="10"/>
  <c r="AM142" i="10"/>
  <c r="AD142" i="10"/>
  <c r="AE141" i="10"/>
  <c r="AY141" i="10"/>
  <c r="AN142" i="10"/>
  <c r="AK142" i="10"/>
  <c r="AC142" i="10"/>
  <c r="BA141" i="10"/>
  <c r="AT142" i="10"/>
  <c r="AG142" i="10"/>
  <c r="AT141" i="10"/>
  <c r="V141" i="10"/>
  <c r="BD141" i="10"/>
  <c r="AL141" i="10"/>
  <c r="AU141" i="10"/>
  <c r="U142" i="10"/>
  <c r="X142" i="10"/>
  <c r="U141" i="10"/>
  <c r="BB141" i="10"/>
  <c r="AQ142" i="10"/>
  <c r="AJ141" i="10"/>
  <c r="AU142" i="10"/>
  <c r="AL142" i="10"/>
  <c r="AR142" i="10"/>
  <c r="AP141" i="10"/>
  <c r="T142" i="10"/>
  <c r="Z142" i="10"/>
  <c r="BF141" i="10"/>
  <c r="BE142" i="10"/>
  <c r="M62" i="15"/>
  <c r="P62" i="15" s="1"/>
  <c r="AU132" i="7"/>
  <c r="AM306" i="12"/>
  <c r="AZ134" i="7"/>
  <c r="AZ294" i="12" s="1"/>
  <c r="AZ35" i="16" s="1"/>
  <c r="AC313" i="12"/>
  <c r="AB313" i="12"/>
  <c r="AB135" i="7"/>
  <c r="AB295" i="12" s="1"/>
  <c r="AR132" i="7"/>
  <c r="AE138" i="7"/>
  <c r="AE298" i="12" s="1"/>
  <c r="AR315" i="12"/>
  <c r="Z314" i="12"/>
  <c r="AR308" i="12"/>
  <c r="AR42" i="16" s="1"/>
  <c r="AU133" i="7"/>
  <c r="AU293" i="12" s="1"/>
  <c r="AU34" i="16" s="1"/>
  <c r="AU50" i="16" s="1"/>
  <c r="AL315" i="12"/>
  <c r="W308" i="12"/>
  <c r="W42" i="16" s="1"/>
  <c r="AV132" i="7"/>
  <c r="BB138" i="7"/>
  <c r="BB298" i="12" s="1"/>
  <c r="BE313" i="12"/>
  <c r="AG309" i="12"/>
  <c r="AJ134" i="7"/>
  <c r="AJ294" i="12" s="1"/>
  <c r="AJ35" i="16" s="1"/>
  <c r="AZ138" i="7"/>
  <c r="AZ298" i="12" s="1"/>
  <c r="T309" i="12"/>
  <c r="AH309" i="12"/>
  <c r="BB132" i="7"/>
  <c r="AU311" i="12"/>
  <c r="BA313" i="12"/>
  <c r="AA138" i="7"/>
  <c r="AA298" i="12" s="1"/>
  <c r="BG314" i="12"/>
  <c r="AL313" i="12"/>
  <c r="BF309" i="12"/>
  <c r="AK307" i="12"/>
  <c r="AK41" i="16" s="1"/>
  <c r="AN137" i="7"/>
  <c r="AN297" i="12" s="1"/>
  <c r="AO306" i="12"/>
  <c r="AM307" i="12"/>
  <c r="AM41" i="16" s="1"/>
  <c r="X138" i="7"/>
  <c r="X298" i="12" s="1"/>
  <c r="AS135" i="7"/>
  <c r="AS295" i="12" s="1"/>
  <c r="AX315" i="12"/>
  <c r="AS134" i="7"/>
  <c r="AS294" i="12" s="1"/>
  <c r="AS35" i="16" s="1"/>
  <c r="AS52" i="16" s="1"/>
  <c r="BD136" i="7"/>
  <c r="BD296" i="12" s="1"/>
  <c r="Z140" i="7"/>
  <c r="Z300" i="12" s="1"/>
  <c r="AR141" i="7"/>
  <c r="AR301" i="12" s="1"/>
  <c r="Z315" i="12"/>
  <c r="Y314" i="12"/>
  <c r="AG312" i="12"/>
  <c r="BA310" i="12"/>
  <c r="AE309" i="12"/>
  <c r="AY140" i="7"/>
  <c r="AY300" i="12" s="1"/>
  <c r="T312" i="12"/>
  <c r="AF312" i="12"/>
  <c r="AJ310" i="12"/>
  <c r="AY313" i="12"/>
  <c r="BD140" i="7"/>
  <c r="BD300" i="12" s="1"/>
  <c r="AS133" i="7"/>
  <c r="AS293" i="12" s="1"/>
  <c r="AS34" i="16" s="1"/>
  <c r="AS50" i="16" s="1"/>
  <c r="U306" i="12"/>
  <c r="AR312" i="12"/>
  <c r="Y309" i="12"/>
  <c r="BA136" i="7"/>
  <c r="BA296" i="12" s="1"/>
  <c r="AC141" i="7"/>
  <c r="AC301" i="12" s="1"/>
  <c r="AH136" i="7"/>
  <c r="AH296" i="12" s="1"/>
  <c r="T140" i="7"/>
  <c r="T300" i="12" s="1"/>
  <c r="AF311" i="12"/>
  <c r="AE137" i="7"/>
  <c r="AE297" i="12" s="1"/>
  <c r="AP306" i="12"/>
  <c r="AA313" i="12"/>
  <c r="V313" i="12"/>
  <c r="BA306" i="12"/>
  <c r="Z136" i="7"/>
  <c r="Z296" i="12" s="1"/>
  <c r="AL306" i="12"/>
  <c r="Z307" i="12"/>
  <c r="Z41" i="16" s="1"/>
  <c r="AB310" i="12"/>
  <c r="AA306" i="12"/>
  <c r="AR307" i="12"/>
  <c r="AR41" i="16" s="1"/>
  <c r="W135" i="7"/>
  <c r="W295" i="12" s="1"/>
  <c r="AT308" i="12"/>
  <c r="AT42" i="16" s="1"/>
  <c r="AM135" i="7"/>
  <c r="AM295" i="12" s="1"/>
  <c r="AB132" i="7"/>
  <c r="AS137" i="7"/>
  <c r="AS297" i="12" s="1"/>
  <c r="AJ141" i="7"/>
  <c r="AJ301" i="12" s="1"/>
  <c r="BF310" i="12"/>
  <c r="AI306" i="12"/>
  <c r="AI312" i="12"/>
  <c r="AO315" i="12"/>
  <c r="BA314" i="12"/>
  <c r="AH308" i="12"/>
  <c r="AH42" i="16" s="1"/>
  <c r="AC310" i="12"/>
  <c r="AI309" i="12"/>
  <c r="AA310" i="12"/>
  <c r="AL136" i="7"/>
  <c r="AL296" i="12" s="1"/>
  <c r="AD308" i="12"/>
  <c r="AD42" i="16" s="1"/>
  <c r="AO311" i="12"/>
  <c r="BB134" i="7"/>
  <c r="BB294" i="12" s="1"/>
  <c r="BB35" i="16" s="1"/>
  <c r="BB52" i="16" s="1"/>
  <c r="W133" i="7"/>
  <c r="W293" i="12" s="1"/>
  <c r="W34" i="16" s="1"/>
  <c r="AW137" i="7"/>
  <c r="AW297" i="12" s="1"/>
  <c r="AI313" i="12"/>
  <c r="AD314" i="12"/>
  <c r="AG138" i="7"/>
  <c r="AG298" i="12" s="1"/>
  <c r="BF307" i="12"/>
  <c r="BF41" i="16" s="1"/>
  <c r="Z139" i="7"/>
  <c r="Z299" i="12" s="1"/>
  <c r="AT306" i="12"/>
  <c r="BG307" i="12"/>
  <c r="BG41" i="16" s="1"/>
  <c r="BB140" i="7"/>
  <c r="BB300" i="12" s="1"/>
  <c r="AP308" i="12"/>
  <c r="AP42" i="16" s="1"/>
  <c r="AV312" i="12"/>
  <c r="AJ135" i="7"/>
  <c r="AJ295" i="12" s="1"/>
  <c r="AN310" i="12"/>
  <c r="AV141" i="7"/>
  <c r="AV301" i="12" s="1"/>
  <c r="BA134" i="7"/>
  <c r="BA294" i="12" s="1"/>
  <c r="BA35" i="16" s="1"/>
  <c r="BA52" i="16" s="1"/>
  <c r="AY307" i="12"/>
  <c r="AY41" i="16" s="1"/>
  <c r="AV136" i="7"/>
  <c r="AV296" i="12" s="1"/>
  <c r="BA315" i="12"/>
  <c r="AV138" i="7"/>
  <c r="AV298" i="12" s="1"/>
  <c r="AR135" i="7"/>
  <c r="AR295" i="12" s="1"/>
  <c r="AD137" i="7"/>
  <c r="AD297" i="12" s="1"/>
  <c r="BD307" i="12"/>
  <c r="BD41" i="16" s="1"/>
  <c r="T313" i="12"/>
  <c r="AJ309" i="12"/>
  <c r="BA133" i="7"/>
  <c r="BA293" i="12" s="1"/>
  <c r="BA34" i="16" s="1"/>
  <c r="BA50" i="16" s="1"/>
  <c r="T135" i="7"/>
  <c r="T295" i="12" s="1"/>
  <c r="T134" i="7"/>
  <c r="T294" i="12" s="1"/>
  <c r="T35" i="16" s="1"/>
  <c r="AG313" i="12"/>
  <c r="AJ139" i="7"/>
  <c r="AJ299" i="12" s="1"/>
  <c r="AX139" i="7"/>
  <c r="AX299" i="12" s="1"/>
  <c r="AO135" i="7"/>
  <c r="AO295" i="12" s="1"/>
  <c r="AH141" i="7"/>
  <c r="AH301" i="12" s="1"/>
  <c r="AE310" i="12"/>
  <c r="AB136" i="7"/>
  <c r="AB296" i="12" s="1"/>
  <c r="AQ139" i="7"/>
  <c r="AQ299" i="12" s="1"/>
  <c r="BB307" i="12"/>
  <c r="BB41" i="16" s="1"/>
  <c r="AV139" i="7"/>
  <c r="AV299" i="12" s="1"/>
  <c r="T136" i="7"/>
  <c r="T296" i="12" s="1"/>
  <c r="BC308" i="12"/>
  <c r="BC42" i="16" s="1"/>
  <c r="AB141" i="7"/>
  <c r="AB301" i="12" s="1"/>
  <c r="Z308" i="12"/>
  <c r="Z42" i="16" s="1"/>
  <c r="AP307" i="12"/>
  <c r="AP41" i="16" s="1"/>
  <c r="T132" i="7"/>
  <c r="BC135" i="7"/>
  <c r="BC295" i="12" s="1"/>
  <c r="U132" i="7"/>
  <c r="W307" i="12"/>
  <c r="W41" i="16" s="1"/>
  <c r="AF138" i="7"/>
  <c r="AF298" i="12" s="1"/>
  <c r="U314" i="12"/>
  <c r="Y311" i="12"/>
  <c r="AC132" i="7"/>
  <c r="AP312" i="12"/>
  <c r="BD135" i="7"/>
  <c r="BD295" i="12" s="1"/>
  <c r="BE134" i="7"/>
  <c r="BE294" i="12" s="1"/>
  <c r="BE35" i="16" s="1"/>
  <c r="BE52" i="16" s="1"/>
  <c r="V133" i="7"/>
  <c r="V293" i="12" s="1"/>
  <c r="V34" i="16" s="1"/>
  <c r="Y133" i="7"/>
  <c r="Y293" i="12" s="1"/>
  <c r="Y34" i="16" s="1"/>
  <c r="AB139" i="7"/>
  <c r="AB299" i="12" s="1"/>
  <c r="AZ140" i="7"/>
  <c r="AZ300" i="12" s="1"/>
  <c r="AZ135" i="7"/>
  <c r="AZ295" i="12" s="1"/>
  <c r="AM137" i="7"/>
  <c r="AM297" i="12" s="1"/>
  <c r="AA136" i="7"/>
  <c r="AA296" i="12" s="1"/>
  <c r="AL139" i="7"/>
  <c r="AL299" i="12" s="1"/>
  <c r="AI141" i="7"/>
  <c r="AI301" i="12" s="1"/>
  <c r="AG139" i="7"/>
  <c r="AG299" i="12" s="1"/>
  <c r="AM138" i="7"/>
  <c r="AM298" i="12" s="1"/>
  <c r="BD137" i="7"/>
  <c r="BD297" i="12" s="1"/>
  <c r="AE306" i="12"/>
  <c r="AP138" i="7"/>
  <c r="AP298" i="12" s="1"/>
  <c r="AZ315" i="12"/>
  <c r="AC307" i="12"/>
  <c r="AC41" i="16" s="1"/>
  <c r="AV309" i="12"/>
  <c r="BD310" i="12"/>
  <c r="AH139" i="7"/>
  <c r="AH299" i="12" s="1"/>
  <c r="Z311" i="12"/>
  <c r="AA314" i="12"/>
  <c r="X132" i="7"/>
  <c r="BF139" i="7"/>
  <c r="BF299" i="12" s="1"/>
  <c r="AM315" i="12"/>
  <c r="AO312" i="12"/>
  <c r="BC312" i="12"/>
  <c r="T315" i="12"/>
  <c r="BE314" i="12"/>
  <c r="AN314" i="12"/>
  <c r="AM141" i="7"/>
  <c r="AM301" i="12" s="1"/>
  <c r="BE307" i="12"/>
  <c r="BE41" i="16" s="1"/>
  <c r="AU140" i="7"/>
  <c r="AU300" i="12" s="1"/>
  <c r="AA139" i="7"/>
  <c r="AA299" i="12" s="1"/>
  <c r="AG310" i="12"/>
  <c r="T133" i="7"/>
  <c r="T293" i="12" s="1"/>
  <c r="T34" i="16" s="1"/>
  <c r="V138" i="7"/>
  <c r="V298" i="12" s="1"/>
  <c r="AL137" i="7"/>
  <c r="AL297" i="12" s="1"/>
  <c r="BD315" i="12"/>
  <c r="X309" i="12"/>
  <c r="AX306" i="12"/>
  <c r="Z310" i="12"/>
  <c r="AT135" i="7"/>
  <c r="AT295" i="12" s="1"/>
  <c r="BE311" i="12"/>
  <c r="AZ312" i="12"/>
  <c r="AX133" i="7"/>
  <c r="AX293" i="12" s="1"/>
  <c r="AX34" i="16" s="1"/>
  <c r="AX50" i="16" s="1"/>
  <c r="AS313" i="12"/>
  <c r="AW141" i="7"/>
  <c r="AW301" i="12" s="1"/>
  <c r="BD306" i="12"/>
  <c r="AW312" i="12"/>
  <c r="BC313" i="12"/>
  <c r="BC134" i="7"/>
  <c r="BC294" i="12" s="1"/>
  <c r="BC35" i="16" s="1"/>
  <c r="BC52" i="16" s="1"/>
  <c r="AW310" i="12"/>
  <c r="BF308" i="12"/>
  <c r="BF42" i="16" s="1"/>
  <c r="AD134" i="7"/>
  <c r="AD294" i="12" s="1"/>
  <c r="AD35" i="16" s="1"/>
  <c r="AD52" i="16" s="1"/>
  <c r="AI133" i="7"/>
  <c r="AI293" i="12" s="1"/>
  <c r="AI34" i="16" s="1"/>
  <c r="AI50" i="16" s="1"/>
  <c r="AA307" i="12"/>
  <c r="AA41" i="16" s="1"/>
  <c r="T310" i="12"/>
  <c r="AU134" i="7"/>
  <c r="AU294" i="12" s="1"/>
  <c r="AU35" i="16" s="1"/>
  <c r="AU52" i="16" s="1"/>
  <c r="BF315" i="12"/>
  <c r="Y135" i="7"/>
  <c r="Y295" i="12" s="1"/>
  <c r="AU141" i="7"/>
  <c r="AU301" i="12" s="1"/>
  <c r="W315" i="12"/>
  <c r="BB135" i="7"/>
  <c r="BB295" i="12" s="1"/>
  <c r="Y134" i="7"/>
  <c r="Y294" i="12" s="1"/>
  <c r="Y35" i="16" s="1"/>
  <c r="AE136" i="7"/>
  <c r="AE296" i="12" s="1"/>
  <c r="X306" i="12"/>
  <c r="Y141" i="7"/>
  <c r="Y301" i="12" s="1"/>
  <c r="V141" i="7"/>
  <c r="V301" i="12" s="1"/>
  <c r="BA135" i="7"/>
  <c r="BA295" i="12" s="1"/>
  <c r="AE141" i="7"/>
  <c r="AE301" i="12" s="1"/>
  <c r="AB307" i="12"/>
  <c r="AB41" i="16" s="1"/>
  <c r="AW311" i="12"/>
  <c r="AG308" i="12"/>
  <c r="AG42" i="16" s="1"/>
  <c r="AQ310" i="12"/>
  <c r="V137" i="7"/>
  <c r="V297" i="12" s="1"/>
  <c r="BG137" i="7"/>
  <c r="BG297" i="12" s="1"/>
  <c r="BF311" i="12"/>
  <c r="U311" i="12"/>
  <c r="AE308" i="12"/>
  <c r="AE42" i="16" s="1"/>
  <c r="Z141" i="7"/>
  <c r="Z301" i="12" s="1"/>
  <c r="AS141" i="7"/>
  <c r="AS301" i="12" s="1"/>
  <c r="AU139" i="7"/>
  <c r="AU299" i="12" s="1"/>
  <c r="AQ309" i="12"/>
  <c r="AY141" i="7"/>
  <c r="AY301" i="12" s="1"/>
  <c r="AU137" i="7"/>
  <c r="AU297" i="12" s="1"/>
  <c r="AR309" i="12"/>
  <c r="BC306" i="12"/>
  <c r="AV308" i="12"/>
  <c r="AV42" i="16" s="1"/>
  <c r="AH306" i="12"/>
  <c r="AE133" i="7"/>
  <c r="AE293" i="12" s="1"/>
  <c r="AE34" i="16" s="1"/>
  <c r="AE50" i="16" s="1"/>
  <c r="AF315" i="12"/>
  <c r="W312" i="12"/>
  <c r="AW315" i="12"/>
  <c r="AK132" i="7"/>
  <c r="AG141" i="7"/>
  <c r="AG301" i="12" s="1"/>
  <c r="AE313" i="12"/>
  <c r="BB311" i="12"/>
  <c r="AF136" i="7"/>
  <c r="AF296" i="12" s="1"/>
  <c r="AT309" i="12"/>
  <c r="AM140" i="7"/>
  <c r="AM300" i="12" s="1"/>
  <c r="BC314" i="12"/>
  <c r="V311" i="12"/>
  <c r="AN307" i="12"/>
  <c r="AN41" i="16" s="1"/>
  <c r="W137" i="7"/>
  <c r="W297" i="12" s="1"/>
  <c r="AN134" i="7"/>
  <c r="AN294" i="12" s="1"/>
  <c r="AN35" i="16" s="1"/>
  <c r="AF132" i="7"/>
  <c r="AC315" i="12"/>
  <c r="AB306" i="12"/>
  <c r="AK137" i="7"/>
  <c r="AK297" i="12" s="1"/>
  <c r="BA137" i="7"/>
  <c r="BA297" i="12" s="1"/>
  <c r="W306" i="12"/>
  <c r="X314" i="12"/>
  <c r="Y306" i="12"/>
  <c r="BD138" i="7"/>
  <c r="BD298" i="12" s="1"/>
  <c r="BE138" i="7"/>
  <c r="BE298" i="12" s="1"/>
  <c r="AY311" i="12"/>
  <c r="AI136" i="7"/>
  <c r="AI296" i="12" s="1"/>
  <c r="AK133" i="7"/>
  <c r="AK293" i="12" s="1"/>
  <c r="AK34" i="16" s="1"/>
  <c r="AK50" i="16" s="1"/>
  <c r="AN135" i="7"/>
  <c r="AN295" i="12" s="1"/>
  <c r="AZ307" i="12"/>
  <c r="AZ41" i="16" s="1"/>
  <c r="AK141" i="7"/>
  <c r="AK301" i="12" s="1"/>
  <c r="BD308" i="12"/>
  <c r="BD42" i="16" s="1"/>
  <c r="AK313" i="12"/>
  <c r="AS311" i="12"/>
  <c r="AZ133" i="7"/>
  <c r="AZ293" i="12" s="1"/>
  <c r="AZ34" i="16" s="1"/>
  <c r="BF134" i="7"/>
  <c r="BF294" i="12" s="1"/>
  <c r="BF35" i="16" s="1"/>
  <c r="BF52" i="16" s="1"/>
  <c r="AN315" i="12"/>
  <c r="BF132" i="7"/>
  <c r="AE314" i="12"/>
  <c r="AP140" i="7"/>
  <c r="AP300" i="12" s="1"/>
  <c r="AM311" i="12"/>
  <c r="X133" i="7"/>
  <c r="X293" i="12" s="1"/>
  <c r="X34" i="16" s="1"/>
  <c r="AS314" i="12"/>
  <c r="AI140" i="7"/>
  <c r="AI300" i="12" s="1"/>
  <c r="AJ132" i="7"/>
  <c r="AF140" i="7"/>
  <c r="AF300" i="12" s="1"/>
  <c r="AX314" i="12"/>
  <c r="AV306" i="12"/>
  <c r="AD309" i="12"/>
  <c r="AR136" i="7"/>
  <c r="AR296" i="12" s="1"/>
  <c r="AY309" i="12"/>
  <c r="AQ311" i="12"/>
  <c r="AL307" i="12"/>
  <c r="AL41" i="16" s="1"/>
  <c r="W313" i="12"/>
  <c r="AS306" i="12"/>
  <c r="AC137" i="7"/>
  <c r="AC297" i="12" s="1"/>
  <c r="Z133" i="7"/>
  <c r="Z293" i="12" s="1"/>
  <c r="Z34" i="16" s="1"/>
  <c r="Z50" i="16" s="1"/>
  <c r="U136" i="7"/>
  <c r="U296" i="12" s="1"/>
  <c r="AJ315" i="12"/>
  <c r="AO308" i="12"/>
  <c r="AO42" i="16" s="1"/>
  <c r="AI137" i="7"/>
  <c r="AI297" i="12" s="1"/>
  <c r="AI314" i="12"/>
  <c r="AP141" i="7"/>
  <c r="AP301" i="12" s="1"/>
  <c r="BB133" i="7"/>
  <c r="BB293" i="12" s="1"/>
  <c r="BB34" i="16" s="1"/>
  <c r="BB50" i="16" s="1"/>
  <c r="AX138" i="7"/>
  <c r="AX298" i="12" s="1"/>
  <c r="AT140" i="7"/>
  <c r="AT300" i="12" s="1"/>
  <c r="AC306" i="12"/>
  <c r="AR134" i="7"/>
  <c r="AR294" i="12" s="1"/>
  <c r="AR35" i="16" s="1"/>
  <c r="AC314" i="12"/>
  <c r="AU307" i="12"/>
  <c r="AU41" i="16" s="1"/>
  <c r="AZ310" i="12"/>
  <c r="BE139" i="7"/>
  <c r="BE299" i="12" s="1"/>
  <c r="AA132" i="7"/>
  <c r="AA311" i="12"/>
  <c r="X307" i="12"/>
  <c r="X41" i="16" s="1"/>
  <c r="AE139" i="7"/>
  <c r="AE299" i="12" s="1"/>
  <c r="BB139" i="7"/>
  <c r="BB299" i="12" s="1"/>
  <c r="AJ314" i="12"/>
  <c r="BF133" i="7"/>
  <c r="BF293" i="12" s="1"/>
  <c r="BF34" i="16" s="1"/>
  <c r="BF50" i="16" s="1"/>
  <c r="BF138" i="7"/>
  <c r="BF298" i="12" s="1"/>
  <c r="AC138" i="7"/>
  <c r="AC298" i="12" s="1"/>
  <c r="BE140" i="7"/>
  <c r="BE300" i="12" s="1"/>
  <c r="BC310" i="12"/>
  <c r="BA307" i="12"/>
  <c r="BA41" i="16" s="1"/>
  <c r="AJ140" i="7"/>
  <c r="AJ300" i="12" s="1"/>
  <c r="AO313" i="12"/>
  <c r="U309" i="12"/>
  <c r="AH138" i="7"/>
  <c r="AH298" i="12" s="1"/>
  <c r="AK138" i="7"/>
  <c r="AK298" i="12" s="1"/>
  <c r="AD307" i="12"/>
  <c r="AD41" i="16" s="1"/>
  <c r="BE135" i="7"/>
  <c r="BE295" i="12" s="1"/>
  <c r="V139" i="7"/>
  <c r="V299" i="12" s="1"/>
  <c r="BC309" i="12"/>
  <c r="W140" i="7"/>
  <c r="W300" i="12" s="1"/>
  <c r="BB308" i="12"/>
  <c r="BB42" i="16" s="1"/>
  <c r="AT311" i="12"/>
  <c r="AS315" i="12"/>
  <c r="AW306" i="12"/>
  <c r="AO137" i="7"/>
  <c r="AO297" i="12" s="1"/>
  <c r="AQ135" i="7"/>
  <c r="AQ295" i="12" s="1"/>
  <c r="AV314" i="12"/>
  <c r="BG134" i="7"/>
  <c r="BG294" i="12" s="1"/>
  <c r="BG35" i="16" s="1"/>
  <c r="BG52" i="16" s="1"/>
  <c r="V312" i="12"/>
  <c r="AH313" i="12"/>
  <c r="BG308" i="12"/>
  <c r="BG42" i="16" s="1"/>
  <c r="Y139" i="7"/>
  <c r="Y299" i="12" s="1"/>
  <c r="AW136" i="7"/>
  <c r="AW296" i="12" s="1"/>
  <c r="AG314" i="12"/>
  <c r="BB315" i="12"/>
  <c r="AS307" i="12"/>
  <c r="AS41" i="16" s="1"/>
  <c r="BC140" i="7"/>
  <c r="BC300" i="12" s="1"/>
  <c r="BF140" i="7"/>
  <c r="BF300" i="12" s="1"/>
  <c r="AX307" i="12"/>
  <c r="AX41" i="16" s="1"/>
  <c r="AF310" i="12"/>
  <c r="BE315" i="12"/>
  <c r="AO134" i="7"/>
  <c r="AO294" i="12" s="1"/>
  <c r="AO35" i="16" s="1"/>
  <c r="AO52" i="16" s="1"/>
  <c r="AL138" i="7"/>
  <c r="AL298" i="12" s="1"/>
  <c r="AL309" i="12"/>
  <c r="AZ132" i="7"/>
  <c r="AB138" i="7"/>
  <c r="AB298" i="12" s="1"/>
  <c r="AL135" i="7"/>
  <c r="AL295" i="12" s="1"/>
  <c r="T137" i="7"/>
  <c r="T297" i="12" s="1"/>
  <c r="AE132" i="7"/>
  <c r="V308" i="12"/>
  <c r="V42" i="16" s="1"/>
  <c r="Z132" i="7"/>
  <c r="AX141" i="7"/>
  <c r="AX301" i="12" s="1"/>
  <c r="AX140" i="7"/>
  <c r="AX300" i="12" s="1"/>
  <c r="AA135" i="7"/>
  <c r="AA295" i="12" s="1"/>
  <c r="AQ136" i="7"/>
  <c r="AQ296" i="12" s="1"/>
  <c r="BF136" i="7"/>
  <c r="BF296" i="12" s="1"/>
  <c r="BG132" i="7"/>
  <c r="BC311" i="12"/>
  <c r="Y312" i="12"/>
  <c r="W139" i="7"/>
  <c r="W299" i="12" s="1"/>
  <c r="AT137" i="7"/>
  <c r="AT297" i="12" s="1"/>
  <c r="AV313" i="12"/>
  <c r="AF313" i="12"/>
  <c r="AC139" i="7"/>
  <c r="AC299" i="12" s="1"/>
  <c r="AK311" i="12"/>
  <c r="AV315" i="12"/>
  <c r="U141" i="7"/>
  <c r="U301" i="12" s="1"/>
  <c r="AD306" i="12"/>
  <c r="AY138" i="7"/>
  <c r="AY298" i="12" s="1"/>
  <c r="BF313" i="12"/>
  <c r="X134" i="7"/>
  <c r="X294" i="12" s="1"/>
  <c r="X35" i="16" s="1"/>
  <c r="AO310" i="12"/>
  <c r="BG306" i="12"/>
  <c r="AJ307" i="12"/>
  <c r="AJ41" i="16" s="1"/>
  <c r="AX135" i="7"/>
  <c r="AX295" i="12" s="1"/>
  <c r="AR311" i="12"/>
  <c r="U135" i="7"/>
  <c r="U295" i="12" s="1"/>
  <c r="BA311" i="12"/>
  <c r="AY135" i="7"/>
  <c r="AY295" i="12" s="1"/>
  <c r="AN309" i="12"/>
  <c r="W134" i="7"/>
  <c r="W294" i="12" s="1"/>
  <c r="W35" i="16" s="1"/>
  <c r="U137" i="7"/>
  <c r="U297" i="12" s="1"/>
  <c r="T307" i="12"/>
  <c r="T41" i="16" s="1"/>
  <c r="AV133" i="7"/>
  <c r="AV293" i="12" s="1"/>
  <c r="AV34" i="16" s="1"/>
  <c r="AW140" i="7"/>
  <c r="AW300" i="12" s="1"/>
  <c r="W138" i="7"/>
  <c r="W298" i="12" s="1"/>
  <c r="AI135" i="7"/>
  <c r="AI295" i="12" s="1"/>
  <c r="AW313" i="12"/>
  <c r="BF312" i="12"/>
  <c r="BC133" i="7"/>
  <c r="BC293" i="12" s="1"/>
  <c r="BC34" i="16" s="1"/>
  <c r="BC50" i="16" s="1"/>
  <c r="AG133" i="7"/>
  <c r="AG293" i="12" s="1"/>
  <c r="AG34" i="16" s="1"/>
  <c r="AG50" i="16" s="1"/>
  <c r="AQ138" i="7"/>
  <c r="AQ298" i="12" s="1"/>
  <c r="AI308" i="12"/>
  <c r="AI42" i="16" s="1"/>
  <c r="Y132" i="7"/>
  <c r="AM312" i="12"/>
  <c r="W132" i="7"/>
  <c r="BD141" i="7"/>
  <c r="BD301" i="12" s="1"/>
  <c r="AR310" i="12"/>
  <c r="AS139" i="7"/>
  <c r="AS299" i="12" s="1"/>
  <c r="AZ308" i="12"/>
  <c r="AZ42" i="16" s="1"/>
  <c r="AK136" i="7"/>
  <c r="AK296" i="12" s="1"/>
  <c r="AA137" i="7"/>
  <c r="AA297" i="12" s="1"/>
  <c r="X140" i="7"/>
  <c r="X300" i="12" s="1"/>
  <c r="V132" i="7"/>
  <c r="Z134" i="7"/>
  <c r="Z294" i="12" s="1"/>
  <c r="Z35" i="16" s="1"/>
  <c r="Z52" i="16" s="1"/>
  <c r="AT139" i="7"/>
  <c r="AT299" i="12" s="1"/>
  <c r="AC134" i="7"/>
  <c r="AC294" i="12" s="1"/>
  <c r="AC35" i="16" s="1"/>
  <c r="AC52" i="16" s="1"/>
  <c r="Y308" i="12"/>
  <c r="Y42" i="16" s="1"/>
  <c r="AY312" i="12"/>
  <c r="BF306" i="12"/>
  <c r="AR137" i="7"/>
  <c r="AR297" i="12" s="1"/>
  <c r="AQ137" i="7"/>
  <c r="AQ297" i="12" s="1"/>
  <c r="AS312" i="12"/>
  <c r="AS136" i="7"/>
  <c r="AS296" i="12" s="1"/>
  <c r="Y313" i="12"/>
  <c r="AG306" i="12"/>
  <c r="AL140" i="7"/>
  <c r="AL300" i="12" s="1"/>
  <c r="AL308" i="12"/>
  <c r="AL42" i="16" s="1"/>
  <c r="V310" i="12"/>
  <c r="AT136" i="7"/>
  <c r="AT296" i="12" s="1"/>
  <c r="AK310" i="12"/>
  <c r="V135" i="7"/>
  <c r="V295" i="12" s="1"/>
  <c r="AP132" i="7"/>
  <c r="AY315" i="12"/>
  <c r="AA134" i="7"/>
  <c r="AA294" i="12" s="1"/>
  <c r="AA35" i="16" s="1"/>
  <c r="AA52" i="16" s="1"/>
  <c r="AU306" i="12"/>
  <c r="W309" i="12"/>
  <c r="AS308" i="12"/>
  <c r="AS42" i="16" s="1"/>
  <c r="AG307" i="12"/>
  <c r="AG41" i="16" s="1"/>
  <c r="AT312" i="12"/>
  <c r="AZ137" i="7"/>
  <c r="AZ297" i="12" s="1"/>
  <c r="Y310" i="12"/>
  <c r="BC132" i="7"/>
  <c r="AP136" i="7"/>
  <c r="AP296" i="12" s="1"/>
  <c r="BE306" i="12"/>
  <c r="AD311" i="12"/>
  <c r="AE312" i="12"/>
  <c r="AI134" i="7"/>
  <c r="AI294" i="12" s="1"/>
  <c r="AI35" i="16" s="1"/>
  <c r="AI52" i="16" s="1"/>
  <c r="U138" i="7"/>
  <c r="U298" i="12" s="1"/>
  <c r="AJ136" i="7"/>
  <c r="AJ296" i="12" s="1"/>
  <c r="AW307" i="12"/>
  <c r="AW41" i="16" s="1"/>
  <c r="AB134" i="7"/>
  <c r="AB294" i="12" s="1"/>
  <c r="AB35" i="16" s="1"/>
  <c r="AF309" i="12"/>
  <c r="V314" i="12"/>
  <c r="AJ306" i="12"/>
  <c r="AU310" i="12"/>
  <c r="U140" i="7"/>
  <c r="U300" i="12" s="1"/>
  <c r="AC312" i="12"/>
  <c r="AW133" i="7"/>
  <c r="AW293" i="12" s="1"/>
  <c r="AW34" i="16" s="1"/>
  <c r="AW50" i="16" s="1"/>
  <c r="X312" i="12"/>
  <c r="V136" i="7"/>
  <c r="V296" i="12" s="1"/>
  <c r="BB141" i="7"/>
  <c r="BB301" i="12" s="1"/>
  <c r="AK134" i="7"/>
  <c r="AK294" i="12" s="1"/>
  <c r="AK35" i="16" s="1"/>
  <c r="AK52" i="16" s="1"/>
  <c r="AJ311" i="12"/>
  <c r="AD140" i="7"/>
  <c r="AD300" i="12" s="1"/>
  <c r="AA140" i="7"/>
  <c r="AA300" i="12" s="1"/>
  <c r="BG313" i="12"/>
  <c r="AM313" i="12"/>
  <c r="AQ134" i="7"/>
  <c r="AQ294" i="12" s="1"/>
  <c r="AQ35" i="16" s="1"/>
  <c r="AQ52" i="16" s="1"/>
  <c r="AU138" i="7"/>
  <c r="AU298" i="12" s="1"/>
  <c r="T314" i="12"/>
  <c r="AO139" i="7"/>
  <c r="AO299" i="12" s="1"/>
  <c r="AL310" i="12"/>
  <c r="AH307" i="12"/>
  <c r="AH41" i="16" s="1"/>
  <c r="AW314" i="12"/>
  <c r="AI310" i="12"/>
  <c r="AT132" i="7"/>
  <c r="AM308" i="12"/>
  <c r="AM42" i="16" s="1"/>
  <c r="AX134" i="7"/>
  <c r="AX294" i="12" s="1"/>
  <c r="AX35" i="16" s="1"/>
  <c r="AX52" i="16" s="1"/>
  <c r="AR313" i="12"/>
  <c r="BD311" i="12"/>
  <c r="AB309" i="12"/>
  <c r="BG310" i="12"/>
  <c r="BA132" i="7"/>
  <c r="AB137" i="7"/>
  <c r="AB297" i="12" s="1"/>
  <c r="AL132" i="7"/>
  <c r="Y140" i="7"/>
  <c r="Y300" i="12" s="1"/>
  <c r="AD312" i="12"/>
  <c r="AY136" i="7"/>
  <c r="AY296" i="12" s="1"/>
  <c r="AT310" i="12"/>
  <c r="BD139" i="7"/>
  <c r="BD299" i="12" s="1"/>
  <c r="AB315" i="12"/>
  <c r="AI307" i="12"/>
  <c r="AI41" i="16" s="1"/>
  <c r="AF139" i="7"/>
  <c r="AF299" i="12" s="1"/>
  <c r="AK309" i="12"/>
  <c r="AQ312" i="12"/>
  <c r="U312" i="12"/>
  <c r="AY132" i="7"/>
  <c r="BG136" i="7"/>
  <c r="BG296" i="12" s="1"/>
  <c r="AB312" i="12"/>
  <c r="BE309" i="12"/>
  <c r="BF137" i="7"/>
  <c r="BF297" i="12" s="1"/>
  <c r="AT141" i="7"/>
  <c r="AT301" i="12" s="1"/>
  <c r="X313" i="12"/>
  <c r="BD134" i="7"/>
  <c r="BD294" i="12" s="1"/>
  <c r="BD35" i="16" s="1"/>
  <c r="Y137" i="7"/>
  <c r="Y297" i="12" s="1"/>
  <c r="AQ132" i="7"/>
  <c r="AW135" i="7"/>
  <c r="AW295" i="12" s="1"/>
  <c r="AE134" i="7"/>
  <c r="AE294" i="12" s="1"/>
  <c r="AE35" i="16" s="1"/>
  <c r="AE52" i="16" s="1"/>
  <c r="AK139" i="7"/>
  <c r="AK299" i="12" s="1"/>
  <c r="AO138" i="7"/>
  <c r="AO298" i="12" s="1"/>
  <c r="AN140" i="7"/>
  <c r="AN300" i="12" s="1"/>
  <c r="AY137" i="7"/>
  <c r="AY297" i="12" s="1"/>
  <c r="AQ141" i="7"/>
  <c r="AQ301" i="12" s="1"/>
  <c r="AE140" i="7"/>
  <c r="AE300" i="12" s="1"/>
  <c r="U308" i="12"/>
  <c r="U42" i="16" s="1"/>
  <c r="V306" i="12"/>
  <c r="AA315" i="12"/>
  <c r="AH315" i="12"/>
  <c r="AO314" i="12"/>
  <c r="BA140" i="7"/>
  <c r="BA300" i="12" s="1"/>
  <c r="AP315" i="12"/>
  <c r="Z135" i="7"/>
  <c r="Z295" i="12" s="1"/>
  <c r="AP311" i="12"/>
  <c r="AH134" i="7"/>
  <c r="AH294" i="12" s="1"/>
  <c r="AH35" i="16" s="1"/>
  <c r="AH52" i="16" s="1"/>
  <c r="AY306" i="12"/>
  <c r="V140" i="7"/>
  <c r="V300" i="12" s="1"/>
  <c r="U315" i="12"/>
  <c r="AR140" i="7"/>
  <c r="AR300" i="12" s="1"/>
  <c r="T306" i="12"/>
  <c r="AO136" i="7"/>
  <c r="AO296" i="12" s="1"/>
  <c r="X308" i="12"/>
  <c r="X42" i="16" s="1"/>
  <c r="AY139" i="7"/>
  <c r="AY299" i="12" s="1"/>
  <c r="AH312" i="12"/>
  <c r="AO133" i="7"/>
  <c r="AO293" i="12" s="1"/>
  <c r="AO34" i="16" s="1"/>
  <c r="AO50" i="16" s="1"/>
  <c r="AI138" i="7"/>
  <c r="AI298" i="12" s="1"/>
  <c r="AB308" i="12"/>
  <c r="AB42" i="16" s="1"/>
  <c r="AP310" i="12"/>
  <c r="BC139" i="7"/>
  <c r="BC299" i="12" s="1"/>
  <c r="V307" i="12"/>
  <c r="V41" i="16" s="1"/>
  <c r="AA312" i="12"/>
  <c r="AT134" i="7"/>
  <c r="AT294" i="12" s="1"/>
  <c r="AT35" i="16" s="1"/>
  <c r="AT52" i="16" s="1"/>
  <c r="AP314" i="12"/>
  <c r="AX132" i="7"/>
  <c r="Y307" i="12"/>
  <c r="Y41" i="16" s="1"/>
  <c r="Z312" i="12"/>
  <c r="AR138" i="7"/>
  <c r="AR298" i="12" s="1"/>
  <c r="AE315" i="12"/>
  <c r="AQ314" i="12"/>
  <c r="BB136" i="7"/>
  <c r="BB296" i="12" s="1"/>
  <c r="AL134" i="7"/>
  <c r="AL294" i="12" s="1"/>
  <c r="AL35" i="16" s="1"/>
  <c r="AL52" i="16" s="1"/>
  <c r="AX310" i="12"/>
  <c r="AZ311" i="12"/>
  <c r="T141" i="7"/>
  <c r="T301" i="12" s="1"/>
  <c r="BB314" i="12"/>
  <c r="AA308" i="12"/>
  <c r="AA42" i="16" s="1"/>
  <c r="AT133" i="7"/>
  <c r="AT293" i="12" s="1"/>
  <c r="AT34" i="16" s="1"/>
  <c r="AT50" i="16" s="1"/>
  <c r="BC138" i="7"/>
  <c r="BC298" i="12" s="1"/>
  <c r="BD313" i="12"/>
  <c r="BG133" i="7"/>
  <c r="BG293" i="12" s="1"/>
  <c r="BG34" i="16" s="1"/>
  <c r="BG50" i="16" s="1"/>
  <c r="AD141" i="7"/>
  <c r="AD301" i="12" s="1"/>
  <c r="AM133" i="7"/>
  <c r="AM293" i="12" s="1"/>
  <c r="AM34" i="16" s="1"/>
  <c r="AM50" i="16" s="1"/>
  <c r="BC141" i="7"/>
  <c r="BC301" i="12" s="1"/>
  <c r="AQ307" i="12"/>
  <c r="AQ41" i="16" s="1"/>
  <c r="AA133" i="7"/>
  <c r="AA293" i="12" s="1"/>
  <c r="AA34" i="16" s="1"/>
  <c r="AX137" i="7"/>
  <c r="AX297" i="12" s="1"/>
  <c r="AE135" i="7"/>
  <c r="AE295" i="12" s="1"/>
  <c r="AF306" i="12"/>
  <c r="AV140" i="7"/>
  <c r="AV300" i="12" s="1"/>
  <c r="AS132" i="7"/>
  <c r="X141" i="7"/>
  <c r="X301" i="12" s="1"/>
  <c r="AD135" i="7"/>
  <c r="AD295" i="12" s="1"/>
  <c r="X311" i="12"/>
  <c r="AX136" i="7"/>
  <c r="AX296" i="12" s="1"/>
  <c r="AO141" i="7"/>
  <c r="AO301" i="12" s="1"/>
  <c r="AQ315" i="12"/>
  <c r="U313" i="12"/>
  <c r="AU312" i="12"/>
  <c r="AU314" i="12"/>
  <c r="BG312" i="12"/>
  <c r="AX312" i="12"/>
  <c r="AF133" i="7"/>
  <c r="AF293" i="12" s="1"/>
  <c r="AF34" i="16" s="1"/>
  <c r="BG315" i="12"/>
  <c r="BG141" i="7"/>
  <c r="BG301" i="12" s="1"/>
  <c r="AM132" i="7"/>
  <c r="BE141" i="7"/>
  <c r="BE301" i="12" s="1"/>
  <c r="AX313" i="12"/>
  <c r="AN312" i="12"/>
  <c r="AJ312" i="12"/>
  <c r="AP313" i="12"/>
  <c r="AX309" i="12"/>
  <c r="AE311" i="12"/>
  <c r="AW134" i="7"/>
  <c r="AW294" i="12" s="1"/>
  <c r="AW35" i="16" s="1"/>
  <c r="AW52" i="16" s="1"/>
  <c r="AQ140" i="7"/>
  <c r="AQ300" i="12" s="1"/>
  <c r="AC133" i="7"/>
  <c r="AC293" i="12" s="1"/>
  <c r="AC34" i="16" s="1"/>
  <c r="AC50" i="16" s="1"/>
  <c r="AS310" i="12"/>
  <c r="BE132" i="7"/>
  <c r="AN139" i="7"/>
  <c r="AN299" i="12" s="1"/>
  <c r="AF308" i="12"/>
  <c r="AF42" i="16" s="1"/>
  <c r="BG311" i="12"/>
  <c r="X137" i="7"/>
  <c r="X297" i="12" s="1"/>
  <c r="AV137" i="7"/>
  <c r="AV297" i="12" s="1"/>
  <c r="AZ136" i="7"/>
  <c r="AZ296" i="12" s="1"/>
  <c r="AI132" i="7"/>
  <c r="BA139" i="7"/>
  <c r="BA299" i="12" s="1"/>
  <c r="AC136" i="7"/>
  <c r="AC296" i="12" s="1"/>
  <c r="AI311" i="12"/>
  <c r="AV307" i="12"/>
  <c r="AV41" i="16" s="1"/>
  <c r="AU315" i="12"/>
  <c r="AU135" i="7"/>
  <c r="AU295" i="12" s="1"/>
  <c r="AD132" i="7"/>
  <c r="AD313" i="12"/>
  <c r="AN141" i="7"/>
  <c r="AN301" i="12" s="1"/>
  <c r="AT314" i="12"/>
  <c r="V315" i="12"/>
  <c r="AH314" i="12"/>
  <c r="AZ313" i="12"/>
  <c r="AJ308" i="12"/>
  <c r="AJ42" i="16" s="1"/>
  <c r="AZ141" i="7"/>
  <c r="AZ301" i="12" s="1"/>
  <c r="AO132" i="7"/>
  <c r="AK308" i="12"/>
  <c r="AK42" i="16" s="1"/>
  <c r="BF141" i="7"/>
  <c r="BF301" i="12" s="1"/>
  <c r="AR314" i="12"/>
  <c r="AV135" i="7"/>
  <c r="AV295" i="12" s="1"/>
  <c r="AN136" i="7"/>
  <c r="AN296" i="12" s="1"/>
  <c r="AX311" i="12"/>
  <c r="AG135" i="7"/>
  <c r="AG295" i="12" s="1"/>
  <c r="U134" i="7"/>
  <c r="U294" i="12" s="1"/>
  <c r="U35" i="16" s="1"/>
  <c r="BB310" i="12"/>
  <c r="AY134" i="7"/>
  <c r="AY294" i="12" s="1"/>
  <c r="AY35" i="16" s="1"/>
  <c r="AY52" i="16" s="1"/>
  <c r="BB137" i="7"/>
  <c r="BB297" i="12" s="1"/>
  <c r="AK314" i="12"/>
  <c r="BE308" i="12"/>
  <c r="BE42" i="16" s="1"/>
  <c r="AN311" i="12"/>
  <c r="U133" i="7"/>
  <c r="U293" i="12" s="1"/>
  <c r="U34" i="16" s="1"/>
  <c r="AD133" i="7"/>
  <c r="AD293" i="12" s="1"/>
  <c r="AD34" i="16" s="1"/>
  <c r="AD50" i="16" s="1"/>
  <c r="AL141" i="7"/>
  <c r="AL301" i="12" s="1"/>
  <c r="W314" i="12"/>
  <c r="Y138" i="7"/>
  <c r="Y298" i="12" s="1"/>
  <c r="Z313" i="12"/>
  <c r="AL314" i="12"/>
  <c r="AP133" i="7"/>
  <c r="AP293" i="12" s="1"/>
  <c r="AP34" i="16" s="1"/>
  <c r="AP50" i="16" s="1"/>
  <c r="AQ308" i="12"/>
  <c r="AQ42" i="16" s="1"/>
  <c r="BD133" i="7"/>
  <c r="BD293" i="12" s="1"/>
  <c r="BD34" i="16" s="1"/>
  <c r="U139" i="7"/>
  <c r="U299" i="12" s="1"/>
  <c r="BE133" i="7"/>
  <c r="BE293" i="12" s="1"/>
  <c r="BE34" i="16" s="1"/>
  <c r="BE50" i="16" s="1"/>
  <c r="Z138" i="7"/>
  <c r="Z298" i="12" s="1"/>
  <c r="AP134" i="7"/>
  <c r="AP294" i="12" s="1"/>
  <c r="AP35" i="16" s="1"/>
  <c r="AP52" i="16" s="1"/>
  <c r="AN138" i="7"/>
  <c r="AN298" i="12" s="1"/>
  <c r="W141" i="7"/>
  <c r="W301" i="12" s="1"/>
  <c r="BD309" i="12"/>
  <c r="BF135" i="7"/>
  <c r="BF295" i="12" s="1"/>
  <c r="AF314" i="12"/>
  <c r="AW308" i="12"/>
  <c r="AW42" i="16" s="1"/>
  <c r="BB312" i="12"/>
  <c r="AP135" i="7"/>
  <c r="AP295" i="12" s="1"/>
  <c r="U307" i="12"/>
  <c r="U41" i="16" s="1"/>
  <c r="BB313" i="12"/>
  <c r="AP139" i="7"/>
  <c r="AP299" i="12" s="1"/>
  <c r="AT138" i="7"/>
  <c r="AT298" i="12" s="1"/>
  <c r="AJ313" i="12"/>
  <c r="BB306" i="12"/>
  <c r="AG315" i="12"/>
  <c r="AM309" i="12"/>
  <c r="AK312" i="12"/>
  <c r="AJ133" i="7"/>
  <c r="AJ293" i="12" s="1"/>
  <c r="AJ34" i="16" s="1"/>
  <c r="AC140" i="7"/>
  <c r="AC300" i="12" s="1"/>
  <c r="BC137" i="7"/>
  <c r="BC297" i="12" s="1"/>
  <c r="BE137" i="7"/>
  <c r="BE297" i="12" s="1"/>
  <c r="AQ306" i="12"/>
  <c r="AT307" i="12"/>
  <c r="AT41" i="16" s="1"/>
  <c r="BC136" i="7"/>
  <c r="BC296" i="12" s="1"/>
  <c r="AD138" i="7"/>
  <c r="AD298" i="12" s="1"/>
  <c r="AO309" i="12"/>
  <c r="AG137" i="7"/>
  <c r="AG297" i="12" s="1"/>
  <c r="AQ133" i="7"/>
  <c r="AQ293" i="12" s="1"/>
  <c r="AQ34" i="16" s="1"/>
  <c r="AQ50" i="16" s="1"/>
  <c r="AL133" i="7"/>
  <c r="AL293" i="12" s="1"/>
  <c r="AL34" i="16" s="1"/>
  <c r="AL50" i="16" s="1"/>
  <c r="AZ309" i="12"/>
  <c r="AW309" i="12"/>
  <c r="AR139" i="7"/>
  <c r="AR299" i="12" s="1"/>
  <c r="AH310" i="12"/>
  <c r="BG135" i="7"/>
  <c r="BG295" i="12" s="1"/>
  <c r="AW139" i="7"/>
  <c r="AW299" i="12" s="1"/>
  <c r="X139" i="7"/>
  <c r="X299" i="12" s="1"/>
  <c r="AZ139" i="7"/>
  <c r="AZ299" i="12" s="1"/>
  <c r="AB133" i="7"/>
  <c r="AB293" i="12" s="1"/>
  <c r="AB34" i="16" s="1"/>
  <c r="AD315" i="12"/>
  <c r="AU309" i="12"/>
  <c r="X315" i="12"/>
  <c r="AN133" i="7"/>
  <c r="AN293" i="12" s="1"/>
  <c r="AN34" i="16" s="1"/>
  <c r="Z137" i="7"/>
  <c r="Z297" i="12" s="1"/>
  <c r="X135" i="7"/>
  <c r="X295" i="12" s="1"/>
  <c r="AY310" i="12"/>
  <c r="T308" i="12"/>
  <c r="T42" i="16" s="1"/>
  <c r="BG138" i="7"/>
  <c r="BG298" i="12" s="1"/>
  <c r="BC307" i="12"/>
  <c r="BC41" i="16" s="1"/>
  <c r="X136" i="7"/>
  <c r="X296" i="12" s="1"/>
  <c r="AP309" i="12"/>
  <c r="AI139" i="7"/>
  <c r="AI299" i="12" s="1"/>
  <c r="AG311" i="12"/>
  <c r="AS309" i="12"/>
  <c r="AS140" i="7"/>
  <c r="AS300" i="12" s="1"/>
  <c r="AV134" i="7"/>
  <c r="AV294" i="12" s="1"/>
  <c r="AV35" i="16" s="1"/>
  <c r="AC135" i="7"/>
  <c r="AC295" i="12" s="1"/>
  <c r="AR133" i="7"/>
  <c r="AR293" i="12" s="1"/>
  <c r="AR34" i="16" s="1"/>
  <c r="AY314" i="12"/>
  <c r="AR306" i="12"/>
  <c r="AH135" i="7"/>
  <c r="AH295" i="12" s="1"/>
  <c r="T311" i="12"/>
  <c r="AL312" i="12"/>
  <c r="BA141" i="7"/>
  <c r="BA301" i="12" s="1"/>
  <c r="AJ138" i="7"/>
  <c r="AJ298" i="12" s="1"/>
  <c r="AZ314" i="12"/>
  <c r="AK140" i="7"/>
  <c r="AK300" i="12" s="1"/>
  <c r="AL311" i="12"/>
  <c r="AK315" i="12"/>
  <c r="BD132" i="7"/>
  <c r="AH311" i="12"/>
  <c r="AW138" i="7"/>
  <c r="AW298" i="12" s="1"/>
  <c r="AO307" i="12"/>
  <c r="AO41" i="16" s="1"/>
  <c r="AU308" i="12"/>
  <c r="AU42" i="16" s="1"/>
  <c r="AH132" i="7"/>
  <c r="AF134" i="7"/>
  <c r="AF294" i="12" s="1"/>
  <c r="AF35" i="16" s="1"/>
  <c r="AH137" i="7"/>
  <c r="AH297" i="12" s="1"/>
  <c r="BA312" i="12"/>
  <c r="BA308" i="12"/>
  <c r="BA42" i="16" s="1"/>
  <c r="AZ306" i="12"/>
  <c r="X310" i="12"/>
  <c r="AK135" i="7"/>
  <c r="AK295" i="12" s="1"/>
  <c r="BE136" i="7"/>
  <c r="BE296" i="12" s="1"/>
  <c r="BE310" i="12"/>
  <c r="AF141" i="7"/>
  <c r="AF301" i="12" s="1"/>
  <c r="Y315" i="12"/>
  <c r="AB140" i="7"/>
  <c r="AB300" i="12" s="1"/>
  <c r="W310" i="12"/>
  <c r="AA309" i="12"/>
  <c r="AG134" i="7"/>
  <c r="AG294" i="12" s="1"/>
  <c r="AG35" i="16" s="1"/>
  <c r="AG52" i="16" s="1"/>
  <c r="AY308" i="12"/>
  <c r="AY42" i="16" s="1"/>
  <c r="BD314" i="12"/>
  <c r="AF307" i="12"/>
  <c r="AF41" i="16" s="1"/>
  <c r="Y136" i="7"/>
  <c r="Y296" i="12" s="1"/>
  <c r="T138" i="7"/>
  <c r="T298" i="12" s="1"/>
  <c r="AK306" i="12"/>
  <c r="AN308" i="12"/>
  <c r="AN42" i="16" s="1"/>
  <c r="AF135" i="7"/>
  <c r="AF295" i="12" s="1"/>
  <c r="AV311" i="12"/>
  <c r="AV310" i="12"/>
  <c r="AH140" i="7"/>
  <c r="AH300" i="12" s="1"/>
  <c r="AU313" i="12"/>
  <c r="AO140" i="7"/>
  <c r="AO300" i="12" s="1"/>
  <c r="AE307" i="12"/>
  <c r="AE41" i="16" s="1"/>
  <c r="V134" i="7"/>
  <c r="V294" i="12" s="1"/>
  <c r="V35" i="16" s="1"/>
  <c r="AN306" i="12"/>
  <c r="V309" i="12"/>
  <c r="AM310" i="12"/>
  <c r="BG309" i="12"/>
  <c r="AM139" i="7"/>
  <c r="AM299" i="12" s="1"/>
  <c r="W136" i="7"/>
  <c r="W296" i="12" s="1"/>
  <c r="AI315" i="12"/>
  <c r="BG140" i="7"/>
  <c r="BG300" i="12" s="1"/>
  <c r="BD312" i="12"/>
  <c r="AC309" i="12"/>
  <c r="BB309" i="12"/>
  <c r="AX308" i="12"/>
  <c r="AX42" i="16" s="1"/>
  <c r="AM314" i="12"/>
  <c r="AS138" i="7"/>
  <c r="AS298" i="12" s="1"/>
  <c r="AJ137" i="7"/>
  <c r="AJ297" i="12" s="1"/>
  <c r="AW132" i="7"/>
  <c r="AB311" i="12"/>
  <c r="AN132" i="7"/>
  <c r="AN313" i="12"/>
  <c r="Z306" i="12"/>
  <c r="AT315" i="12"/>
  <c r="U310" i="12"/>
  <c r="BA309" i="12"/>
  <c r="AH133" i="7"/>
  <c r="AH293" i="12" s="1"/>
  <c r="AH34" i="16" s="1"/>
  <c r="AH50" i="16" s="1"/>
  <c r="AG136" i="7"/>
  <c r="AG296" i="12" s="1"/>
  <c r="AT313" i="12"/>
  <c r="BF314" i="12"/>
  <c r="AM136" i="7"/>
  <c r="AM296" i="12" s="1"/>
  <c r="W311" i="12"/>
  <c r="AC311" i="12"/>
  <c r="BG139" i="7"/>
  <c r="BG299" i="12" s="1"/>
  <c r="AM134" i="7"/>
  <c r="AM294" i="12" s="1"/>
  <c r="AM35" i="16" s="1"/>
  <c r="AM52" i="16" s="1"/>
  <c r="AB314" i="12"/>
  <c r="AA141" i="7"/>
  <c r="AA301" i="12" s="1"/>
  <c r="AC308" i="12"/>
  <c r="AC42" i="16" s="1"/>
  <c r="BA138" i="7"/>
  <c r="BA298" i="12" s="1"/>
  <c r="BE312" i="12"/>
  <c r="T139" i="7"/>
  <c r="T299" i="12" s="1"/>
  <c r="AD136" i="7"/>
  <c r="AD296" i="12" s="1"/>
  <c r="AU136" i="7"/>
  <c r="AU296" i="12" s="1"/>
  <c r="BC315" i="12"/>
  <c r="AG140" i="7"/>
  <c r="AG300" i="12" s="1"/>
  <c r="AQ313" i="12"/>
  <c r="Z309" i="12"/>
  <c r="AY133" i="7"/>
  <c r="AY293" i="12" s="1"/>
  <c r="AY34" i="16" s="1"/>
  <c r="AY50" i="16" s="1"/>
  <c r="AG132" i="7"/>
  <c r="AP137" i="7"/>
  <c r="AP297" i="12" s="1"/>
  <c r="AD310" i="12"/>
  <c r="AD139" i="7"/>
  <c r="AD299" i="12" s="1"/>
  <c r="E7" i="35"/>
  <c r="F7" i="35"/>
  <c r="L7" i="35" s="1"/>
  <c r="L8" i="35" s="1"/>
  <c r="AP22" i="22"/>
  <c r="H16" i="33" s="1"/>
  <c r="K106" i="38"/>
  <c r="K109" i="38" s="1"/>
  <c r="M12" i="19"/>
  <c r="AK116" i="7"/>
  <c r="AB119" i="7"/>
  <c r="BF116" i="7"/>
  <c r="AX120" i="7"/>
  <c r="BG120" i="7"/>
  <c r="AG119" i="7"/>
  <c r="AX116" i="7"/>
  <c r="AX118" i="7"/>
  <c r="W118" i="7"/>
  <c r="AN116" i="7"/>
  <c r="BG119" i="7"/>
  <c r="AV121" i="7"/>
  <c r="AE120" i="7"/>
  <c r="AD123" i="7"/>
  <c r="AZ123" i="7"/>
  <c r="AL118" i="7"/>
  <c r="AK122" i="7"/>
  <c r="W117" i="7"/>
  <c r="AB116" i="7"/>
  <c r="AF116" i="7"/>
  <c r="X122" i="7"/>
  <c r="BD123" i="7"/>
  <c r="BB119" i="7"/>
  <c r="AM120" i="7"/>
  <c r="BC119" i="7"/>
  <c r="AQ121" i="7"/>
  <c r="BE123" i="7"/>
  <c r="AX121" i="7"/>
  <c r="AW118" i="7"/>
  <c r="AE116" i="7"/>
  <c r="AP120" i="7"/>
  <c r="AH119" i="7"/>
  <c r="BB117" i="7"/>
  <c r="V117" i="7"/>
  <c r="AK119" i="7"/>
  <c r="AD117" i="7"/>
  <c r="V119" i="7"/>
  <c r="AC122" i="7"/>
  <c r="AU120" i="7"/>
  <c r="BB118" i="7"/>
  <c r="AZ118" i="7"/>
  <c r="BG118" i="7"/>
  <c r="Z117" i="7"/>
  <c r="AB117" i="7"/>
  <c r="Y119" i="7"/>
  <c r="AR123" i="7"/>
  <c r="AQ120" i="7"/>
  <c r="AJ123" i="7"/>
  <c r="AK120" i="7"/>
  <c r="AT120" i="7"/>
  <c r="X119" i="7"/>
  <c r="AJ119" i="7"/>
  <c r="BF117" i="7"/>
  <c r="T118" i="7"/>
  <c r="T116" i="7"/>
  <c r="AZ116" i="7"/>
  <c r="AK117" i="7"/>
  <c r="AL117" i="7"/>
  <c r="AN118" i="7"/>
  <c r="AS122" i="7"/>
  <c r="AR119" i="7"/>
  <c r="BF118" i="7"/>
  <c r="Y120" i="7"/>
  <c r="BC117" i="7"/>
  <c r="AZ119" i="7"/>
  <c r="AS121" i="7"/>
  <c r="AD120" i="7"/>
  <c r="BA116" i="7"/>
  <c r="BD116" i="7"/>
  <c r="BC122" i="7"/>
  <c r="AS119" i="7"/>
  <c r="AQ119" i="7"/>
  <c r="AZ121" i="7"/>
  <c r="AO119" i="7"/>
  <c r="AY120" i="7"/>
  <c r="AV120" i="7"/>
  <c r="AG121" i="7"/>
  <c r="AC120" i="7"/>
  <c r="AU121" i="7"/>
  <c r="BA122" i="7"/>
  <c r="BD122" i="7"/>
  <c r="AR118" i="7"/>
  <c r="AA122" i="7"/>
  <c r="T123" i="7"/>
  <c r="Y118" i="7"/>
  <c r="AM119" i="7"/>
  <c r="AC119" i="7"/>
  <c r="AE122" i="7"/>
  <c r="AP119" i="7"/>
  <c r="AJ117" i="7"/>
  <c r="AM122" i="7"/>
  <c r="BC116" i="7"/>
  <c r="V123" i="7"/>
  <c r="AA119" i="7"/>
  <c r="BE122" i="7"/>
  <c r="BG116" i="7"/>
  <c r="AG120" i="7"/>
  <c r="AC117" i="7"/>
  <c r="AQ122" i="7"/>
  <c r="BE117" i="7"/>
  <c r="BA117" i="7"/>
  <c r="T117" i="7"/>
  <c r="AJ118" i="7"/>
  <c r="AP122" i="7"/>
  <c r="AH120" i="7"/>
  <c r="BG121" i="7"/>
  <c r="AV119" i="7"/>
  <c r="AJ116" i="7"/>
  <c r="W116" i="7"/>
  <c r="BA119" i="7"/>
  <c r="AD121" i="7"/>
  <c r="AF122" i="7"/>
  <c r="AO116" i="7"/>
  <c r="AT121" i="7"/>
  <c r="BG117" i="7"/>
  <c r="X116" i="7"/>
  <c r="AE118" i="7"/>
  <c r="AK118" i="7"/>
  <c r="AR117" i="7"/>
  <c r="AV118" i="7"/>
  <c r="U119" i="7"/>
  <c r="AV123" i="7"/>
  <c r="AI116" i="7"/>
  <c r="U116" i="7"/>
  <c r="W123" i="7"/>
  <c r="AJ122" i="7"/>
  <c r="AT119" i="7"/>
  <c r="AO121" i="7"/>
  <c r="BD119" i="7"/>
  <c r="Y123" i="7"/>
  <c r="Z123" i="7"/>
  <c r="U122" i="7"/>
  <c r="AB123" i="7"/>
  <c r="BB121" i="7"/>
  <c r="AN122" i="7"/>
  <c r="AW117" i="7"/>
  <c r="AR116" i="7"/>
  <c r="T120" i="7"/>
  <c r="AW121" i="7"/>
  <c r="AC121" i="7"/>
  <c r="W119" i="7"/>
  <c r="Z119" i="7"/>
  <c r="AD118" i="7"/>
  <c r="AG118" i="7"/>
  <c r="AU116" i="7"/>
  <c r="AH123" i="7"/>
  <c r="AP121" i="7"/>
  <c r="AT116" i="7"/>
  <c r="AG116" i="7"/>
  <c r="AL123" i="7"/>
  <c r="X120" i="7"/>
  <c r="AY122" i="7"/>
  <c r="AG123" i="7"/>
  <c r="AA123" i="7"/>
  <c r="AR120" i="7"/>
  <c r="AL120" i="7"/>
  <c r="AY121" i="7"/>
  <c r="AO117" i="7"/>
  <c r="AA116" i="7"/>
  <c r="AU118" i="7"/>
  <c r="BD121" i="7"/>
  <c r="BE120" i="7"/>
  <c r="AQ117" i="7"/>
  <c r="AJ121" i="7"/>
  <c r="AM121" i="7"/>
  <c r="AX123" i="7"/>
  <c r="AE117" i="7"/>
  <c r="T122" i="7"/>
  <c r="BF123" i="7"/>
  <c r="Z116" i="7"/>
  <c r="AH118" i="7"/>
  <c r="BF121" i="7"/>
  <c r="AM117" i="7"/>
  <c r="AC116" i="7"/>
  <c r="BA118" i="7"/>
  <c r="AH117" i="7"/>
  <c r="AI120" i="7"/>
  <c r="AE123" i="7"/>
  <c r="AY123" i="7"/>
  <c r="AX122" i="7"/>
  <c r="U117" i="7"/>
  <c r="AK123" i="7"/>
  <c r="AS120" i="7"/>
  <c r="BF120" i="7"/>
  <c r="AU119" i="7"/>
  <c r="BC121" i="7"/>
  <c r="AL119" i="7"/>
  <c r="AR121" i="7"/>
  <c r="AD119" i="7"/>
  <c r="BB123" i="7"/>
  <c r="X117" i="7"/>
  <c r="V121" i="7"/>
  <c r="AE119" i="7"/>
  <c r="AO123" i="7"/>
  <c r="Z121" i="7"/>
  <c r="AH116" i="7"/>
  <c r="AP118" i="7"/>
  <c r="AA117" i="7"/>
  <c r="AM116" i="7"/>
  <c r="AF117" i="7"/>
  <c r="AN119" i="7"/>
  <c r="V116" i="7"/>
  <c r="BD118" i="7"/>
  <c r="AK121" i="7"/>
  <c r="AC123" i="7"/>
  <c r="AQ118" i="7"/>
  <c r="BC123" i="7"/>
  <c r="AB122" i="7"/>
  <c r="Y122" i="7"/>
  <c r="AA118" i="7"/>
  <c r="AI119" i="7"/>
  <c r="AF118" i="7"/>
  <c r="AS117" i="7"/>
  <c r="AZ117" i="7"/>
  <c r="Y117" i="7"/>
  <c r="AB118" i="7"/>
  <c r="BE118" i="7"/>
  <c r="AW123" i="7"/>
  <c r="AP117" i="7"/>
  <c r="AF120" i="7"/>
  <c r="BB122" i="7"/>
  <c r="AY118" i="7"/>
  <c r="AO118" i="7"/>
  <c r="AD122" i="7"/>
  <c r="AL122" i="7"/>
  <c r="AU122" i="7"/>
  <c r="AI121" i="7"/>
  <c r="BF119" i="7"/>
  <c r="W121" i="7"/>
  <c r="AT118" i="7"/>
  <c r="AL116" i="7"/>
  <c r="Z118" i="7"/>
  <c r="AL121" i="7"/>
  <c r="AF123" i="7"/>
  <c r="W120" i="7"/>
  <c r="Y116" i="7"/>
  <c r="AF119" i="7"/>
  <c r="BA123" i="7"/>
  <c r="BE119" i="7"/>
  <c r="AQ116" i="7"/>
  <c r="V122" i="7"/>
  <c r="AG117" i="7"/>
  <c r="AY117" i="7"/>
  <c r="AV122" i="7"/>
  <c r="AX117" i="7"/>
  <c r="AQ123" i="7"/>
  <c r="AM118" i="7"/>
  <c r="AJ120" i="7"/>
  <c r="AX119" i="7"/>
  <c r="AA120" i="7"/>
  <c r="AZ120" i="7"/>
  <c r="AV116" i="7"/>
  <c r="AI123" i="7"/>
  <c r="V120" i="7"/>
  <c r="AN121" i="7"/>
  <c r="BB120" i="7"/>
  <c r="AS116" i="7"/>
  <c r="U118" i="7"/>
  <c r="AO120" i="7"/>
  <c r="AW119" i="7"/>
  <c r="BE116" i="7"/>
  <c r="AB121" i="7"/>
  <c r="BC120" i="7"/>
  <c r="AD116" i="7"/>
  <c r="Z120" i="7"/>
  <c r="AU123" i="7"/>
  <c r="V118" i="7"/>
  <c r="AT117" i="7"/>
  <c r="U121" i="7"/>
  <c r="Z122" i="7"/>
  <c r="AU124" i="7"/>
  <c r="AP116" i="7"/>
  <c r="AB120" i="7"/>
  <c r="U120" i="7"/>
  <c r="BG122" i="7"/>
  <c r="AM123" i="7"/>
  <c r="AA121" i="7"/>
  <c r="AP123" i="7"/>
  <c r="BA120" i="7"/>
  <c r="AZ122" i="7"/>
  <c r="AY116" i="7"/>
  <c r="AV117" i="7"/>
  <c r="AI122" i="7"/>
  <c r="AI117" i="7"/>
  <c r="AI118" i="7"/>
  <c r="W122" i="7"/>
  <c r="X121" i="7"/>
  <c r="AO122" i="7"/>
  <c r="AW122" i="7"/>
  <c r="BG123" i="7"/>
  <c r="AN123" i="7"/>
  <c r="BD120" i="7"/>
  <c r="AH121" i="7"/>
  <c r="U123" i="7"/>
  <c r="AY119" i="7"/>
  <c r="AC118" i="7"/>
  <c r="AE121" i="7"/>
  <c r="BD117" i="7"/>
  <c r="AS118" i="7"/>
  <c r="BB116" i="7"/>
  <c r="BE121" i="7"/>
  <c r="AF121" i="7"/>
  <c r="T119" i="7"/>
  <c r="AN117" i="7"/>
  <c r="BA121" i="7"/>
  <c r="X123" i="7"/>
  <c r="BF122" i="7"/>
  <c r="AS123" i="7"/>
  <c r="AW116" i="7"/>
  <c r="T121" i="7"/>
  <c r="AH122" i="7"/>
  <c r="Y121" i="7"/>
  <c r="AU117" i="7"/>
  <c r="AR122" i="7"/>
  <c r="AT123" i="7"/>
  <c r="BC118" i="7"/>
  <c r="AW120" i="7"/>
  <c r="X118" i="7"/>
  <c r="AG122" i="7"/>
  <c r="AT122" i="7"/>
  <c r="BC125" i="7"/>
  <c r="AJ125" i="7"/>
  <c r="AO124" i="7"/>
  <c r="AV125" i="7"/>
  <c r="AT124" i="7"/>
  <c r="BF124" i="7"/>
  <c r="AR124" i="7"/>
  <c r="T125" i="7"/>
  <c r="AP125" i="7"/>
  <c r="AA124" i="7"/>
  <c r="V124" i="7"/>
  <c r="AY124" i="7"/>
  <c r="AZ125" i="7"/>
  <c r="W124" i="7"/>
  <c r="AC124" i="7"/>
  <c r="AH124" i="7"/>
  <c r="BA124" i="7"/>
  <c r="Y125" i="7"/>
  <c r="AM125" i="7"/>
  <c r="AR125" i="7"/>
  <c r="AL124" i="7"/>
  <c r="Z124" i="7"/>
  <c r="AT125" i="7"/>
  <c r="AW125" i="7"/>
  <c r="AN124" i="7"/>
  <c r="BB124" i="7"/>
  <c r="AP124" i="7"/>
  <c r="AN125" i="7"/>
  <c r="AG125" i="7"/>
  <c r="X124" i="7"/>
  <c r="AS124" i="7"/>
  <c r="AO125" i="7"/>
  <c r="AF124" i="7"/>
  <c r="AD125" i="7"/>
  <c r="AK125" i="7"/>
  <c r="AI124" i="7"/>
  <c r="AY125" i="7"/>
  <c r="V125" i="7"/>
  <c r="BE125" i="7"/>
  <c r="U125" i="7"/>
  <c r="BG125" i="7"/>
  <c r="AV124" i="7"/>
  <c r="Y124" i="7"/>
  <c r="AE125" i="7"/>
  <c r="AX124" i="7"/>
  <c r="AF125" i="7"/>
  <c r="BD125" i="7"/>
  <c r="AJ124" i="7"/>
  <c r="AQ124" i="7"/>
  <c r="BC124" i="7"/>
  <c r="AB125" i="7"/>
  <c r="BA125" i="7"/>
  <c r="BB125" i="7"/>
  <c r="T124" i="7"/>
  <c r="U124" i="7"/>
  <c r="AS125" i="7"/>
  <c r="BD124" i="7"/>
  <c r="AD124" i="7"/>
  <c r="AG145" i="8"/>
  <c r="AF141" i="8"/>
  <c r="AZ146" i="8"/>
  <c r="AJ143" i="8"/>
  <c r="AB145" i="8"/>
  <c r="AI139" i="8"/>
  <c r="BE140" i="8"/>
  <c r="AR141" i="8"/>
  <c r="Y142" i="8"/>
  <c r="AL145" i="8"/>
  <c r="BB139" i="8"/>
  <c r="AQ146" i="8"/>
  <c r="AW146" i="8"/>
  <c r="AC145" i="8"/>
  <c r="AA142" i="8"/>
  <c r="AT145" i="8"/>
  <c r="AP144" i="8"/>
  <c r="BE144" i="8"/>
  <c r="AT144" i="8"/>
  <c r="AE146" i="8"/>
  <c r="AC143" i="8"/>
  <c r="AQ140" i="8"/>
  <c r="AM141" i="8"/>
  <c r="AL144" i="8"/>
  <c r="AG140" i="8"/>
  <c r="AE140" i="8"/>
  <c r="AG141" i="8"/>
  <c r="AN141" i="8"/>
  <c r="AN140" i="8"/>
  <c r="AN145" i="8"/>
  <c r="AA141" i="8"/>
  <c r="AS140" i="8"/>
  <c r="BA145" i="8"/>
  <c r="Z140" i="8"/>
  <c r="AO144" i="8"/>
  <c r="AA139" i="8"/>
  <c r="AW145" i="8"/>
  <c r="BA139" i="8"/>
  <c r="U141" i="8"/>
  <c r="AU140" i="8"/>
  <c r="AU141" i="8"/>
  <c r="V139" i="8"/>
  <c r="AW144" i="8"/>
  <c r="BB146" i="8"/>
  <c r="W140" i="8"/>
  <c r="AH145" i="8"/>
  <c r="AX141" i="8"/>
  <c r="BE143" i="8"/>
  <c r="BF146" i="8"/>
  <c r="AK140" i="8"/>
  <c r="U146" i="8"/>
  <c r="AO143" i="8"/>
  <c r="AS145" i="8"/>
  <c r="AD144" i="8"/>
  <c r="BG139" i="8"/>
  <c r="Y140" i="8"/>
  <c r="AJ146" i="8"/>
  <c r="AK143" i="8"/>
  <c r="AI140" i="8"/>
  <c r="AW143" i="8"/>
  <c r="BC142" i="8"/>
  <c r="AO139" i="8"/>
  <c r="AO140" i="8"/>
  <c r="AE144" i="8"/>
  <c r="BB144" i="8"/>
  <c r="AG143" i="8"/>
  <c r="T140" i="8"/>
  <c r="AB140" i="8"/>
  <c r="V141" i="8"/>
  <c r="AY139" i="8"/>
  <c r="AN146" i="8"/>
  <c r="AB147" i="8"/>
  <c r="AJ139" i="8"/>
  <c r="W146" i="8"/>
  <c r="AM145" i="8"/>
  <c r="U139" i="8"/>
  <c r="X139" i="8"/>
  <c r="AW141" i="8"/>
  <c r="AP143" i="8"/>
  <c r="AQ145" i="8"/>
  <c r="AW142" i="8"/>
  <c r="BD140" i="8"/>
  <c r="AK142" i="8"/>
  <c r="W139" i="8"/>
  <c r="AL141" i="8"/>
  <c r="AC142" i="8"/>
  <c r="AK144" i="8"/>
  <c r="AT139" i="8"/>
  <c r="AK146" i="8"/>
  <c r="AX146" i="8"/>
  <c r="BC143" i="8"/>
  <c r="BC145" i="8"/>
  <c r="T145" i="8"/>
  <c r="AY141" i="8"/>
  <c r="AS141" i="8"/>
  <c r="AP141" i="8"/>
  <c r="AJ140" i="8"/>
  <c r="BC141" i="8"/>
  <c r="AB143" i="8"/>
  <c r="AY140" i="8"/>
  <c r="AP139" i="8"/>
  <c r="BG143" i="8"/>
  <c r="BC146" i="8"/>
  <c r="AP146" i="8"/>
  <c r="AU144" i="8"/>
  <c r="AK141" i="8"/>
  <c r="Y139" i="8"/>
  <c r="AN142" i="8"/>
  <c r="BG144" i="8"/>
  <c r="Y141" i="8"/>
  <c r="AY144" i="8"/>
  <c r="AI145" i="8"/>
  <c r="AC144" i="8"/>
  <c r="AV144" i="8"/>
  <c r="Y143" i="8"/>
  <c r="T143" i="8"/>
  <c r="AC146" i="8"/>
  <c r="AX144" i="8"/>
  <c r="AH146" i="8"/>
  <c r="BA140" i="8"/>
  <c r="AP142" i="8"/>
  <c r="AZ144" i="8"/>
  <c r="Z145" i="8"/>
  <c r="AM139" i="8"/>
  <c r="BB145" i="8"/>
  <c r="AF144" i="8"/>
  <c r="V143" i="8"/>
  <c r="AS139" i="8"/>
  <c r="V140" i="8"/>
  <c r="AB144" i="8"/>
  <c r="AD146" i="8"/>
  <c r="AH141" i="8"/>
  <c r="AJ141" i="8"/>
  <c r="BB140" i="8"/>
  <c r="BA141" i="8"/>
  <c r="AH143" i="8"/>
  <c r="T144" i="8"/>
  <c r="AH140" i="8"/>
  <c r="AV139" i="8"/>
  <c r="AF139" i="8"/>
  <c r="BE142" i="8"/>
  <c r="AF142" i="8"/>
  <c r="AN144" i="8"/>
  <c r="AQ141" i="8"/>
  <c r="W145" i="8"/>
  <c r="BD142" i="8"/>
  <c r="BF139" i="8"/>
  <c r="AM143" i="8"/>
  <c r="V146" i="8"/>
  <c r="X145" i="8"/>
  <c r="BC140" i="8"/>
  <c r="BB142" i="8"/>
  <c r="AR145" i="8"/>
  <c r="AI142" i="8"/>
  <c r="AD140" i="8"/>
  <c r="AE141" i="8"/>
  <c r="AL140" i="8"/>
  <c r="AW139" i="8"/>
  <c r="AD142" i="8"/>
  <c r="X143" i="8"/>
  <c r="AY145" i="8"/>
  <c r="AJ142" i="8"/>
  <c r="BF142" i="8"/>
  <c r="AP145" i="8"/>
  <c r="AY143" i="8"/>
  <c r="AV141" i="8"/>
  <c r="AV140" i="8"/>
  <c r="AI143" i="8"/>
  <c r="AB139" i="8"/>
  <c r="AF145" i="8"/>
  <c r="Z142" i="8"/>
  <c r="AJ145" i="8"/>
  <c r="AC140" i="8"/>
  <c r="BD145" i="8"/>
  <c r="AX145" i="8"/>
  <c r="U143" i="8"/>
  <c r="BF140" i="8"/>
  <c r="AD139" i="8"/>
  <c r="AH142" i="8"/>
  <c r="AD145" i="8"/>
  <c r="AK145" i="8"/>
  <c r="AT146" i="8"/>
  <c r="AZ139" i="8"/>
  <c r="AU143" i="8"/>
  <c r="AO145" i="8"/>
  <c r="U144" i="8"/>
  <c r="AU146" i="8"/>
  <c r="AF140" i="8"/>
  <c r="AX143" i="8"/>
  <c r="AT141" i="8"/>
  <c r="BF144" i="8"/>
  <c r="BF141" i="8"/>
  <c r="BE145" i="8"/>
  <c r="AB142" i="8"/>
  <c r="Z139" i="8"/>
  <c r="BA146" i="8"/>
  <c r="AF143" i="8"/>
  <c r="BG142" i="8"/>
  <c r="AH139" i="8"/>
  <c r="AR139" i="8"/>
  <c r="U145" i="8"/>
  <c r="AD141" i="8"/>
  <c r="AE145" i="8"/>
  <c r="AU145" i="8"/>
  <c r="AG139" i="8"/>
  <c r="T139" i="8"/>
  <c r="AO142" i="8"/>
  <c r="BD144" i="8"/>
  <c r="AR143" i="8"/>
  <c r="AO141" i="8"/>
  <c r="T146" i="8"/>
  <c r="AA145" i="8"/>
  <c r="BB143" i="8"/>
  <c r="BG141" i="8"/>
  <c r="AT143" i="8"/>
  <c r="T142" i="8"/>
  <c r="Y145" i="8"/>
  <c r="AY142" i="8"/>
  <c r="AW140" i="8"/>
  <c r="U140" i="8"/>
  <c r="AV142" i="8"/>
  <c r="AO146" i="8"/>
  <c r="AM142" i="8"/>
  <c r="BE139" i="8"/>
  <c r="AI141" i="8"/>
  <c r="AY146" i="8"/>
  <c r="AQ139" i="8"/>
  <c r="AS142" i="8"/>
  <c r="AN143" i="8"/>
  <c r="AB141" i="8"/>
  <c r="X144" i="8"/>
  <c r="X141" i="8"/>
  <c r="BA143" i="8"/>
  <c r="BC144" i="8"/>
  <c r="AH144" i="8"/>
  <c r="BD139" i="8"/>
  <c r="V145" i="8"/>
  <c r="X146" i="8"/>
  <c r="Y144" i="8"/>
  <c r="AK139" i="8"/>
  <c r="AL146" i="8"/>
  <c r="BE141" i="8"/>
  <c r="T141" i="8"/>
  <c r="AJ144" i="8"/>
  <c r="AA144" i="8"/>
  <c r="AZ141" i="8"/>
  <c r="Z146" i="8"/>
  <c r="AS144" i="8"/>
  <c r="W143" i="8"/>
  <c r="AA146" i="8"/>
  <c r="BB141" i="8"/>
  <c r="AR140" i="8"/>
  <c r="AZ145" i="8"/>
  <c r="BA142" i="8"/>
  <c r="AF146" i="8"/>
  <c r="AR142" i="8"/>
  <c r="AR144" i="8"/>
  <c r="AL139" i="8"/>
  <c r="AX142" i="8"/>
  <c r="X142" i="8"/>
  <c r="AQ142" i="8"/>
  <c r="W141" i="8"/>
  <c r="BD148" i="8"/>
  <c r="BE146" i="8"/>
  <c r="X140" i="8"/>
  <c r="BD141" i="8"/>
  <c r="BD146" i="8"/>
  <c r="AM140" i="8"/>
  <c r="AL143" i="8"/>
  <c r="AD143" i="8"/>
  <c r="AM146" i="8"/>
  <c r="AC139" i="8"/>
  <c r="AT140" i="8"/>
  <c r="AS147" i="8"/>
  <c r="AS148" i="8"/>
  <c r="V144" i="8"/>
  <c r="AX139" i="8"/>
  <c r="AV143" i="8"/>
  <c r="AQ144" i="8"/>
  <c r="AS146" i="8"/>
  <c r="BF145" i="8"/>
  <c r="BA144" i="8"/>
  <c r="AZ142" i="8"/>
  <c r="AR146" i="8"/>
  <c r="V147" i="8"/>
  <c r="AI146" i="8"/>
  <c r="BD143" i="8"/>
  <c r="AV145" i="8"/>
  <c r="AA143" i="8"/>
  <c r="AU139" i="8"/>
  <c r="BG140" i="8"/>
  <c r="AE139" i="8"/>
  <c r="AV146" i="8"/>
  <c r="AE142" i="8"/>
  <c r="AT142" i="8"/>
  <c r="BG145" i="8"/>
  <c r="AI144" i="8"/>
  <c r="AZ143" i="8"/>
  <c r="AG146" i="8"/>
  <c r="Y146" i="8"/>
  <c r="AS143" i="8"/>
  <c r="BG146" i="8"/>
  <c r="AG142" i="8"/>
  <c r="AN139" i="8"/>
  <c r="V142" i="8"/>
  <c r="AM144" i="8"/>
  <c r="AG144" i="8"/>
  <c r="AL142" i="8"/>
  <c r="AQ143" i="8"/>
  <c r="AE143" i="8"/>
  <c r="W144" i="8"/>
  <c r="Z141" i="8"/>
  <c r="BF143" i="8"/>
  <c r="W142" i="8"/>
  <c r="AB146" i="8"/>
  <c r="AA140" i="8"/>
  <c r="AX140" i="8"/>
  <c r="AU142" i="8"/>
  <c r="BC139" i="8"/>
  <c r="AC141" i="8"/>
  <c r="AZ140" i="8"/>
  <c r="Z144" i="8"/>
  <c r="U142" i="8"/>
  <c r="Z143" i="8"/>
  <c r="X147" i="8"/>
  <c r="AK147" i="8"/>
  <c r="AH147" i="8"/>
  <c r="AQ147" i="8"/>
  <c r="W148" i="8"/>
  <c r="AG147" i="8"/>
  <c r="BE148" i="8"/>
  <c r="AT148" i="8"/>
  <c r="AR147" i="8"/>
  <c r="AU147" i="8"/>
  <c r="AW148" i="8"/>
  <c r="AC148" i="8"/>
  <c r="AW147" i="8"/>
  <c r="BB148" i="8"/>
  <c r="AA148" i="8"/>
  <c r="AL148" i="8"/>
  <c r="AV148" i="8"/>
  <c r="AT147" i="8"/>
  <c r="AU148" i="8"/>
  <c r="AV147" i="8"/>
  <c r="AL147" i="8"/>
  <c r="AO147" i="8"/>
  <c r="AE148" i="8"/>
  <c r="AB148" i="8"/>
  <c r="AK148" i="8"/>
  <c r="BG147" i="8"/>
  <c r="AE147" i="8"/>
  <c r="BB147" i="8"/>
  <c r="AM147" i="8"/>
  <c r="X148" i="8"/>
  <c r="AN147" i="8"/>
  <c r="Z147" i="8"/>
  <c r="AA147" i="8"/>
  <c r="W147" i="8"/>
  <c r="Y148" i="8"/>
  <c r="BD147" i="8"/>
  <c r="V148" i="8"/>
  <c r="BA148" i="8"/>
  <c r="U147" i="8"/>
  <c r="AC147" i="8"/>
  <c r="AF147" i="8"/>
  <c r="Y147" i="8"/>
  <c r="AZ148" i="8"/>
  <c r="AJ147" i="8"/>
  <c r="AG148" i="8"/>
  <c r="AJ148" i="8"/>
  <c r="BC147" i="8"/>
  <c r="BF148" i="8"/>
  <c r="AO148" i="8"/>
  <c r="AD148" i="8"/>
  <c r="AI148" i="8"/>
  <c r="U148" i="8"/>
  <c r="AY147" i="8"/>
  <c r="BF147" i="8"/>
  <c r="T148" i="8"/>
  <c r="AR148" i="8"/>
  <c r="AZ147" i="8"/>
  <c r="BA147" i="8"/>
  <c r="BC148" i="8"/>
  <c r="T147" i="8"/>
  <c r="AF148" i="8"/>
  <c r="AH148" i="8"/>
  <c r="BE147" i="8"/>
  <c r="AI147" i="8"/>
  <c r="AP147" i="8"/>
  <c r="AX147" i="8"/>
  <c r="AQ148" i="8"/>
  <c r="AP148" i="8"/>
  <c r="AM148" i="8"/>
  <c r="AY148" i="8"/>
  <c r="Z148" i="8"/>
  <c r="AF137" i="7"/>
  <c r="AF297" i="12" s="1"/>
  <c r="M65" i="15"/>
  <c r="P65" i="15" s="1"/>
  <c r="AP140" i="8"/>
  <c r="AO138" i="11"/>
  <c r="BB138" i="11"/>
  <c r="AC135" i="11"/>
  <c r="AO137" i="11"/>
  <c r="Z133" i="11"/>
  <c r="AR136" i="11"/>
  <c r="AO134" i="11"/>
  <c r="BD134" i="11"/>
  <c r="BC134" i="11"/>
  <c r="AL139" i="11"/>
  <c r="X135" i="11"/>
  <c r="W138" i="11"/>
  <c r="AH134" i="11"/>
  <c r="AV135" i="11"/>
  <c r="AE137" i="11"/>
  <c r="BC137" i="11"/>
  <c r="BE140" i="11"/>
  <c r="AN139" i="11"/>
  <c r="AP137" i="11"/>
  <c r="AO136" i="11"/>
  <c r="BF140" i="11"/>
  <c r="AG137" i="11"/>
  <c r="BG140" i="11"/>
  <c r="AB135" i="11"/>
  <c r="BB135" i="11"/>
  <c r="AV136" i="11"/>
  <c r="AZ135" i="11"/>
  <c r="V133" i="11"/>
  <c r="BD133" i="11"/>
  <c r="AM138" i="11"/>
  <c r="AL137" i="11"/>
  <c r="AK137" i="11"/>
  <c r="AZ133" i="11"/>
  <c r="AQ137" i="11"/>
  <c r="AD138" i="11"/>
  <c r="AZ136" i="11"/>
  <c r="AW137" i="11"/>
  <c r="Z140" i="11"/>
  <c r="AB138" i="11"/>
  <c r="AU138" i="11"/>
  <c r="AV139" i="11"/>
  <c r="AJ134" i="11"/>
  <c r="BE135" i="11"/>
  <c r="AY137" i="11"/>
  <c r="AN140" i="11"/>
  <c r="X138" i="11"/>
  <c r="AR137" i="11"/>
  <c r="AP140" i="11"/>
  <c r="U134" i="11"/>
  <c r="AO133" i="11"/>
  <c r="T136" i="11"/>
  <c r="AC137" i="11"/>
  <c r="AD137" i="11"/>
  <c r="U139" i="11"/>
  <c r="BD135" i="11"/>
  <c r="AK135" i="11"/>
  <c r="AY139" i="11"/>
  <c r="AH138" i="11"/>
  <c r="AJ137" i="11"/>
  <c r="AZ138" i="11"/>
  <c r="BC135" i="11"/>
  <c r="AT138" i="11"/>
  <c r="V136" i="11"/>
  <c r="BF133" i="11"/>
  <c r="AE140" i="11"/>
  <c r="AN138" i="11"/>
  <c r="AB139" i="11"/>
  <c r="AW134" i="11"/>
  <c r="AJ133" i="11"/>
  <c r="AL140" i="11"/>
  <c r="AR133" i="11"/>
  <c r="X137" i="11"/>
  <c r="BB136" i="11"/>
  <c r="BB137" i="11"/>
  <c r="BG139" i="11"/>
  <c r="AX136" i="11"/>
  <c r="Z139" i="11"/>
  <c r="AH137" i="11"/>
  <c r="BF136" i="11"/>
  <c r="AK133" i="11"/>
  <c r="AG136" i="11"/>
  <c r="AQ136" i="11"/>
  <c r="W139" i="11"/>
  <c r="AP134" i="11"/>
  <c r="AW133" i="11"/>
  <c r="Z135" i="11"/>
  <c r="AM139" i="11"/>
  <c r="AG140" i="11"/>
  <c r="AQ133" i="11"/>
  <c r="U138" i="11"/>
  <c r="AU133" i="11"/>
  <c r="AQ134" i="11"/>
  <c r="BD138" i="11"/>
  <c r="BA137" i="11"/>
  <c r="AY136" i="11"/>
  <c r="AN136" i="11"/>
  <c r="T138" i="11"/>
  <c r="Y139" i="11"/>
  <c r="AH136" i="11"/>
  <c r="AO139" i="11"/>
  <c r="AR140" i="11"/>
  <c r="AO135" i="11"/>
  <c r="AV134" i="11"/>
  <c r="AB133" i="11"/>
  <c r="AY138" i="11"/>
  <c r="AE136" i="11"/>
  <c r="AX139" i="11"/>
  <c r="AP138" i="11"/>
  <c r="X140" i="11"/>
  <c r="AX133" i="11"/>
  <c r="AD139" i="11"/>
  <c r="AD140" i="11"/>
  <c r="AX134" i="11"/>
  <c r="AA140" i="11"/>
  <c r="AF133" i="11"/>
  <c r="AH139" i="11"/>
  <c r="Z136" i="11"/>
  <c r="AH135" i="11"/>
  <c r="X133" i="11"/>
  <c r="BD137" i="11"/>
  <c r="BA139" i="11"/>
  <c r="AQ138" i="11"/>
  <c r="AO140" i="11"/>
  <c r="AU136" i="11"/>
  <c r="BE134" i="11"/>
  <c r="Z138" i="11"/>
  <c r="AE133" i="11"/>
  <c r="AK136" i="11"/>
  <c r="BA133" i="11"/>
  <c r="AA136" i="11"/>
  <c r="AY134" i="11"/>
  <c r="AT133" i="11"/>
  <c r="AE134" i="11"/>
  <c r="AC136" i="11"/>
  <c r="AJ135" i="11"/>
  <c r="BB133" i="11"/>
  <c r="BF134" i="11"/>
  <c r="AT137" i="11"/>
  <c r="AN134" i="11"/>
  <c r="BC138" i="11"/>
  <c r="AB137" i="11"/>
  <c r="AN135" i="11"/>
  <c r="T133" i="11"/>
  <c r="AC138" i="11"/>
  <c r="AF137" i="11"/>
  <c r="Y137" i="11"/>
  <c r="BB139" i="11"/>
  <c r="AV133" i="11"/>
  <c r="BG136" i="11"/>
  <c r="V134" i="11"/>
  <c r="BB140" i="11"/>
  <c r="BD140" i="11"/>
  <c r="AU137" i="11"/>
  <c r="W133" i="11"/>
  <c r="AA137" i="11"/>
  <c r="AU134" i="11"/>
  <c r="U135" i="11"/>
  <c r="V140" i="11"/>
  <c r="BD136" i="11"/>
  <c r="AF135" i="11"/>
  <c r="AG134" i="11"/>
  <c r="AI134" i="11"/>
  <c r="BF138" i="11"/>
  <c r="AM133" i="11"/>
  <c r="AZ140" i="11"/>
  <c r="AD136" i="11"/>
  <c r="AB140" i="11"/>
  <c r="BG135" i="11"/>
  <c r="AI138" i="11"/>
  <c r="AS133" i="11"/>
  <c r="AA139" i="11"/>
  <c r="BA134" i="11"/>
  <c r="W137" i="11"/>
  <c r="AF139" i="11"/>
  <c r="AM136" i="11"/>
  <c r="V139" i="11"/>
  <c r="BG137" i="11"/>
  <c r="W136" i="11"/>
  <c r="AA135" i="11"/>
  <c r="BA138" i="11"/>
  <c r="AI136" i="11"/>
  <c r="AJ140" i="11"/>
  <c r="BE136" i="11"/>
  <c r="Y135" i="11"/>
  <c r="AY135" i="11"/>
  <c r="AW138" i="11"/>
  <c r="Y138" i="11"/>
  <c r="AL135" i="11"/>
  <c r="U133" i="11"/>
  <c r="AW140" i="11"/>
  <c r="BC136" i="11"/>
  <c r="AW136" i="11"/>
  <c r="AE139" i="11"/>
  <c r="AZ139" i="11"/>
  <c r="AY133" i="11"/>
  <c r="AF136" i="11"/>
  <c r="BA136" i="11"/>
  <c r="BB134" i="11"/>
  <c r="AP135" i="11"/>
  <c r="AL134" i="11"/>
  <c r="AQ135" i="11"/>
  <c r="AT140" i="11"/>
  <c r="AN137" i="11"/>
  <c r="AP139" i="11"/>
  <c r="AK138" i="11"/>
  <c r="BA135" i="11"/>
  <c r="AX135" i="11"/>
  <c r="V135" i="11"/>
  <c r="BF135" i="11"/>
  <c r="AQ140" i="11"/>
  <c r="T135" i="11"/>
  <c r="AS135" i="11"/>
  <c r="T134" i="11"/>
  <c r="BF139" i="11"/>
  <c r="AS134" i="11"/>
  <c r="BC140" i="11"/>
  <c r="AK134" i="11"/>
  <c r="U140" i="11"/>
  <c r="AV140" i="11"/>
  <c r="AC133" i="11"/>
  <c r="U136" i="11"/>
  <c r="T139" i="11"/>
  <c r="AZ134" i="11"/>
  <c r="AV138" i="11"/>
  <c r="BE139" i="11"/>
  <c r="AC134" i="11"/>
  <c r="AD133" i="11"/>
  <c r="T140" i="11"/>
  <c r="AC140" i="11"/>
  <c r="AK140" i="11"/>
  <c r="AQ139" i="11"/>
  <c r="AJ138" i="11"/>
  <c r="BG133" i="11"/>
  <c r="X134" i="11"/>
  <c r="AH133" i="11"/>
  <c r="AF134" i="11"/>
  <c r="AG133" i="11"/>
  <c r="AI139" i="11"/>
  <c r="AU135" i="11"/>
  <c r="BD139" i="11"/>
  <c r="AW135" i="11"/>
  <c r="T137" i="11"/>
  <c r="AX138" i="11"/>
  <c r="BE133" i="11"/>
  <c r="AM134" i="11"/>
  <c r="BC139" i="11"/>
  <c r="AV137" i="11"/>
  <c r="AI140" i="11"/>
  <c r="AM137" i="11"/>
  <c r="AJ139" i="11"/>
  <c r="AM140" i="11"/>
  <c r="AB134" i="11"/>
  <c r="AM135" i="11"/>
  <c r="Y134" i="11"/>
  <c r="AE138" i="11"/>
  <c r="Y136" i="11"/>
  <c r="AI135" i="11"/>
  <c r="AR138" i="11"/>
  <c r="AF138" i="11"/>
  <c r="AR134" i="11"/>
  <c r="AS137" i="11"/>
  <c r="AW139" i="11"/>
  <c r="AF140" i="11"/>
  <c r="Z134" i="11"/>
  <c r="AS136" i="11"/>
  <c r="AT136" i="11"/>
  <c r="AC139" i="11"/>
  <c r="AE135" i="11"/>
  <c r="AA138" i="11"/>
  <c r="BE137" i="11"/>
  <c r="AG139" i="11"/>
  <c r="W135" i="11"/>
  <c r="BA140" i="11"/>
  <c r="AP136" i="11"/>
  <c r="BG134" i="11"/>
  <c r="BC133" i="11"/>
  <c r="AT134" i="11"/>
  <c r="AB136" i="11"/>
  <c r="X136" i="11"/>
  <c r="AT139" i="11"/>
  <c r="AD135" i="11"/>
  <c r="AG138" i="11"/>
  <c r="AS139" i="11"/>
  <c r="AN133" i="11"/>
  <c r="AD134" i="11"/>
  <c r="AH140" i="11"/>
  <c r="BF137" i="11"/>
  <c r="AL133" i="11"/>
  <c r="W140" i="11"/>
  <c r="AA134" i="11"/>
  <c r="Y140" i="11"/>
  <c r="AS140" i="11"/>
  <c r="AL138" i="11"/>
  <c r="AP133" i="11"/>
  <c r="AR139" i="11"/>
  <c r="AU139" i="11"/>
  <c r="V138" i="11"/>
  <c r="U137" i="11"/>
  <c r="AA133" i="11"/>
  <c r="AU140" i="11"/>
  <c r="AK139" i="11"/>
  <c r="AL136" i="11"/>
  <c r="AG135" i="11"/>
  <c r="BE138" i="11"/>
  <c r="AI133" i="11"/>
  <c r="AT135" i="11"/>
  <c r="V137" i="11"/>
  <c r="AR135" i="11"/>
  <c r="BG138" i="11"/>
  <c r="AY140" i="11"/>
  <c r="AX137" i="11"/>
  <c r="AJ136" i="11"/>
  <c r="AS138" i="11"/>
  <c r="AI137" i="11"/>
  <c r="Y133" i="11"/>
  <c r="W134" i="11"/>
  <c r="X139" i="11"/>
  <c r="AZ137" i="11"/>
  <c r="Z137" i="11"/>
  <c r="AX140" i="11"/>
  <c r="X141" i="11"/>
  <c r="BC141" i="11"/>
  <c r="AU141" i="11"/>
  <c r="AR141" i="11"/>
  <c r="AI141" i="11"/>
  <c r="AF141" i="11"/>
  <c r="AB142" i="11"/>
  <c r="AN142" i="11"/>
  <c r="BB141" i="11"/>
  <c r="AZ141" i="11"/>
  <c r="BE142" i="11"/>
  <c r="U142" i="11"/>
  <c r="AW141" i="11"/>
  <c r="AF142" i="11"/>
  <c r="BF142" i="11"/>
  <c r="BD141" i="11"/>
  <c r="AJ141" i="11"/>
  <c r="AK142" i="11"/>
  <c r="AY141" i="11"/>
  <c r="BD142" i="11"/>
  <c r="X142" i="11"/>
  <c r="AM141" i="11"/>
  <c r="Y141" i="11"/>
  <c r="AG142" i="11"/>
  <c r="AH141" i="11"/>
  <c r="Y142" i="11"/>
  <c r="AO141" i="11"/>
  <c r="BC142" i="11"/>
  <c r="BA141" i="11"/>
  <c r="BF141" i="11"/>
  <c r="AL142" i="11"/>
  <c r="BG141" i="11"/>
  <c r="BA142" i="11"/>
  <c r="Z142" i="11"/>
  <c r="AG141" i="11"/>
  <c r="AE141" i="11"/>
  <c r="AB141" i="11"/>
  <c r="V142" i="11"/>
  <c r="W142" i="11"/>
  <c r="AP142" i="11"/>
  <c r="AM142" i="11"/>
  <c r="AQ142" i="11"/>
  <c r="AZ142" i="11"/>
  <c r="V141" i="11"/>
  <c r="AX142" i="11"/>
  <c r="AK141" i="11"/>
  <c r="AE142" i="11"/>
  <c r="AC141" i="11"/>
  <c r="AT142" i="11"/>
  <c r="AQ141" i="11"/>
  <c r="AV142" i="11"/>
  <c r="AR142" i="11"/>
  <c r="BE141" i="11"/>
  <c r="AX141" i="11"/>
  <c r="BG142" i="11"/>
  <c r="AL141" i="11"/>
  <c r="AW142" i="11"/>
  <c r="AP141" i="11"/>
  <c r="AO142" i="11"/>
  <c r="AU142" i="11"/>
  <c r="AN141" i="11"/>
  <c r="AD142" i="11"/>
  <c r="AJ142" i="11"/>
  <c r="AI142" i="11"/>
  <c r="AT141" i="11"/>
  <c r="BB142" i="11"/>
  <c r="AV141" i="11"/>
  <c r="Z141" i="11"/>
  <c r="AS141" i="11"/>
  <c r="AA142" i="11"/>
  <c r="AD141" i="11"/>
  <c r="AH142" i="11"/>
  <c r="T142" i="11"/>
  <c r="AS142" i="11"/>
  <c r="AY142" i="11"/>
  <c r="AA141" i="11"/>
  <c r="W141" i="11"/>
  <c r="M66" i="15"/>
  <c r="P66" i="15" s="1"/>
  <c r="M61" i="15"/>
  <c r="P61" i="15" s="1"/>
  <c r="AU137" i="10"/>
  <c r="AY334" i="12"/>
  <c r="AC125" i="7"/>
  <c r="AS334" i="12"/>
  <c r="AT334" i="12"/>
  <c r="AH125" i="7"/>
  <c r="AE124" i="7"/>
  <c r="BD334" i="12"/>
  <c r="AM124" i="7"/>
  <c r="BA334" i="12"/>
  <c r="AX125" i="7"/>
  <c r="Z125" i="7"/>
  <c r="BG124" i="7"/>
  <c r="Q22" i="22"/>
  <c r="J106" i="38"/>
  <c r="K12" i="19"/>
  <c r="M63" i="15"/>
  <c r="P63" i="15" s="1"/>
  <c r="M60" i="15"/>
  <c r="P60" i="15" s="1"/>
  <c r="N45" i="46" l="1"/>
  <c r="P31" i="46"/>
  <c r="P29" i="46"/>
  <c r="C12" i="35"/>
  <c r="F12" i="35"/>
  <c r="E13" i="35"/>
  <c r="E12" i="35"/>
  <c r="F14" i="35"/>
  <c r="H12" i="35"/>
  <c r="D13" i="35"/>
  <c r="H13" i="35"/>
  <c r="I13" i="35"/>
  <c r="D14" i="35"/>
  <c r="G13" i="35"/>
  <c r="G12" i="35"/>
  <c r="D12" i="35"/>
  <c r="I12" i="35"/>
  <c r="H14" i="35"/>
  <c r="I14" i="35"/>
  <c r="F13" i="35"/>
  <c r="G14" i="35"/>
  <c r="C13" i="35"/>
  <c r="E14" i="35"/>
  <c r="C14" i="35"/>
  <c r="BB334" i="12"/>
  <c r="BB59" i="16" s="1"/>
  <c r="BB63" i="16" s="1"/>
  <c r="BM42" i="16"/>
  <c r="X185" i="12"/>
  <c r="X184" i="12"/>
  <c r="X102" i="14" s="1"/>
  <c r="X186" i="12"/>
  <c r="AW185" i="12"/>
  <c r="AW184" i="12"/>
  <c r="AW102" i="14" s="1"/>
  <c r="AW186" i="12"/>
  <c r="AH184" i="12"/>
  <c r="AH186" i="12"/>
  <c r="AH185" i="12"/>
  <c r="AF185" i="12"/>
  <c r="AF184" i="12"/>
  <c r="AF102" i="14" s="1"/>
  <c r="AF186" i="12"/>
  <c r="AD185" i="12"/>
  <c r="AD184" i="12"/>
  <c r="AD186" i="12"/>
  <c r="W185" i="12"/>
  <c r="W186" i="12"/>
  <c r="W184" i="12"/>
  <c r="AU184" i="12"/>
  <c r="AU102" i="14" s="1"/>
  <c r="AU186" i="12"/>
  <c r="AU185" i="12"/>
  <c r="Y185" i="12"/>
  <c r="Y186" i="12"/>
  <c r="Y184" i="12"/>
  <c r="AE185" i="12"/>
  <c r="AE184" i="12"/>
  <c r="AE186" i="12"/>
  <c r="AX184" i="12"/>
  <c r="AX185" i="12"/>
  <c r="AX186" i="12"/>
  <c r="AJ184" i="12"/>
  <c r="AJ186" i="12"/>
  <c r="AJ185" i="12"/>
  <c r="BA186" i="12"/>
  <c r="BA184" i="12"/>
  <c r="BA185" i="12"/>
  <c r="AC185" i="12"/>
  <c r="AC186" i="12"/>
  <c r="AC184" i="12"/>
  <c r="AA185" i="12"/>
  <c r="AA186" i="12"/>
  <c r="AA184" i="12"/>
  <c r="BF186" i="12"/>
  <c r="BF185" i="12"/>
  <c r="BF184" i="12"/>
  <c r="AP185" i="12"/>
  <c r="AP184" i="12"/>
  <c r="AP186" i="12"/>
  <c r="Z185" i="12"/>
  <c r="Z186" i="12"/>
  <c r="Z184" i="12"/>
  <c r="AB185" i="12"/>
  <c r="AB184" i="12"/>
  <c r="AB186" i="12"/>
  <c r="AQ186" i="12"/>
  <c r="AQ184" i="12"/>
  <c r="AQ185" i="12"/>
  <c r="AN186" i="12"/>
  <c r="AN185" i="12"/>
  <c r="AN184" i="12"/>
  <c r="BE185" i="12"/>
  <c r="BE186" i="12"/>
  <c r="BE184" i="12"/>
  <c r="V185" i="12"/>
  <c r="V186" i="12"/>
  <c r="V184" i="12"/>
  <c r="V102" i="14" s="1"/>
  <c r="AK184" i="12"/>
  <c r="AK102" i="14" s="1"/>
  <c r="AK185" i="12"/>
  <c r="AK186" i="12"/>
  <c r="BG186" i="12"/>
  <c r="BG184" i="12"/>
  <c r="BG102" i="14" s="1"/>
  <c r="BG185" i="12"/>
  <c r="AL185" i="12"/>
  <c r="AL184" i="12"/>
  <c r="AL186" i="12"/>
  <c r="U185" i="12"/>
  <c r="U186" i="12"/>
  <c r="U184" i="12"/>
  <c r="AO185" i="12"/>
  <c r="AO184" i="12"/>
  <c r="AO186" i="12"/>
  <c r="AY184" i="12"/>
  <c r="AY186" i="12"/>
  <c r="AY185" i="12"/>
  <c r="AV185" i="12"/>
  <c r="AV184" i="12"/>
  <c r="AV186" i="12"/>
  <c r="AZ185" i="12"/>
  <c r="AZ186" i="12"/>
  <c r="AZ184" i="12"/>
  <c r="T185" i="12"/>
  <c r="T184" i="12"/>
  <c r="T186" i="12"/>
  <c r="AM186" i="12"/>
  <c r="AM184" i="12"/>
  <c r="AM185" i="12"/>
  <c r="BC184" i="12"/>
  <c r="BC186" i="12"/>
  <c r="BC185" i="12"/>
  <c r="AT185" i="12"/>
  <c r="AT184" i="12"/>
  <c r="AT186" i="12"/>
  <c r="AG185" i="12"/>
  <c r="AG184" i="12"/>
  <c r="AG186" i="12"/>
  <c r="BD186" i="12"/>
  <c r="BD184" i="12"/>
  <c r="BD185" i="12"/>
  <c r="AR184" i="12"/>
  <c r="AR186" i="12"/>
  <c r="AR185" i="12"/>
  <c r="AS186" i="12"/>
  <c r="AS184" i="12"/>
  <c r="AS185" i="12"/>
  <c r="BB186" i="12"/>
  <c r="BB184" i="12"/>
  <c r="BB185" i="12"/>
  <c r="AI184" i="12"/>
  <c r="AI186" i="12"/>
  <c r="AI185" i="12"/>
  <c r="D77" i="45"/>
  <c r="D99" i="45"/>
  <c r="D46" i="45"/>
  <c r="D71" i="45"/>
  <c r="D73" i="45"/>
  <c r="D45" i="45"/>
  <c r="D98" i="45"/>
  <c r="D82" i="45"/>
  <c r="D56" i="45"/>
  <c r="D101" i="45"/>
  <c r="D62" i="45"/>
  <c r="D16" i="45"/>
  <c r="D100" i="45"/>
  <c r="D37" i="45"/>
  <c r="D27" i="45"/>
  <c r="D33" i="45"/>
  <c r="D63" i="45"/>
  <c r="D79" i="45"/>
  <c r="D76" i="45"/>
  <c r="D64" i="45"/>
  <c r="D41" i="45"/>
  <c r="D21" i="45"/>
  <c r="D60" i="45"/>
  <c r="D18" i="45"/>
  <c r="D74" i="45"/>
  <c r="D90" i="45"/>
  <c r="D87" i="45"/>
  <c r="D38" i="45"/>
  <c r="D50" i="45"/>
  <c r="D80" i="45"/>
  <c r="D85" i="45"/>
  <c r="D53" i="45"/>
  <c r="D75" i="45"/>
  <c r="D84" i="45"/>
  <c r="D69" i="45"/>
  <c r="D20" i="45"/>
  <c r="D106" i="45"/>
  <c r="D102" i="45"/>
  <c r="D47" i="45"/>
  <c r="D88" i="45"/>
  <c r="D23" i="45"/>
  <c r="D32" i="45"/>
  <c r="D26" i="45"/>
  <c r="D97" i="45"/>
  <c r="D91" i="45"/>
  <c r="D43" i="45"/>
  <c r="D49" i="45"/>
  <c r="D24" i="45"/>
  <c r="D15" i="45"/>
  <c r="D107" i="45"/>
  <c r="D57" i="45"/>
  <c r="D67" i="45"/>
  <c r="D93" i="45"/>
  <c r="D39" i="45"/>
  <c r="D35" i="45"/>
  <c r="D89" i="45"/>
  <c r="D96" i="45"/>
  <c r="D92" i="45"/>
  <c r="D40" i="45"/>
  <c r="D34" i="45"/>
  <c r="D11" i="45"/>
  <c r="D13" i="45"/>
  <c r="D8" i="45"/>
  <c r="D103" i="45"/>
  <c r="D78" i="45"/>
  <c r="D65" i="45"/>
  <c r="D70" i="45"/>
  <c r="D29" i="45"/>
  <c r="D66" i="45"/>
  <c r="D68" i="45"/>
  <c r="D94" i="45"/>
  <c r="D61" i="45"/>
  <c r="D44" i="45"/>
  <c r="D19" i="45"/>
  <c r="D17" i="45"/>
  <c r="D9" i="45"/>
  <c r="D55" i="45"/>
  <c r="D36" i="45"/>
  <c r="D28" i="45"/>
  <c r="D72" i="45"/>
  <c r="D83" i="45"/>
  <c r="D59" i="45"/>
  <c r="D30" i="45"/>
  <c r="D86" i="45"/>
  <c r="D52" i="45"/>
  <c r="D22" i="45"/>
  <c r="D14" i="45"/>
  <c r="D10" i="45"/>
  <c r="D104" i="45"/>
  <c r="D58" i="45"/>
  <c r="D42" i="45"/>
  <c r="D31" i="45"/>
  <c r="D25" i="45"/>
  <c r="D95" i="45"/>
  <c r="D54" i="45"/>
  <c r="D51" i="45"/>
  <c r="D105" i="45"/>
  <c r="D48" i="45"/>
  <c r="D81" i="45"/>
  <c r="D12" i="45"/>
  <c r="AN343" i="12"/>
  <c r="AN88" i="16" s="1"/>
  <c r="Z343" i="12"/>
  <c r="Z88" i="16" s="1"/>
  <c r="AD68" i="14"/>
  <c r="AD72" i="14" s="1"/>
  <c r="AD76" i="14" s="1"/>
  <c r="V68" i="14"/>
  <c r="V72" i="14" s="1"/>
  <c r="V85" i="14" s="1"/>
  <c r="AJ68" i="14"/>
  <c r="AJ72" i="14" s="1"/>
  <c r="BF68" i="14"/>
  <c r="BF72" i="14" s="1"/>
  <c r="BF88" i="14" s="1"/>
  <c r="AY68" i="14"/>
  <c r="AY72" i="14" s="1"/>
  <c r="AY85" i="14" s="1"/>
  <c r="U68" i="14"/>
  <c r="BT63" i="14"/>
  <c r="BO63" i="14"/>
  <c r="AL68" i="14"/>
  <c r="AL72" i="14" s="1"/>
  <c r="AL88" i="14" s="1"/>
  <c r="AQ125" i="7"/>
  <c r="AQ328" i="12" s="1"/>
  <c r="AM327" i="12"/>
  <c r="AK124" i="7"/>
  <c r="AK327" i="12" s="1"/>
  <c r="AP68" i="14"/>
  <c r="AP72" i="14" s="1"/>
  <c r="AD143" i="11"/>
  <c r="AD144" i="11" s="1"/>
  <c r="AI68" i="14"/>
  <c r="AI72" i="14" s="1"/>
  <c r="AI85" i="14" s="1"/>
  <c r="BR42" i="16"/>
  <c r="E15" i="17"/>
  <c r="BT41" i="16"/>
  <c r="BF125" i="7"/>
  <c r="BF328" i="12" s="1"/>
  <c r="AQ68" i="14"/>
  <c r="AQ72" i="14" s="1"/>
  <c r="AQ87" i="14" s="1"/>
  <c r="BG327" i="12"/>
  <c r="BP42" i="16"/>
  <c r="Y334" i="12"/>
  <c r="Y59" i="16" s="1"/>
  <c r="BP41" i="16"/>
  <c r="W68" i="14"/>
  <c r="W72" i="14" s="1"/>
  <c r="BQ41" i="16"/>
  <c r="U27" i="39"/>
  <c r="Q27" i="39"/>
  <c r="AU68" i="14"/>
  <c r="AU72" i="14" s="1"/>
  <c r="BE68" i="14"/>
  <c r="BE72" i="14" s="1"/>
  <c r="AE327" i="12"/>
  <c r="AH328" i="12"/>
  <c r="AP334" i="12"/>
  <c r="AP338" i="12" s="1"/>
  <c r="Z328" i="12"/>
  <c r="BE124" i="7"/>
  <c r="BE327" i="12" s="1"/>
  <c r="BC149" i="8"/>
  <c r="BC150" i="8" s="1"/>
  <c r="T149" i="8"/>
  <c r="T150" i="8" s="1"/>
  <c r="AG149" i="8"/>
  <c r="AG150" i="8" s="1"/>
  <c r="AE149" i="8"/>
  <c r="AE150" i="8" s="1"/>
  <c r="AK143" i="11"/>
  <c r="AK144" i="11" s="1"/>
  <c r="AZ327" i="12"/>
  <c r="AX320" i="12"/>
  <c r="AX49" i="16" s="1"/>
  <c r="AO143" i="11"/>
  <c r="AO144" i="11" s="1"/>
  <c r="AG327" i="12"/>
  <c r="AB327" i="12"/>
  <c r="T343" i="12"/>
  <c r="AY59" i="16"/>
  <c r="AY338" i="12"/>
  <c r="BA59" i="16"/>
  <c r="BA338" i="12"/>
  <c r="AT59" i="16"/>
  <c r="AT63" i="16" s="1"/>
  <c r="AT338" i="12"/>
  <c r="BD59" i="16"/>
  <c r="BD338" i="12"/>
  <c r="AS59" i="16"/>
  <c r="AS338" i="12"/>
  <c r="AC343" i="12"/>
  <c r="R18" i="22"/>
  <c r="R19" i="22"/>
  <c r="S37" i="23"/>
  <c r="M16" i="23" s="1"/>
  <c r="E10" i="17"/>
  <c r="I33" i="40" s="1"/>
  <c r="K33" i="40" s="1"/>
  <c r="R20" i="22"/>
  <c r="Y68" i="14"/>
  <c r="Y72" i="14" s="1"/>
  <c r="BN72" i="14" s="1"/>
  <c r="AL143" i="11"/>
  <c r="AL144" i="11" s="1"/>
  <c r="AG143" i="11"/>
  <c r="AG144" i="11" s="1"/>
  <c r="BD143" i="11"/>
  <c r="BD144" i="11" s="1"/>
  <c r="AN143" i="11"/>
  <c r="AN144" i="11" s="1"/>
  <c r="BF143" i="11"/>
  <c r="BF144" i="11" s="1"/>
  <c r="AM68" i="14"/>
  <c r="AM72" i="14" s="1"/>
  <c r="BB68" i="14"/>
  <c r="BB72" i="14" s="1"/>
  <c r="AU322" i="12"/>
  <c r="W321" i="12"/>
  <c r="W51" i="16" s="1"/>
  <c r="W52" i="16" s="1"/>
  <c r="AZ321" i="12"/>
  <c r="AZ51" i="16" s="1"/>
  <c r="AO326" i="12"/>
  <c r="BG322" i="12"/>
  <c r="BD325" i="12"/>
  <c r="AV321" i="12"/>
  <c r="AV51" i="16" s="1"/>
  <c r="AW149" i="8"/>
  <c r="AW150" i="8" s="1"/>
  <c r="X325" i="12"/>
  <c r="AX324" i="12"/>
  <c r="Y321" i="12"/>
  <c r="Y51" i="16" s="1"/>
  <c r="Y52" i="16" s="1"/>
  <c r="BG323" i="12"/>
  <c r="AY321" i="12"/>
  <c r="AY51" i="16" s="1"/>
  <c r="AY149" i="8"/>
  <c r="AY150" i="8" s="1"/>
  <c r="AO149" i="8"/>
  <c r="AO150" i="8" s="1"/>
  <c r="BA149" i="8"/>
  <c r="BA150" i="8" s="1"/>
  <c r="AQ320" i="12"/>
  <c r="AQ49" i="16" s="1"/>
  <c r="AI149" i="8"/>
  <c r="AI150" i="8" s="1"/>
  <c r="AF328" i="12"/>
  <c r="X327" i="12"/>
  <c r="Z327" i="12"/>
  <c r="W327" i="12"/>
  <c r="BF327" i="12"/>
  <c r="AF324" i="12"/>
  <c r="W325" i="12"/>
  <c r="AP326" i="12"/>
  <c r="V323" i="12"/>
  <c r="AQ326" i="12"/>
  <c r="BA326" i="12"/>
  <c r="BB326" i="12"/>
  <c r="AC126" i="7"/>
  <c r="AC127" i="7" s="1"/>
  <c r="AO320" i="12"/>
  <c r="AO49" i="16" s="1"/>
  <c r="AL326" i="12"/>
  <c r="Z322" i="12"/>
  <c r="AK321" i="12"/>
  <c r="AK51" i="16" s="1"/>
  <c r="BA322" i="12"/>
  <c r="AA322" i="12"/>
  <c r="AC323" i="12"/>
  <c r="BF321" i="12"/>
  <c r="BF51" i="16" s="1"/>
  <c r="AC325" i="12"/>
  <c r="AE319" i="12"/>
  <c r="AE47" i="16" s="1"/>
  <c r="AK343" i="12"/>
  <c r="AE343" i="12"/>
  <c r="AK40" i="16"/>
  <c r="AK316" i="12"/>
  <c r="AK44" i="16" s="1"/>
  <c r="AZ316" i="12"/>
  <c r="AZ44" i="16" s="1"/>
  <c r="AZ40" i="16"/>
  <c r="AV52" i="16"/>
  <c r="BT35" i="16"/>
  <c r="AJ316" i="12"/>
  <c r="AJ44" i="16" s="1"/>
  <c r="AJ40" i="16"/>
  <c r="BG40" i="16"/>
  <c r="BG316" i="12"/>
  <c r="BG44" i="16" s="1"/>
  <c r="BG292" i="12"/>
  <c r="BG142" i="7"/>
  <c r="BG143" i="7" s="1"/>
  <c r="AE292" i="12"/>
  <c r="AE142" i="7"/>
  <c r="AE143" i="7" s="1"/>
  <c r="BN41" i="16"/>
  <c r="AC40" i="16"/>
  <c r="AC316" i="12"/>
  <c r="AC44" i="16" s="1"/>
  <c r="AZ50" i="16"/>
  <c r="BU34" i="16"/>
  <c r="AE40" i="16"/>
  <c r="AE316" i="12"/>
  <c r="AE44" i="16" s="1"/>
  <c r="AC142" i="7"/>
  <c r="AC143" i="7" s="1"/>
  <c r="AC292" i="12"/>
  <c r="U316" i="12"/>
  <c r="U44" i="16" s="1"/>
  <c r="U40" i="16"/>
  <c r="H104" i="38"/>
  <c r="H58" i="38"/>
  <c r="H42" i="38"/>
  <c r="H31" i="38"/>
  <c r="H25" i="38"/>
  <c r="H95" i="38"/>
  <c r="H54" i="38"/>
  <c r="H51" i="38"/>
  <c r="H105" i="38"/>
  <c r="H48" i="38"/>
  <c r="H81" i="38"/>
  <c r="H12" i="38"/>
  <c r="AU328" i="12"/>
  <c r="AK328" i="12"/>
  <c r="AO328" i="12"/>
  <c r="AS328" i="12"/>
  <c r="BD321" i="12"/>
  <c r="BD51" i="16" s="1"/>
  <c r="BD143" i="10"/>
  <c r="BD144" i="10" s="1"/>
  <c r="AR324" i="12"/>
  <c r="AT143" i="10"/>
  <c r="AT144" i="10" s="1"/>
  <c r="AL143" i="10"/>
  <c r="AL144" i="10" s="1"/>
  <c r="AG321" i="12"/>
  <c r="AG51" i="16" s="1"/>
  <c r="X321" i="12"/>
  <c r="X51" i="16" s="1"/>
  <c r="BG143" i="10"/>
  <c r="BG144" i="10" s="1"/>
  <c r="AE143" i="11"/>
  <c r="AE144" i="11" s="1"/>
  <c r="AV326" i="12"/>
  <c r="AQ322" i="12"/>
  <c r="AF323" i="12"/>
  <c r="V326" i="12"/>
  <c r="BG324" i="12"/>
  <c r="AP149" i="8"/>
  <c r="AP150" i="8" s="1"/>
  <c r="T325" i="12"/>
  <c r="X149" i="8"/>
  <c r="X150" i="8" s="1"/>
  <c r="V321" i="12"/>
  <c r="V51" i="16" s="1"/>
  <c r="V52" i="16" s="1"/>
  <c r="BC322" i="12"/>
  <c r="AS325" i="12"/>
  <c r="AX327" i="12"/>
  <c r="AY328" i="12"/>
  <c r="AL327" i="12"/>
  <c r="AT327" i="12"/>
  <c r="AW323" i="12"/>
  <c r="AW319" i="12"/>
  <c r="AI321" i="12"/>
  <c r="AI51" i="16" s="1"/>
  <c r="AA324" i="12"/>
  <c r="U324" i="12"/>
  <c r="BE319" i="12"/>
  <c r="BE47" i="16" s="1"/>
  <c r="AI326" i="12"/>
  <c r="AF322" i="12"/>
  <c r="BB325" i="12"/>
  <c r="AC326" i="12"/>
  <c r="U320" i="12"/>
  <c r="U49" i="16" s="1"/>
  <c r="U50" i="16" s="1"/>
  <c r="AM324" i="12"/>
  <c r="AG319" i="12"/>
  <c r="AG47" i="16" s="1"/>
  <c r="AG126" i="7"/>
  <c r="AG127" i="7" s="1"/>
  <c r="AB326" i="12"/>
  <c r="W326" i="12"/>
  <c r="AE321" i="12"/>
  <c r="AE51" i="16" s="1"/>
  <c r="W319" i="12"/>
  <c r="W47" i="16" s="1"/>
  <c r="W126" i="7"/>
  <c r="W127" i="7" s="1"/>
  <c r="AG324" i="12"/>
  <c r="BD319" i="12"/>
  <c r="BD47" i="16" s="1"/>
  <c r="BD126" i="7"/>
  <c r="BD127" i="7" s="1"/>
  <c r="AE323" i="12"/>
  <c r="AG292" i="12"/>
  <c r="AG142" i="7"/>
  <c r="AG143" i="7" s="1"/>
  <c r="AB50" i="16"/>
  <c r="BO34" i="16"/>
  <c r="AQ40" i="16"/>
  <c r="AQ316" i="12"/>
  <c r="AQ44" i="16" s="1"/>
  <c r="BB40" i="16"/>
  <c r="BB316" i="12"/>
  <c r="BB44" i="16" s="1"/>
  <c r="AF50" i="16"/>
  <c r="BP34" i="16"/>
  <c r="AY40" i="16"/>
  <c r="AY316" i="12"/>
  <c r="AY44" i="16" s="1"/>
  <c r="AL292" i="12"/>
  <c r="AL142" i="7"/>
  <c r="AL143" i="7" s="1"/>
  <c r="V292" i="12"/>
  <c r="V142" i="7"/>
  <c r="V143" i="7" s="1"/>
  <c r="W142" i="7"/>
  <c r="W143" i="7" s="1"/>
  <c r="W292" i="12"/>
  <c r="AW40" i="16"/>
  <c r="AW316" i="12"/>
  <c r="AW44" i="16" s="1"/>
  <c r="X50" i="16"/>
  <c r="BN34" i="16"/>
  <c r="AB40" i="16"/>
  <c r="AB316" i="12"/>
  <c r="AB44" i="16" s="1"/>
  <c r="H77" i="38"/>
  <c r="H99" i="38"/>
  <c r="H46" i="38"/>
  <c r="H71" i="38"/>
  <c r="H73" i="38"/>
  <c r="H45" i="38"/>
  <c r="H98" i="38"/>
  <c r="H82" i="38"/>
  <c r="H56" i="38"/>
  <c r="H101" i="38"/>
  <c r="H62" i="38"/>
  <c r="H16" i="38"/>
  <c r="BE328" i="12"/>
  <c r="AP328" i="12"/>
  <c r="AK143" i="10"/>
  <c r="AK144" i="10" s="1"/>
  <c r="AA326" i="12"/>
  <c r="AR323" i="12"/>
  <c r="AI143" i="10"/>
  <c r="AI144" i="10" s="1"/>
  <c r="BC143" i="10"/>
  <c r="BC144" i="10" s="1"/>
  <c r="AM325" i="12"/>
  <c r="BB324" i="12"/>
  <c r="AA143" i="10"/>
  <c r="AA144" i="10" s="1"/>
  <c r="AF143" i="11"/>
  <c r="AF144" i="11" s="1"/>
  <c r="AP143" i="11"/>
  <c r="AP144" i="11" s="1"/>
  <c r="AX143" i="11"/>
  <c r="AX144" i="11" s="1"/>
  <c r="BG68" i="14"/>
  <c r="BG72" i="14" s="1"/>
  <c r="AR149" i="8"/>
  <c r="AR150" i="8" s="1"/>
  <c r="AA320" i="12"/>
  <c r="AA49" i="16" s="1"/>
  <c r="AA50" i="16" s="1"/>
  <c r="Y326" i="12"/>
  <c r="AR326" i="12"/>
  <c r="V324" i="12"/>
  <c r="AM320" i="12"/>
  <c r="AM49" i="16" s="1"/>
  <c r="X322" i="12"/>
  <c r="AR320" i="12"/>
  <c r="AR49" i="16" s="1"/>
  <c r="BD149" i="8"/>
  <c r="BD150" i="8" s="1"/>
  <c r="AJ325" i="12"/>
  <c r="AF149" i="8"/>
  <c r="AF150" i="8" s="1"/>
  <c r="AH321" i="12"/>
  <c r="AH51" i="16" s="1"/>
  <c r="AM149" i="8"/>
  <c r="AM150" i="8" s="1"/>
  <c r="AN322" i="12"/>
  <c r="BC325" i="12"/>
  <c r="W149" i="8"/>
  <c r="W150" i="8" s="1"/>
  <c r="AO323" i="12"/>
  <c r="AA149" i="8"/>
  <c r="AA150" i="8" s="1"/>
  <c r="AN321" i="12"/>
  <c r="AN51" i="16" s="1"/>
  <c r="AE326" i="12"/>
  <c r="AJ323" i="12"/>
  <c r="AE126" i="7"/>
  <c r="AE127" i="7" s="1"/>
  <c r="AI327" i="12"/>
  <c r="AY327" i="12"/>
  <c r="BC321" i="12"/>
  <c r="BC51" i="16" s="1"/>
  <c r="AS326" i="12"/>
  <c r="BB319" i="12"/>
  <c r="BB47" i="16" s="1"/>
  <c r="BB126" i="7"/>
  <c r="BB127" i="7" s="1"/>
  <c r="AT320" i="12"/>
  <c r="AT49" i="16" s="1"/>
  <c r="AV319" i="12"/>
  <c r="AV126" i="7"/>
  <c r="AV127" i="7" s="1"/>
  <c r="AV325" i="12"/>
  <c r="Y319" i="12"/>
  <c r="Y126" i="7"/>
  <c r="Y127" i="7" s="1"/>
  <c r="BF322" i="12"/>
  <c r="AF321" i="12"/>
  <c r="AF51" i="16" s="1"/>
  <c r="AH319" i="12"/>
  <c r="AH47" i="16" s="1"/>
  <c r="AH126" i="7"/>
  <c r="AH127" i="7" s="1"/>
  <c r="AX325" i="12"/>
  <c r="BF324" i="12"/>
  <c r="AJ324" i="12"/>
  <c r="AL323" i="12"/>
  <c r="AT319" i="12"/>
  <c r="AT47" i="16" s="1"/>
  <c r="AT126" i="7"/>
  <c r="AT127" i="7" s="1"/>
  <c r="AC324" i="12"/>
  <c r="U325" i="12"/>
  <c r="U319" i="12"/>
  <c r="U47" i="16" s="1"/>
  <c r="U126" i="7"/>
  <c r="U127" i="7" s="1"/>
  <c r="X319" i="12"/>
  <c r="X126" i="7"/>
  <c r="X127" i="7" s="1"/>
  <c r="AJ319" i="12"/>
  <c r="AJ47" i="16" s="1"/>
  <c r="AJ126" i="7"/>
  <c r="AJ127" i="7" s="1"/>
  <c r="BE320" i="12"/>
  <c r="BE49" i="16" s="1"/>
  <c r="BC126" i="7"/>
  <c r="BC127" i="7" s="1"/>
  <c r="T326" i="12"/>
  <c r="AV323" i="12"/>
  <c r="BA319" i="12"/>
  <c r="BA47" i="16" s="1"/>
  <c r="BA126" i="7"/>
  <c r="BA127" i="7" s="1"/>
  <c r="AB320" i="12"/>
  <c r="AB49" i="16" s="1"/>
  <c r="AD320" i="12"/>
  <c r="AD49" i="16" s="1"/>
  <c r="AF319" i="12"/>
  <c r="AF47" i="16" s="1"/>
  <c r="AF126" i="7"/>
  <c r="AF127" i="7" s="1"/>
  <c r="AX323" i="12"/>
  <c r="AX68" i="14"/>
  <c r="AX72" i="14" s="1"/>
  <c r="AH68" i="14"/>
  <c r="AH72" i="14" s="1"/>
  <c r="BD292" i="12"/>
  <c r="BD142" i="7"/>
  <c r="BD143" i="7" s="1"/>
  <c r="BE292" i="12"/>
  <c r="BE142" i="7"/>
  <c r="BE143" i="7" s="1"/>
  <c r="V40" i="16"/>
  <c r="V316" i="12"/>
  <c r="V44" i="16" s="1"/>
  <c r="AT292" i="12"/>
  <c r="AT142" i="7"/>
  <c r="AT143" i="7" s="1"/>
  <c r="BE40" i="16"/>
  <c r="BE316" i="12"/>
  <c r="BE44" i="16" s="1"/>
  <c r="BN35" i="16"/>
  <c r="X52" i="16"/>
  <c r="AA292" i="12"/>
  <c r="AA142" i="7"/>
  <c r="AA143" i="7" s="1"/>
  <c r="T50" i="16"/>
  <c r="BM34" i="16"/>
  <c r="AB292" i="12"/>
  <c r="AB142" i="7"/>
  <c r="AB143" i="7" s="1"/>
  <c r="AL40" i="16"/>
  <c r="AL316" i="12"/>
  <c r="AL44" i="16" s="1"/>
  <c r="AJ52" i="16"/>
  <c r="BQ35" i="16"/>
  <c r="BS42" i="16"/>
  <c r="AZ52" i="16"/>
  <c r="BU35" i="16"/>
  <c r="H100" i="38"/>
  <c r="H37" i="38"/>
  <c r="H27" i="38"/>
  <c r="H33" i="38"/>
  <c r="H63" i="38"/>
  <c r="H79" i="38"/>
  <c r="H76" i="38"/>
  <c r="H64" i="38"/>
  <c r="H41" i="38"/>
  <c r="H21" i="38"/>
  <c r="H60" i="38"/>
  <c r="H18" i="38"/>
  <c r="BB328" i="12"/>
  <c r="AR143" i="10"/>
  <c r="AR144" i="10" s="1"/>
  <c r="Z326" i="12"/>
  <c r="AW321" i="12"/>
  <c r="AW51" i="16" s="1"/>
  <c r="W322" i="12"/>
  <c r="AV143" i="10"/>
  <c r="AV144" i="10" s="1"/>
  <c r="AD143" i="10"/>
  <c r="AD144" i="10" s="1"/>
  <c r="U143" i="10"/>
  <c r="U144" i="10" s="1"/>
  <c r="AO143" i="10"/>
  <c r="AO144" i="10" s="1"/>
  <c r="AX143" i="10"/>
  <c r="AX144" i="10" s="1"/>
  <c r="AN143" i="10"/>
  <c r="AN144" i="10" s="1"/>
  <c r="W143" i="11"/>
  <c r="W144" i="11" s="1"/>
  <c r="AS143" i="11"/>
  <c r="AS144" i="11" s="1"/>
  <c r="AB143" i="11"/>
  <c r="AB144" i="11" s="1"/>
  <c r="AW143" i="11"/>
  <c r="AW144" i="11" s="1"/>
  <c r="U149" i="8"/>
  <c r="U150" i="8" s="1"/>
  <c r="U322" i="12"/>
  <c r="BG320" i="12"/>
  <c r="BG49" i="16" s="1"/>
  <c r="BD326" i="12"/>
  <c r="AX322" i="12"/>
  <c r="T321" i="12"/>
  <c r="T51" i="16" s="1"/>
  <c r="AQ319" i="12"/>
  <c r="AQ47" i="16" s="1"/>
  <c r="AQ149" i="8"/>
  <c r="AQ150" i="8" s="1"/>
  <c r="AW320" i="12"/>
  <c r="AW49" i="16" s="1"/>
  <c r="AE325" i="12"/>
  <c r="Z149" i="8"/>
  <c r="Z150" i="8" s="1"/>
  <c r="AU326" i="12"/>
  <c r="AD326" i="12"/>
  <c r="Y323" i="12"/>
  <c r="Y149" i="8"/>
  <c r="Y150" i="8" s="1"/>
  <c r="BC323" i="12"/>
  <c r="AK322" i="12"/>
  <c r="T320" i="12"/>
  <c r="T49" i="16" s="1"/>
  <c r="AI320" i="12"/>
  <c r="AI49" i="16" s="1"/>
  <c r="U326" i="12"/>
  <c r="BB149" i="8"/>
  <c r="BB150" i="8" s="1"/>
  <c r="AP327" i="12"/>
  <c r="V327" i="12"/>
  <c r="AO327" i="12"/>
  <c r="AT326" i="12"/>
  <c r="BF325" i="12"/>
  <c r="AS321" i="12"/>
  <c r="AS51" i="16" s="1"/>
  <c r="AI325" i="12"/>
  <c r="AY320" i="12"/>
  <c r="AY49" i="16" s="1"/>
  <c r="AI324" i="12"/>
  <c r="AP320" i="12"/>
  <c r="AP49" i="16" s="1"/>
  <c r="AI322" i="12"/>
  <c r="AL322" i="12"/>
  <c r="AY326" i="12"/>
  <c r="AW324" i="12"/>
  <c r="AI319" i="12"/>
  <c r="AI47" i="16" s="1"/>
  <c r="AI126" i="7"/>
  <c r="AI127" i="7" s="1"/>
  <c r="AV322" i="12"/>
  <c r="AQ325" i="12"/>
  <c r="AY323" i="12"/>
  <c r="AD323" i="12"/>
  <c r="BE326" i="12"/>
  <c r="AB319" i="12"/>
  <c r="AB47" i="16" s="1"/>
  <c r="AB126" i="7"/>
  <c r="AB127" i="7" s="1"/>
  <c r="BF319" i="12"/>
  <c r="BF47" i="16" s="1"/>
  <c r="Z40" i="16"/>
  <c r="Z316" i="12"/>
  <c r="Z44" i="16" s="1"/>
  <c r="BD50" i="16"/>
  <c r="BV34" i="16"/>
  <c r="AO142" i="7"/>
  <c r="AO143" i="7" s="1"/>
  <c r="AO292" i="12"/>
  <c r="AI142" i="7"/>
  <c r="AI143" i="7" s="1"/>
  <c r="AI292" i="12"/>
  <c r="BN42" i="16"/>
  <c r="BA292" i="12"/>
  <c r="BA142" i="7"/>
  <c r="BA143" i="7" s="1"/>
  <c r="AB52" i="16"/>
  <c r="BO35" i="16"/>
  <c r="AU40" i="16"/>
  <c r="AU316" i="12"/>
  <c r="AU44" i="16" s="1"/>
  <c r="BF40" i="16"/>
  <c r="BF316" i="12"/>
  <c r="BF44" i="16" s="1"/>
  <c r="Y292" i="12"/>
  <c r="Y142" i="7"/>
  <c r="Y143" i="7" s="1"/>
  <c r="AV40" i="16"/>
  <c r="AV316" i="12"/>
  <c r="AV44" i="16" s="1"/>
  <c r="BV42" i="16"/>
  <c r="AF292" i="12"/>
  <c r="AF142" i="7"/>
  <c r="AF143" i="7" s="1"/>
  <c r="X40" i="16"/>
  <c r="X316" i="12"/>
  <c r="X44" i="16" s="1"/>
  <c r="AT40" i="16"/>
  <c r="AT316" i="12"/>
  <c r="AT44" i="16" s="1"/>
  <c r="AM40" i="16"/>
  <c r="AM316" i="12"/>
  <c r="AM44" i="16" s="1"/>
  <c r="H74" i="38"/>
  <c r="H90" i="38"/>
  <c r="H87" i="38"/>
  <c r="H38" i="38"/>
  <c r="H50" i="38"/>
  <c r="H80" i="38"/>
  <c r="H85" i="38"/>
  <c r="H53" i="38"/>
  <c r="H75" i="38"/>
  <c r="H84" i="38"/>
  <c r="H69" i="38"/>
  <c r="H20" i="38"/>
  <c r="BC328" i="12"/>
  <c r="BF323" i="12"/>
  <c r="AD324" i="12"/>
  <c r="AH324" i="12"/>
  <c r="Z325" i="12"/>
  <c r="AS320" i="12"/>
  <c r="AS49" i="16" s="1"/>
  <c r="AC143" i="10"/>
  <c r="AC144" i="10" s="1"/>
  <c r="Z143" i="11"/>
  <c r="Z144" i="11" s="1"/>
  <c r="V143" i="11"/>
  <c r="V144" i="11" s="1"/>
  <c r="AR143" i="11"/>
  <c r="AR144" i="11" s="1"/>
  <c r="BC143" i="11"/>
  <c r="BC144" i="11" s="1"/>
  <c r="BE143" i="11"/>
  <c r="BE144" i="11" s="1"/>
  <c r="BF149" i="8"/>
  <c r="BF150" i="8" s="1"/>
  <c r="AZ323" i="12"/>
  <c r="BA324" i="12"/>
  <c r="AL319" i="12"/>
  <c r="AL47" i="16" s="1"/>
  <c r="AL149" i="8"/>
  <c r="AL150" i="8" s="1"/>
  <c r="BE321" i="12"/>
  <c r="BE51" i="16" s="1"/>
  <c r="BC324" i="12"/>
  <c r="AY322" i="12"/>
  <c r="AO321" i="12"/>
  <c r="AO51" i="16" s="1"/>
  <c r="AJ322" i="12"/>
  <c r="AB324" i="12"/>
  <c r="AZ324" i="12"/>
  <c r="AV324" i="12"/>
  <c r="AX326" i="12"/>
  <c r="BD320" i="12"/>
  <c r="BD49" i="16" s="1"/>
  <c r="AK320" i="12"/>
  <c r="AK49" i="16" s="1"/>
  <c r="V149" i="8"/>
  <c r="V150" i="8" s="1"/>
  <c r="Z320" i="12"/>
  <c r="Z49" i="16" s="1"/>
  <c r="AL325" i="12"/>
  <c r="BC327" i="12"/>
  <c r="AV327" i="12"/>
  <c r="BB327" i="12"/>
  <c r="Y328" i="12"/>
  <c r="AA327" i="12"/>
  <c r="AJ328" i="12"/>
  <c r="X326" i="12"/>
  <c r="BG326" i="12"/>
  <c r="AV320" i="12"/>
  <c r="AV49" i="16" s="1"/>
  <c r="U323" i="12"/>
  <c r="U321" i="12"/>
  <c r="U51" i="16" s="1"/>
  <c r="U52" i="16" s="1"/>
  <c r="AU325" i="12"/>
  <c r="AW326" i="12"/>
  <c r="V126" i="7"/>
  <c r="V127" i="7" s="1"/>
  <c r="Z319" i="12"/>
  <c r="Z47" i="16" s="1"/>
  <c r="Z126" i="7"/>
  <c r="Z127" i="7" s="1"/>
  <c r="AT324" i="12"/>
  <c r="AC320" i="12"/>
  <c r="AC49" i="16" s="1"/>
  <c r="AR321" i="12"/>
  <c r="AR51" i="16" s="1"/>
  <c r="AS324" i="12"/>
  <c r="AL320" i="12"/>
  <c r="AL49" i="16" s="1"/>
  <c r="BG321" i="12"/>
  <c r="BG51" i="16" s="1"/>
  <c r="W320" i="12"/>
  <c r="W49" i="16" s="1"/>
  <c r="W50" i="16" s="1"/>
  <c r="AN319" i="12"/>
  <c r="AN47" i="16" s="1"/>
  <c r="AN126" i="7"/>
  <c r="AN127" i="7" s="1"/>
  <c r="AB322" i="12"/>
  <c r="S42" i="23"/>
  <c r="J23" i="36"/>
  <c r="BC68" i="14"/>
  <c r="BC72" i="14" s="1"/>
  <c r="AF52" i="16"/>
  <c r="BP35" i="16"/>
  <c r="AR40" i="16"/>
  <c r="AR316" i="12"/>
  <c r="AR44" i="16" s="1"/>
  <c r="AD292" i="12"/>
  <c r="AD142" i="7"/>
  <c r="AD143" i="7" s="1"/>
  <c r="AQ142" i="7"/>
  <c r="AQ143" i="7" s="1"/>
  <c r="AQ292" i="12"/>
  <c r="BC292" i="12"/>
  <c r="BC142" i="7"/>
  <c r="BC143" i="7" s="1"/>
  <c r="AZ292" i="12"/>
  <c r="AZ142" i="7"/>
  <c r="AZ143" i="7" s="1"/>
  <c r="AS40" i="16"/>
  <c r="AS316" i="12"/>
  <c r="AS44" i="16" s="1"/>
  <c r="Y40" i="16"/>
  <c r="Y316" i="12"/>
  <c r="Y44" i="16" s="1"/>
  <c r="AN52" i="16"/>
  <c r="BR35" i="16"/>
  <c r="AH40" i="16"/>
  <c r="AH316" i="12"/>
  <c r="AH44" i="16" s="1"/>
  <c r="BV41" i="16"/>
  <c r="BA316" i="12"/>
  <c r="BA44" i="16" s="1"/>
  <c r="BA40" i="16"/>
  <c r="AU142" i="7"/>
  <c r="AU143" i="7" s="1"/>
  <c r="AU292" i="12"/>
  <c r="H106" i="38"/>
  <c r="H102" i="38"/>
  <c r="H47" i="38"/>
  <c r="H88" i="38"/>
  <c r="H23" i="38"/>
  <c r="H32" i="38"/>
  <c r="H26" i="38"/>
  <c r="H97" i="38"/>
  <c r="H91" i="38"/>
  <c r="H43" i="38"/>
  <c r="H49" i="38"/>
  <c r="H24" i="38"/>
  <c r="H15" i="38"/>
  <c r="T328" i="12"/>
  <c r="AG328" i="12"/>
  <c r="AD328" i="12"/>
  <c r="BD328" i="12"/>
  <c r="BA328" i="12"/>
  <c r="W328" i="12"/>
  <c r="AL324" i="12"/>
  <c r="AT323" i="12"/>
  <c r="AG143" i="10"/>
  <c r="AG144" i="10" s="1"/>
  <c r="BA321" i="12"/>
  <c r="BA51" i="16" s="1"/>
  <c r="T324" i="12"/>
  <c r="AM326" i="12"/>
  <c r="BA320" i="12"/>
  <c r="BA49" i="16" s="1"/>
  <c r="T143" i="10"/>
  <c r="T144" i="10" s="1"/>
  <c r="S22" i="22"/>
  <c r="AV143" i="11"/>
  <c r="AV144" i="11" s="1"/>
  <c r="AY143" i="11"/>
  <c r="AY144" i="11" s="1"/>
  <c r="AU143" i="11"/>
  <c r="AU144" i="11" s="1"/>
  <c r="Y143" i="11"/>
  <c r="Y144" i="11" s="1"/>
  <c r="AA143" i="11"/>
  <c r="AA144" i="11" s="1"/>
  <c r="AH143" i="11"/>
  <c r="AH144" i="11" s="1"/>
  <c r="AZ320" i="12"/>
  <c r="AZ49" i="16" s="1"/>
  <c r="V322" i="12"/>
  <c r="AA323" i="12"/>
  <c r="W323" i="12"/>
  <c r="BA323" i="12"/>
  <c r="BE325" i="12"/>
  <c r="AO325" i="12"/>
  <c r="BF320" i="12"/>
  <c r="BF49" i="16" s="1"/>
  <c r="AB149" i="8"/>
  <c r="AB150" i="8" s="1"/>
  <c r="AY325" i="12"/>
  <c r="AR325" i="12"/>
  <c r="V320" i="12"/>
  <c r="V49" i="16" s="1"/>
  <c r="V50" i="16" s="1"/>
  <c r="AU324" i="12"/>
  <c r="AJ320" i="12"/>
  <c r="AJ49" i="16" s="1"/>
  <c r="AK326" i="12"/>
  <c r="AW322" i="12"/>
  <c r="AJ149" i="8"/>
  <c r="AJ150" i="8" s="1"/>
  <c r="BA325" i="12"/>
  <c r="AG320" i="12"/>
  <c r="AG49" i="16" s="1"/>
  <c r="AP324" i="12"/>
  <c r="Y322" i="12"/>
  <c r="AG325" i="12"/>
  <c r="BD327" i="12"/>
  <c r="BG126" i="7"/>
  <c r="BG127" i="7" s="1"/>
  <c r="AF327" i="12"/>
  <c r="AN327" i="12"/>
  <c r="BA327" i="12"/>
  <c r="AU320" i="12"/>
  <c r="AU49" i="16" s="1"/>
  <c r="AW325" i="12"/>
  <c r="AY319" i="12"/>
  <c r="AY47" i="16" s="1"/>
  <c r="AY126" i="7"/>
  <c r="AY127" i="7" s="1"/>
  <c r="AB323" i="12"/>
  <c r="Z323" i="12"/>
  <c r="AS319" i="12"/>
  <c r="AS47" i="16" s="1"/>
  <c r="AS126" i="7"/>
  <c r="AS127" i="7" s="1"/>
  <c r="V325" i="12"/>
  <c r="Y325" i="12"/>
  <c r="AE322" i="12"/>
  <c r="AI323" i="12"/>
  <c r="BF326" i="12"/>
  <c r="BD324" i="12"/>
  <c r="AG326" i="12"/>
  <c r="AU126" i="7"/>
  <c r="AU127" i="7" s="1"/>
  <c r="AR319" i="12"/>
  <c r="AR47" i="16" s="1"/>
  <c r="AR126" i="7"/>
  <c r="AR127" i="7" s="1"/>
  <c r="AO319" i="12"/>
  <c r="AO47" i="16" s="1"/>
  <c r="AO126" i="7"/>
  <c r="AO127" i="7" s="1"/>
  <c r="AH323" i="12"/>
  <c r="AP322" i="12"/>
  <c r="AZ322" i="12"/>
  <c r="AK323" i="12"/>
  <c r="BB320" i="12"/>
  <c r="BB49" i="16" s="1"/>
  <c r="AK325" i="12"/>
  <c r="AK319" i="12"/>
  <c r="AK47" i="16" s="1"/>
  <c r="AN292" i="12"/>
  <c r="AN142" i="7"/>
  <c r="AN143" i="7" s="1"/>
  <c r="AH142" i="7"/>
  <c r="AH143" i="7" s="1"/>
  <c r="AH292" i="12"/>
  <c r="AN50" i="16"/>
  <c r="BR34" i="16"/>
  <c r="BQ34" i="16"/>
  <c r="AJ50" i="16"/>
  <c r="BQ42" i="16"/>
  <c r="AS292" i="12"/>
  <c r="AS142" i="7"/>
  <c r="AS143" i="7" s="1"/>
  <c r="T316" i="12"/>
  <c r="T44" i="16" s="1"/>
  <c r="T40" i="16"/>
  <c r="AY142" i="7"/>
  <c r="AY143" i="7" s="1"/>
  <c r="AY292" i="12"/>
  <c r="AG316" i="12"/>
  <c r="AG44" i="16" s="1"/>
  <c r="AG40" i="16"/>
  <c r="BU42" i="16"/>
  <c r="AV50" i="16"/>
  <c r="BT34" i="16"/>
  <c r="AD40" i="16"/>
  <c r="AD316" i="12"/>
  <c r="AD44" i="16" s="1"/>
  <c r="BF142" i="7"/>
  <c r="BF143" i="7" s="1"/>
  <c r="BF292" i="12"/>
  <c r="BU41" i="16"/>
  <c r="BT42" i="16"/>
  <c r="BD40" i="16"/>
  <c r="BD316" i="12"/>
  <c r="BD44" i="16" s="1"/>
  <c r="AX40" i="16"/>
  <c r="AX316" i="12"/>
  <c r="AX44" i="16" s="1"/>
  <c r="U142" i="7"/>
  <c r="U143" i="7" s="1"/>
  <c r="U292" i="12"/>
  <c r="AO40" i="16"/>
  <c r="AO316" i="12"/>
  <c r="AO44" i="16" s="1"/>
  <c r="H107" i="38"/>
  <c r="H57" i="38"/>
  <c r="H67" i="38"/>
  <c r="H93" i="38"/>
  <c r="H39" i="38"/>
  <c r="H35" i="38"/>
  <c r="H89" i="38"/>
  <c r="H96" i="38"/>
  <c r="H92" i="38"/>
  <c r="H40" i="38"/>
  <c r="H34" i="38"/>
  <c r="H11" i="38"/>
  <c r="H13" i="38"/>
  <c r="X328" i="12"/>
  <c r="AT328" i="12"/>
  <c r="AM328" i="12"/>
  <c r="AP143" i="10"/>
  <c r="AP144" i="10" s="1"/>
  <c r="V319" i="12"/>
  <c r="V47" i="16" s="1"/>
  <c r="V143" i="10"/>
  <c r="V144" i="10" s="1"/>
  <c r="AM319" i="12"/>
  <c r="AM143" i="10"/>
  <c r="AM144" i="10" s="1"/>
  <c r="AS143" i="10"/>
  <c r="AS144" i="10" s="1"/>
  <c r="AH143" i="10"/>
  <c r="AH144" i="10" s="1"/>
  <c r="AY324" i="12"/>
  <c r="BB143" i="10"/>
  <c r="BB144" i="10" s="1"/>
  <c r="BE143" i="10"/>
  <c r="BE144" i="10" s="1"/>
  <c r="Z324" i="12"/>
  <c r="Z143" i="10"/>
  <c r="Z144" i="10" s="1"/>
  <c r="BF143" i="10"/>
  <c r="BF144" i="10" s="1"/>
  <c r="AQ143" i="11"/>
  <c r="AQ144" i="11" s="1"/>
  <c r="AV149" i="8"/>
  <c r="AV150" i="8" s="1"/>
  <c r="AC321" i="12"/>
  <c r="AC51" i="16" s="1"/>
  <c r="Z321" i="12"/>
  <c r="Z51" i="16" s="1"/>
  <c r="BG325" i="12"/>
  <c r="AC319" i="12"/>
  <c r="AC47" i="16" s="1"/>
  <c r="AC149" i="8"/>
  <c r="AC150" i="8" s="1"/>
  <c r="AR322" i="12"/>
  <c r="AK149" i="8"/>
  <c r="AK150" i="8" s="1"/>
  <c r="BE149" i="8"/>
  <c r="BE150" i="8" s="1"/>
  <c r="AU323" i="12"/>
  <c r="X323" i="12"/>
  <c r="AQ321" i="12"/>
  <c r="AQ51" i="16" s="1"/>
  <c r="AS149" i="8"/>
  <c r="AS150" i="8" s="1"/>
  <c r="AT149" i="8"/>
  <c r="AT150" i="8" s="1"/>
  <c r="AE324" i="12"/>
  <c r="Y320" i="12"/>
  <c r="Y49" i="16" s="1"/>
  <c r="Y50" i="16" s="1"/>
  <c r="BE323" i="12"/>
  <c r="AJ327" i="12"/>
  <c r="AW126" i="7"/>
  <c r="AW127" i="7" s="1"/>
  <c r="AH327" i="12"/>
  <c r="AT325" i="12"/>
  <c r="Y324" i="12"/>
  <c r="AN320" i="12"/>
  <c r="AN49" i="16" s="1"/>
  <c r="AZ325" i="12"/>
  <c r="AP319" i="12"/>
  <c r="AP47" i="16" s="1"/>
  <c r="AP126" i="7"/>
  <c r="AP127" i="7" s="1"/>
  <c r="AD319" i="12"/>
  <c r="AD47" i="16" s="1"/>
  <c r="AD126" i="7"/>
  <c r="AD127" i="7" s="1"/>
  <c r="BB323" i="12"/>
  <c r="AD325" i="12"/>
  <c r="AB321" i="12"/>
  <c r="AB51" i="16" s="1"/>
  <c r="AB325" i="12"/>
  <c r="AF320" i="12"/>
  <c r="AF49" i="16" s="1"/>
  <c r="AU321" i="12"/>
  <c r="AU51" i="16" s="1"/>
  <c r="AO324" i="12"/>
  <c r="AF325" i="12"/>
  <c r="AP325" i="12"/>
  <c r="BC320" i="12"/>
  <c r="BC49" i="16" s="1"/>
  <c r="AZ319" i="12"/>
  <c r="AZ47" i="16" s="1"/>
  <c r="AZ126" i="7"/>
  <c r="AZ127" i="7" s="1"/>
  <c r="AJ326" i="12"/>
  <c r="BB321" i="12"/>
  <c r="BB51" i="16" s="1"/>
  <c r="AH322" i="12"/>
  <c r="AM323" i="12"/>
  <c r="AX321" i="12"/>
  <c r="AX51" i="16" s="1"/>
  <c r="AN40" i="16"/>
  <c r="AN316" i="12"/>
  <c r="AN44" i="16" s="1"/>
  <c r="AR50" i="16"/>
  <c r="BS34" i="16"/>
  <c r="AM142" i="7"/>
  <c r="AM143" i="7" s="1"/>
  <c r="AM292" i="12"/>
  <c r="BO42" i="16"/>
  <c r="BV35" i="16"/>
  <c r="BD52" i="16"/>
  <c r="AP142" i="7"/>
  <c r="AP143" i="7" s="1"/>
  <c r="AP292" i="12"/>
  <c r="BM41" i="16"/>
  <c r="Z142" i="7"/>
  <c r="Z143" i="7" s="1"/>
  <c r="Z292" i="12"/>
  <c r="AJ142" i="7"/>
  <c r="AJ143" i="7" s="1"/>
  <c r="AJ292" i="12"/>
  <c r="W40" i="16"/>
  <c r="W316" i="12"/>
  <c r="W44" i="16" s="1"/>
  <c r="BR41" i="16"/>
  <c r="BC40" i="16"/>
  <c r="BC316" i="12"/>
  <c r="BC44" i="16" s="1"/>
  <c r="BO41" i="16"/>
  <c r="AI316" i="12"/>
  <c r="AI44" i="16" s="1"/>
  <c r="AI40" i="16"/>
  <c r="BS41" i="16"/>
  <c r="BB292" i="12"/>
  <c r="BB142" i="7"/>
  <c r="BB143" i="7" s="1"/>
  <c r="AV292" i="12"/>
  <c r="AV142" i="7"/>
  <c r="AV143" i="7" s="1"/>
  <c r="AR292" i="12"/>
  <c r="AR142" i="7"/>
  <c r="AR143" i="7" s="1"/>
  <c r="L18" i="22"/>
  <c r="BU18" i="22" s="1"/>
  <c r="H8" i="38"/>
  <c r="I8" i="19"/>
  <c r="H103" i="38"/>
  <c r="H78" i="38"/>
  <c r="H65" i="38"/>
  <c r="H70" i="38"/>
  <c r="H29" i="38"/>
  <c r="H66" i="38"/>
  <c r="H68" i="38"/>
  <c r="H94" i="38"/>
  <c r="H61" i="38"/>
  <c r="H44" i="38"/>
  <c r="H19" i="38"/>
  <c r="H17" i="38"/>
  <c r="AR328" i="12"/>
  <c r="U328" i="12"/>
  <c r="AA328" i="12"/>
  <c r="AB328" i="12"/>
  <c r="AW328" i="12"/>
  <c r="AT321" i="12"/>
  <c r="AT51" i="16" s="1"/>
  <c r="BE324" i="12"/>
  <c r="AL321" i="12"/>
  <c r="AL51" i="16" s="1"/>
  <c r="AJ143" i="10"/>
  <c r="AJ144" i="10" s="1"/>
  <c r="BE322" i="12"/>
  <c r="AG323" i="12"/>
  <c r="AU319" i="12"/>
  <c r="AU47" i="16" s="1"/>
  <c r="AU143" i="10"/>
  <c r="AU144" i="10" s="1"/>
  <c r="BD322" i="12"/>
  <c r="X106" i="38"/>
  <c r="J109" i="38"/>
  <c r="AT143" i="11"/>
  <c r="AT144" i="11" s="1"/>
  <c r="AM143" i="11"/>
  <c r="AM144" i="11" s="1"/>
  <c r="AJ143" i="11"/>
  <c r="AJ144" i="11" s="1"/>
  <c r="BB143" i="11"/>
  <c r="BB144" i="11" s="1"/>
  <c r="X143" i="11"/>
  <c r="X144" i="11" s="1"/>
  <c r="AI143" i="11"/>
  <c r="AI144" i="11" s="1"/>
  <c r="BG143" i="11"/>
  <c r="BG144" i="11" s="1"/>
  <c r="BA143" i="11"/>
  <c r="BA144" i="11" s="1"/>
  <c r="AZ143" i="11"/>
  <c r="AZ144" i="11" s="1"/>
  <c r="AU149" i="8"/>
  <c r="AU150" i="8" s="1"/>
  <c r="BC319" i="12"/>
  <c r="BC47" i="16" s="1"/>
  <c r="W324" i="12"/>
  <c r="AG322" i="12"/>
  <c r="BD323" i="12"/>
  <c r="AQ324" i="12"/>
  <c r="AF326" i="12"/>
  <c r="AM322" i="12"/>
  <c r="AO322" i="12"/>
  <c r="AH149" i="8"/>
  <c r="AH150" i="8" s="1"/>
  <c r="AZ149" i="8"/>
  <c r="AZ150" i="8" s="1"/>
  <c r="AD322" i="12"/>
  <c r="AN324" i="12"/>
  <c r="AH326" i="12"/>
  <c r="BC326" i="12"/>
  <c r="AK324" i="12"/>
  <c r="AP323" i="12"/>
  <c r="AN326" i="12"/>
  <c r="BG319" i="12"/>
  <c r="BG47" i="16" s="1"/>
  <c r="AA321" i="12"/>
  <c r="AA51" i="16" s="1"/>
  <c r="AS327" i="12"/>
  <c r="AC327" i="12"/>
  <c r="AR327" i="12"/>
  <c r="AH325" i="12"/>
  <c r="T322" i="12"/>
  <c r="X324" i="12"/>
  <c r="AU327" i="12"/>
  <c r="AM321" i="12"/>
  <c r="AM51" i="16" s="1"/>
  <c r="AL126" i="7"/>
  <c r="AL127" i="7" s="1"/>
  <c r="AM126" i="7"/>
  <c r="AM127" i="7" s="1"/>
  <c r="X320" i="12"/>
  <c r="X49" i="16" s="1"/>
  <c r="AS323" i="12"/>
  <c r="AE320" i="12"/>
  <c r="AE49" i="16" s="1"/>
  <c r="AA319" i="12"/>
  <c r="AA47" i="16" s="1"/>
  <c r="AA126" i="7"/>
  <c r="AA127" i="7" s="1"/>
  <c r="AD321" i="12"/>
  <c r="AD51" i="16" s="1"/>
  <c r="AN325" i="12"/>
  <c r="AT322" i="12"/>
  <c r="AJ321" i="12"/>
  <c r="AJ51" i="16" s="1"/>
  <c r="AC322" i="12"/>
  <c r="AS322" i="12"/>
  <c r="T319" i="12"/>
  <c r="T47" i="16" s="1"/>
  <c r="T126" i="7"/>
  <c r="T127" i="7" s="1"/>
  <c r="AQ323" i="12"/>
  <c r="BB322" i="12"/>
  <c r="AZ326" i="12"/>
  <c r="AX319" i="12"/>
  <c r="AX47" i="16" s="1"/>
  <c r="AX126" i="7"/>
  <c r="AX127" i="7" s="1"/>
  <c r="AW292" i="12"/>
  <c r="AW142" i="7"/>
  <c r="AW143" i="7" s="1"/>
  <c r="AF316" i="12"/>
  <c r="AF44" i="16" s="1"/>
  <c r="AF40" i="16"/>
  <c r="AX292" i="12"/>
  <c r="AX142" i="7"/>
  <c r="AX143" i="7" s="1"/>
  <c r="AR52" i="16"/>
  <c r="BS35" i="16"/>
  <c r="AK292" i="12"/>
  <c r="AK142" i="7"/>
  <c r="AK143" i="7" s="1"/>
  <c r="X292" i="12"/>
  <c r="X142" i="7"/>
  <c r="X143" i="7" s="1"/>
  <c r="T292" i="12"/>
  <c r="T142" i="7"/>
  <c r="T143" i="7" s="1"/>
  <c r="BM35" i="16"/>
  <c r="T52" i="16"/>
  <c r="AA40" i="16"/>
  <c r="AA316" i="12"/>
  <c r="AA44" i="16" s="1"/>
  <c r="AP40" i="16"/>
  <c r="AP316" i="12"/>
  <c r="AP44" i="16" s="1"/>
  <c r="L19" i="22"/>
  <c r="BU19" i="22" s="1"/>
  <c r="I9" i="19"/>
  <c r="H9" i="38"/>
  <c r="H55" i="38"/>
  <c r="H36" i="38"/>
  <c r="H28" i="38"/>
  <c r="H72" i="38"/>
  <c r="H83" i="38"/>
  <c r="H59" i="38"/>
  <c r="H30" i="38"/>
  <c r="H86" i="38"/>
  <c r="H52" i="38"/>
  <c r="H22" i="38"/>
  <c r="H14" i="38"/>
  <c r="L20" i="22"/>
  <c r="BU20" i="22" s="1"/>
  <c r="I10" i="19"/>
  <c r="H10" i="38"/>
  <c r="AL328" i="12"/>
  <c r="AI328" i="12"/>
  <c r="AV328" i="12"/>
  <c r="V328" i="12"/>
  <c r="AA325" i="12"/>
  <c r="BA143" i="10"/>
  <c r="BA144" i="10" s="1"/>
  <c r="AN323" i="12"/>
  <c r="W143" i="10"/>
  <c r="W144" i="10" s="1"/>
  <c r="T323" i="12"/>
  <c r="AH320" i="12"/>
  <c r="AH49" i="16" s="1"/>
  <c r="AB143" i="10"/>
  <c r="AB144" i="10" s="1"/>
  <c r="AF143" i="10"/>
  <c r="AF144" i="10" s="1"/>
  <c r="X143" i="10"/>
  <c r="X144" i="10" s="1"/>
  <c r="AP321" i="12"/>
  <c r="AP51" i="16" s="1"/>
  <c r="AY143" i="10"/>
  <c r="AY144" i="10" s="1"/>
  <c r="BE102" i="14" l="1"/>
  <c r="AP102" i="14"/>
  <c r="AY102" i="14"/>
  <c r="AH102" i="14"/>
  <c r="BF102" i="14"/>
  <c r="AX102" i="14"/>
  <c r="AL102" i="14"/>
  <c r="BC102" i="14"/>
  <c r="AI102" i="14"/>
  <c r="U102" i="14"/>
  <c r="AD102" i="14"/>
  <c r="M13" i="23"/>
  <c r="M9" i="23"/>
  <c r="AT118" i="45"/>
  <c r="AZ118" i="45" s="1"/>
  <c r="T11" i="40"/>
  <c r="I11" i="40" s="1"/>
  <c r="BB338" i="12"/>
  <c r="AI60" i="13"/>
  <c r="BA63" i="16"/>
  <c r="BU63" i="16" s="1"/>
  <c r="BU59" i="16"/>
  <c r="AS63" i="16"/>
  <c r="BS63" i="16" s="1"/>
  <c r="BS59" i="16"/>
  <c r="AY63" i="16"/>
  <c r="AY94" i="16" s="1"/>
  <c r="BT59" i="16"/>
  <c r="Z92" i="16"/>
  <c r="BN88" i="16"/>
  <c r="Y63" i="16"/>
  <c r="Y94" i="16" s="1"/>
  <c r="K14" i="37" s="1"/>
  <c r="BN59" i="16"/>
  <c r="AD87" i="14"/>
  <c r="BN87" i="14"/>
  <c r="BN88" i="14" s="1"/>
  <c r="BN85" i="14"/>
  <c r="AP87" i="14"/>
  <c r="BR72" i="14"/>
  <c r="BE87" i="14"/>
  <c r="BV72" i="14"/>
  <c r="BO68" i="14"/>
  <c r="U72" i="14"/>
  <c r="U85" i="14" s="1"/>
  <c r="BU72" i="14"/>
  <c r="AU87" i="14"/>
  <c r="BS72" i="14"/>
  <c r="AS102" i="14"/>
  <c r="AR60" i="13"/>
  <c r="V380" i="12"/>
  <c r="V135" i="16" s="1"/>
  <c r="V391" i="16" s="1"/>
  <c r="Y380" i="12"/>
  <c r="Y135" i="16" s="1"/>
  <c r="Y391" i="16" s="1"/>
  <c r="W380" i="12"/>
  <c r="W135" i="16" s="1"/>
  <c r="W391" i="16" s="1"/>
  <c r="BB61" i="13"/>
  <c r="AT102" i="14"/>
  <c r="AZ102" i="14"/>
  <c r="AA102" i="14"/>
  <c r="BA102" i="14"/>
  <c r="AK126" i="7"/>
  <c r="AK127" i="7" s="1"/>
  <c r="AS380" i="12"/>
  <c r="AS135" i="16" s="1"/>
  <c r="AS391" i="16" s="1"/>
  <c r="AR61" i="13"/>
  <c r="BD380" i="12"/>
  <c r="BD135" i="16" s="1"/>
  <c r="BD391" i="16" s="1"/>
  <c r="U380" i="12"/>
  <c r="U135" i="16" s="1"/>
  <c r="U391" i="16" s="1"/>
  <c r="AN380" i="12"/>
  <c r="AN135" i="16" s="1"/>
  <c r="AN391" i="16" s="1"/>
  <c r="AN102" i="14"/>
  <c r="BA380" i="12"/>
  <c r="BA135" i="16" s="1"/>
  <c r="BA391" i="16" s="1"/>
  <c r="Y102" i="14"/>
  <c r="AT61" i="13"/>
  <c r="BC61" i="13"/>
  <c r="AZ60" i="13"/>
  <c r="AB380" i="12"/>
  <c r="AB135" i="16" s="1"/>
  <c r="AB391" i="16" s="1"/>
  <c r="AC380" i="12"/>
  <c r="AC135" i="16" s="1"/>
  <c r="AC391" i="16" s="1"/>
  <c r="AS59" i="13"/>
  <c r="BD60" i="13"/>
  <c r="BD59" i="13"/>
  <c r="BD102" i="14"/>
  <c r="BV102" i="14" s="1"/>
  <c r="AM61" i="13"/>
  <c r="AI380" i="12"/>
  <c r="AI135" i="16" s="1"/>
  <c r="AI391" i="16" s="1"/>
  <c r="AR59" i="13"/>
  <c r="AG102" i="14"/>
  <c r="BP102" i="14" s="1"/>
  <c r="Z102" i="14"/>
  <c r="AF380" i="12"/>
  <c r="AF135" i="16" s="1"/>
  <c r="AF391" i="16" s="1"/>
  <c r="BB380" i="12"/>
  <c r="BB135" i="16" s="1"/>
  <c r="BB391" i="16" s="1"/>
  <c r="AR102" i="14"/>
  <c r="AT59" i="13"/>
  <c r="AV102" i="14"/>
  <c r="BT102" i="14" s="1"/>
  <c r="AL380" i="12"/>
  <c r="AL135" i="16" s="1"/>
  <c r="AL391" i="16" s="1"/>
  <c r="BE380" i="12"/>
  <c r="BE135" i="16" s="1"/>
  <c r="BE391" i="16" s="1"/>
  <c r="AC102" i="14"/>
  <c r="AJ102" i="14"/>
  <c r="AG380" i="12"/>
  <c r="AG135" i="16" s="1"/>
  <c r="AG391" i="16" s="1"/>
  <c r="AT60" i="13"/>
  <c r="Z380" i="12"/>
  <c r="Z135" i="16" s="1"/>
  <c r="Z391" i="16" s="1"/>
  <c r="AU380" i="12"/>
  <c r="AU135" i="16" s="1"/>
  <c r="AU391" i="16" s="1"/>
  <c r="AD380" i="12"/>
  <c r="AD135" i="16" s="1"/>
  <c r="AD391" i="16" s="1"/>
  <c r="AH380" i="12"/>
  <c r="AH135" i="16" s="1"/>
  <c r="AH391" i="16" s="1"/>
  <c r="X380" i="12"/>
  <c r="X135" i="16" s="1"/>
  <c r="X391" i="16" s="1"/>
  <c r="BB59" i="13"/>
  <c r="BB102" i="14"/>
  <c r="BC60" i="13"/>
  <c r="AM102" i="14"/>
  <c r="AA380" i="12"/>
  <c r="AA135" i="16" s="1"/>
  <c r="AA391" i="16" s="1"/>
  <c r="AE380" i="12"/>
  <c r="AE135" i="16" s="1"/>
  <c r="AE391" i="16" s="1"/>
  <c r="AE102" i="14"/>
  <c r="BB60" i="13"/>
  <c r="AS60" i="13"/>
  <c r="AS61" i="13"/>
  <c r="BD61" i="13"/>
  <c r="AM60" i="13"/>
  <c r="AZ61" i="13"/>
  <c r="AO102" i="14"/>
  <c r="AQ102" i="14"/>
  <c r="AB102" i="14"/>
  <c r="W102" i="14"/>
  <c r="AT380" i="12"/>
  <c r="AT135" i="16" s="1"/>
  <c r="AT391" i="16" s="1"/>
  <c r="AM59" i="13"/>
  <c r="AM380" i="12"/>
  <c r="AM135" i="16" s="1"/>
  <c r="AM391" i="16" s="1"/>
  <c r="AV61" i="13"/>
  <c r="AY59" i="13"/>
  <c r="AY380" i="12"/>
  <c r="AY135" i="16" s="1"/>
  <c r="AY391" i="16" s="1"/>
  <c r="BE59" i="13"/>
  <c r="AN59" i="13"/>
  <c r="AP61" i="13"/>
  <c r="AP60" i="13"/>
  <c r="BF59" i="13"/>
  <c r="BF380" i="12"/>
  <c r="BF135" i="16" s="1"/>
  <c r="BF391" i="16" s="1"/>
  <c r="AW380" i="12"/>
  <c r="AW135" i="16" s="1"/>
  <c r="AW391" i="16" s="1"/>
  <c r="BC59" i="13"/>
  <c r="BC380" i="12"/>
  <c r="BC135" i="16" s="1"/>
  <c r="BC391" i="16" s="1"/>
  <c r="Z61" i="13"/>
  <c r="AH61" i="13"/>
  <c r="V61" i="13"/>
  <c r="W61" i="13"/>
  <c r="X61" i="13"/>
  <c r="AA61" i="13"/>
  <c r="T61" i="13"/>
  <c r="AB61" i="13"/>
  <c r="AD61" i="13"/>
  <c r="AF61" i="13"/>
  <c r="U61" i="13"/>
  <c r="AC61" i="13"/>
  <c r="AI61" i="13"/>
  <c r="Y61" i="13"/>
  <c r="AG61" i="13"/>
  <c r="AE61" i="13"/>
  <c r="BG61" i="13"/>
  <c r="AO60" i="13"/>
  <c r="AL59" i="13"/>
  <c r="BI186" i="12"/>
  <c r="AK59" i="13"/>
  <c r="AK380" i="12"/>
  <c r="AK135" i="16" s="1"/>
  <c r="AK391" i="16" s="1"/>
  <c r="BE61" i="13"/>
  <c r="AN60" i="13"/>
  <c r="AJ61" i="13"/>
  <c r="AX59" i="13"/>
  <c r="AX380" i="12"/>
  <c r="AX135" i="16" s="1"/>
  <c r="AX391" i="16" s="1"/>
  <c r="AU59" i="13"/>
  <c r="BG59" i="13"/>
  <c r="BG380" i="12"/>
  <c r="BG135" i="16" s="1"/>
  <c r="BG391" i="16" s="1"/>
  <c r="AJ59" i="13"/>
  <c r="AJ380" i="12"/>
  <c r="AJ135" i="16" s="1"/>
  <c r="AW61" i="13"/>
  <c r="AW60" i="13"/>
  <c r="T102" i="14"/>
  <c r="AY60" i="13"/>
  <c r="AO380" i="12"/>
  <c r="AO135" i="16" s="1"/>
  <c r="AO391" i="16" s="1"/>
  <c r="AO61" i="13"/>
  <c r="AN61" i="13"/>
  <c r="AQ60" i="13"/>
  <c r="AQ61" i="13"/>
  <c r="BA59" i="13"/>
  <c r="AJ60" i="13"/>
  <c r="AR380" i="12"/>
  <c r="AR135" i="16" s="1"/>
  <c r="AI59" i="13"/>
  <c r="AD59" i="13"/>
  <c r="AB59" i="13"/>
  <c r="AA59" i="13"/>
  <c r="U59" i="13"/>
  <c r="X59" i="13"/>
  <c r="AH59" i="13"/>
  <c r="V59" i="13"/>
  <c r="T59" i="13"/>
  <c r="W59" i="13"/>
  <c r="AG59" i="13"/>
  <c r="Y59" i="13"/>
  <c r="AF59" i="13"/>
  <c r="Z59" i="13"/>
  <c r="AC59" i="13"/>
  <c r="AE59" i="13"/>
  <c r="BI184" i="12"/>
  <c r="T380" i="12"/>
  <c r="T135" i="16" s="1"/>
  <c r="AY61" i="13"/>
  <c r="AL60" i="13"/>
  <c r="V60" i="13"/>
  <c r="AA60" i="13"/>
  <c r="U60" i="13"/>
  <c r="AB60" i="13"/>
  <c r="AH60" i="13"/>
  <c r="W60" i="13"/>
  <c r="AE60" i="13"/>
  <c r="AD60" i="13"/>
  <c r="T60" i="13"/>
  <c r="AG60" i="13"/>
  <c r="AC60" i="13"/>
  <c r="Y60" i="13"/>
  <c r="AF60" i="13"/>
  <c r="Z60" i="13"/>
  <c r="X60" i="13"/>
  <c r="BG60" i="13"/>
  <c r="BI185" i="12"/>
  <c r="AZ59" i="13"/>
  <c r="AZ380" i="12"/>
  <c r="AZ135" i="16" s="1"/>
  <c r="AZ391" i="16" s="1"/>
  <c r="AO59" i="13"/>
  <c r="AK61" i="13"/>
  <c r="AQ59" i="13"/>
  <c r="AQ380" i="12"/>
  <c r="AQ135" i="16" s="1"/>
  <c r="AQ391" i="16" s="1"/>
  <c r="AX61" i="13"/>
  <c r="AU60" i="13"/>
  <c r="AV60" i="13"/>
  <c r="AL61" i="13"/>
  <c r="BE60" i="13"/>
  <c r="BF60" i="13"/>
  <c r="BF61" i="13"/>
  <c r="BA60" i="13"/>
  <c r="BA61" i="13"/>
  <c r="AX60" i="13"/>
  <c r="AW59" i="13"/>
  <c r="AV59" i="13"/>
  <c r="AV380" i="12"/>
  <c r="AV135" i="16" s="1"/>
  <c r="AK60" i="13"/>
  <c r="AP59" i="13"/>
  <c r="AP380" i="12"/>
  <c r="AP135" i="16" s="1"/>
  <c r="AP391" i="16" s="1"/>
  <c r="AU61" i="13"/>
  <c r="E37" i="17"/>
  <c r="AT140" i="45" s="1"/>
  <c r="AZ140" i="45" s="1"/>
  <c r="AT113" i="45"/>
  <c r="AZ113" i="45" s="1"/>
  <c r="BE85" i="14"/>
  <c r="BF126" i="7"/>
  <c r="BF127" i="7" s="1"/>
  <c r="AQ126" i="7"/>
  <c r="AQ127" i="7" s="1"/>
  <c r="Z347" i="12"/>
  <c r="Z359" i="12" s="1"/>
  <c r="AY88" i="14"/>
  <c r="AN347" i="12"/>
  <c r="AN348" i="12" s="1"/>
  <c r="V76" i="14"/>
  <c r="AD88" i="14"/>
  <c r="AV68" i="14"/>
  <c r="AV72" i="14" s="1"/>
  <c r="BT72" i="14" s="1"/>
  <c r="V87" i="14"/>
  <c r="V88" i="14" s="1"/>
  <c r="AP59" i="16"/>
  <c r="U87" i="14"/>
  <c r="BF87" i="14"/>
  <c r="BF76" i="14"/>
  <c r="Y338" i="12"/>
  <c r="Y339" i="12" s="1"/>
  <c r="BF85" i="14"/>
  <c r="AB68" i="14"/>
  <c r="AB72" i="14" s="1"/>
  <c r="BQ63" i="14"/>
  <c r="BQ68" i="14" s="1"/>
  <c r="AL85" i="14"/>
  <c r="U76" i="14"/>
  <c r="AY76" i="14"/>
  <c r="AY87" i="14"/>
  <c r="AL76" i="14"/>
  <c r="AL87" i="14"/>
  <c r="AD85" i="14"/>
  <c r="AP85" i="14"/>
  <c r="AP88" i="14"/>
  <c r="W76" i="14"/>
  <c r="BR49" i="16"/>
  <c r="BR50" i="16" s="1"/>
  <c r="W87" i="14"/>
  <c r="W88" i="14" s="1"/>
  <c r="AP76" i="14"/>
  <c r="W85" i="14"/>
  <c r="AI87" i="14"/>
  <c r="AQ88" i="14"/>
  <c r="AI88" i="14"/>
  <c r="AI76" i="14"/>
  <c r="AS43" i="16"/>
  <c r="AQ76" i="14"/>
  <c r="Z43" i="16"/>
  <c r="BB43" i="16"/>
  <c r="AQ85" i="14"/>
  <c r="AU76" i="14"/>
  <c r="AA43" i="16"/>
  <c r="AU85" i="14"/>
  <c r="BE126" i="7"/>
  <c r="BE127" i="7" s="1"/>
  <c r="BT51" i="16"/>
  <c r="BT52" i="16" s="1"/>
  <c r="AU88" i="14"/>
  <c r="BC43" i="16"/>
  <c r="Y43" i="16"/>
  <c r="W43" i="16"/>
  <c r="BE76" i="14"/>
  <c r="BE88" i="14"/>
  <c r="AP43" i="16"/>
  <c r="BG43" i="16"/>
  <c r="AK43" i="16"/>
  <c r="AC43" i="16"/>
  <c r="V43" i="16"/>
  <c r="BT40" i="16"/>
  <c r="BS49" i="16"/>
  <c r="BS50" i="16" s="1"/>
  <c r="AH43" i="16"/>
  <c r="AI43" i="16"/>
  <c r="BF43" i="16"/>
  <c r="BP49" i="16"/>
  <c r="BP50" i="16" s="1"/>
  <c r="BU51" i="16"/>
  <c r="BU52" i="16" s="1"/>
  <c r="BP51" i="16"/>
  <c r="BP52" i="16" s="1"/>
  <c r="W329" i="12"/>
  <c r="W55" i="16" s="1"/>
  <c r="W53" i="16" s="1"/>
  <c r="BM51" i="16"/>
  <c r="BM52" i="16" s="1"/>
  <c r="BU47" i="16"/>
  <c r="BU49" i="16"/>
  <c r="BU50" i="16" s="1"/>
  <c r="AR329" i="12"/>
  <c r="AR330" i="12" s="1"/>
  <c r="AP302" i="12"/>
  <c r="AP340" i="12" s="1"/>
  <c r="AP33" i="16"/>
  <c r="AP48" i="16" s="1"/>
  <c r="BO51" i="16"/>
  <c r="BO52" i="16" s="1"/>
  <c r="AY33" i="16"/>
  <c r="AY48" i="16" s="1"/>
  <c r="AY302" i="12"/>
  <c r="AY340" i="12" s="1"/>
  <c r="BR47" i="16"/>
  <c r="BD329" i="12"/>
  <c r="BA43" i="16"/>
  <c r="BS51" i="16"/>
  <c r="BS52" i="16" s="1"/>
  <c r="BB329" i="12"/>
  <c r="X43" i="16"/>
  <c r="BN44" i="16"/>
  <c r="Y33" i="16"/>
  <c r="Y302" i="12"/>
  <c r="BA33" i="16"/>
  <c r="BA48" i="16" s="1"/>
  <c r="BA302" i="12"/>
  <c r="BA340" i="12" s="1"/>
  <c r="BO47" i="16"/>
  <c r="AH76" i="14"/>
  <c r="AH87" i="14"/>
  <c r="AH85" i="14"/>
  <c r="AH88" i="14"/>
  <c r="AV47" i="16"/>
  <c r="AV329" i="12"/>
  <c r="W33" i="16"/>
  <c r="W48" i="16" s="1"/>
  <c r="W302" i="12"/>
  <c r="AW47" i="16"/>
  <c r="BN51" i="16"/>
  <c r="BN52" i="16" s="1"/>
  <c r="BG302" i="12"/>
  <c r="BG33" i="16"/>
  <c r="BG48" i="16" s="1"/>
  <c r="AZ43" i="16"/>
  <c r="BU44" i="16"/>
  <c r="AS339" i="12"/>
  <c r="BE329" i="12"/>
  <c r="BA339" i="12"/>
  <c r="AX302" i="12"/>
  <c r="AX33" i="16"/>
  <c r="AX48" i="16" s="1"/>
  <c r="BP40" i="16"/>
  <c r="BM47" i="16"/>
  <c r="AN43" i="16"/>
  <c r="BR44" i="16"/>
  <c r="BP63" i="14"/>
  <c r="BP68" i="14" s="1"/>
  <c r="AF68" i="14"/>
  <c r="AF72" i="14" s="1"/>
  <c r="AX43" i="16"/>
  <c r="AD43" i="16"/>
  <c r="BQ49" i="16"/>
  <c r="BQ50" i="16" s="1"/>
  <c r="AD33" i="16"/>
  <c r="AD48" i="16" s="1"/>
  <c r="AD302" i="12"/>
  <c r="BN40" i="16"/>
  <c r="AT302" i="12"/>
  <c r="AT340" i="12" s="1"/>
  <c r="AT33" i="16"/>
  <c r="AT48" i="16" s="1"/>
  <c r="BP47" i="16"/>
  <c r="BV49" i="16"/>
  <c r="BV50" i="16" s="1"/>
  <c r="AG302" i="12"/>
  <c r="AG33" i="16"/>
  <c r="AG48" i="16" s="1"/>
  <c r="AK88" i="16"/>
  <c r="AK347" i="12"/>
  <c r="AS94" i="16"/>
  <c r="AS103" i="16"/>
  <c r="BR88" i="16"/>
  <c r="AN92" i="16"/>
  <c r="BA94" i="16"/>
  <c r="BA103" i="16"/>
  <c r="Y103" i="16"/>
  <c r="AJ329" i="12"/>
  <c r="AU329" i="12"/>
  <c r="BR40" i="16"/>
  <c r="BM40" i="16"/>
  <c r="BS47" i="16"/>
  <c r="E23" i="36"/>
  <c r="U22" i="22"/>
  <c r="H17" i="33" s="1"/>
  <c r="AR43" i="16"/>
  <c r="BS44" i="16"/>
  <c r="BT49" i="16"/>
  <c r="BT50" i="16" s="1"/>
  <c r="BC329" i="12"/>
  <c r="AI302" i="12"/>
  <c r="AI33" i="16"/>
  <c r="AI48" i="16" s="1"/>
  <c r="BM49" i="16"/>
  <c r="BM50" i="16" s="1"/>
  <c r="AB43" i="16"/>
  <c r="BO44" i="16"/>
  <c r="AT329" i="12"/>
  <c r="Y76" i="14"/>
  <c r="Y87" i="14"/>
  <c r="Y88" i="14" s="1"/>
  <c r="Y85" i="14"/>
  <c r="BD339" i="12"/>
  <c r="BB339" i="12"/>
  <c r="AB329" i="12"/>
  <c r="AV33" i="16"/>
  <c r="AV302" i="12"/>
  <c r="BB33" i="16"/>
  <c r="BB48" i="16" s="1"/>
  <c r="BB302" i="12"/>
  <c r="AK33" i="16"/>
  <c r="AK48" i="16" s="1"/>
  <c r="AK302" i="12"/>
  <c r="AW33" i="16"/>
  <c r="AW48" i="16" s="1"/>
  <c r="AW302" i="12"/>
  <c r="BQ51" i="16"/>
  <c r="BQ52" i="16" s="1"/>
  <c r="BN49" i="16"/>
  <c r="BN50" i="16" s="1"/>
  <c r="X109" i="38"/>
  <c r="BV18" i="22"/>
  <c r="BW18" i="22"/>
  <c r="BY18" i="22" s="1"/>
  <c r="BX18" i="22"/>
  <c r="AJ33" i="16"/>
  <c r="AJ302" i="12"/>
  <c r="BD43" i="16"/>
  <c r="BV44" i="16"/>
  <c r="T43" i="16"/>
  <c r="BM44" i="16"/>
  <c r="AH33" i="16"/>
  <c r="AH48" i="16" s="1"/>
  <c r="AH302" i="12"/>
  <c r="BA329" i="12"/>
  <c r="AG22" i="22"/>
  <c r="AZ302" i="12"/>
  <c r="AZ33" i="16"/>
  <c r="BS40" i="16"/>
  <c r="AF33" i="16"/>
  <c r="AF302" i="12"/>
  <c r="AU43" i="16"/>
  <c r="AO329" i="12"/>
  <c r="AA33" i="16"/>
  <c r="AA48" i="16" s="1"/>
  <c r="AA302" i="12"/>
  <c r="BO49" i="16"/>
  <c r="BO50" i="16" s="1"/>
  <c r="BR51" i="16"/>
  <c r="BR52" i="16" s="1"/>
  <c r="BO40" i="16"/>
  <c r="V33" i="16"/>
  <c r="V48" i="16" s="1"/>
  <c r="V302" i="12"/>
  <c r="U43" i="16"/>
  <c r="BQ40" i="16"/>
  <c r="AE88" i="16"/>
  <c r="AE92" i="16" s="1"/>
  <c r="S5" i="47" s="1"/>
  <c r="AE347" i="12"/>
  <c r="R22" i="22"/>
  <c r="BV59" i="16"/>
  <c r="BD63" i="16"/>
  <c r="BB94" i="16"/>
  <c r="BB103" i="16"/>
  <c r="AN33" i="16"/>
  <c r="AN302" i="12"/>
  <c r="BV20" i="22"/>
  <c r="BX20" i="22"/>
  <c r="BW20" i="22"/>
  <c r="BY20" i="22" s="1"/>
  <c r="BV19" i="22"/>
  <c r="BX19" i="22"/>
  <c r="BW19" i="22"/>
  <c r="BY19" i="22" s="1"/>
  <c r="AH329" i="12"/>
  <c r="AM47" i="16"/>
  <c r="BQ47" i="16" s="1"/>
  <c r="AM329" i="12"/>
  <c r="BV40" i="16"/>
  <c r="N12" i="19"/>
  <c r="L106" i="38"/>
  <c r="L109" i="38" s="1"/>
  <c r="AM43" i="16"/>
  <c r="AO33" i="16"/>
  <c r="AO48" i="16" s="1"/>
  <c r="AO302" i="12"/>
  <c r="V329" i="12"/>
  <c r="AL43" i="16"/>
  <c r="AQ43" i="16"/>
  <c r="BV47" i="16"/>
  <c r="AL329" i="12"/>
  <c r="AC33" i="16"/>
  <c r="AC48" i="16" s="1"/>
  <c r="AC302" i="12"/>
  <c r="AJ43" i="16"/>
  <c r="BQ44" i="16"/>
  <c r="BF329" i="12"/>
  <c r="AC88" i="16"/>
  <c r="AC347" i="12"/>
  <c r="AG329" i="12"/>
  <c r="AJ88" i="14"/>
  <c r="AJ87" i="14"/>
  <c r="AJ76" i="14"/>
  <c r="AJ85" i="14"/>
  <c r="BQ72" i="14"/>
  <c r="AK329" i="12"/>
  <c r="X33" i="16"/>
  <c r="X302" i="12"/>
  <c r="AF43" i="16"/>
  <c r="BP44" i="16"/>
  <c r="J143" i="7"/>
  <c r="AS329" i="12"/>
  <c r="AR33" i="16"/>
  <c r="AR302" i="12"/>
  <c r="Z33" i="16"/>
  <c r="Z48" i="16" s="1"/>
  <c r="Z302" i="12"/>
  <c r="AM33" i="16"/>
  <c r="AM48" i="16" s="1"/>
  <c r="AM302" i="12"/>
  <c r="AO43" i="16"/>
  <c r="AS33" i="16"/>
  <c r="AS48" i="16" s="1"/>
  <c r="AS302" i="12"/>
  <c r="AS340" i="12" s="1"/>
  <c r="AF329" i="12"/>
  <c r="AH22" i="22"/>
  <c r="T22" i="22"/>
  <c r="AU33" i="16"/>
  <c r="AU48" i="16" s="1"/>
  <c r="AU302" i="12"/>
  <c r="BC302" i="12"/>
  <c r="BC33" i="16"/>
  <c r="BC48" i="16" s="1"/>
  <c r="AV43" i="16"/>
  <c r="BT44" i="16"/>
  <c r="AP329" i="12"/>
  <c r="BE33" i="16"/>
  <c r="BE48" i="16" s="1"/>
  <c r="BE302" i="12"/>
  <c r="X47" i="16"/>
  <c r="X329" i="12"/>
  <c r="Y47" i="16"/>
  <c r="AL33" i="16"/>
  <c r="AL48" i="16" s="1"/>
  <c r="AL302" i="12"/>
  <c r="T88" i="16"/>
  <c r="T347" i="12"/>
  <c r="T33" i="16"/>
  <c r="T302" i="12"/>
  <c r="AQ302" i="12"/>
  <c r="AQ33" i="16"/>
  <c r="AQ48" i="16" s="1"/>
  <c r="BC88" i="14"/>
  <c r="BC85" i="14"/>
  <c r="BC87" i="14"/>
  <c r="BC76" i="14"/>
  <c r="AA329" i="12"/>
  <c r="AT43" i="16"/>
  <c r="BE43" i="16"/>
  <c r="AX76" i="14"/>
  <c r="AX88" i="14"/>
  <c r="AX85" i="14"/>
  <c r="AX87" i="14"/>
  <c r="AY329" i="12"/>
  <c r="BG87" i="14"/>
  <c r="BG85" i="14"/>
  <c r="BG88" i="14"/>
  <c r="BG76" i="14"/>
  <c r="AW43" i="16"/>
  <c r="AY43" i="16"/>
  <c r="BV51" i="16"/>
  <c r="BV52" i="16" s="1"/>
  <c r="AE43" i="16"/>
  <c r="AE33" i="16"/>
  <c r="AE48" i="16" s="1"/>
  <c r="AE302" i="12"/>
  <c r="Z329" i="12"/>
  <c r="AM76" i="14"/>
  <c r="AM85" i="14"/>
  <c r="AM87" i="14"/>
  <c r="AM88" i="14"/>
  <c r="AT339" i="12"/>
  <c r="AP339" i="12"/>
  <c r="U33" i="16"/>
  <c r="U48" i="16" s="1"/>
  <c r="U302" i="12"/>
  <c r="BF302" i="12"/>
  <c r="BF33" i="16"/>
  <c r="BF48" i="16" s="1"/>
  <c r="AG43" i="16"/>
  <c r="AB33" i="16"/>
  <c r="AB302" i="12"/>
  <c r="BD302" i="12"/>
  <c r="BD340" i="12" s="1"/>
  <c r="BD33" i="16"/>
  <c r="AI329" i="12"/>
  <c r="BU40" i="16"/>
  <c r="BB88" i="14"/>
  <c r="BB85" i="14"/>
  <c r="BB76" i="14"/>
  <c r="BB87" i="14"/>
  <c r="AT94" i="16"/>
  <c r="AT103" i="16"/>
  <c r="Z93" i="16" l="1"/>
  <c r="Z94" i="16" s="1"/>
  <c r="L14" i="37" s="1"/>
  <c r="N5" i="47"/>
  <c r="AY103" i="16"/>
  <c r="K11" i="40"/>
  <c r="M11" i="40" s="1"/>
  <c r="N11" i="40"/>
  <c r="BU102" i="14"/>
  <c r="L16" i="37"/>
  <c r="BN102" i="14"/>
  <c r="BS102" i="14"/>
  <c r="J127" i="7"/>
  <c r="BR102" i="14"/>
  <c r="Y48" i="16"/>
  <c r="BN135" i="16"/>
  <c r="Y340" i="12"/>
  <c r="AP63" i="16"/>
  <c r="BR59" i="16"/>
  <c r="BN92" i="16"/>
  <c r="X5" i="47" s="1"/>
  <c r="AK92" i="16"/>
  <c r="BQ92" i="16" s="1"/>
  <c r="AA5" i="47" s="1"/>
  <c r="AA7" i="47" s="1"/>
  <c r="BQ88" i="16"/>
  <c r="AC92" i="16"/>
  <c r="BO88" i="16"/>
  <c r="BS87" i="14"/>
  <c r="BS88" i="14" s="1"/>
  <c r="BS85" i="14"/>
  <c r="BI68" i="14"/>
  <c r="BR87" i="14"/>
  <c r="BR88" i="14" s="1"/>
  <c r="BR85" i="14"/>
  <c r="U88" i="14"/>
  <c r="BI72" i="14"/>
  <c r="BM72" i="14"/>
  <c r="BX63" i="14"/>
  <c r="BV87" i="14"/>
  <c r="BV88" i="14" s="1"/>
  <c r="BV85" i="14"/>
  <c r="BU87" i="14"/>
  <c r="BU88" i="14" s="1"/>
  <c r="BU85" i="14"/>
  <c r="BP135" i="16"/>
  <c r="AB76" i="14"/>
  <c r="BO102" i="14"/>
  <c r="AV87" i="14"/>
  <c r="BO72" i="14"/>
  <c r="AB87" i="14"/>
  <c r="AB88" i="14" s="1"/>
  <c r="AV85" i="14"/>
  <c r="AB85" i="14"/>
  <c r="AV88" i="14"/>
  <c r="BU135" i="16"/>
  <c r="AV76" i="14"/>
  <c r="BI135" i="16"/>
  <c r="BO135" i="16"/>
  <c r="BV135" i="16"/>
  <c r="BR135" i="16"/>
  <c r="BQ102" i="14"/>
  <c r="BM102" i="14"/>
  <c r="BI102" i="14"/>
  <c r="BT135" i="16"/>
  <c r="AV391" i="16"/>
  <c r="AR391" i="16"/>
  <c r="BS135" i="16"/>
  <c r="AJ391" i="16"/>
  <c r="BQ135" i="16"/>
  <c r="BI61" i="13"/>
  <c r="T391" i="16"/>
  <c r="BM135" i="16"/>
  <c r="BI60" i="13"/>
  <c r="EJ20" i="22"/>
  <c r="CZ20" i="22"/>
  <c r="EJ18" i="22"/>
  <c r="EJ19" i="22"/>
  <c r="CZ19" i="22"/>
  <c r="CZ18" i="22"/>
  <c r="BI59" i="13"/>
  <c r="AE93" i="16"/>
  <c r="AE94" i="16" s="1"/>
  <c r="AN359" i="12"/>
  <c r="AN362" i="12" s="1"/>
  <c r="AN369" i="12" s="1"/>
  <c r="AN370" i="12" s="1"/>
  <c r="AR55" i="16"/>
  <c r="AR53" i="16" s="1"/>
  <c r="W331" i="12"/>
  <c r="BN43" i="16"/>
  <c r="E14" i="17"/>
  <c r="AT117" i="45" s="1"/>
  <c r="AZ117" i="45" s="1"/>
  <c r="K17" i="33"/>
  <c r="BV43" i="16"/>
  <c r="BT47" i="16"/>
  <c r="BV22" i="22"/>
  <c r="F23" i="36"/>
  <c r="I23" i="36"/>
  <c r="F14" i="36"/>
  <c r="F12" i="36"/>
  <c r="F11" i="36"/>
  <c r="F18" i="36"/>
  <c r="F15" i="36"/>
  <c r="F9" i="36"/>
  <c r="F10" i="36"/>
  <c r="F17" i="36"/>
  <c r="F13" i="36"/>
  <c r="F16" i="36"/>
  <c r="E21" i="36"/>
  <c r="I21" i="36" s="1"/>
  <c r="AN93" i="16"/>
  <c r="AN94" i="16" s="1"/>
  <c r="BR92" i="16"/>
  <c r="AN107" i="16"/>
  <c r="AX303" i="12"/>
  <c r="AX37" i="16"/>
  <c r="AX340" i="12"/>
  <c r="BB330" i="12"/>
  <c r="BB55" i="16"/>
  <c r="BB53" i="16" s="1"/>
  <c r="BB331" i="12"/>
  <c r="AB37" i="16"/>
  <c r="AB303" i="12"/>
  <c r="AB340" i="12"/>
  <c r="U37" i="16"/>
  <c r="G11" i="37" s="1"/>
  <c r="U303" i="12"/>
  <c r="U340" i="12"/>
  <c r="AY331" i="12"/>
  <c r="AY55" i="16"/>
  <c r="AY53" i="16" s="1"/>
  <c r="AA55" i="16"/>
  <c r="AA53" i="16" s="1"/>
  <c r="AA330" i="12"/>
  <c r="AA331" i="12"/>
  <c r="AL37" i="16"/>
  <c r="AL303" i="12"/>
  <c r="AL340" i="12"/>
  <c r="X331" i="12"/>
  <c r="X330" i="12"/>
  <c r="X55" i="16"/>
  <c r="Z37" i="16"/>
  <c r="L11" i="37" s="1"/>
  <c r="Z303" i="12"/>
  <c r="Z340" i="12"/>
  <c r="BP43" i="16"/>
  <c r="AC142" i="11"/>
  <c r="BQ87" i="14"/>
  <c r="BQ88" i="14" s="1"/>
  <c r="BQ85" i="14"/>
  <c r="AN37" i="16"/>
  <c r="AN303" i="12"/>
  <c r="AN340" i="12"/>
  <c r="BW22" i="22"/>
  <c r="S44" i="23" s="1"/>
  <c r="AK359" i="12"/>
  <c r="AK362" i="12" s="1"/>
  <c r="AK369" i="12" s="1"/>
  <c r="AK348" i="12"/>
  <c r="AF88" i="14"/>
  <c r="BP72" i="14"/>
  <c r="AF76" i="14"/>
  <c r="AF85" i="14"/>
  <c r="AF87" i="14"/>
  <c r="BG37" i="16"/>
  <c r="BG303" i="12"/>
  <c r="BG340" i="12"/>
  <c r="BO33" i="16"/>
  <c r="BO48" i="16" s="1"/>
  <c r="AB48" i="16"/>
  <c r="BN47" i="16"/>
  <c r="AP55" i="16"/>
  <c r="AP53" i="16" s="1"/>
  <c r="AP330" i="12"/>
  <c r="AP331" i="12"/>
  <c r="AF330" i="12"/>
  <c r="AF55" i="16"/>
  <c r="AF331" i="12"/>
  <c r="AS330" i="12"/>
  <c r="AS55" i="16"/>
  <c r="AS53" i="16" s="1"/>
  <c r="AS331" i="12"/>
  <c r="X37" i="16"/>
  <c r="J11" i="37" s="1"/>
  <c r="X303" i="12"/>
  <c r="T141" i="11"/>
  <c r="AM331" i="12"/>
  <c r="AM330" i="12"/>
  <c r="AM55" i="16"/>
  <c r="AM53" i="16" s="1"/>
  <c r="AN48" i="16"/>
  <c r="BR33" i="16"/>
  <c r="BR48" i="16" s="1"/>
  <c r="BA330" i="12"/>
  <c r="BA55" i="16"/>
  <c r="BA53" i="16" s="1"/>
  <c r="BA331" i="12"/>
  <c r="BX22" i="22"/>
  <c r="AG303" i="12"/>
  <c r="AG37" i="16"/>
  <c r="AG340" i="12"/>
  <c r="AT303" i="12"/>
  <c r="AT37" i="16"/>
  <c r="AV330" i="12"/>
  <c r="AV55" i="16"/>
  <c r="AV331" i="12"/>
  <c r="BD37" i="16"/>
  <c r="BD303" i="12"/>
  <c r="BE37" i="16"/>
  <c r="BE303" i="12"/>
  <c r="BE340" i="12"/>
  <c r="AS37" i="16"/>
  <c r="AS303" i="12"/>
  <c r="AR37" i="16"/>
  <c r="AR303" i="12"/>
  <c r="AR340" i="12"/>
  <c r="X48" i="16"/>
  <c r="BN33" i="16"/>
  <c r="AG55" i="16"/>
  <c r="AG53" i="16" s="1"/>
  <c r="AG330" i="12"/>
  <c r="AG331" i="12"/>
  <c r="BF331" i="12"/>
  <c r="BF55" i="16"/>
  <c r="BF53" i="16" s="1"/>
  <c r="BD103" i="16"/>
  <c r="BV63" i="16"/>
  <c r="BD94" i="16"/>
  <c r="AE359" i="12"/>
  <c r="AE348" i="12"/>
  <c r="AH37" i="16"/>
  <c r="AH303" i="12"/>
  <c r="AH340" i="12"/>
  <c r="AW37" i="16"/>
  <c r="AW303" i="12"/>
  <c r="BB37" i="16"/>
  <c r="BB303" i="12"/>
  <c r="BB340" i="12"/>
  <c r="AT330" i="12"/>
  <c r="AT55" i="16"/>
  <c r="AT53" i="16" s="1"/>
  <c r="AT331" i="12"/>
  <c r="Z330" i="12"/>
  <c r="Z331" i="12"/>
  <c r="Z55" i="16"/>
  <c r="Z53" i="16" s="1"/>
  <c r="T37" i="16"/>
  <c r="F11" i="37" s="1"/>
  <c r="T303" i="12"/>
  <c r="T340" i="12"/>
  <c r="AL331" i="12"/>
  <c r="AL330" i="12"/>
  <c r="AL55" i="16"/>
  <c r="AL53" i="16" s="1"/>
  <c r="AH331" i="12"/>
  <c r="AH55" i="16"/>
  <c r="AH53" i="16" s="1"/>
  <c r="AH330" i="12"/>
  <c r="BC330" i="12"/>
  <c r="BC55" i="16"/>
  <c r="BC53" i="16" s="1"/>
  <c r="BC331" i="12"/>
  <c r="AD37" i="16"/>
  <c r="AD303" i="12"/>
  <c r="AD340" i="12"/>
  <c r="BR43" i="16"/>
  <c r="BA303" i="12"/>
  <c r="BA37" i="16"/>
  <c r="AI22" i="22"/>
  <c r="N106" i="38"/>
  <c r="AZ48" i="16"/>
  <c r="BU33" i="16"/>
  <c r="BU48" i="16" s="1"/>
  <c r="AR331" i="12"/>
  <c r="BM33" i="16"/>
  <c r="BM48" i="16" s="1"/>
  <c r="T48" i="16"/>
  <c r="AC359" i="12"/>
  <c r="AC362" i="12" s="1"/>
  <c r="AC369" i="12" s="1"/>
  <c r="AC348" i="12"/>
  <c r="BQ43" i="16"/>
  <c r="AO331" i="12"/>
  <c r="AO330" i="12"/>
  <c r="AO55" i="16"/>
  <c r="AO53" i="16" s="1"/>
  <c r="AF37" i="16"/>
  <c r="AF303" i="12"/>
  <c r="AF340" i="12"/>
  <c r="AZ37" i="16"/>
  <c r="AZ303" i="12"/>
  <c r="AZ340" i="12"/>
  <c r="AK303" i="12"/>
  <c r="AK37" i="16"/>
  <c r="AK340" i="12"/>
  <c r="AV303" i="12"/>
  <c r="AV37" i="16"/>
  <c r="AV340" i="12"/>
  <c r="BT87" i="14"/>
  <c r="BT88" i="14" s="1"/>
  <c r="BT85" i="14"/>
  <c r="K106" i="34"/>
  <c r="BE330" i="12"/>
  <c r="BE331" i="12"/>
  <c r="BE55" i="16"/>
  <c r="BE53" i="16" s="1"/>
  <c r="BD331" i="12"/>
  <c r="BD330" i="12"/>
  <c r="BD55" i="16"/>
  <c r="AK55" i="16"/>
  <c r="AK53" i="16" s="1"/>
  <c r="AK331" i="12"/>
  <c r="AK330" i="12"/>
  <c r="V37" i="16"/>
  <c r="H11" i="37" s="1"/>
  <c r="V303" i="12"/>
  <c r="V340" i="12"/>
  <c r="BT43" i="16"/>
  <c r="AR48" i="16"/>
  <c r="BS33" i="16"/>
  <c r="BS48" i="16" s="1"/>
  <c r="AI331" i="12"/>
  <c r="AI55" i="16"/>
  <c r="AI53" i="16" s="1"/>
  <c r="T359" i="12"/>
  <c r="BC37" i="16"/>
  <c r="BC303" i="12"/>
  <c r="BC340" i="12"/>
  <c r="U141" i="11"/>
  <c r="BO87" i="14"/>
  <c r="BO88" i="14" s="1"/>
  <c r="BO85" i="14"/>
  <c r="AC37" i="16"/>
  <c r="AC303" i="12"/>
  <c r="AC340" i="12"/>
  <c r="V331" i="12"/>
  <c r="V55" i="16"/>
  <c r="V53" i="16" s="1"/>
  <c r="V330" i="12"/>
  <c r="AA303" i="12"/>
  <c r="AA37" i="16"/>
  <c r="M11" i="37" s="1"/>
  <c r="AA340" i="12"/>
  <c r="BP33" i="16"/>
  <c r="BP48" i="16" s="1"/>
  <c r="AF48" i="16"/>
  <c r="BM43" i="16"/>
  <c r="AJ37" i="16"/>
  <c r="AJ303" i="12"/>
  <c r="AJ340" i="12"/>
  <c r="AN148" i="8"/>
  <c r="BT33" i="16"/>
  <c r="AV48" i="16"/>
  <c r="AU330" i="12"/>
  <c r="AU331" i="12"/>
  <c r="AU55" i="16"/>
  <c r="AU53" i="16" s="1"/>
  <c r="W303" i="12"/>
  <c r="W37" i="16"/>
  <c r="I11" i="37" s="1"/>
  <c r="W340" i="12"/>
  <c r="Y37" i="16"/>
  <c r="K11" i="37" s="1"/>
  <c r="Y303" i="12"/>
  <c r="BF303" i="12"/>
  <c r="BF37" i="16"/>
  <c r="BF340" i="12"/>
  <c r="AE37" i="16"/>
  <c r="AE303" i="12"/>
  <c r="AE340" i="12"/>
  <c r="BD48" i="16"/>
  <c r="BV33" i="16"/>
  <c r="BV48" i="16" s="1"/>
  <c r="AQ37" i="16"/>
  <c r="AQ303" i="12"/>
  <c r="AQ340" i="12"/>
  <c r="BM88" i="16"/>
  <c r="BI88" i="16"/>
  <c r="T92" i="16"/>
  <c r="H5" i="47" s="1"/>
  <c r="AU37" i="16"/>
  <c r="AU303" i="12"/>
  <c r="AU340" i="12"/>
  <c r="AM37" i="16"/>
  <c r="AM303" i="12"/>
  <c r="AM340" i="12"/>
  <c r="AO303" i="12"/>
  <c r="AO37" i="16"/>
  <c r="AO340" i="12"/>
  <c r="AJ48" i="16"/>
  <c r="BQ33" i="16"/>
  <c r="BQ48" i="16" s="1"/>
  <c r="AB330" i="12"/>
  <c r="AB55" i="16"/>
  <c r="AB331" i="12"/>
  <c r="BO43" i="16"/>
  <c r="AI303" i="12"/>
  <c r="AI37" i="16"/>
  <c r="AI340" i="12"/>
  <c r="BS43" i="16"/>
  <c r="S38" i="23"/>
  <c r="AJ330" i="12"/>
  <c r="AJ55" i="16"/>
  <c r="AJ331" i="12"/>
  <c r="BU43" i="16"/>
  <c r="AY37" i="16"/>
  <c r="AY303" i="12"/>
  <c r="AP37" i="16"/>
  <c r="AP303" i="12"/>
  <c r="AC93" i="16" l="1"/>
  <c r="AC94" i="16" s="1"/>
  <c r="Q5" i="47"/>
  <c r="Q7" i="47" s="1"/>
  <c r="M17" i="23"/>
  <c r="T12" i="40"/>
  <c r="I12" i="40" s="1"/>
  <c r="BX88" i="16"/>
  <c r="AC107" i="16"/>
  <c r="AC116" i="16" s="1"/>
  <c r="CZ22" i="22"/>
  <c r="E40" i="17" s="1"/>
  <c r="AK107" i="16"/>
  <c r="BQ107" i="16" s="1"/>
  <c r="BQ116" i="16" s="1"/>
  <c r="AK93" i="16"/>
  <c r="AK94" i="16" s="1"/>
  <c r="BX135" i="16"/>
  <c r="BT48" i="16"/>
  <c r="BI87" i="14"/>
  <c r="BI88" i="14" s="1"/>
  <c r="BI76" i="14"/>
  <c r="BO92" i="16"/>
  <c r="Y5" i="47" s="1"/>
  <c r="J16" i="18"/>
  <c r="J22" i="18" s="1"/>
  <c r="G16" i="18"/>
  <c r="BR63" i="16"/>
  <c r="AP94" i="16"/>
  <c r="AP103" i="16"/>
  <c r="F19" i="36"/>
  <c r="BM87" i="14"/>
  <c r="BX72" i="14"/>
  <c r="BK72" i="14" s="1"/>
  <c r="BM85" i="14"/>
  <c r="BI85" i="14"/>
  <c r="BY22" i="22"/>
  <c r="K86" i="34"/>
  <c r="K75" i="34"/>
  <c r="K70" i="34"/>
  <c r="K65" i="34"/>
  <c r="K54" i="34"/>
  <c r="K38" i="34"/>
  <c r="EJ22" i="22"/>
  <c r="K46" i="34"/>
  <c r="K98" i="34"/>
  <c r="K33" i="34"/>
  <c r="K99" i="34"/>
  <c r="K93" i="34"/>
  <c r="K85" i="34"/>
  <c r="K79" i="34"/>
  <c r="K68" i="34"/>
  <c r="K61" i="34"/>
  <c r="K53" i="34"/>
  <c r="K44" i="34"/>
  <c r="K37" i="34"/>
  <c r="K41" i="34"/>
  <c r="K63" i="34"/>
  <c r="K91" i="34"/>
  <c r="K16" i="34"/>
  <c r="K77" i="34"/>
  <c r="K56" i="34"/>
  <c r="K14" i="34"/>
  <c r="K12" i="34"/>
  <c r="K74" i="34"/>
  <c r="K51" i="34"/>
  <c r="K21" i="34"/>
  <c r="K55" i="34"/>
  <c r="K24" i="34"/>
  <c r="K17" i="34"/>
  <c r="K25" i="34"/>
  <c r="K97" i="34"/>
  <c r="K50" i="34"/>
  <c r="K43" i="34"/>
  <c r="K49" i="34"/>
  <c r="K19" i="34"/>
  <c r="K52" i="34"/>
  <c r="K62" i="34"/>
  <c r="K32" i="34"/>
  <c r="K69" i="34"/>
  <c r="K40" i="34"/>
  <c r="K29" i="34"/>
  <c r="K105" i="34"/>
  <c r="K92" i="34"/>
  <c r="K84" i="34"/>
  <c r="K78" i="34"/>
  <c r="K73" i="34"/>
  <c r="K67" i="34"/>
  <c r="K59" i="34"/>
  <c r="K35" i="34"/>
  <c r="K18" i="34"/>
  <c r="K11" i="34"/>
  <c r="K42" i="34"/>
  <c r="K30" i="34"/>
  <c r="K15" i="34"/>
  <c r="K20" i="34"/>
  <c r="K64" i="34"/>
  <c r="K76" i="34"/>
  <c r="K66" i="34"/>
  <c r="K58" i="34"/>
  <c r="X28" i="15"/>
  <c r="AB8" i="19"/>
  <c r="K7" i="34"/>
  <c r="K47" i="34"/>
  <c r="K88" i="34"/>
  <c r="K10" i="34"/>
  <c r="K31" i="34"/>
  <c r="K9" i="34"/>
  <c r="AB10" i="19"/>
  <c r="K102" i="34"/>
  <c r="K34" i="34"/>
  <c r="K103" i="34"/>
  <c r="K95" i="34"/>
  <c r="K90" i="34"/>
  <c r="K83" i="34"/>
  <c r="K71" i="34"/>
  <c r="K48" i="34"/>
  <c r="K39" i="34"/>
  <c r="K8" i="34"/>
  <c r="AB9" i="19"/>
  <c r="K27" i="34"/>
  <c r="K60" i="34"/>
  <c r="K26" i="34"/>
  <c r="K96" i="34"/>
  <c r="K82" i="34"/>
  <c r="K100" i="34"/>
  <c r="K13" i="34"/>
  <c r="K101" i="34"/>
  <c r="K94" i="34"/>
  <c r="K80" i="34"/>
  <c r="K45" i="34"/>
  <c r="K23" i="34"/>
  <c r="K81" i="34"/>
  <c r="K22" i="34"/>
  <c r="K72" i="34"/>
  <c r="K104" i="34"/>
  <c r="K57" i="34"/>
  <c r="K87" i="34"/>
  <c r="K28" i="34"/>
  <c r="K36" i="34"/>
  <c r="K89" i="34"/>
  <c r="BX102" i="14"/>
  <c r="DB18" i="22"/>
  <c r="DB20" i="22"/>
  <c r="DB19" i="22"/>
  <c r="F21" i="36"/>
  <c r="AU64" i="16"/>
  <c r="AU56" i="16"/>
  <c r="AU36" i="16"/>
  <c r="AU54" i="16" s="1"/>
  <c r="AU139" i="16"/>
  <c r="AN149" i="8"/>
  <c r="AN150" i="8" s="1"/>
  <c r="AN328" i="12"/>
  <c r="AN329" i="12" s="1"/>
  <c r="AC64" i="16"/>
  <c r="AC36" i="16"/>
  <c r="AC54" i="16" s="1"/>
  <c r="U327" i="12"/>
  <c r="U329" i="12" s="1"/>
  <c r="U143" i="11"/>
  <c r="U144" i="11" s="1"/>
  <c r="W378" i="12"/>
  <c r="W133" i="16" s="1"/>
  <c r="P12" i="19"/>
  <c r="BB64" i="16"/>
  <c r="BB139" i="16"/>
  <c r="BB56" i="16"/>
  <c r="BB36" i="16"/>
  <c r="BB54" i="16" s="1"/>
  <c r="BE64" i="16"/>
  <c r="BE139" i="16"/>
  <c r="BE36" i="16"/>
  <c r="BE54" i="16" s="1"/>
  <c r="BE56" i="16"/>
  <c r="AT139" i="16"/>
  <c r="AT64" i="16"/>
  <c r="AT56" i="16"/>
  <c r="AT36" i="16"/>
  <c r="AT54" i="16" s="1"/>
  <c r="X36" i="16"/>
  <c r="X56" i="16"/>
  <c r="J13" i="37" s="1"/>
  <c r="BN37" i="16"/>
  <c r="X335" i="12"/>
  <c r="X53" i="16"/>
  <c r="AP64" i="16"/>
  <c r="AP56" i="16"/>
  <c r="AP36" i="16"/>
  <c r="AP54" i="16" s="1"/>
  <c r="AP139" i="16"/>
  <c r="AO36" i="16"/>
  <c r="AO54" i="16" s="1"/>
  <c r="AO139" i="16"/>
  <c r="AO56" i="16"/>
  <c r="AO64" i="16"/>
  <c r="W53" i="12"/>
  <c r="AE64" i="16"/>
  <c r="AE36" i="16"/>
  <c r="AE54" i="16" s="1"/>
  <c r="BI92" i="16"/>
  <c r="O451" i="16" s="1"/>
  <c r="F16" i="37"/>
  <c r="T93" i="16"/>
  <c r="T94" i="16" s="1"/>
  <c r="F14" i="37" s="1"/>
  <c r="BM92" i="16"/>
  <c r="W5" i="47" s="1"/>
  <c r="AA36" i="16"/>
  <c r="AA54" i="16" s="1"/>
  <c r="AA64" i="16"/>
  <c r="AA56" i="16"/>
  <c r="M13" i="37" s="1"/>
  <c r="Z106" i="38"/>
  <c r="N109" i="38"/>
  <c r="T327" i="12"/>
  <c r="T329" i="12" s="1"/>
  <c r="T143" i="11"/>
  <c r="T144" i="11" s="1"/>
  <c r="AM36" i="16"/>
  <c r="AM54" i="16" s="1"/>
  <c r="AM64" i="16"/>
  <c r="AM56" i="16"/>
  <c r="AM139" i="16"/>
  <c r="AB53" i="12"/>
  <c r="AJ53" i="16"/>
  <c r="BQ53" i="16" s="1"/>
  <c r="BQ55" i="16"/>
  <c r="Y36" i="16"/>
  <c r="Y54" i="16" s="1"/>
  <c r="Y64" i="16"/>
  <c r="AC369" i="16"/>
  <c r="AF139" i="16"/>
  <c r="AF64" i="16"/>
  <c r="AF36" i="16"/>
  <c r="AF56" i="16"/>
  <c r="BP37" i="16"/>
  <c r="AZ142" i="10"/>
  <c r="AC370" i="12"/>
  <c r="E13" i="17"/>
  <c r="S41" i="23"/>
  <c r="M303" i="12"/>
  <c r="AH139" i="16"/>
  <c r="AH64" i="16"/>
  <c r="AH36" i="16"/>
  <c r="AH54" i="16" s="1"/>
  <c r="AH56" i="16"/>
  <c r="I107" i="45"/>
  <c r="AI107" i="45" s="1"/>
  <c r="BS55" i="16"/>
  <c r="BN48" i="16"/>
  <c r="BP87" i="14"/>
  <c r="BP88" i="14" s="1"/>
  <c r="BP85" i="14"/>
  <c r="AX148" i="8"/>
  <c r="U36" i="16"/>
  <c r="U54" i="16" s="1"/>
  <c r="U64" i="16"/>
  <c r="AN369" i="16"/>
  <c r="AN116" i="16"/>
  <c r="AN118" i="16"/>
  <c r="X53" i="12"/>
  <c r="U53" i="12"/>
  <c r="BC36" i="16"/>
  <c r="BC54" i="16" s="1"/>
  <c r="BC139" i="16"/>
  <c r="BC64" i="16"/>
  <c r="BC56" i="16"/>
  <c r="AV56" i="16"/>
  <c r="AV36" i="16"/>
  <c r="BT37" i="16"/>
  <c r="AV139" i="16"/>
  <c r="AV64" i="16"/>
  <c r="BC289" i="12"/>
  <c r="BC66" i="16" s="1"/>
  <c r="T64" i="16"/>
  <c r="BM37" i="16"/>
  <c r="T36" i="16"/>
  <c r="AW56" i="16"/>
  <c r="AW36" i="16"/>
  <c r="AW54" i="16" s="1"/>
  <c r="AW139" i="16"/>
  <c r="AW64" i="16"/>
  <c r="AR64" i="16"/>
  <c r="AR36" i="16"/>
  <c r="AR56" i="16"/>
  <c r="AR139" i="16"/>
  <c r="BS37" i="16"/>
  <c r="BS64" i="16" s="1"/>
  <c r="AG139" i="16"/>
  <c r="AG36" i="16"/>
  <c r="AG54" i="16" s="1"/>
  <c r="AG56" i="16"/>
  <c r="AG64" i="16"/>
  <c r="BS53" i="16"/>
  <c r="AB53" i="16"/>
  <c r="AA53" i="12"/>
  <c r="AJ36" i="16"/>
  <c r="AJ56" i="16"/>
  <c r="AJ64" i="16"/>
  <c r="AJ139" i="16"/>
  <c r="BQ37" i="16"/>
  <c r="BG378" i="12"/>
  <c r="BG133" i="16" s="1"/>
  <c r="BA139" i="16"/>
  <c r="BA56" i="16"/>
  <c r="BA36" i="16"/>
  <c r="BA54" i="16" s="1"/>
  <c r="BA64" i="16"/>
  <c r="AD64" i="16"/>
  <c r="AD36" i="16"/>
  <c r="AD54" i="16" s="1"/>
  <c r="BG148" i="8"/>
  <c r="AY378" i="12"/>
  <c r="AY133" i="16" s="1"/>
  <c r="AS64" i="16"/>
  <c r="AS139" i="16"/>
  <c r="AS56" i="16"/>
  <c r="AS36" i="16"/>
  <c r="AS54" i="16" s="1"/>
  <c r="AF53" i="16"/>
  <c r="BP53" i="16" s="1"/>
  <c r="BP55" i="16"/>
  <c r="AK370" i="12"/>
  <c r="AD147" i="8"/>
  <c r="AN139" i="16"/>
  <c r="BR37" i="16"/>
  <c r="AN64" i="16"/>
  <c r="AN56" i="16"/>
  <c r="AN36" i="16"/>
  <c r="AL56" i="16"/>
  <c r="AL139" i="16"/>
  <c r="AL36" i="16"/>
  <c r="AL54" i="16" s="1"/>
  <c r="AL64" i="16"/>
  <c r="AB64" i="16"/>
  <c r="AB56" i="16"/>
  <c r="AB36" i="16"/>
  <c r="BO37" i="16"/>
  <c r="W64" i="16"/>
  <c r="W56" i="16"/>
  <c r="I13" i="37" s="1"/>
  <c r="W36" i="16"/>
  <c r="W54" i="16" s="1"/>
  <c r="AY56" i="16"/>
  <c r="AY139" i="16"/>
  <c r="AY64" i="16"/>
  <c r="AY36" i="16"/>
  <c r="AY54" i="16" s="1"/>
  <c r="AQ56" i="16"/>
  <c r="AQ139" i="16"/>
  <c r="AQ64" i="16"/>
  <c r="AQ36" i="16"/>
  <c r="AQ54" i="16" s="1"/>
  <c r="BF139" i="16"/>
  <c r="BF56" i="16"/>
  <c r="BF64" i="16"/>
  <c r="BF36" i="16"/>
  <c r="BF54" i="16" s="1"/>
  <c r="V56" i="16"/>
  <c r="H13" i="37" s="1"/>
  <c r="V36" i="16"/>
  <c r="V54" i="16" s="1"/>
  <c r="V64" i="16"/>
  <c r="BD53" i="16"/>
  <c r="AK64" i="16"/>
  <c r="AK139" i="16"/>
  <c r="AK36" i="16"/>
  <c r="AK54" i="16" s="1"/>
  <c r="AK56" i="16"/>
  <c r="AQ378" i="12"/>
  <c r="AQ133" i="16" s="1"/>
  <c r="AC61" i="12"/>
  <c r="AC289" i="12" s="1"/>
  <c r="AC66" i="16" s="1"/>
  <c r="BD64" i="16"/>
  <c r="BV37" i="16"/>
  <c r="BV64" i="16" s="1"/>
  <c r="BD56" i="16"/>
  <c r="BD139" i="16"/>
  <c r="BD36" i="16"/>
  <c r="AV53" i="16"/>
  <c r="BG56" i="16"/>
  <c r="BG36" i="16"/>
  <c r="BG54" i="16" s="1"/>
  <c r="BG139" i="16"/>
  <c r="BG64" i="16"/>
  <c r="AI36" i="16"/>
  <c r="AI54" i="16" s="1"/>
  <c r="AI64" i="16"/>
  <c r="AI56" i="16"/>
  <c r="AI139" i="16"/>
  <c r="AZ64" i="16"/>
  <c r="AZ139" i="16"/>
  <c r="AZ36" i="16"/>
  <c r="AZ56" i="16"/>
  <c r="BU37" i="16"/>
  <c r="BU64" i="16" s="1"/>
  <c r="Z53" i="12"/>
  <c r="BF378" i="12"/>
  <c r="BF133" i="16" s="1"/>
  <c r="AE378" i="12"/>
  <c r="AE133" i="16" s="1"/>
  <c r="AW335" i="12"/>
  <c r="AC328" i="12"/>
  <c r="AC329" i="12" s="1"/>
  <c r="AC143" i="11"/>
  <c r="AC144" i="11" s="1"/>
  <c r="Z64" i="16"/>
  <c r="Z56" i="16"/>
  <c r="L13" i="37" s="1"/>
  <c r="Z36" i="16"/>
  <c r="Z54" i="16" s="1"/>
  <c r="BT66" i="14"/>
  <c r="BT68" i="14" s="1"/>
  <c r="BN66" i="14"/>
  <c r="AX64" i="16"/>
  <c r="AX56" i="16"/>
  <c r="AX36" i="16"/>
  <c r="AX54" i="16" s="1"/>
  <c r="AX139" i="16"/>
  <c r="K12" i="40" l="1"/>
  <c r="M12" i="40" s="1"/>
  <c r="N12" i="40"/>
  <c r="AT143" i="45"/>
  <c r="AZ143" i="45" s="1"/>
  <c r="S32" i="40"/>
  <c r="AK116" i="16"/>
  <c r="AK118" i="16"/>
  <c r="BQ118" i="16" s="1"/>
  <c r="J21" i="18" s="1"/>
  <c r="J50" i="18" s="1"/>
  <c r="AC118" i="16"/>
  <c r="AC119" i="16" s="1"/>
  <c r="AK369" i="16"/>
  <c r="DB22" i="22"/>
  <c r="E39" i="17" s="1"/>
  <c r="AT142" i="45" s="1"/>
  <c r="AZ142" i="45" s="1"/>
  <c r="BR64" i="16"/>
  <c r="AW60" i="16"/>
  <c r="AW338" i="12"/>
  <c r="X60" i="16"/>
  <c r="X338" i="12"/>
  <c r="H16" i="18"/>
  <c r="BX66" i="14"/>
  <c r="BN68" i="14"/>
  <c r="BX68" i="14" s="1"/>
  <c r="BM88" i="14"/>
  <c r="BX87" i="14"/>
  <c r="AB12" i="19"/>
  <c r="K107" i="34"/>
  <c r="J15" i="17"/>
  <c r="BE159" i="45" s="1"/>
  <c r="BE179" i="45" s="1"/>
  <c r="AT116" i="45"/>
  <c r="AZ116" i="45" s="1"/>
  <c r="AL107" i="38"/>
  <c r="BS139" i="16"/>
  <c r="BU139" i="16"/>
  <c r="AS289" i="12"/>
  <c r="AS66" i="16" s="1"/>
  <c r="BR139" i="16"/>
  <c r="J11" i="18"/>
  <c r="BQ64" i="16"/>
  <c r="BS36" i="16"/>
  <c r="BS54" i="16" s="1"/>
  <c r="AR54" i="16"/>
  <c r="C39" i="39"/>
  <c r="Y27" i="14"/>
  <c r="Y36" i="14" s="1"/>
  <c r="AI366" i="12"/>
  <c r="AI112" i="16" s="1"/>
  <c r="AI339" i="12"/>
  <c r="AI330" i="12"/>
  <c r="BG361" i="12"/>
  <c r="BG372" i="12"/>
  <c r="BG123" i="16" s="1"/>
  <c r="BG367" i="12"/>
  <c r="BG113" i="16" s="1"/>
  <c r="BG398" i="12"/>
  <c r="BG365" i="12"/>
  <c r="BG111" i="16" s="1"/>
  <c r="BG348" i="12"/>
  <c r="BX92" i="16"/>
  <c r="BK92" i="16" s="1"/>
  <c r="F16" i="18"/>
  <c r="W85" i="12"/>
  <c r="W117" i="12"/>
  <c r="W367" i="12" s="1"/>
  <c r="W113" i="16" s="1"/>
  <c r="W375" i="16" s="1"/>
  <c r="W101" i="12"/>
  <c r="W365" i="12" s="1"/>
  <c r="W111" i="16" s="1"/>
  <c r="W373" i="16" s="1"/>
  <c r="W61" i="12"/>
  <c r="W140" i="12"/>
  <c r="W372" i="12" s="1"/>
  <c r="W123" i="16" s="1"/>
  <c r="W398" i="12"/>
  <c r="W348" i="12"/>
  <c r="X378" i="12"/>
  <c r="X133" i="16" s="1"/>
  <c r="AO39" i="14"/>
  <c r="AO41" i="14" s="1"/>
  <c r="BF366" i="12"/>
  <c r="BF112" i="16" s="1"/>
  <c r="BF339" i="12"/>
  <c r="BF330" i="12"/>
  <c r="AZ289" i="12"/>
  <c r="AZ66" i="16" s="1"/>
  <c r="AJ15" i="38"/>
  <c r="BP139" i="16"/>
  <c r="BQ56" i="16"/>
  <c r="J13" i="18" s="1"/>
  <c r="BQ94" i="16"/>
  <c r="J14" i="18" s="1"/>
  <c r="J144" i="11"/>
  <c r="G11" i="18"/>
  <c r="BB289" i="12"/>
  <c r="BB66" i="16" s="1"/>
  <c r="W389" i="16"/>
  <c r="U55" i="16"/>
  <c r="U331" i="12"/>
  <c r="U330" i="12"/>
  <c r="AM289" i="12"/>
  <c r="AM66" i="16" s="1"/>
  <c r="AY389" i="16"/>
  <c r="BG328" i="12"/>
  <c r="BG329" i="12" s="1"/>
  <c r="BG149" i="8"/>
  <c r="BG150" i="8" s="1"/>
  <c r="AA85" i="12"/>
  <c r="AA361" i="12" s="1"/>
  <c r="CE19" i="22"/>
  <c r="AA140" i="12"/>
  <c r="AA117" i="12"/>
  <c r="AA101" i="12"/>
  <c r="AA61" i="12"/>
  <c r="AA398" i="12"/>
  <c r="AA348" i="12"/>
  <c r="Z27" i="14"/>
  <c r="Z36" i="14" s="1"/>
  <c r="AJ47" i="38"/>
  <c r="BT139" i="16"/>
  <c r="X85" i="12"/>
  <c r="X361" i="12" s="1"/>
  <c r="X140" i="12"/>
  <c r="X372" i="12" s="1"/>
  <c r="X123" i="16" s="1"/>
  <c r="X117" i="12"/>
  <c r="X367" i="12" s="1"/>
  <c r="X113" i="16" s="1"/>
  <c r="X101" i="12"/>
  <c r="X365" i="12" s="1"/>
  <c r="X111" i="16" s="1"/>
  <c r="X61" i="12"/>
  <c r="X289" i="12" s="1"/>
  <c r="X66" i="16" s="1"/>
  <c r="X398" i="12"/>
  <c r="X348" i="12"/>
  <c r="BS56" i="16"/>
  <c r="BS94" i="16"/>
  <c r="AC120" i="16"/>
  <c r="T55" i="16"/>
  <c r="T56" i="16" s="1"/>
  <c r="F13" i="37" s="1"/>
  <c r="T331" i="12"/>
  <c r="T330" i="12"/>
  <c r="N16" i="37"/>
  <c r="AX35" i="14"/>
  <c r="AX41" i="14" s="1"/>
  <c r="AE389" i="16"/>
  <c r="BD54" i="16"/>
  <c r="BV36" i="16"/>
  <c r="AB54" i="16"/>
  <c r="BO36" i="16"/>
  <c r="EL22" i="22"/>
  <c r="AJ29" i="38"/>
  <c r="BV139" i="16"/>
  <c r="AK289" i="12"/>
  <c r="AK66" i="16" s="1"/>
  <c r="AD149" i="8"/>
  <c r="AD150" i="8" s="1"/>
  <c r="AD327" i="12"/>
  <c r="AD329" i="12" s="1"/>
  <c r="AQ361" i="12"/>
  <c r="AQ367" i="12"/>
  <c r="AQ113" i="16" s="1"/>
  <c r="AQ372" i="12"/>
  <c r="AQ123" i="16" s="1"/>
  <c r="AQ398" i="12"/>
  <c r="AQ365" i="12"/>
  <c r="AQ111" i="16" s="1"/>
  <c r="AQ348" i="12"/>
  <c r="X27" i="14"/>
  <c r="X36" i="14" s="1"/>
  <c r="AX328" i="12"/>
  <c r="AX329" i="12" s="1"/>
  <c r="AX149" i="8"/>
  <c r="AX150" i="8" s="1"/>
  <c r="AZ143" i="10"/>
  <c r="AZ144" i="10" s="1"/>
  <c r="AZ328" i="12"/>
  <c r="AZ329" i="12" s="1"/>
  <c r="Z356" i="12"/>
  <c r="AB140" i="12"/>
  <c r="AB372" i="12" s="1"/>
  <c r="AB123" i="16" s="1"/>
  <c r="AB117" i="12"/>
  <c r="AB367" i="12" s="1"/>
  <c r="AB113" i="16" s="1"/>
  <c r="AB101" i="12"/>
  <c r="AB85" i="12"/>
  <c r="AB361" i="12" s="1"/>
  <c r="AB61" i="12"/>
  <c r="AB289" i="12" s="1"/>
  <c r="AB66" i="16" s="1"/>
  <c r="AB398" i="12"/>
  <c r="AB348" i="12"/>
  <c r="AS378" i="12"/>
  <c r="AS133" i="16" s="1"/>
  <c r="AU289" i="12"/>
  <c r="AU66" i="16" s="1"/>
  <c r="BG389" i="16"/>
  <c r="AJ54" i="16"/>
  <c r="BQ36" i="16"/>
  <c r="BQ54" i="16" s="1"/>
  <c r="T54" i="16"/>
  <c r="BM36" i="16"/>
  <c r="AV54" i="16"/>
  <c r="BT36" i="16"/>
  <c r="AN120" i="16"/>
  <c r="AN119" i="16"/>
  <c r="X54" i="16"/>
  <c r="BN36" i="16"/>
  <c r="AF378" i="12"/>
  <c r="AF133" i="16" s="1"/>
  <c r="Z378" i="12"/>
  <c r="Z133" i="16" s="1"/>
  <c r="AJ289" i="12"/>
  <c r="AJ66" i="16" s="1"/>
  <c r="AQ389" i="16"/>
  <c r="BR133" i="16"/>
  <c r="BR36" i="16"/>
  <c r="AN54" i="16"/>
  <c r="BA289" i="12"/>
  <c r="BA66" i="16" s="1"/>
  <c r="F11" i="18"/>
  <c r="BM64" i="16"/>
  <c r="W27" i="14"/>
  <c r="AR378" i="12"/>
  <c r="AR133" i="16" s="1"/>
  <c r="T53" i="12"/>
  <c r="I11" i="18"/>
  <c r="BP64" i="16"/>
  <c r="AJ378" i="12"/>
  <c r="AJ133" i="16" s="1"/>
  <c r="AN39" i="14"/>
  <c r="AN41" i="14" s="1"/>
  <c r="AX378" i="12"/>
  <c r="AX133" i="16" s="1"/>
  <c r="H11" i="18"/>
  <c r="BO64" i="16"/>
  <c r="AC331" i="12"/>
  <c r="AC55" i="16"/>
  <c r="AC56" i="16" s="1"/>
  <c r="AC330" i="12"/>
  <c r="AQ364" i="12"/>
  <c r="AQ110" i="16" s="1"/>
  <c r="AQ366" i="12"/>
  <c r="AQ112" i="16" s="1"/>
  <c r="AQ339" i="12"/>
  <c r="T27" i="14"/>
  <c r="T36" i="14" s="1"/>
  <c r="AR398" i="12"/>
  <c r="AR348" i="12"/>
  <c r="AL289" i="12"/>
  <c r="AL66" i="16" s="1"/>
  <c r="AT398" i="12"/>
  <c r="AT289" i="12"/>
  <c r="AT66" i="16" s="1"/>
  <c r="AT361" i="12"/>
  <c r="AT372" i="12"/>
  <c r="AT123" i="16" s="1"/>
  <c r="AT365" i="12"/>
  <c r="AT111" i="16" s="1"/>
  <c r="AT367" i="12"/>
  <c r="AT113" i="16" s="1"/>
  <c r="AT375" i="16" s="1"/>
  <c r="AT348" i="12"/>
  <c r="Z109" i="38"/>
  <c r="U378" i="12"/>
  <c r="U133" i="16" s="1"/>
  <c r="AQ141" i="10"/>
  <c r="Y141" i="10"/>
  <c r="AN331" i="12"/>
  <c r="AN330" i="12"/>
  <c r="AN55" i="16"/>
  <c r="AM378" i="12"/>
  <c r="AM133" i="16" s="1"/>
  <c r="BQ139" i="16"/>
  <c r="AB27" i="14"/>
  <c r="AB36" i="14" s="1"/>
  <c r="AY364" i="12"/>
  <c r="AY110" i="16" s="1"/>
  <c r="AY366" i="12"/>
  <c r="AY112" i="16" s="1"/>
  <c r="AY339" i="12"/>
  <c r="AY330" i="12"/>
  <c r="AE366" i="12"/>
  <c r="AE112" i="16" s="1"/>
  <c r="AE364" i="12"/>
  <c r="AE110" i="16" s="1"/>
  <c r="AE339" i="12"/>
  <c r="BF389" i="16"/>
  <c r="BV133" i="16"/>
  <c r="Z85" i="12"/>
  <c r="Z361" i="12" s="1"/>
  <c r="Z101" i="12"/>
  <c r="Z365" i="12" s="1"/>
  <c r="Z111" i="16" s="1"/>
  <c r="Z140" i="12"/>
  <c r="Z372" i="12" s="1"/>
  <c r="Z123" i="16" s="1"/>
  <c r="Z117" i="12"/>
  <c r="Z61" i="12"/>
  <c r="Z398" i="12"/>
  <c r="Z348" i="12"/>
  <c r="AZ54" i="16"/>
  <c r="BU36" i="16"/>
  <c r="AC378" i="12"/>
  <c r="AC133" i="16" s="1"/>
  <c r="BP94" i="16"/>
  <c r="I14" i="18" s="1"/>
  <c r="BP56" i="16"/>
  <c r="I13" i="18" s="1"/>
  <c r="AG289" i="12"/>
  <c r="AG66" i="16" s="1"/>
  <c r="AF367" i="12"/>
  <c r="AF113" i="16" s="1"/>
  <c r="AF365" i="12"/>
  <c r="AF111" i="16" s="1"/>
  <c r="AF289" i="12"/>
  <c r="AF66" i="16" s="1"/>
  <c r="AF361" i="12"/>
  <c r="AF372" i="12"/>
  <c r="AF123" i="16" s="1"/>
  <c r="AF398" i="12"/>
  <c r="AF348" i="12"/>
  <c r="U27" i="14"/>
  <c r="U36" i="14" s="1"/>
  <c r="U85" i="12"/>
  <c r="U101" i="12"/>
  <c r="U140" i="12"/>
  <c r="U117" i="12"/>
  <c r="U61" i="12"/>
  <c r="U398" i="12"/>
  <c r="U348" i="12"/>
  <c r="AF54" i="16"/>
  <c r="BP36" i="16"/>
  <c r="BP54" i="16" s="1"/>
  <c r="AE142" i="10"/>
  <c r="AW141" i="10"/>
  <c r="AK120" i="16" l="1"/>
  <c r="BQ120" i="16" s="1"/>
  <c r="AK119" i="16"/>
  <c r="I9" i="45"/>
  <c r="BV85" i="28"/>
  <c r="X339" i="12"/>
  <c r="X340" i="12"/>
  <c r="BN60" i="16"/>
  <c r="X63" i="16"/>
  <c r="X64" i="16" s="1"/>
  <c r="AW339" i="12"/>
  <c r="AW340" i="12"/>
  <c r="BT60" i="16"/>
  <c r="AW63" i="16"/>
  <c r="W36" i="14"/>
  <c r="BM27" i="14"/>
  <c r="U53" i="16"/>
  <c r="U56" i="16"/>
  <c r="G13" i="37" s="1"/>
  <c r="BX88" i="14"/>
  <c r="BK87" i="14"/>
  <c r="BX85" i="14"/>
  <c r="BK68" i="14"/>
  <c r="Z179" i="12"/>
  <c r="Z177" i="12"/>
  <c r="Z178" i="12"/>
  <c r="Z74" i="13" s="1"/>
  <c r="I108" i="45"/>
  <c r="AI9" i="45"/>
  <c r="AI108" i="45" s="1"/>
  <c r="CB22" i="22"/>
  <c r="CC22" i="22" s="1"/>
  <c r="BG289" i="12"/>
  <c r="BG66" i="16" s="1"/>
  <c r="Z367" i="12"/>
  <c r="Z113" i="16" s="1"/>
  <c r="Z375" i="16" s="1"/>
  <c r="U133" i="12"/>
  <c r="U367" i="12"/>
  <c r="U113" i="16" s="1"/>
  <c r="U375" i="16" s="1"/>
  <c r="U372" i="12"/>
  <c r="U123" i="16" s="1"/>
  <c r="U380" i="16" s="1"/>
  <c r="U289" i="12"/>
  <c r="U66" i="16" s="1"/>
  <c r="U365" i="12"/>
  <c r="U111" i="16" s="1"/>
  <c r="U373" i="16" s="1"/>
  <c r="X133" i="12"/>
  <c r="X402" i="12" s="1"/>
  <c r="Q26" i="39"/>
  <c r="P27" i="39" s="1"/>
  <c r="U26" i="39"/>
  <c r="T27" i="39" s="1"/>
  <c r="U389" i="16"/>
  <c r="AS389" i="16"/>
  <c r="AH289" i="12"/>
  <c r="AH66" i="16" s="1"/>
  <c r="Z106" i="16"/>
  <c r="Z107" i="16" s="1"/>
  <c r="Z362" i="12"/>
  <c r="AH356" i="12"/>
  <c r="AJ37" i="38"/>
  <c r="X20" i="15"/>
  <c r="AQ106" i="16"/>
  <c r="AQ362" i="12"/>
  <c r="AQ369" i="12" s="1"/>
  <c r="J150" i="8"/>
  <c r="AJ51" i="38"/>
  <c r="T53" i="16"/>
  <c r="BM55" i="16"/>
  <c r="X380" i="16"/>
  <c r="CK19" i="22"/>
  <c r="CK22" i="22" s="1"/>
  <c r="AA367" i="12"/>
  <c r="AA113" i="16" s="1"/>
  <c r="AA375" i="16" s="1"/>
  <c r="AD289" i="12"/>
  <c r="AD66" i="16" s="1"/>
  <c r="W289" i="12"/>
  <c r="W66" i="16" s="1"/>
  <c r="AR361" i="12"/>
  <c r="AE328" i="12"/>
  <c r="AE329" i="12" s="1"/>
  <c r="AE143" i="10"/>
  <c r="AE144" i="10" s="1"/>
  <c r="AF373" i="16"/>
  <c r="AF115" i="16"/>
  <c r="BP111" i="16"/>
  <c r="Z400" i="12"/>
  <c r="AT152" i="16"/>
  <c r="AT400" i="12"/>
  <c r="AR289" i="12"/>
  <c r="AR66" i="16" s="1"/>
  <c r="AI289" i="12"/>
  <c r="AI66" i="16" s="1"/>
  <c r="Z389" i="16"/>
  <c r="AJ58" i="38"/>
  <c r="AB106" i="16"/>
  <c r="AB362" i="12"/>
  <c r="AZ55" i="16"/>
  <c r="AZ331" i="12"/>
  <c r="AZ330" i="12"/>
  <c r="X106" i="16"/>
  <c r="X362" i="12"/>
  <c r="X369" i="12" s="1"/>
  <c r="CR19" i="22"/>
  <c r="CR22" i="22" s="1"/>
  <c r="AA372" i="12"/>
  <c r="AA123" i="16" s="1"/>
  <c r="AJ18" i="38"/>
  <c r="AJ20" i="38"/>
  <c r="AN53" i="16"/>
  <c r="AF375" i="16"/>
  <c r="BP113" i="16"/>
  <c r="Z289" i="12"/>
  <c r="Z66" i="16" s="1"/>
  <c r="AA387" i="12"/>
  <c r="AA146" i="16" s="1"/>
  <c r="AI387" i="12"/>
  <c r="AI146" i="16" s="1"/>
  <c r="AQ387" i="12"/>
  <c r="AQ146" i="16" s="1"/>
  <c r="AY387" i="12"/>
  <c r="AY146" i="16" s="1"/>
  <c r="BG387" i="12"/>
  <c r="BG146" i="16" s="1"/>
  <c r="AB387" i="12"/>
  <c r="AB146" i="16" s="1"/>
  <c r="AJ387" i="12"/>
  <c r="AJ146" i="16" s="1"/>
  <c r="AR387" i="12"/>
  <c r="AR146" i="16" s="1"/>
  <c r="AZ387" i="12"/>
  <c r="AZ146" i="16" s="1"/>
  <c r="U387" i="12"/>
  <c r="U146" i="16" s="1"/>
  <c r="AC387" i="12"/>
  <c r="AC146" i="16" s="1"/>
  <c r="AK387" i="12"/>
  <c r="AK146" i="16" s="1"/>
  <c r="AS387" i="12"/>
  <c r="AS146" i="16" s="1"/>
  <c r="BA387" i="12"/>
  <c r="BA146" i="16" s="1"/>
  <c r="W387" i="12"/>
  <c r="W146" i="16" s="1"/>
  <c r="AE387" i="12"/>
  <c r="AE146" i="16" s="1"/>
  <c r="AM387" i="12"/>
  <c r="AM146" i="16" s="1"/>
  <c r="AU387" i="12"/>
  <c r="AU146" i="16" s="1"/>
  <c r="BC387" i="12"/>
  <c r="BC146" i="16" s="1"/>
  <c r="V387" i="12"/>
  <c r="V146" i="16" s="1"/>
  <c r="AD387" i="12"/>
  <c r="AD146" i="16" s="1"/>
  <c r="AL387" i="12"/>
  <c r="AL146" i="16" s="1"/>
  <c r="AT387" i="12"/>
  <c r="AT146" i="16" s="1"/>
  <c r="BB387" i="12"/>
  <c r="BB146" i="16" s="1"/>
  <c r="X387" i="12"/>
  <c r="X146" i="16" s="1"/>
  <c r="AF387" i="12"/>
  <c r="AF146" i="16" s="1"/>
  <c r="AN387" i="12"/>
  <c r="AN146" i="16" s="1"/>
  <c r="AV387" i="12"/>
  <c r="AV146" i="16" s="1"/>
  <c r="BD387" i="12"/>
  <c r="BD146" i="16" s="1"/>
  <c r="Y387" i="12"/>
  <c r="Y146" i="16" s="1"/>
  <c r="AG387" i="12"/>
  <c r="AG146" i="16" s="1"/>
  <c r="AO387" i="12"/>
  <c r="AO146" i="16" s="1"/>
  <c r="AW387" i="12"/>
  <c r="AW146" i="16" s="1"/>
  <c r="BE387" i="12"/>
  <c r="BE146" i="16" s="1"/>
  <c r="Z387" i="12"/>
  <c r="Z146" i="16" s="1"/>
  <c r="AH387" i="12"/>
  <c r="AH146" i="16" s="1"/>
  <c r="AP387" i="12"/>
  <c r="AP146" i="16" s="1"/>
  <c r="AX387" i="12"/>
  <c r="AX146" i="16" s="1"/>
  <c r="BF387" i="12"/>
  <c r="BF146" i="16" s="1"/>
  <c r="AX389" i="16"/>
  <c r="BT133" i="16"/>
  <c r="AJ66" i="38"/>
  <c r="AB133" i="12"/>
  <c r="AB365" i="12"/>
  <c r="AB111" i="16" s="1"/>
  <c r="AJ94" i="38"/>
  <c r="BN39" i="14"/>
  <c r="BN40" i="14" s="1"/>
  <c r="AA41" i="14"/>
  <c r="BN41" i="14" s="1"/>
  <c r="V9" i="19"/>
  <c r="V12" i="19" s="1"/>
  <c r="CG19" i="22"/>
  <c r="AL9" i="38"/>
  <c r="AL109" i="38" s="1"/>
  <c r="CE22" i="22"/>
  <c r="E19" i="17" s="1"/>
  <c r="AT122" i="45" s="1"/>
  <c r="AZ122" i="45" s="1"/>
  <c r="AI364" i="12"/>
  <c r="AJ24" i="38"/>
  <c r="AE361" i="12"/>
  <c r="AE356" i="12"/>
  <c r="AE374" i="16"/>
  <c r="BO112" i="16"/>
  <c r="AJ95" i="38"/>
  <c r="AJ84" i="38"/>
  <c r="AB375" i="16"/>
  <c r="BO113" i="16"/>
  <c r="AQ115" i="16"/>
  <c r="BR111" i="16"/>
  <c r="AQ373" i="16"/>
  <c r="AX289" i="12"/>
  <c r="AX66" i="16" s="1"/>
  <c r="X400" i="12"/>
  <c r="AA362" i="12"/>
  <c r="AA106" i="16"/>
  <c r="AA107" i="16" s="1"/>
  <c r="X389" i="16"/>
  <c r="W361" i="12"/>
  <c r="BV111" i="16"/>
  <c r="BG373" i="16"/>
  <c r="BG115" i="16"/>
  <c r="AI374" i="16"/>
  <c r="BP112" i="16"/>
  <c r="Y289" i="12"/>
  <c r="Y66" i="16" s="1"/>
  <c r="Y378" i="12"/>
  <c r="Y133" i="16" s="1"/>
  <c r="BN133" i="16" s="1"/>
  <c r="AR372" i="12"/>
  <c r="AR123" i="16" s="1"/>
  <c r="T85" i="12"/>
  <c r="BK53" i="12"/>
  <c r="K234" i="12" s="1"/>
  <c r="N234" i="12" s="1"/>
  <c r="P234" i="12" s="1"/>
  <c r="BI53" i="12"/>
  <c r="EA19" i="22" s="1"/>
  <c r="BG19" i="22"/>
  <c r="T101" i="12"/>
  <c r="T140" i="12"/>
  <c r="T117" i="12"/>
  <c r="T61" i="12"/>
  <c r="T398" i="12"/>
  <c r="T348" i="12"/>
  <c r="AB380" i="16"/>
  <c r="BO123" i="16"/>
  <c r="AX55" i="16"/>
  <c r="AX53" i="16" s="1"/>
  <c r="AX331" i="12"/>
  <c r="AX330" i="12"/>
  <c r="AQ289" i="12"/>
  <c r="AQ66" i="16" s="1"/>
  <c r="AA400" i="12"/>
  <c r="AA152" i="16"/>
  <c r="AJ92" i="38"/>
  <c r="BG152" i="16"/>
  <c r="BG400" i="12"/>
  <c r="AJ22" i="38"/>
  <c r="Z133" i="12"/>
  <c r="AF389" i="16"/>
  <c r="BP133" i="16"/>
  <c r="AJ389" i="16"/>
  <c r="BQ133" i="16"/>
  <c r="AW327" i="12"/>
  <c r="AW329" i="12" s="1"/>
  <c r="AW143" i="10"/>
  <c r="AW144" i="10" s="1"/>
  <c r="U361" i="12"/>
  <c r="AF400" i="12"/>
  <c r="AF152" i="16"/>
  <c r="AC389" i="16"/>
  <c r="BO133" i="16"/>
  <c r="Z380" i="16"/>
  <c r="AY374" i="16"/>
  <c r="BT112" i="16"/>
  <c r="V378" i="12"/>
  <c r="V133" i="16" s="1"/>
  <c r="Y327" i="12"/>
  <c r="Y329" i="12" s="1"/>
  <c r="Y143" i="10"/>
  <c r="Y144" i="10" s="1"/>
  <c r="AQ143" i="10"/>
  <c r="AQ144" i="10" s="1"/>
  <c r="AQ327" i="12"/>
  <c r="AQ329" i="12" s="1"/>
  <c r="AT373" i="16"/>
  <c r="AT377" i="16" s="1"/>
  <c r="AT115" i="16"/>
  <c r="AJ17" i="38"/>
  <c r="AR367" i="12"/>
  <c r="AR113" i="16" s="1"/>
  <c r="AY289" i="12"/>
  <c r="AY66" i="16" s="1"/>
  <c r="AY398" i="12"/>
  <c r="AY361" i="12"/>
  <c r="AY367" i="12"/>
  <c r="AY113" i="16" s="1"/>
  <c r="AY375" i="16" s="1"/>
  <c r="AY365" i="12"/>
  <c r="AY111" i="16" s="1"/>
  <c r="AY372" i="12"/>
  <c r="AY123" i="16" s="1"/>
  <c r="AY348" i="12"/>
  <c r="AR389" i="16"/>
  <c r="BS133" i="16"/>
  <c r="AV398" i="12"/>
  <c r="AV289" i="12"/>
  <c r="AV66" i="16" s="1"/>
  <c r="AV361" i="12"/>
  <c r="AV372" i="12"/>
  <c r="AV123" i="16" s="1"/>
  <c r="AV367" i="12"/>
  <c r="AV113" i="16" s="1"/>
  <c r="AV365" i="12"/>
  <c r="AV111" i="16" s="1"/>
  <c r="AV348" i="12"/>
  <c r="AQ400" i="12"/>
  <c r="AQ152" i="16"/>
  <c r="AA289" i="12"/>
  <c r="AA66" i="16" s="1"/>
  <c r="BG55" i="16"/>
  <c r="BG331" i="12"/>
  <c r="BG330" i="12"/>
  <c r="BF289" i="12"/>
  <c r="BF66" i="16" s="1"/>
  <c r="W400" i="12"/>
  <c r="K16" i="18"/>
  <c r="BV113" i="16"/>
  <c r="BG375" i="16"/>
  <c r="U400" i="12"/>
  <c r="AE289" i="12"/>
  <c r="AE66" i="16" s="1"/>
  <c r="AF380" i="16"/>
  <c r="BP123" i="16"/>
  <c r="Z373" i="16"/>
  <c r="AY372" i="16"/>
  <c r="BT110" i="16"/>
  <c r="AT380" i="16"/>
  <c r="AR365" i="12"/>
  <c r="AR111" i="16" s="1"/>
  <c r="AQ374" i="16"/>
  <c r="BR112" i="16"/>
  <c r="AC53" i="16"/>
  <c r="AN289" i="12"/>
  <c r="AN66" i="16" s="1"/>
  <c r="AQ380" i="16"/>
  <c r="BR123" i="16"/>
  <c r="X373" i="16"/>
  <c r="X115" i="16"/>
  <c r="L6" i="47" s="1"/>
  <c r="L7" i="47" s="1"/>
  <c r="AA133" i="12"/>
  <c r="AJ57" i="38"/>
  <c r="BF364" i="12"/>
  <c r="W133" i="12"/>
  <c r="BV123" i="16"/>
  <c r="BG380" i="16"/>
  <c r="AF362" i="12"/>
  <c r="AF369" i="12" s="1"/>
  <c r="AF106" i="16"/>
  <c r="BO110" i="16"/>
  <c r="AE372" i="16"/>
  <c r="AE115" i="16"/>
  <c r="S6" i="47" s="1"/>
  <c r="S7" i="47" s="1"/>
  <c r="AM389" i="16"/>
  <c r="BE289" i="12"/>
  <c r="BE66" i="16" s="1"/>
  <c r="AT106" i="16"/>
  <c r="AT107" i="16" s="1"/>
  <c r="AT362" i="12"/>
  <c r="AT369" i="12" s="1"/>
  <c r="AR152" i="16"/>
  <c r="AR400" i="12"/>
  <c r="AQ372" i="16"/>
  <c r="BR110" i="16"/>
  <c r="AP289" i="12"/>
  <c r="AP66" i="16" s="1"/>
  <c r="AB400" i="12"/>
  <c r="AB152" i="16"/>
  <c r="AQ375" i="16"/>
  <c r="BR113" i="16"/>
  <c r="AD330" i="12"/>
  <c r="AD55" i="16"/>
  <c r="AD331" i="12"/>
  <c r="AE12" i="19"/>
  <c r="DG22" i="22"/>
  <c r="X375" i="16"/>
  <c r="CJ19" i="22"/>
  <c r="CJ22" i="22" s="1"/>
  <c r="AA365" i="12"/>
  <c r="AA111" i="16" s="1"/>
  <c r="BF374" i="16"/>
  <c r="BV112" i="16"/>
  <c r="CL22" i="22"/>
  <c r="CM22" i="22"/>
  <c r="W339" i="12"/>
  <c r="W330" i="12"/>
  <c r="W380" i="16"/>
  <c r="BG106" i="16"/>
  <c r="BG362" i="12"/>
  <c r="BG369" i="12" s="1"/>
  <c r="Z101" i="14" l="1"/>
  <c r="Z105" i="14" s="1"/>
  <c r="CO85" i="28"/>
  <c r="CO86" i="28" s="1"/>
  <c r="BV86" i="28"/>
  <c r="AD53" i="16"/>
  <c r="AD56" i="16"/>
  <c r="M339" i="12"/>
  <c r="BM53" i="16"/>
  <c r="BM54" i="16" s="1"/>
  <c r="X103" i="16"/>
  <c r="BN63" i="16"/>
  <c r="BN64" i="16" s="1"/>
  <c r="X94" i="16"/>
  <c r="J14" i="37" s="1"/>
  <c r="AW94" i="16"/>
  <c r="AW103" i="16"/>
  <c r="BT63" i="16"/>
  <c r="BT64" i="16" s="1"/>
  <c r="BM36" i="14"/>
  <c r="BM38" i="14"/>
  <c r="U402" i="12"/>
  <c r="U179" i="12"/>
  <c r="U178" i="12"/>
  <c r="U74" i="13" s="1"/>
  <c r="U177" i="12"/>
  <c r="T179" i="12"/>
  <c r="T178" i="12"/>
  <c r="T177" i="12"/>
  <c r="T101" i="14" s="1"/>
  <c r="AK179" i="12"/>
  <c r="AK178" i="12"/>
  <c r="AK177" i="12"/>
  <c r="AK101" i="14" s="1"/>
  <c r="AK105" i="14" s="1"/>
  <c r="AE179" i="12"/>
  <c r="AE178" i="12"/>
  <c r="AE177" i="12"/>
  <c r="AE101" i="14" s="1"/>
  <c r="AE105" i="14" s="1"/>
  <c r="AV179" i="12"/>
  <c r="AV178" i="12"/>
  <c r="AV177" i="12"/>
  <c r="AY179" i="12"/>
  <c r="AY178" i="12"/>
  <c r="AY177" i="12"/>
  <c r="Z73" i="13"/>
  <c r="Z261" i="12"/>
  <c r="Z379" i="12"/>
  <c r="Z134" i="16" s="1"/>
  <c r="X179" i="12"/>
  <c r="X177" i="12"/>
  <c r="X178" i="12"/>
  <c r="X74" i="13" s="1"/>
  <c r="AW179" i="12"/>
  <c r="AW178" i="12"/>
  <c r="AW177" i="12"/>
  <c r="Z75" i="13"/>
  <c r="Z263" i="12"/>
  <c r="BR18" i="22"/>
  <c r="P27" i="46" s="1"/>
  <c r="BR20" i="22"/>
  <c r="AI179" i="12"/>
  <c r="AI178" i="12"/>
  <c r="AI177" i="12"/>
  <c r="AF179" i="12"/>
  <c r="AF178" i="12"/>
  <c r="AF177" i="12"/>
  <c r="AF101" i="14" s="1"/>
  <c r="BA179" i="12"/>
  <c r="BA178" i="12"/>
  <c r="BA177" i="12"/>
  <c r="AB179" i="12"/>
  <c r="AB178" i="12"/>
  <c r="AB74" i="13" s="1"/>
  <c r="AB177" i="12"/>
  <c r="AR179" i="12"/>
  <c r="AR178" i="12"/>
  <c r="AR177" i="12"/>
  <c r="AR101" i="14" s="1"/>
  <c r="AQ179" i="12"/>
  <c r="AQ178" i="12"/>
  <c r="AQ177" i="12"/>
  <c r="AJ179" i="12"/>
  <c r="AJ178" i="12"/>
  <c r="AJ177" i="12"/>
  <c r="V179" i="12"/>
  <c r="V177" i="12"/>
  <c r="V101" i="14" s="1"/>
  <c r="V105" i="14" s="1"/>
  <c r="V178" i="12"/>
  <c r="V74" i="13" s="1"/>
  <c r="BD179" i="12"/>
  <c r="BD178" i="12"/>
  <c r="BD177" i="12"/>
  <c r="AC179" i="12"/>
  <c r="AC178" i="12"/>
  <c r="AC74" i="13" s="1"/>
  <c r="AC177" i="12"/>
  <c r="AC101" i="14" s="1"/>
  <c r="AC105" i="14" s="1"/>
  <c r="AP179" i="12"/>
  <c r="AP178" i="12"/>
  <c r="AP177" i="12"/>
  <c r="AO179" i="12"/>
  <c r="AO178" i="12"/>
  <c r="AO177" i="12"/>
  <c r="AL179" i="12"/>
  <c r="AL178" i="12"/>
  <c r="AL177" i="12"/>
  <c r="AL101" i="14" s="1"/>
  <c r="AL105" i="14" s="1"/>
  <c r="BF179" i="12"/>
  <c r="BF178" i="12"/>
  <c r="BF177" i="12"/>
  <c r="AA179" i="12"/>
  <c r="AA178" i="12"/>
  <c r="AA74" i="13" s="1"/>
  <c r="AA177" i="12"/>
  <c r="AH179" i="12"/>
  <c r="AH178" i="12"/>
  <c r="AH177" i="12"/>
  <c r="AH101" i="14" s="1"/>
  <c r="AH105" i="14" s="1"/>
  <c r="AT179" i="12"/>
  <c r="AT178" i="12"/>
  <c r="AT177" i="12"/>
  <c r="AM179" i="12"/>
  <c r="AM178" i="12"/>
  <c r="AM177" i="12"/>
  <c r="AM101" i="14" s="1"/>
  <c r="AM105" i="14" s="1"/>
  <c r="AN179" i="12"/>
  <c r="AN177" i="12"/>
  <c r="AN178" i="12"/>
  <c r="AD179" i="12"/>
  <c r="AD178" i="12"/>
  <c r="AD177" i="12"/>
  <c r="W179" i="12"/>
  <c r="W178" i="12"/>
  <c r="W74" i="13" s="1"/>
  <c r="W177" i="12"/>
  <c r="W101" i="14" s="1"/>
  <c r="W105" i="14" s="1"/>
  <c r="AS179" i="12"/>
  <c r="AS177" i="12"/>
  <c r="AS178" i="12"/>
  <c r="AZ179" i="12"/>
  <c r="AZ178" i="12"/>
  <c r="AZ177" i="12"/>
  <c r="Y179" i="12"/>
  <c r="Y178" i="12"/>
  <c r="Y74" i="13" s="1"/>
  <c r="Y177" i="12"/>
  <c r="Y101" i="14" s="1"/>
  <c r="Y105" i="14" s="1"/>
  <c r="BC179" i="12"/>
  <c r="BC178" i="12"/>
  <c r="BC177" i="12"/>
  <c r="AX179" i="12"/>
  <c r="AX178" i="12"/>
  <c r="AX177" i="12"/>
  <c r="AX101" i="14" s="1"/>
  <c r="AX105" i="14" s="1"/>
  <c r="BE179" i="12"/>
  <c r="BE177" i="12"/>
  <c r="BE178" i="12"/>
  <c r="AU179" i="12"/>
  <c r="AU177" i="12"/>
  <c r="AU178" i="12"/>
  <c r="BG179" i="12"/>
  <c r="BG178" i="12"/>
  <c r="BG177" i="12"/>
  <c r="BG101" i="14" s="1"/>
  <c r="BG105" i="14" s="1"/>
  <c r="AG179" i="12"/>
  <c r="AG178" i="12"/>
  <c r="AG177" i="12"/>
  <c r="BB179" i="12"/>
  <c r="BB177" i="12"/>
  <c r="BB178" i="12"/>
  <c r="M356" i="12"/>
  <c r="E22" i="17"/>
  <c r="AT125" i="45" s="1"/>
  <c r="AZ125" i="45" s="1"/>
  <c r="AK109" i="38"/>
  <c r="AK107" i="38"/>
  <c r="U12" i="19"/>
  <c r="AE377" i="16"/>
  <c r="BN113" i="16"/>
  <c r="Z115" i="16"/>
  <c r="N6" i="47" s="1"/>
  <c r="N7" i="47" s="1"/>
  <c r="Z377" i="16"/>
  <c r="Z369" i="12"/>
  <c r="Z370" i="12" s="1"/>
  <c r="EA22" i="22"/>
  <c r="U115" i="16"/>
  <c r="I6" i="47" s="1"/>
  <c r="I7" i="47" s="1"/>
  <c r="U377" i="16"/>
  <c r="AY402" i="12"/>
  <c r="AY115" i="16"/>
  <c r="BT146" i="16"/>
  <c r="X377" i="16"/>
  <c r="BR19" i="22"/>
  <c r="BK61" i="12"/>
  <c r="T289" i="12"/>
  <c r="T66" i="16" s="1"/>
  <c r="BL19" i="22"/>
  <c r="BL22" i="22" s="1"/>
  <c r="T361" i="12"/>
  <c r="W106" i="16"/>
  <c r="W107" i="16" s="1"/>
  <c r="W362" i="12"/>
  <c r="AA369" i="16"/>
  <c r="AI402" i="12"/>
  <c r="BN146" i="16"/>
  <c r="BU146" i="16"/>
  <c r="AQ107" i="16"/>
  <c r="BR106" i="16"/>
  <c r="AT370" i="12"/>
  <c r="BG107" i="16"/>
  <c r="BV106" i="16"/>
  <c r="AJ40" i="38"/>
  <c r="AF107" i="16"/>
  <c r="AF116" i="16" s="1"/>
  <c r="AV115" i="16"/>
  <c r="AV373" i="16"/>
  <c r="AJ30" i="38"/>
  <c r="AF370" i="12"/>
  <c r="BF402" i="12"/>
  <c r="AA373" i="16"/>
  <c r="AA377" i="16" s="1"/>
  <c r="AA115" i="16"/>
  <c r="O6" i="47" s="1"/>
  <c r="O7" i="47" s="1"/>
  <c r="BN111" i="16"/>
  <c r="AV380" i="16"/>
  <c r="BT123" i="16"/>
  <c r="AR375" i="16"/>
  <c r="BS113" i="16"/>
  <c r="J20" i="37"/>
  <c r="J22" i="37" s="1"/>
  <c r="AJ34" i="38"/>
  <c r="AV106" i="16"/>
  <c r="AV362" i="12"/>
  <c r="AV369" i="12" s="1"/>
  <c r="AY380" i="16"/>
  <c r="J144" i="10"/>
  <c r="U106" i="16"/>
  <c r="U107" i="16" s="1"/>
  <c r="U362" i="12"/>
  <c r="U369" i="12" s="1"/>
  <c r="Z402" i="12"/>
  <c r="T133" i="12"/>
  <c r="BI85" i="12"/>
  <c r="EB19" i="22" s="1"/>
  <c r="AA369" i="12"/>
  <c r="BR115" i="16"/>
  <c r="AA380" i="16"/>
  <c r="BM56" i="16"/>
  <c r="F13" i="18" s="1"/>
  <c r="BM94" i="16"/>
  <c r="F14" i="18" s="1"/>
  <c r="BT111" i="16"/>
  <c r="AY373" i="16"/>
  <c r="AY377" i="16" s="1"/>
  <c r="Y55" i="16"/>
  <c r="Y56" i="16" s="1"/>
  <c r="K13" i="37" s="1"/>
  <c r="Y330" i="12"/>
  <c r="Y331" i="12"/>
  <c r="AF402" i="12"/>
  <c r="BI117" i="12"/>
  <c r="BN19" i="22"/>
  <c r="BN22" i="22" s="1"/>
  <c r="T367" i="12"/>
  <c r="T113" i="16" s="1"/>
  <c r="AJ88" i="38"/>
  <c r="AE106" i="16"/>
  <c r="AE107" i="16" s="1"/>
  <c r="AE116" i="16" s="1"/>
  <c r="AE362" i="12"/>
  <c r="AE369" i="12" s="1"/>
  <c r="J21" i="17"/>
  <c r="BO186" i="45" s="1"/>
  <c r="BQ146" i="16"/>
  <c r="BG402" i="12"/>
  <c r="AZ53" i="16"/>
  <c r="BU53" i="16" s="1"/>
  <c r="BU54" i="16" s="1"/>
  <c r="BU55" i="16"/>
  <c r="AJ97" i="38"/>
  <c r="Z369" i="16"/>
  <c r="AT369" i="16"/>
  <c r="AT118" i="16"/>
  <c r="AV152" i="16"/>
  <c r="AV400" i="12"/>
  <c r="V389" i="16"/>
  <c r="AW331" i="12"/>
  <c r="AW55" i="16"/>
  <c r="AW330" i="12"/>
  <c r="BI140" i="12"/>
  <c r="EF19" i="22" s="1"/>
  <c r="T372" i="12"/>
  <c r="T123" i="16" s="1"/>
  <c r="AC106" i="38"/>
  <c r="AC107" i="38"/>
  <c r="BO146" i="16"/>
  <c r="X370" i="12"/>
  <c r="AB369" i="12"/>
  <c r="AR402" i="12"/>
  <c r="AR106" i="16"/>
  <c r="AR362" i="12"/>
  <c r="AR369" i="12" s="1"/>
  <c r="W364" i="12"/>
  <c r="W110" i="16" s="1"/>
  <c r="EH22" i="22"/>
  <c r="AJ102" i="38"/>
  <c r="AR115" i="16"/>
  <c r="AR373" i="16"/>
  <c r="BS111" i="16"/>
  <c r="AJ105" i="38"/>
  <c r="AY106" i="16"/>
  <c r="AY107" i="16" s="1"/>
  <c r="AY362" i="12"/>
  <c r="AY369" i="12" s="1"/>
  <c r="BM19" i="22"/>
  <c r="BM22" i="22" s="1"/>
  <c r="BI101" i="12"/>
  <c r="EC19" i="22" s="1"/>
  <c r="T365" i="12"/>
  <c r="T111" i="16" s="1"/>
  <c r="AR380" i="16"/>
  <c r="BS123" i="16"/>
  <c r="AT402" i="12"/>
  <c r="CI19" i="22"/>
  <c r="CG22" i="22"/>
  <c r="AQ402" i="12"/>
  <c r="BV146" i="16"/>
  <c r="BS146" i="16"/>
  <c r="T387" i="12"/>
  <c r="T146" i="16" s="1"/>
  <c r="X107" i="16"/>
  <c r="BN106" i="16"/>
  <c r="AB107" i="16"/>
  <c r="AJ99" i="38"/>
  <c r="AF377" i="16"/>
  <c r="AJ96" i="38"/>
  <c r="BG370" i="12"/>
  <c r="W366" i="12"/>
  <c r="W112" i="16" s="1"/>
  <c r="CN19" i="22"/>
  <c r="AA402" i="12"/>
  <c r="BG53" i="16"/>
  <c r="BV53" i="16" s="1"/>
  <c r="BV54" i="16" s="1"/>
  <c r="BV55" i="16"/>
  <c r="AY152" i="16"/>
  <c r="AY400" i="12"/>
  <c r="AT116" i="16"/>
  <c r="BI19" i="22"/>
  <c r="BG22" i="22"/>
  <c r="AJ70" i="38"/>
  <c r="AB373" i="16"/>
  <c r="AB377" i="16" s="1"/>
  <c r="AB115" i="16"/>
  <c r="P6" i="47" s="1"/>
  <c r="P7" i="47" s="1"/>
  <c r="BO111" i="16"/>
  <c r="AJ25" i="38"/>
  <c r="BI133" i="16"/>
  <c r="AJ107" i="38"/>
  <c r="M348" i="12"/>
  <c r="BG377" i="16"/>
  <c r="AB402" i="12"/>
  <c r="BR146" i="16"/>
  <c r="AE55" i="16"/>
  <c r="AE331" i="12"/>
  <c r="AE330" i="12"/>
  <c r="BM133" i="16"/>
  <c r="BX133" i="16" s="1"/>
  <c r="BF110" i="16"/>
  <c r="BF369" i="12"/>
  <c r="AV375" i="16"/>
  <c r="BT113" i="16"/>
  <c r="AQ55" i="16"/>
  <c r="AQ331" i="12"/>
  <c r="AQ330" i="12"/>
  <c r="T152" i="16"/>
  <c r="T400" i="12"/>
  <c r="AF234" i="12"/>
  <c r="AI234" i="12"/>
  <c r="AU234" i="12"/>
  <c r="AU262" i="12" s="1"/>
  <c r="AX234" i="12"/>
  <c r="AK234" i="12"/>
  <c r="AT234" i="12"/>
  <c r="AT262" i="12" s="1"/>
  <c r="AO234" i="12"/>
  <c r="V234" i="12"/>
  <c r="BD234" i="12"/>
  <c r="BG234" i="12"/>
  <c r="AN234" i="12"/>
  <c r="U234" i="12"/>
  <c r="BC234" i="12"/>
  <c r="AJ234" i="12"/>
  <c r="AJ262" i="12" s="1"/>
  <c r="AE234" i="12"/>
  <c r="AH234" i="12"/>
  <c r="BB234" i="12"/>
  <c r="AQ234" i="12"/>
  <c r="AD234" i="12"/>
  <c r="BF234" i="12"/>
  <c r="AS234" i="12"/>
  <c r="AS262" i="12" s="1"/>
  <c r="K101" i="13"/>
  <c r="BE234" i="12"/>
  <c r="AY234" i="12"/>
  <c r="X234" i="12"/>
  <c r="AA234" i="12"/>
  <c r="AA385" i="12" s="1"/>
  <c r="AM234" i="12"/>
  <c r="AP234" i="12"/>
  <c r="AC234" i="12"/>
  <c r="AW234" i="12"/>
  <c r="AW262" i="12" s="1"/>
  <c r="AR234" i="12"/>
  <c r="Y234" i="12"/>
  <c r="T234" i="12"/>
  <c r="Z234" i="12"/>
  <c r="Z262" i="12" s="1"/>
  <c r="AL234" i="12"/>
  <c r="GA14" i="5"/>
  <c r="BA234" i="12"/>
  <c r="AV234" i="12"/>
  <c r="AV262" i="12" s="1"/>
  <c r="AZ234" i="12"/>
  <c r="AG234" i="12"/>
  <c r="AG262" i="12" s="1"/>
  <c r="AB234" i="12"/>
  <c r="W234" i="12"/>
  <c r="Y389" i="16"/>
  <c r="AQ377" i="16"/>
  <c r="AI110" i="16"/>
  <c r="AI369" i="12"/>
  <c r="BP146" i="16"/>
  <c r="BN123" i="16"/>
  <c r="AQ370" i="12"/>
  <c r="AH361" i="12"/>
  <c r="AU101" i="14" l="1"/>
  <c r="AU105" i="14" s="1"/>
  <c r="AV101" i="14"/>
  <c r="BC101" i="14"/>
  <c r="AT101" i="14"/>
  <c r="AT105" i="14" s="1"/>
  <c r="BD101" i="14"/>
  <c r="AI101" i="14"/>
  <c r="AI105" i="14" s="1"/>
  <c r="AY101" i="14"/>
  <c r="AY105" i="14" s="1"/>
  <c r="AD101" i="14"/>
  <c r="AD105" i="14" s="1"/>
  <c r="AO101" i="14"/>
  <c r="AO105" i="14" s="1"/>
  <c r="AB101" i="14"/>
  <c r="U101" i="14"/>
  <c r="U105" i="14" s="1"/>
  <c r="AS101" i="14"/>
  <c r="AS105" i="14" s="1"/>
  <c r="AP101" i="14"/>
  <c r="AP105" i="14" s="1"/>
  <c r="BA101" i="14"/>
  <c r="BA105" i="14" s="1"/>
  <c r="BE101" i="14"/>
  <c r="BE105" i="14" s="1"/>
  <c r="AN101" i="14"/>
  <c r="X101" i="14"/>
  <c r="X105" i="14" s="1"/>
  <c r="AZ101" i="14"/>
  <c r="AZ105" i="14" s="1"/>
  <c r="AA101" i="14"/>
  <c r="AA105" i="14" s="1"/>
  <c r="AJ101" i="14"/>
  <c r="BB101" i="14"/>
  <c r="BB105" i="14" s="1"/>
  <c r="AW101" i="14"/>
  <c r="AW105" i="14" s="1"/>
  <c r="AG101" i="14"/>
  <c r="AG105" i="14" s="1"/>
  <c r="BF101" i="14"/>
  <c r="BF105" i="14" s="1"/>
  <c r="AQ101" i="14"/>
  <c r="AQ105" i="14" s="1"/>
  <c r="AC262" i="12"/>
  <c r="AX262" i="12"/>
  <c r="AE53" i="16"/>
  <c r="BO53" i="16" s="1"/>
  <c r="BO54" i="16" s="1"/>
  <c r="AE56" i="16"/>
  <c r="U262" i="12"/>
  <c r="BC262" i="12"/>
  <c r="AO262" i="12"/>
  <c r="BF262" i="12"/>
  <c r="AK262" i="12"/>
  <c r="AN262" i="12"/>
  <c r="AQ262" i="12"/>
  <c r="X262" i="12"/>
  <c r="BE262" i="12"/>
  <c r="AF262" i="12"/>
  <c r="AZ262" i="12"/>
  <c r="BA262" i="12"/>
  <c r="AP262" i="12"/>
  <c r="AL262" i="12"/>
  <c r="BG262" i="12"/>
  <c r="AY116" i="16"/>
  <c r="BT115" i="16"/>
  <c r="W262" i="12"/>
  <c r="AR262" i="12"/>
  <c r="AH262" i="12"/>
  <c r="AR377" i="16"/>
  <c r="BG116" i="16"/>
  <c r="BV107" i="16"/>
  <c r="AQ116" i="16"/>
  <c r="BR107" i="16"/>
  <c r="BR116" i="16" s="1"/>
  <c r="BI103" i="16"/>
  <c r="AR385" i="12"/>
  <c r="AR144" i="16" s="1"/>
  <c r="AZ385" i="12"/>
  <c r="AZ388" i="12" s="1"/>
  <c r="Z390" i="16"/>
  <c r="Z394" i="16" s="1"/>
  <c r="Z138" i="16"/>
  <c r="BU101" i="14"/>
  <c r="BU105" i="14" s="1"/>
  <c r="BC105" i="14"/>
  <c r="BO101" i="14"/>
  <c r="BO105" i="14" s="1"/>
  <c r="AB105" i="14"/>
  <c r="BT101" i="14"/>
  <c r="BT105" i="14" s="1"/>
  <c r="AV105" i="14"/>
  <c r="BS101" i="14"/>
  <c r="BS105" i="14" s="1"/>
  <c r="AR105" i="14"/>
  <c r="Z176" i="13"/>
  <c r="AB385" i="12"/>
  <c r="AB144" i="16" s="1"/>
  <c r="BM101" i="14"/>
  <c r="T105" i="14"/>
  <c r="BV101" i="14"/>
  <c r="BV105" i="14" s="1"/>
  <c r="BD105" i="14"/>
  <c r="AN105" i="14"/>
  <c r="BQ101" i="14"/>
  <c r="BQ105" i="14" s="1"/>
  <c r="AJ105" i="14"/>
  <c r="BP101" i="14"/>
  <c r="BP105" i="14" s="1"/>
  <c r="AF105" i="14"/>
  <c r="AG67" i="13"/>
  <c r="AG83" i="13" s="1"/>
  <c r="AG74" i="13"/>
  <c r="AU66" i="13"/>
  <c r="AU82" i="13" s="1"/>
  <c r="AU73" i="13"/>
  <c r="AU261" i="12"/>
  <c r="AU379" i="12"/>
  <c r="AU134" i="16" s="1"/>
  <c r="AX67" i="13"/>
  <c r="AX83" i="13" s="1"/>
  <c r="AX74" i="13"/>
  <c r="BC75" i="13"/>
  <c r="BC263" i="12"/>
  <c r="AL66" i="13"/>
  <c r="AL82" i="13" s="1"/>
  <c r="AL73" i="13"/>
  <c r="AL261" i="12"/>
  <c r="AL379" i="12"/>
  <c r="AL134" i="16" s="1"/>
  <c r="AP67" i="13"/>
  <c r="AP83" i="13" s="1"/>
  <c r="AP74" i="13"/>
  <c r="AP75" i="13"/>
  <c r="AP263" i="12"/>
  <c r="BD67" i="13"/>
  <c r="BD83" i="13" s="1"/>
  <c r="BD74" i="13"/>
  <c r="AJ66" i="13"/>
  <c r="AJ82" i="13" s="1"/>
  <c r="AJ73" i="13"/>
  <c r="AJ261" i="12"/>
  <c r="AJ379" i="12"/>
  <c r="AJ134" i="16" s="1"/>
  <c r="AJ138" i="16" s="1"/>
  <c r="AI66" i="13"/>
  <c r="AI82" i="13" s="1"/>
  <c r="AI73" i="13"/>
  <c r="AI261" i="12"/>
  <c r="AI379" i="12"/>
  <c r="AI134" i="16" s="1"/>
  <c r="AI75" i="13"/>
  <c r="AI263" i="12"/>
  <c r="AV66" i="13"/>
  <c r="AV82" i="13" s="1"/>
  <c r="AV73" i="13"/>
  <c r="AV261" i="12"/>
  <c r="AK67" i="13"/>
  <c r="AK83" i="13" s="1"/>
  <c r="AK74" i="13"/>
  <c r="AG66" i="13"/>
  <c r="AG82" i="13" s="1"/>
  <c r="AG73" i="13"/>
  <c r="AG261" i="12"/>
  <c r="AG379" i="12"/>
  <c r="AG134" i="16" s="1"/>
  <c r="BC66" i="13"/>
  <c r="BC82" i="13" s="1"/>
  <c r="BC73" i="13"/>
  <c r="BC261" i="12"/>
  <c r="BC379" i="12"/>
  <c r="BC134" i="16" s="1"/>
  <c r="AZ66" i="13"/>
  <c r="AZ82" i="13" s="1"/>
  <c r="AZ73" i="13"/>
  <c r="AZ261" i="12"/>
  <c r="AZ379" i="12"/>
  <c r="AZ134" i="16" s="1"/>
  <c r="AZ138" i="16" s="1"/>
  <c r="AL67" i="13"/>
  <c r="AL83" i="13" s="1"/>
  <c r="AL74" i="13"/>
  <c r="V75" i="13"/>
  <c r="V263" i="12"/>
  <c r="AJ67" i="13"/>
  <c r="AJ83" i="13" s="1"/>
  <c r="AJ74" i="13"/>
  <c r="AQ75" i="13"/>
  <c r="AQ263" i="12"/>
  <c r="AR75" i="13"/>
  <c r="AR263" i="12"/>
  <c r="AI67" i="13"/>
  <c r="AI83" i="13" s="1"/>
  <c r="AI74" i="13"/>
  <c r="AW75" i="13"/>
  <c r="AW263" i="12"/>
  <c r="AY75" i="13"/>
  <c r="AY263" i="12"/>
  <c r="AV67" i="13"/>
  <c r="AV83" i="13" s="1"/>
  <c r="AV74" i="13"/>
  <c r="BB67" i="13"/>
  <c r="BB83" i="13" s="1"/>
  <c r="BB74" i="13"/>
  <c r="BB75" i="13"/>
  <c r="BB263" i="12"/>
  <c r="BE75" i="13"/>
  <c r="BE263" i="12"/>
  <c r="BC67" i="13"/>
  <c r="BC83" i="13" s="1"/>
  <c r="BC74" i="13"/>
  <c r="AZ67" i="13"/>
  <c r="AZ83" i="13" s="1"/>
  <c r="AZ74" i="13"/>
  <c r="W73" i="13"/>
  <c r="W261" i="12"/>
  <c r="W379" i="12"/>
  <c r="W134" i="16" s="1"/>
  <c r="AM66" i="13"/>
  <c r="AM82" i="13" s="1"/>
  <c r="AM73" i="13"/>
  <c r="AM261" i="12"/>
  <c r="AM379" i="12"/>
  <c r="AM134" i="16" s="1"/>
  <c r="AH66" i="13"/>
  <c r="AH82" i="13" s="1"/>
  <c r="AH73" i="13"/>
  <c r="AH261" i="12"/>
  <c r="AH379" i="12"/>
  <c r="AH134" i="16" s="1"/>
  <c r="AA75" i="13"/>
  <c r="AA263" i="12"/>
  <c r="BF66" i="13"/>
  <c r="BF82" i="13" s="1"/>
  <c r="BF73" i="13"/>
  <c r="BF261" i="12"/>
  <c r="BF379" i="12"/>
  <c r="BF134" i="16" s="1"/>
  <c r="AO75" i="13"/>
  <c r="AO263" i="12"/>
  <c r="AF75" i="13"/>
  <c r="AF263" i="12"/>
  <c r="AY66" i="13"/>
  <c r="AY82" i="13" s="1"/>
  <c r="AY73" i="13"/>
  <c r="AY261" i="12"/>
  <c r="AY379" i="12"/>
  <c r="AY134" i="16" s="1"/>
  <c r="U73" i="13"/>
  <c r="U261" i="12"/>
  <c r="U379" i="12"/>
  <c r="U134" i="16" s="1"/>
  <c r="BB66" i="13"/>
  <c r="BB82" i="13" s="1"/>
  <c r="BB73" i="13"/>
  <c r="BB261" i="12"/>
  <c r="BB379" i="12"/>
  <c r="BB134" i="16" s="1"/>
  <c r="BG66" i="13"/>
  <c r="BG82" i="13" s="1"/>
  <c r="BG73" i="13"/>
  <c r="BG261" i="12"/>
  <c r="BG379" i="12"/>
  <c r="BG134" i="16" s="1"/>
  <c r="BG75" i="13"/>
  <c r="BG263" i="12"/>
  <c r="BE67" i="13"/>
  <c r="BE83" i="13" s="1"/>
  <c r="BE74" i="13"/>
  <c r="AD75" i="13"/>
  <c r="AD263" i="12"/>
  <c r="AH67" i="13"/>
  <c r="AH83" i="13" s="1"/>
  <c r="AH74" i="13"/>
  <c r="BF67" i="13"/>
  <c r="BF83" i="13" s="1"/>
  <c r="BF74" i="13"/>
  <c r="BF75" i="13"/>
  <c r="BF263" i="12"/>
  <c r="AL75" i="13"/>
  <c r="AL263" i="12"/>
  <c r="AO66" i="13"/>
  <c r="AO82" i="13" s="1"/>
  <c r="AO73" i="13"/>
  <c r="AO261" i="12"/>
  <c r="AO379" i="12"/>
  <c r="AO134" i="16" s="1"/>
  <c r="AC73" i="13"/>
  <c r="AC261" i="12"/>
  <c r="AC379" i="12"/>
  <c r="AC134" i="16" s="1"/>
  <c r="AQ66" i="13"/>
  <c r="AQ82" i="13" s="1"/>
  <c r="AQ73" i="13"/>
  <c r="AQ261" i="12"/>
  <c r="AQ379" i="12"/>
  <c r="AQ134" i="16" s="1"/>
  <c r="AB75" i="13"/>
  <c r="AB263" i="12"/>
  <c r="X73" i="13"/>
  <c r="X261" i="12"/>
  <c r="X379" i="12"/>
  <c r="X134" i="16" s="1"/>
  <c r="X138" i="16" s="1"/>
  <c r="AY67" i="13"/>
  <c r="AY83" i="13" s="1"/>
  <c r="AY74" i="13"/>
  <c r="AV75" i="13"/>
  <c r="AV263" i="12"/>
  <c r="W68" i="13"/>
  <c r="W84" i="13" s="1"/>
  <c r="AE68" i="13"/>
  <c r="AE84" i="13" s="1"/>
  <c r="AM68" i="13"/>
  <c r="AM84" i="13" s="1"/>
  <c r="AU68" i="13"/>
  <c r="AU84" i="13" s="1"/>
  <c r="BC68" i="13"/>
  <c r="BC84" i="13" s="1"/>
  <c r="X68" i="13"/>
  <c r="X84" i="13" s="1"/>
  <c r="AF68" i="13"/>
  <c r="AF84" i="13" s="1"/>
  <c r="AN68" i="13"/>
  <c r="AN84" i="13" s="1"/>
  <c r="AV68" i="13"/>
  <c r="AV84" i="13" s="1"/>
  <c r="BD68" i="13"/>
  <c r="BD84" i="13" s="1"/>
  <c r="T75" i="13"/>
  <c r="AA68" i="13"/>
  <c r="AA84" i="13" s="1"/>
  <c r="AI68" i="13"/>
  <c r="AI84" i="13" s="1"/>
  <c r="AQ68" i="13"/>
  <c r="AQ84" i="13" s="1"/>
  <c r="AY68" i="13"/>
  <c r="AY84" i="13" s="1"/>
  <c r="BG68" i="13"/>
  <c r="BG84" i="13" s="1"/>
  <c r="T68" i="13"/>
  <c r="AB68" i="13"/>
  <c r="AB84" i="13" s="1"/>
  <c r="AJ68" i="13"/>
  <c r="AJ84" i="13" s="1"/>
  <c r="AR68" i="13"/>
  <c r="AR84" i="13" s="1"/>
  <c r="AZ68" i="13"/>
  <c r="AZ84" i="13" s="1"/>
  <c r="BI179" i="12"/>
  <c r="AD68" i="13"/>
  <c r="AD84" i="13" s="1"/>
  <c r="AT68" i="13"/>
  <c r="AT84" i="13" s="1"/>
  <c r="AG68" i="13"/>
  <c r="AG84" i="13" s="1"/>
  <c r="AW68" i="13"/>
  <c r="AW84" i="13" s="1"/>
  <c r="AH68" i="13"/>
  <c r="AH84" i="13" s="1"/>
  <c r="AX68" i="13"/>
  <c r="AX84" i="13" s="1"/>
  <c r="U68" i="13"/>
  <c r="U84" i="13" s="1"/>
  <c r="AK68" i="13"/>
  <c r="AK84" i="13" s="1"/>
  <c r="BA68" i="13"/>
  <c r="BA84" i="13" s="1"/>
  <c r="V68" i="13"/>
  <c r="V84" i="13" s="1"/>
  <c r="AL68" i="13"/>
  <c r="AL84" i="13" s="1"/>
  <c r="BB68" i="13"/>
  <c r="BB84" i="13" s="1"/>
  <c r="Y68" i="13"/>
  <c r="Y84" i="13" s="1"/>
  <c r="AO68" i="13"/>
  <c r="AO84" i="13" s="1"/>
  <c r="BE68" i="13"/>
  <c r="BE84" i="13" s="1"/>
  <c r="Z68" i="13"/>
  <c r="Z84" i="13" s="1"/>
  <c r="AP68" i="13"/>
  <c r="AP84" i="13" s="1"/>
  <c r="BF68" i="13"/>
  <c r="BF84" i="13" s="1"/>
  <c r="AC68" i="13"/>
  <c r="AC84" i="13" s="1"/>
  <c r="AS68" i="13"/>
  <c r="AS84" i="13" s="1"/>
  <c r="T263" i="12"/>
  <c r="BG67" i="13"/>
  <c r="BG83" i="13" s="1"/>
  <c r="BG74" i="13"/>
  <c r="BE66" i="13"/>
  <c r="BE82" i="13" s="1"/>
  <c r="BE73" i="13"/>
  <c r="BE261" i="12"/>
  <c r="BE379" i="12"/>
  <c r="BE134" i="16" s="1"/>
  <c r="AM67" i="13"/>
  <c r="AM83" i="13" s="1"/>
  <c r="AM74" i="13"/>
  <c r="AT75" i="13"/>
  <c r="AT263" i="12"/>
  <c r="AO67" i="13"/>
  <c r="AO83" i="13" s="1"/>
  <c r="AO74" i="13"/>
  <c r="AC75" i="13"/>
  <c r="AC263" i="12"/>
  <c r="BD75" i="13"/>
  <c r="BD263" i="12"/>
  <c r="AJ75" i="13"/>
  <c r="AJ263" i="12"/>
  <c r="AQ67" i="13"/>
  <c r="AQ83" i="13" s="1"/>
  <c r="AQ74" i="13"/>
  <c r="AB73" i="13"/>
  <c r="AB261" i="12"/>
  <c r="AB379" i="12"/>
  <c r="AB134" i="16" s="1"/>
  <c r="AB138" i="16" s="1"/>
  <c r="AB139" i="16" s="1"/>
  <c r="AF66" i="13"/>
  <c r="AF82" i="13" s="1"/>
  <c r="AF73" i="13"/>
  <c r="AF261" i="12"/>
  <c r="AF379" i="12"/>
  <c r="AF134" i="16" s="1"/>
  <c r="AF138" i="16" s="1"/>
  <c r="T66" i="13"/>
  <c r="U66" i="13"/>
  <c r="U82" i="13" s="1"/>
  <c r="T73" i="13"/>
  <c r="V66" i="13"/>
  <c r="V82" i="13" s="1"/>
  <c r="W66" i="13"/>
  <c r="W82" i="13" s="1"/>
  <c r="X66" i="13"/>
  <c r="X82" i="13" s="1"/>
  <c r="Y66" i="13"/>
  <c r="Y82" i="13" s="1"/>
  <c r="Z66" i="13"/>
  <c r="Z82" i="13" s="1"/>
  <c r="AA66" i="13"/>
  <c r="AA82" i="13" s="1"/>
  <c r="AB66" i="13"/>
  <c r="AB82" i="13" s="1"/>
  <c r="AC66" i="13"/>
  <c r="AC82" i="13" s="1"/>
  <c r="AD66" i="13"/>
  <c r="AD82" i="13" s="1"/>
  <c r="BI177" i="12"/>
  <c r="T261" i="12"/>
  <c r="T379" i="12"/>
  <c r="T134" i="16" s="1"/>
  <c r="T138" i="16" s="1"/>
  <c r="J15" i="34"/>
  <c r="U75" i="13"/>
  <c r="U263" i="12"/>
  <c r="AU75" i="13"/>
  <c r="AU263" i="12"/>
  <c r="AX75" i="13"/>
  <c r="AX263" i="12"/>
  <c r="Y73" i="13"/>
  <c r="Y261" i="12"/>
  <c r="Y379" i="12"/>
  <c r="Y134" i="16" s="1"/>
  <c r="AS67" i="13"/>
  <c r="AS83" i="13" s="1"/>
  <c r="AS74" i="13"/>
  <c r="AD73" i="13"/>
  <c r="AD261" i="12"/>
  <c r="AD379" i="12"/>
  <c r="AD134" i="16" s="1"/>
  <c r="AN75" i="13"/>
  <c r="AN263" i="12"/>
  <c r="AM75" i="13"/>
  <c r="AM263" i="12"/>
  <c r="AH75" i="13"/>
  <c r="AH263" i="12"/>
  <c r="BD379" i="12"/>
  <c r="BD134" i="16" s="1"/>
  <c r="BD138" i="16" s="1"/>
  <c r="AR66" i="13"/>
  <c r="AR82" i="13" s="1"/>
  <c r="AR73" i="13"/>
  <c r="AR261" i="12"/>
  <c r="AR379" i="12"/>
  <c r="AR134" i="16" s="1"/>
  <c r="AR138" i="16" s="1"/>
  <c r="BA66" i="13"/>
  <c r="BA82" i="13" s="1"/>
  <c r="BA73" i="13"/>
  <c r="BA261" i="12"/>
  <c r="BA379" i="12"/>
  <c r="BA134" i="16" s="1"/>
  <c r="AF67" i="13"/>
  <c r="AF83" i="13" s="1"/>
  <c r="AF74" i="13"/>
  <c r="AW66" i="13"/>
  <c r="AW82" i="13" s="1"/>
  <c r="AW73" i="13"/>
  <c r="AW261" i="12"/>
  <c r="AW379" i="12"/>
  <c r="AW134" i="16" s="1"/>
  <c r="U67" i="13"/>
  <c r="U83" i="13" s="1"/>
  <c r="T67" i="13"/>
  <c r="T74" i="13"/>
  <c r="W67" i="13"/>
  <c r="W83" i="13" s="1"/>
  <c r="V67" i="13"/>
  <c r="V83" i="13" s="1"/>
  <c r="X67" i="13"/>
  <c r="X83" i="13" s="1"/>
  <c r="Y67" i="13"/>
  <c r="Y83" i="13" s="1"/>
  <c r="AA67" i="13"/>
  <c r="AA83" i="13" s="1"/>
  <c r="Z67" i="13"/>
  <c r="Z83" i="13" s="1"/>
  <c r="AB67" i="13"/>
  <c r="AB83" i="13" s="1"/>
  <c r="AC67" i="13"/>
  <c r="AC83" i="13" s="1"/>
  <c r="BI178" i="12"/>
  <c r="AG75" i="13"/>
  <c r="AG263" i="12"/>
  <c r="Y75" i="13"/>
  <c r="Y263" i="12"/>
  <c r="AZ75" i="13"/>
  <c r="AZ263" i="12"/>
  <c r="AS66" i="13"/>
  <c r="AS82" i="13" s="1"/>
  <c r="AS73" i="13"/>
  <c r="AS261" i="12"/>
  <c r="AS379" i="12"/>
  <c r="AS134" i="16" s="1"/>
  <c r="AS75" i="13"/>
  <c r="AS263" i="12"/>
  <c r="AD67" i="13"/>
  <c r="AD83" i="13" s="1"/>
  <c r="AD74" i="13"/>
  <c r="AN67" i="13"/>
  <c r="AN83" i="13" s="1"/>
  <c r="AN74" i="13"/>
  <c r="AT66" i="13"/>
  <c r="AT82" i="13" s="1"/>
  <c r="AT73" i="13"/>
  <c r="AT261" i="12"/>
  <c r="AT379" i="12"/>
  <c r="AT134" i="16" s="1"/>
  <c r="V73" i="13"/>
  <c r="V261" i="12"/>
  <c r="V379" i="12"/>
  <c r="V134" i="16" s="1"/>
  <c r="AR67" i="13"/>
  <c r="AR83" i="13" s="1"/>
  <c r="AR74" i="13"/>
  <c r="BA67" i="13"/>
  <c r="BA83" i="13" s="1"/>
  <c r="BA74" i="13"/>
  <c r="BA75" i="13"/>
  <c r="BA263" i="12"/>
  <c r="AW67" i="13"/>
  <c r="AW83" i="13" s="1"/>
  <c r="AW74" i="13"/>
  <c r="X75" i="13"/>
  <c r="X263" i="12"/>
  <c r="AV379" i="12"/>
  <c r="AV134" i="16" s="1"/>
  <c r="AV138" i="16" s="1"/>
  <c r="AE66" i="13"/>
  <c r="AE82" i="13" s="1"/>
  <c r="AE73" i="13"/>
  <c r="AE261" i="12"/>
  <c r="AE379" i="12"/>
  <c r="AE134" i="16" s="1"/>
  <c r="AK66" i="13"/>
  <c r="AK82" i="13" s="1"/>
  <c r="AK73" i="13"/>
  <c r="AK261" i="12"/>
  <c r="AK379" i="12"/>
  <c r="AK134" i="16" s="1"/>
  <c r="AK75" i="13"/>
  <c r="AK263" i="12"/>
  <c r="AU67" i="13"/>
  <c r="AU83" i="13" s="1"/>
  <c r="AU74" i="13"/>
  <c r="AX66" i="13"/>
  <c r="AX82" i="13" s="1"/>
  <c r="AX73" i="13"/>
  <c r="AX261" i="12"/>
  <c r="AX379" i="12"/>
  <c r="AX134" i="16" s="1"/>
  <c r="W75" i="13"/>
  <c r="W263" i="12"/>
  <c r="AN66" i="13"/>
  <c r="AN82" i="13" s="1"/>
  <c r="AN73" i="13"/>
  <c r="AN261" i="12"/>
  <c r="AN379" i="12"/>
  <c r="AN134" i="16" s="1"/>
  <c r="AN138" i="16" s="1"/>
  <c r="AT67" i="13"/>
  <c r="AT83" i="13" s="1"/>
  <c r="AT74" i="13"/>
  <c r="AA73" i="13"/>
  <c r="AA261" i="12"/>
  <c r="AA379" i="12"/>
  <c r="AA134" i="16" s="1"/>
  <c r="AP66" i="13"/>
  <c r="AP82" i="13" s="1"/>
  <c r="AP73" i="13"/>
  <c r="AP261" i="12"/>
  <c r="AP379" i="12"/>
  <c r="AP134" i="16" s="1"/>
  <c r="BD66" i="13"/>
  <c r="BD82" i="13" s="1"/>
  <c r="BD73" i="13"/>
  <c r="BD261" i="12"/>
  <c r="AE67" i="13"/>
  <c r="AE83" i="13" s="1"/>
  <c r="AE74" i="13"/>
  <c r="AE75" i="13"/>
  <c r="AE263" i="12"/>
  <c r="Z118" i="16"/>
  <c r="L21" i="37" s="1"/>
  <c r="AE402" i="12"/>
  <c r="AM107" i="38"/>
  <c r="AF107" i="38" s="1"/>
  <c r="Z116" i="16"/>
  <c r="L20" i="37"/>
  <c r="L22" i="37" s="1"/>
  <c r="U116" i="16"/>
  <c r="G20" i="37"/>
  <c r="G22" i="37" s="1"/>
  <c r="AO385" i="12"/>
  <c r="AO144" i="16" s="1"/>
  <c r="BE385" i="12"/>
  <c r="BE388" i="12" s="1"/>
  <c r="W385" i="12"/>
  <c r="W388" i="12" s="1"/>
  <c r="X385" i="12"/>
  <c r="X144" i="16" s="1"/>
  <c r="AB262" i="12"/>
  <c r="BA385" i="12"/>
  <c r="BA388" i="12" s="1"/>
  <c r="AA262" i="12"/>
  <c r="BC385" i="12"/>
  <c r="BC144" i="16" s="1"/>
  <c r="EC22" i="22"/>
  <c r="AB116" i="16"/>
  <c r="EF22" i="22"/>
  <c r="AT385" i="12"/>
  <c r="AA388" i="12"/>
  <c r="AA144" i="16"/>
  <c r="AI262" i="12"/>
  <c r="AI385" i="12"/>
  <c r="AQ53" i="16"/>
  <c r="BR53" i="16" s="1"/>
  <c r="BR54" i="16" s="1"/>
  <c r="BR55" i="16"/>
  <c r="Y262" i="12"/>
  <c r="Y385" i="12"/>
  <c r="AY262" i="12"/>
  <c r="AY385" i="12"/>
  <c r="V262" i="12"/>
  <c r="V385" i="12"/>
  <c r="Y53" i="16"/>
  <c r="BN53" i="16" s="1"/>
  <c r="BN54" i="16" s="1"/>
  <c r="BN55" i="16"/>
  <c r="BG385" i="12"/>
  <c r="AE262" i="12"/>
  <c r="AE385" i="12"/>
  <c r="AP385" i="12"/>
  <c r="AY370" i="12"/>
  <c r="AW53" i="16"/>
  <c r="BT53" i="16" s="1"/>
  <c r="BT54" i="16" s="1"/>
  <c r="BT55" i="16"/>
  <c r="BF370" i="12"/>
  <c r="AC385" i="12"/>
  <c r="W374" i="16"/>
  <c r="BM112" i="16"/>
  <c r="BX112" i="16" s="1"/>
  <c r="O112" i="16"/>
  <c r="BI112" i="16"/>
  <c r="X369" i="16"/>
  <c r="X118" i="16"/>
  <c r="BN107" i="16"/>
  <c r="AY369" i="16"/>
  <c r="AY118" i="16"/>
  <c r="AR370" i="12"/>
  <c r="AL385" i="12"/>
  <c r="AV385" i="12"/>
  <c r="AK385" i="12"/>
  <c r="AQ369" i="16"/>
  <c r="AQ118" i="16"/>
  <c r="BR118" i="16" s="1"/>
  <c r="W369" i="12"/>
  <c r="W370" i="12" s="1"/>
  <c r="BV110" i="16"/>
  <c r="BF372" i="16"/>
  <c r="BF377" i="16" s="1"/>
  <c r="BF115" i="16"/>
  <c r="AV402" i="12"/>
  <c r="BM146" i="16"/>
  <c r="BX146" i="16" s="1"/>
  <c r="BI146" i="16"/>
  <c r="AD12" i="19"/>
  <c r="AR107" i="16"/>
  <c r="AR116" i="16" s="1"/>
  <c r="BS106" i="16"/>
  <c r="O106" i="45"/>
  <c r="AO106" i="45" s="1"/>
  <c r="T380" i="16"/>
  <c r="BM123" i="16"/>
  <c r="BX123" i="16" s="1"/>
  <c r="BI123" i="16"/>
  <c r="BO115" i="16"/>
  <c r="Y6" i="47" s="1"/>
  <c r="Y7" i="47" s="1"/>
  <c r="AV370" i="12"/>
  <c r="W369" i="16"/>
  <c r="T115" i="16"/>
  <c r="H6" i="47" s="1"/>
  <c r="H7" i="47" s="1"/>
  <c r="T373" i="16"/>
  <c r="BM111" i="16"/>
  <c r="BX111" i="16" s="1"/>
  <c r="BI111" i="16"/>
  <c r="O111" i="16"/>
  <c r="BS115" i="16"/>
  <c r="O107" i="45"/>
  <c r="AO107" i="45" s="1"/>
  <c r="AD107" i="38"/>
  <c r="AE107" i="38"/>
  <c r="Z385" i="12"/>
  <c r="AT119" i="16"/>
  <c r="AT120" i="16"/>
  <c r="BU56" i="16"/>
  <c r="BU94" i="16"/>
  <c r="AF385" i="12"/>
  <c r="BT106" i="16"/>
  <c r="AV107" i="16"/>
  <c r="AV116" i="16" s="1"/>
  <c r="T106" i="16"/>
  <c r="T362" i="12"/>
  <c r="T369" i="12" s="1"/>
  <c r="AC9" i="38"/>
  <c r="GC14" i="5"/>
  <c r="AH9" i="19"/>
  <c r="AI9" i="19" s="1"/>
  <c r="GN14" i="5"/>
  <c r="U385" i="12"/>
  <c r="AM262" i="12"/>
  <c r="AM385" i="12"/>
  <c r="AD262" i="12"/>
  <c r="AD385" i="12"/>
  <c r="BM110" i="16"/>
  <c r="W115" i="16"/>
  <c r="K6" i="47" s="1"/>
  <c r="K7" i="47" s="1"/>
  <c r="W372" i="16"/>
  <c r="O110" i="16"/>
  <c r="BI110" i="16"/>
  <c r="AB370" i="12"/>
  <c r="T375" i="16"/>
  <c r="BM113" i="16"/>
  <c r="BX113" i="16" s="1"/>
  <c r="O113" i="16"/>
  <c r="BI113" i="16"/>
  <c r="AA370" i="12"/>
  <c r="U370" i="12"/>
  <c r="M20" i="37"/>
  <c r="M22" i="37" s="1"/>
  <c r="AA116" i="16"/>
  <c r="AV377" i="16"/>
  <c r="BG369" i="16"/>
  <c r="BG118" i="16"/>
  <c r="AS385" i="12"/>
  <c r="CI22" i="22"/>
  <c r="AQ385" i="12"/>
  <c r="AN385" i="12"/>
  <c r="EB22" i="22"/>
  <c r="U369" i="16"/>
  <c r="U118" i="16"/>
  <c r="AG385" i="12"/>
  <c r="AD106" i="38"/>
  <c r="AE106" i="38"/>
  <c r="AF106" i="38"/>
  <c r="AJ385" i="12"/>
  <c r="AH402" i="12"/>
  <c r="BP110" i="16"/>
  <c r="AI372" i="16"/>
  <c r="AI377" i="16" s="1"/>
  <c r="AI115" i="16"/>
  <c r="AH385" i="12"/>
  <c r="BI234" i="12"/>
  <c r="T385" i="12"/>
  <c r="BB262" i="12"/>
  <c r="BB385" i="12"/>
  <c r="BD262" i="12"/>
  <c r="BD385" i="12"/>
  <c r="BK19" i="22"/>
  <c r="BK22" i="22" s="1"/>
  <c r="BI22" i="22"/>
  <c r="BO55" i="16"/>
  <c r="BO106" i="16"/>
  <c r="AE370" i="12"/>
  <c r="M330" i="12"/>
  <c r="AJ106" i="38"/>
  <c r="BI133" i="12"/>
  <c r="ED19" i="22" s="1"/>
  <c r="BK133" i="12"/>
  <c r="T262" i="12"/>
  <c r="BQ19" i="22"/>
  <c r="BQ22" i="22" s="1"/>
  <c r="T402" i="12"/>
  <c r="BN115" i="16"/>
  <c r="X6" i="47" s="1"/>
  <c r="X7" i="47" s="1"/>
  <c r="AU385" i="12"/>
  <c r="CT19" i="22"/>
  <c r="AJ9" i="38"/>
  <c r="T9" i="19"/>
  <c r="BV56" i="16"/>
  <c r="BV94" i="16"/>
  <c r="AM9" i="38"/>
  <c r="W9" i="19"/>
  <c r="CN22" i="22"/>
  <c r="EQ22" i="22"/>
  <c r="AH362" i="12"/>
  <c r="AH369" i="12" s="1"/>
  <c r="AH106" i="16"/>
  <c r="AI370" i="12"/>
  <c r="AX385" i="12"/>
  <c r="W402" i="12"/>
  <c r="AB369" i="16"/>
  <c r="BO107" i="16"/>
  <c r="AB118" i="16"/>
  <c r="AW385" i="12"/>
  <c r="DD22" i="22"/>
  <c r="E43" i="17" s="1"/>
  <c r="AE369" i="16"/>
  <c r="AE118" i="16"/>
  <c r="BF385" i="12"/>
  <c r="X116" i="16"/>
  <c r="AF369" i="16"/>
  <c r="AF118" i="16"/>
  <c r="AA118" i="16"/>
  <c r="BN101" i="14" l="1"/>
  <c r="BN105" i="14" s="1"/>
  <c r="BI101" i="14"/>
  <c r="BR101" i="14"/>
  <c r="BR105" i="14" s="1"/>
  <c r="O9" i="45"/>
  <c r="AO9" i="45" s="1"/>
  <c r="CC85" i="28"/>
  <c r="AZ144" i="16"/>
  <c r="AB388" i="12"/>
  <c r="AB390" i="12" s="1"/>
  <c r="AB149" i="16" s="1"/>
  <c r="L37" i="37"/>
  <c r="Z139" i="16"/>
  <c r="J37" i="37"/>
  <c r="X139" i="16"/>
  <c r="W144" i="16"/>
  <c r="AR388" i="12"/>
  <c r="AR389" i="12" s="1"/>
  <c r="AR148" i="16" s="1"/>
  <c r="Z120" i="16"/>
  <c r="F37" i="37"/>
  <c r="T139" i="16"/>
  <c r="AG176" i="13"/>
  <c r="AI176" i="13"/>
  <c r="W176" i="13"/>
  <c r="AB176" i="13"/>
  <c r="U176" i="13"/>
  <c r="AJ176" i="13"/>
  <c r="AP176" i="13"/>
  <c r="AK176" i="13"/>
  <c r="AE390" i="16"/>
  <c r="AE394" i="16" s="1"/>
  <c r="AE138" i="16"/>
  <c r="AE139" i="16" s="1"/>
  <c r="BA176" i="13"/>
  <c r="BE176" i="13"/>
  <c r="BF176" i="13"/>
  <c r="AM176" i="13"/>
  <c r="AI390" i="16"/>
  <c r="AI394" i="16" s="1"/>
  <c r="AI138" i="16"/>
  <c r="BX101" i="14"/>
  <c r="BM105" i="14"/>
  <c r="BX105" i="14" s="1"/>
  <c r="AL176" i="13"/>
  <c r="AT176" i="13"/>
  <c r="AW390" i="16"/>
  <c r="AW394" i="16" s="1"/>
  <c r="AW138" i="16"/>
  <c r="Y176" i="13"/>
  <c r="X176" i="13"/>
  <c r="BG390" i="16"/>
  <c r="BG394" i="16" s="1"/>
  <c r="BG138" i="16"/>
  <c r="AY176" i="13"/>
  <c r="AU390" i="16"/>
  <c r="AU394" i="16" s="1"/>
  <c r="AU138" i="16"/>
  <c r="AT390" i="16"/>
  <c r="AT394" i="16" s="1"/>
  <c r="AT138" i="16"/>
  <c r="BB176" i="13"/>
  <c r="BC176" i="13"/>
  <c r="Z119" i="16"/>
  <c r="AE176" i="13"/>
  <c r="V390" i="16"/>
  <c r="V394" i="16" s="1"/>
  <c r="V138" i="16"/>
  <c r="AR176" i="13"/>
  <c r="AD390" i="16"/>
  <c r="AD394" i="16" s="1"/>
  <c r="AD138" i="16"/>
  <c r="AD139" i="16" s="1"/>
  <c r="AF176" i="13"/>
  <c r="AC390" i="16"/>
  <c r="AC394" i="16" s="1"/>
  <c r="AC138" i="16"/>
  <c r="AC139" i="16" s="1"/>
  <c r="AH390" i="16"/>
  <c r="AH394" i="16" s="1"/>
  <c r="AH138" i="16"/>
  <c r="W390" i="16"/>
  <c r="W394" i="16" s="1"/>
  <c r="W138" i="16"/>
  <c r="AS390" i="16"/>
  <c r="AS394" i="16" s="1"/>
  <c r="AS138" i="16"/>
  <c r="Y390" i="16"/>
  <c r="Y394" i="16" s="1"/>
  <c r="Y138" i="16"/>
  <c r="BI261" i="12"/>
  <c r="BM261" i="12"/>
  <c r="AO176" i="13"/>
  <c r="AY390" i="16"/>
  <c r="AY394" i="16" s="1"/>
  <c r="AY138" i="16"/>
  <c r="AN176" i="13"/>
  <c r="AW176" i="13"/>
  <c r="BG176" i="13"/>
  <c r="AZ176" i="13"/>
  <c r="AU176" i="13"/>
  <c r="AA390" i="16"/>
  <c r="AA394" i="16" s="1"/>
  <c r="AA138" i="16"/>
  <c r="AV176" i="13"/>
  <c r="V176" i="13"/>
  <c r="AQ390" i="16"/>
  <c r="AQ394" i="16" s="1"/>
  <c r="AQ138" i="16"/>
  <c r="AC176" i="13"/>
  <c r="AH176" i="13"/>
  <c r="AD176" i="13"/>
  <c r="AO390" i="16"/>
  <c r="AO394" i="16" s="1"/>
  <c r="AO138" i="16"/>
  <c r="BB390" i="16"/>
  <c r="BB394" i="16" s="1"/>
  <c r="BB138" i="16"/>
  <c r="U390" i="16"/>
  <c r="U394" i="16" s="1"/>
  <c r="U138" i="16"/>
  <c r="U139" i="16" s="1"/>
  <c r="AG390" i="16"/>
  <c r="AG394" i="16" s="1"/>
  <c r="AG138" i="16"/>
  <c r="AP390" i="16"/>
  <c r="AP394" i="16" s="1"/>
  <c r="AP138" i="16"/>
  <c r="AA176" i="13"/>
  <c r="AX390" i="16"/>
  <c r="AX394" i="16" s="1"/>
  <c r="AX138" i="16"/>
  <c r="AK390" i="16"/>
  <c r="AK394" i="16" s="1"/>
  <c r="AK138" i="16"/>
  <c r="BA390" i="16"/>
  <c r="BA394" i="16" s="1"/>
  <c r="BA138" i="16"/>
  <c r="BE390" i="16"/>
  <c r="BE394" i="16" s="1"/>
  <c r="BE138" i="16"/>
  <c r="BI263" i="12"/>
  <c r="BM263" i="12"/>
  <c r="BI75" i="13"/>
  <c r="AQ176" i="13"/>
  <c r="BF390" i="16"/>
  <c r="BF394" i="16" s="1"/>
  <c r="BF138" i="16"/>
  <c r="AM390" i="16"/>
  <c r="AM394" i="16" s="1"/>
  <c r="AM138" i="16"/>
  <c r="BI105" i="14"/>
  <c r="BI67" i="13"/>
  <c r="T83" i="13"/>
  <c r="BI83" i="13" s="1"/>
  <c r="BO134" i="16"/>
  <c r="AB390" i="16"/>
  <c r="AB394" i="16" s="1"/>
  <c r="BE144" i="16"/>
  <c r="AV390" i="16"/>
  <c r="AV394" i="16" s="1"/>
  <c r="BT134" i="16"/>
  <c r="BI66" i="13"/>
  <c r="T82" i="13"/>
  <c r="BI82" i="13" s="1"/>
  <c r="BI74" i="13"/>
  <c r="BC138" i="16"/>
  <c r="BC390" i="16"/>
  <c r="BC394" i="16" s="1"/>
  <c r="BM134" i="16"/>
  <c r="BI134" i="16"/>
  <c r="T390" i="16"/>
  <c r="T394" i="16" s="1"/>
  <c r="AJ390" i="16"/>
  <c r="AJ394" i="16" s="1"/>
  <c r="BQ134" i="16"/>
  <c r="AL138" i="16"/>
  <c r="AL390" i="16"/>
  <c r="AL394" i="16" s="1"/>
  <c r="AR390" i="16"/>
  <c r="AR394" i="16" s="1"/>
  <c r="BS134" i="16"/>
  <c r="BR134" i="16"/>
  <c r="AN390" i="16"/>
  <c r="AN394" i="16" s="1"/>
  <c r="J34" i="34"/>
  <c r="J32" i="34"/>
  <c r="J43" i="34"/>
  <c r="J84" i="34"/>
  <c r="J86" i="34"/>
  <c r="J49" i="34"/>
  <c r="J50" i="34"/>
  <c r="J12" i="34"/>
  <c r="J91" i="34"/>
  <c r="J20" i="34"/>
  <c r="J18" i="34"/>
  <c r="J41" i="34"/>
  <c r="J87" i="34"/>
  <c r="J94" i="34"/>
  <c r="J71" i="34"/>
  <c r="J24" i="34"/>
  <c r="J69" i="34"/>
  <c r="J64" i="34"/>
  <c r="J27" i="34"/>
  <c r="J70" i="34"/>
  <c r="J62" i="34"/>
  <c r="J40" i="34"/>
  <c r="J42" i="34"/>
  <c r="J57" i="34"/>
  <c r="J51" i="34"/>
  <c r="J26" i="34"/>
  <c r="J31" i="34"/>
  <c r="J66" i="34"/>
  <c r="J22" i="34"/>
  <c r="J33" i="34"/>
  <c r="J74" i="34"/>
  <c r="J68" i="34"/>
  <c r="J63" i="34"/>
  <c r="J38" i="34"/>
  <c r="J61" i="34"/>
  <c r="J101" i="34"/>
  <c r="J36" i="34"/>
  <c r="J77" i="34"/>
  <c r="J76" i="34"/>
  <c r="EI20" i="22"/>
  <c r="J9" i="34" s="1"/>
  <c r="J44" i="34"/>
  <c r="J19" i="34"/>
  <c r="J35" i="34"/>
  <c r="J30" i="34"/>
  <c r="J14" i="34"/>
  <c r="J54" i="34"/>
  <c r="J90" i="34"/>
  <c r="J55" i="34"/>
  <c r="J52" i="34"/>
  <c r="J39" i="34"/>
  <c r="J80" i="34"/>
  <c r="J65" i="34"/>
  <c r="J58" i="34"/>
  <c r="J100" i="34"/>
  <c r="J37" i="34"/>
  <c r="J11" i="34"/>
  <c r="J96" i="34"/>
  <c r="J73" i="34"/>
  <c r="J23" i="34"/>
  <c r="J56" i="34"/>
  <c r="J53" i="34"/>
  <c r="CV20" i="22"/>
  <c r="J67" i="34"/>
  <c r="J16" i="34"/>
  <c r="J102" i="34"/>
  <c r="J72" i="34"/>
  <c r="J48" i="34"/>
  <c r="J21" i="34"/>
  <c r="J97" i="34"/>
  <c r="J99" i="34"/>
  <c r="J78" i="34"/>
  <c r="J75" i="34"/>
  <c r="J60" i="34"/>
  <c r="J25" i="34"/>
  <c r="J45" i="34"/>
  <c r="J59" i="34"/>
  <c r="J17" i="34"/>
  <c r="J92" i="34"/>
  <c r="J47" i="34"/>
  <c r="J46" i="34"/>
  <c r="J29" i="34"/>
  <c r="J104" i="34"/>
  <c r="J13" i="34"/>
  <c r="J28" i="34"/>
  <c r="J89" i="34"/>
  <c r="J79" i="34"/>
  <c r="J81" i="34"/>
  <c r="J82" i="34"/>
  <c r="J83" i="34"/>
  <c r="J85" i="34"/>
  <c r="J88" i="34"/>
  <c r="J93" i="34"/>
  <c r="J95" i="34"/>
  <c r="J98" i="34"/>
  <c r="J103" i="34"/>
  <c r="CV19" i="22"/>
  <c r="EI19" i="22"/>
  <c r="J8" i="34" s="1"/>
  <c r="CV18" i="22"/>
  <c r="EI18" i="22"/>
  <c r="J105" i="34"/>
  <c r="J106" i="34"/>
  <c r="J10" i="34"/>
  <c r="AZ390" i="16"/>
  <c r="AZ394" i="16" s="1"/>
  <c r="BU134" i="16"/>
  <c r="BD176" i="13"/>
  <c r="AF390" i="16"/>
  <c r="AF394" i="16" s="1"/>
  <c r="BP134" i="16"/>
  <c r="X390" i="16"/>
  <c r="X394" i="16" s="1"/>
  <c r="BN134" i="16"/>
  <c r="AS176" i="13"/>
  <c r="BD390" i="16"/>
  <c r="BD394" i="16" s="1"/>
  <c r="BV134" i="16"/>
  <c r="AX176" i="13"/>
  <c r="BI73" i="13"/>
  <c r="T176" i="13"/>
  <c r="T84" i="13"/>
  <c r="BI84" i="13" s="1"/>
  <c r="BI68" i="13"/>
  <c r="AT146" i="45"/>
  <c r="AZ146" i="45" s="1"/>
  <c r="BA144" i="16"/>
  <c r="AO108" i="45"/>
  <c r="X388" i="12"/>
  <c r="X390" i="12" s="1"/>
  <c r="X149" i="16" s="1"/>
  <c r="W377" i="16"/>
  <c r="BC388" i="12"/>
  <c r="BC147" i="16" s="1"/>
  <c r="AO388" i="12"/>
  <c r="AO390" i="12" s="1"/>
  <c r="AO149" i="16" s="1"/>
  <c r="N105" i="34"/>
  <c r="F106" i="45"/>
  <c r="AF106" i="45" s="1"/>
  <c r="O108" i="45"/>
  <c r="F107" i="45"/>
  <c r="AF107" i="45" s="1"/>
  <c r="W118" i="16"/>
  <c r="W120" i="16" s="1"/>
  <c r="AJ109" i="38"/>
  <c r="N106" i="34"/>
  <c r="T12" i="19"/>
  <c r="CP82" i="28" s="1" a="1"/>
  <c r="CP82" i="28" s="1"/>
  <c r="AJ9" i="19"/>
  <c r="CT22" i="22"/>
  <c r="E23" i="17" s="1"/>
  <c r="AT126" i="45" s="1"/>
  <c r="AZ126" i="45" s="1"/>
  <c r="ED22" i="22"/>
  <c r="M106" i="34"/>
  <c r="X120" i="16"/>
  <c r="X119" i="16"/>
  <c r="J21" i="37"/>
  <c r="BN118" i="16"/>
  <c r="G21" i="18" s="1"/>
  <c r="AA390" i="12"/>
  <c r="AA149" i="16" s="1"/>
  <c r="AA147" i="16"/>
  <c r="AC14" i="37" s="1"/>
  <c r="AA389" i="12"/>
  <c r="AA148" i="16" s="1"/>
  <c r="AC15" i="37" s="1"/>
  <c r="AH388" i="12"/>
  <c r="AH144" i="16"/>
  <c r="G21" i="37"/>
  <c r="U120" i="16"/>
  <c r="U119" i="16"/>
  <c r="W116" i="16"/>
  <c r="M15" i="23" s="1"/>
  <c r="I20" i="37"/>
  <c r="I22" i="37" s="1"/>
  <c r="AL9" i="19"/>
  <c r="AO9" i="19"/>
  <c r="AH12" i="19"/>
  <c r="AA119" i="16"/>
  <c r="M21" i="37"/>
  <c r="AA120" i="16"/>
  <c r="W12" i="19"/>
  <c r="BI262" i="12"/>
  <c r="BM262" i="12"/>
  <c r="AI116" i="16"/>
  <c r="AI118" i="16"/>
  <c r="BP115" i="16"/>
  <c r="Z6" i="47" s="1"/>
  <c r="Z7" i="47" s="1"/>
  <c r="AJ144" i="16"/>
  <c r="AJ388" i="12"/>
  <c r="BX110" i="16"/>
  <c r="GE13" i="5"/>
  <c r="GE15" i="5"/>
  <c r="GE14" i="5"/>
  <c r="BT107" i="16"/>
  <c r="BT116" i="16" s="1"/>
  <c r="AV369" i="16"/>
  <c r="AV118" i="16"/>
  <c r="BT118" i="16" s="1"/>
  <c r="T377" i="16"/>
  <c r="BV115" i="16"/>
  <c r="BV116" i="16" s="1"/>
  <c r="BF118" i="16"/>
  <c r="BV118" i="16" s="1"/>
  <c r="BF116" i="16"/>
  <c r="AQ119" i="16"/>
  <c r="BR119" i="16" s="1"/>
  <c r="AQ120" i="16"/>
  <c r="BR120" i="16" s="1"/>
  <c r="BE147" i="16"/>
  <c r="BE390" i="12"/>
  <c r="BE149" i="16" s="1"/>
  <c r="BE389" i="12"/>
  <c r="BE148" i="16" s="1"/>
  <c r="AW144" i="16"/>
  <c r="AW388" i="12"/>
  <c r="AH107" i="16"/>
  <c r="BP107" i="16" s="1"/>
  <c r="BP106" i="16"/>
  <c r="AF9" i="38"/>
  <c r="AM109" i="38"/>
  <c r="BD388" i="12"/>
  <c r="BD144" i="16"/>
  <c r="AS144" i="16"/>
  <c r="AS388" i="12"/>
  <c r="AD144" i="16"/>
  <c r="AD388" i="12"/>
  <c r="AD9" i="38"/>
  <c r="AE9" i="38"/>
  <c r="AC109" i="38"/>
  <c r="Z144" i="16"/>
  <c r="Z388" i="12"/>
  <c r="F20" i="37"/>
  <c r="BM115" i="16"/>
  <c r="W6" i="47" s="1"/>
  <c r="W7" i="47" s="1"/>
  <c r="BI115" i="16"/>
  <c r="S452" i="16" s="1"/>
  <c r="BN94" i="16"/>
  <c r="G14" i="18" s="1"/>
  <c r="BN56" i="16"/>
  <c r="G13" i="18" s="1"/>
  <c r="V388" i="12"/>
  <c r="V144" i="16"/>
  <c r="BB144" i="16"/>
  <c r="BB388" i="12"/>
  <c r="E20" i="17"/>
  <c r="AT123" i="45" s="1"/>
  <c r="AZ123" i="45" s="1"/>
  <c r="AF119" i="16"/>
  <c r="AF120" i="16"/>
  <c r="AU388" i="12"/>
  <c r="AU144" i="16"/>
  <c r="AB119" i="16"/>
  <c r="AB120" i="16"/>
  <c r="AH370" i="12"/>
  <c r="G20" i="18"/>
  <c r="G22" i="18" s="1"/>
  <c r="BN116" i="16"/>
  <c r="M8" i="34"/>
  <c r="AN144" i="16"/>
  <c r="AN388" i="12"/>
  <c r="BG120" i="16"/>
  <c r="BG119" i="16"/>
  <c r="BQ119" i="16" s="1"/>
  <c r="AF144" i="16"/>
  <c r="AF388" i="12"/>
  <c r="H20" i="18"/>
  <c r="H22" i="18" s="1"/>
  <c r="BO116" i="16"/>
  <c r="AK388" i="12"/>
  <c r="AK144" i="16"/>
  <c r="W390" i="12"/>
  <c r="W149" i="16" s="1"/>
  <c r="W147" i="16"/>
  <c r="Y14" i="37" s="1"/>
  <c r="W389" i="12"/>
  <c r="W148" i="16" s="1"/>
  <c r="Y15" i="37" s="1"/>
  <c r="BR56" i="16"/>
  <c r="BR94" i="16"/>
  <c r="AM388" i="12"/>
  <c r="AM144" i="16"/>
  <c r="AV144" i="16"/>
  <c r="AV388" i="12"/>
  <c r="AP144" i="16"/>
  <c r="AP388" i="12"/>
  <c r="AY388" i="12"/>
  <c r="AY144" i="16"/>
  <c r="AT144" i="16"/>
  <c r="AT388" i="12"/>
  <c r="AG144" i="16"/>
  <c r="AG388" i="12"/>
  <c r="L50" i="37"/>
  <c r="M105" i="34"/>
  <c r="AL388" i="12"/>
  <c r="AL144" i="16"/>
  <c r="AY120" i="16"/>
  <c r="AY119" i="16"/>
  <c r="BT56" i="16"/>
  <c r="BT94" i="16"/>
  <c r="AE144" i="16"/>
  <c r="AE388" i="12"/>
  <c r="AI388" i="12"/>
  <c r="AI144" i="16"/>
  <c r="BA389" i="12"/>
  <c r="BA148" i="16" s="1"/>
  <c r="BA147" i="16"/>
  <c r="BA390" i="12"/>
  <c r="BA149" i="16" s="1"/>
  <c r="DP22" i="22"/>
  <c r="DE22" i="22"/>
  <c r="T144" i="16"/>
  <c r="T388" i="12"/>
  <c r="U388" i="12"/>
  <c r="U144" i="16"/>
  <c r="T370" i="12"/>
  <c r="AC144" i="16"/>
  <c r="AC388" i="12"/>
  <c r="Y388" i="12"/>
  <c r="Y144" i="16"/>
  <c r="AZ390" i="12"/>
  <c r="AZ149" i="16" s="1"/>
  <c r="AZ147" i="16"/>
  <c r="AZ389" i="12"/>
  <c r="AZ148" i="16" s="1"/>
  <c r="BF144" i="16"/>
  <c r="BF388" i="12"/>
  <c r="BO118" i="16"/>
  <c r="H21" i="18" s="1"/>
  <c r="AE120" i="16"/>
  <c r="AE119" i="16"/>
  <c r="AX388" i="12"/>
  <c r="AX144" i="16"/>
  <c r="BO56" i="16"/>
  <c r="H13" i="18" s="1"/>
  <c r="BO94" i="16"/>
  <c r="H14" i="18" s="1"/>
  <c r="EO19" i="22"/>
  <c r="DJ19" i="22"/>
  <c r="BX85" i="28" s="1"/>
  <c r="AQ144" i="16"/>
  <c r="AQ388" i="12"/>
  <c r="GP13" i="5"/>
  <c r="GP14" i="5"/>
  <c r="GP15" i="5"/>
  <c r="T107" i="16"/>
  <c r="BM106" i="16"/>
  <c r="BI106" i="16"/>
  <c r="S451" i="16" s="1"/>
  <c r="BS107" i="16"/>
  <c r="BS116" i="16" s="1"/>
  <c r="AR369" i="16"/>
  <c r="AR118" i="16"/>
  <c r="G107" i="45"/>
  <c r="AG107" i="45" s="1"/>
  <c r="BG388" i="12"/>
  <c r="BG144" i="16"/>
  <c r="BO139" i="16" l="1"/>
  <c r="BY85" i="28"/>
  <c r="BX86" i="28"/>
  <c r="BY86" i="28" s="1"/>
  <c r="CC86" i="28"/>
  <c r="M37" i="37"/>
  <c r="AA139" i="16"/>
  <c r="CP83" i="28" a="1"/>
  <c r="CP83" i="28" s="1"/>
  <c r="CP84" i="28" a="1"/>
  <c r="CP84" i="28" s="1"/>
  <c r="CP85" i="28" a="1"/>
  <c r="CP85" i="28" s="1"/>
  <c r="AB147" i="16"/>
  <c r="AB389" i="12"/>
  <c r="AB148" i="16" s="1"/>
  <c r="AR147" i="16"/>
  <c r="AR390" i="12"/>
  <c r="AR149" i="16" s="1"/>
  <c r="K37" i="37"/>
  <c r="Y139" i="16"/>
  <c r="BN119" i="16"/>
  <c r="BP138" i="16"/>
  <c r="I37" i="18" s="1"/>
  <c r="I37" i="37"/>
  <c r="W139" i="16"/>
  <c r="H37" i="37"/>
  <c r="V139" i="16"/>
  <c r="BO138" i="16"/>
  <c r="H37" i="18" s="1"/>
  <c r="G106" i="45"/>
  <c r="AG106" i="45" s="1"/>
  <c r="BU144" i="16"/>
  <c r="BN138" i="16"/>
  <c r="G37" i="18" s="1"/>
  <c r="BX106" i="16"/>
  <c r="X147" i="16"/>
  <c r="Z14" i="37" s="1"/>
  <c r="BS138" i="16"/>
  <c r="BU138" i="16"/>
  <c r="BV138" i="16"/>
  <c r="BT138" i="16"/>
  <c r="BQ138" i="16"/>
  <c r="J37" i="18" s="1"/>
  <c r="BR138" i="16"/>
  <c r="AA10" i="19"/>
  <c r="DC20" i="22"/>
  <c r="G66" i="45"/>
  <c r="AG66" i="45" s="1"/>
  <c r="G29" i="45"/>
  <c r="AG29" i="45" s="1"/>
  <c r="G91" i="45"/>
  <c r="AG91" i="45" s="1"/>
  <c r="G68" i="45"/>
  <c r="AG68" i="45" s="1"/>
  <c r="G26" i="45"/>
  <c r="AG26" i="45" s="1"/>
  <c r="AA9" i="19"/>
  <c r="DC19" i="22"/>
  <c r="DK19" i="22" s="1"/>
  <c r="G42" i="45"/>
  <c r="AG42" i="45" s="1"/>
  <c r="G92" i="45"/>
  <c r="AG92" i="45" s="1"/>
  <c r="G82" i="45"/>
  <c r="AG82" i="45" s="1"/>
  <c r="G47" i="45"/>
  <c r="AG47" i="45" s="1"/>
  <c r="G98" i="45"/>
  <c r="AG98" i="45" s="1"/>
  <c r="G99" i="45"/>
  <c r="AG99" i="45" s="1"/>
  <c r="G85" i="45"/>
  <c r="AG85" i="45" s="1"/>
  <c r="G25" i="45"/>
  <c r="AG25" i="45" s="1"/>
  <c r="G20" i="45"/>
  <c r="AG20" i="45" s="1"/>
  <c r="G33" i="45"/>
  <c r="AG33" i="45" s="1"/>
  <c r="G62" i="45"/>
  <c r="AG62" i="45" s="1"/>
  <c r="G44" i="45"/>
  <c r="AG44" i="45" s="1"/>
  <c r="G50" i="45"/>
  <c r="AG50" i="45" s="1"/>
  <c r="BC390" i="12"/>
  <c r="BC149" i="16" s="1"/>
  <c r="G34" i="45"/>
  <c r="AG34" i="45" s="1"/>
  <c r="G94" i="45"/>
  <c r="AG94" i="45" s="1"/>
  <c r="G76" i="45"/>
  <c r="AG76" i="45" s="1"/>
  <c r="G81" i="45"/>
  <c r="AG81" i="45" s="1"/>
  <c r="G77" i="45"/>
  <c r="AG77" i="45" s="1"/>
  <c r="G101" i="45"/>
  <c r="AG101" i="45" s="1"/>
  <c r="G31" i="45"/>
  <c r="AG31" i="45" s="1"/>
  <c r="G11" i="45"/>
  <c r="AG11" i="45" s="1"/>
  <c r="G55" i="45"/>
  <c r="AG55" i="45" s="1"/>
  <c r="G60" i="45"/>
  <c r="AG60" i="45" s="1"/>
  <c r="G18" i="45"/>
  <c r="AG18" i="45" s="1"/>
  <c r="G27" i="45"/>
  <c r="AG27" i="45" s="1"/>
  <c r="G17" i="45"/>
  <c r="AG17" i="45" s="1"/>
  <c r="G73" i="45"/>
  <c r="AG73" i="45" s="1"/>
  <c r="G75" i="45"/>
  <c r="AG75" i="45" s="1"/>
  <c r="G13" i="45"/>
  <c r="AG13" i="45" s="1"/>
  <c r="G87" i="45"/>
  <c r="AG87" i="45" s="1"/>
  <c r="G79" i="45"/>
  <c r="AG79" i="45" s="1"/>
  <c r="G39" i="45"/>
  <c r="AG39" i="45" s="1"/>
  <c r="G46" i="45"/>
  <c r="AG46" i="45" s="1"/>
  <c r="G53" i="45"/>
  <c r="AG53" i="45" s="1"/>
  <c r="G103" i="45"/>
  <c r="AG103" i="45" s="1"/>
  <c r="G54" i="45"/>
  <c r="AG54" i="45" s="1"/>
  <c r="G64" i="45"/>
  <c r="AG64" i="45" s="1"/>
  <c r="G24" i="45"/>
  <c r="AG24" i="45" s="1"/>
  <c r="G100" i="45"/>
  <c r="AG100" i="45" s="1"/>
  <c r="G89" i="45"/>
  <c r="AG89" i="45" s="1"/>
  <c r="G72" i="45"/>
  <c r="AG72" i="45" s="1"/>
  <c r="G61" i="45"/>
  <c r="AG61" i="45" s="1"/>
  <c r="G22" i="45"/>
  <c r="AG22" i="45" s="1"/>
  <c r="G16" i="45"/>
  <c r="AG16" i="45" s="1"/>
  <c r="G83" i="45"/>
  <c r="AG83" i="45" s="1"/>
  <c r="G105" i="45"/>
  <c r="AG105" i="45" s="1"/>
  <c r="G38" i="45"/>
  <c r="AG38" i="45" s="1"/>
  <c r="G78" i="45"/>
  <c r="AG78" i="45" s="1"/>
  <c r="G37" i="37"/>
  <c r="BI138" i="16"/>
  <c r="S454" i="16" s="1"/>
  <c r="BM138" i="16"/>
  <c r="G69" i="45"/>
  <c r="AG69" i="45" s="1"/>
  <c r="G35" i="45"/>
  <c r="AG35" i="45" s="1"/>
  <c r="AS18" i="22"/>
  <c r="G8" i="45" s="1"/>
  <c r="AG8" i="45" s="1"/>
  <c r="BN261" i="12"/>
  <c r="BP261" i="12" s="1"/>
  <c r="G90" i="45"/>
  <c r="AG90" i="45" s="1"/>
  <c r="G49" i="45"/>
  <c r="AG49" i="45" s="1"/>
  <c r="G37" i="45"/>
  <c r="AG37" i="45" s="1"/>
  <c r="G57" i="45"/>
  <c r="AG57" i="45" s="1"/>
  <c r="G88" i="45"/>
  <c r="AG88" i="45" s="1"/>
  <c r="G19" i="45"/>
  <c r="AG19" i="45" s="1"/>
  <c r="G32" i="45"/>
  <c r="AG32" i="45" s="1"/>
  <c r="G51" i="45"/>
  <c r="AG51" i="45" s="1"/>
  <c r="G43" i="45"/>
  <c r="AG43" i="45" s="1"/>
  <c r="G70" i="45"/>
  <c r="AG70" i="45" s="1"/>
  <c r="G84" i="45"/>
  <c r="AG84" i="45" s="1"/>
  <c r="G12" i="45"/>
  <c r="AG12" i="45" s="1"/>
  <c r="G96" i="45"/>
  <c r="AG96" i="45" s="1"/>
  <c r="G56" i="45"/>
  <c r="AG56" i="45" s="1"/>
  <c r="G41" i="45"/>
  <c r="AG41" i="45" s="1"/>
  <c r="G21" i="45"/>
  <c r="AG21" i="45" s="1"/>
  <c r="G14" i="45"/>
  <c r="AG14" i="45" s="1"/>
  <c r="G30" i="45"/>
  <c r="AG30" i="45" s="1"/>
  <c r="G48" i="45"/>
  <c r="AG48" i="45" s="1"/>
  <c r="BX134" i="16"/>
  <c r="G67" i="45"/>
  <c r="AG67" i="45" s="1"/>
  <c r="G65" i="45"/>
  <c r="AG65" i="45" s="1"/>
  <c r="G93" i="45"/>
  <c r="AG93" i="45" s="1"/>
  <c r="G58" i="45"/>
  <c r="AG58" i="45" s="1"/>
  <c r="G45" i="45"/>
  <c r="AG45" i="45" s="1"/>
  <c r="G63" i="45"/>
  <c r="AG63" i="45" s="1"/>
  <c r="G40" i="45"/>
  <c r="AG40" i="45" s="1"/>
  <c r="G52" i="45"/>
  <c r="AG52" i="45" s="1"/>
  <c r="AA8" i="19"/>
  <c r="DC18" i="22"/>
  <c r="G28" i="45"/>
  <c r="AG28" i="45" s="1"/>
  <c r="AS20" i="22"/>
  <c r="G10" i="45" s="1"/>
  <c r="AG10" i="45" s="1"/>
  <c r="BN263" i="12"/>
  <c r="BP263" i="12" s="1"/>
  <c r="G80" i="45"/>
  <c r="AG80" i="45" s="1"/>
  <c r="G104" i="45"/>
  <c r="AG104" i="45" s="1"/>
  <c r="G36" i="45"/>
  <c r="AG36" i="45" s="1"/>
  <c r="G97" i="45"/>
  <c r="AG97" i="45" s="1"/>
  <c r="G71" i="45"/>
  <c r="AG71" i="45" s="1"/>
  <c r="G74" i="45"/>
  <c r="AG74" i="45" s="1"/>
  <c r="G23" i="45"/>
  <c r="AG23" i="45" s="1"/>
  <c r="G15" i="45"/>
  <c r="AG15" i="45" s="1"/>
  <c r="G86" i="45"/>
  <c r="AG86" i="45" s="1"/>
  <c r="G102" i="45"/>
  <c r="AG102" i="45" s="1"/>
  <c r="G95" i="45"/>
  <c r="AG95" i="45" s="1"/>
  <c r="G59" i="45"/>
  <c r="AG59" i="45" s="1"/>
  <c r="BC389" i="12"/>
  <c r="BC148" i="16" s="1"/>
  <c r="P107" i="45"/>
  <c r="AP107" i="45" s="1"/>
  <c r="J7" i="34"/>
  <c r="J107" i="34" s="1"/>
  <c r="EI22" i="22"/>
  <c r="O12" i="42"/>
  <c r="O11" i="42"/>
  <c r="O10" i="42"/>
  <c r="O15" i="42"/>
  <c r="O13" i="42"/>
  <c r="O14" i="42"/>
  <c r="CV22" i="22"/>
  <c r="E42" i="17" s="1"/>
  <c r="AO389" i="12"/>
  <c r="AO148" i="16" s="1"/>
  <c r="X389" i="12"/>
  <c r="X148" i="16" s="1"/>
  <c r="Z15" i="37" s="1"/>
  <c r="AO147" i="16"/>
  <c r="I21" i="37"/>
  <c r="C3" i="44" s="1"/>
  <c r="DO19" i="22"/>
  <c r="F9" i="45"/>
  <c r="W119" i="16"/>
  <c r="BO120" i="16"/>
  <c r="BN144" i="16"/>
  <c r="P106" i="45"/>
  <c r="AP106" i="45" s="1"/>
  <c r="BO119" i="16"/>
  <c r="W391" i="12"/>
  <c r="W150" i="16" s="1"/>
  <c r="BA391" i="12"/>
  <c r="BA150" i="16" s="1"/>
  <c r="BA404" i="16" s="1"/>
  <c r="BE391" i="12"/>
  <c r="BE150" i="16" s="1"/>
  <c r="BE404" i="16" s="1"/>
  <c r="AN12" i="19"/>
  <c r="AA391" i="12"/>
  <c r="AA150" i="16" s="1"/>
  <c r="AZ391" i="12"/>
  <c r="AZ150" i="16" s="1"/>
  <c r="AZ153" i="16" s="1"/>
  <c r="BT144" i="16"/>
  <c r="M370" i="12"/>
  <c r="BO144" i="16"/>
  <c r="BS144" i="16"/>
  <c r="T369" i="16"/>
  <c r="BM107" i="16"/>
  <c r="BX107" i="16" s="1"/>
  <c r="T118" i="16"/>
  <c r="BI107" i="16"/>
  <c r="AP389" i="12"/>
  <c r="AP148" i="16" s="1"/>
  <c r="AP390" i="12"/>
  <c r="AP149" i="16" s="1"/>
  <c r="AP147" i="16"/>
  <c r="BR144" i="16"/>
  <c r="BB147" i="16"/>
  <c r="BU147" i="16" s="1"/>
  <c r="BB389" i="12"/>
  <c r="BB148" i="16" s="1"/>
  <c r="BB390" i="12"/>
  <c r="BB149" i="16" s="1"/>
  <c r="F22" i="37"/>
  <c r="E20" i="37"/>
  <c r="N20" i="37"/>
  <c r="K124" i="13"/>
  <c r="K132" i="13"/>
  <c r="BN262" i="12"/>
  <c r="BP262" i="12" s="1"/>
  <c r="AS19" i="22"/>
  <c r="H50" i="18"/>
  <c r="K157" i="13"/>
  <c r="K165" i="13"/>
  <c r="K156" i="13"/>
  <c r="K164" i="13"/>
  <c r="U389" i="12"/>
  <c r="U148" i="16" s="1"/>
  <c r="W15" i="37" s="1"/>
  <c r="U390" i="12"/>
  <c r="U149" i="16" s="1"/>
  <c r="U147" i="16"/>
  <c r="W14" i="37" s="1"/>
  <c r="BQ144" i="16"/>
  <c r="T116" i="16"/>
  <c r="S40" i="23" s="1"/>
  <c r="K133" i="13"/>
  <c r="K125" i="13"/>
  <c r="AI12" i="19"/>
  <c r="AL12" i="19"/>
  <c r="AR119" i="16"/>
  <c r="BS119" i="16" s="1"/>
  <c r="AR120" i="16"/>
  <c r="BS120" i="16" s="1"/>
  <c r="BS118" i="16"/>
  <c r="AQ390" i="12"/>
  <c r="AQ149" i="16" s="1"/>
  <c r="AQ147" i="16"/>
  <c r="AQ389" i="12"/>
  <c r="AQ148" i="16" s="1"/>
  <c r="Y389" i="12"/>
  <c r="Y148" i="16" s="1"/>
  <c r="AA15" i="37" s="1"/>
  <c r="Y147" i="16"/>
  <c r="AA14" i="37" s="1"/>
  <c r="Y390" i="12"/>
  <c r="Y149" i="16" s="1"/>
  <c r="T390" i="12"/>
  <c r="T149" i="16" s="1"/>
  <c r="T389" i="12"/>
  <c r="T148" i="16" s="1"/>
  <c r="T147" i="16"/>
  <c r="AG147" i="16"/>
  <c r="AG390" i="12"/>
  <c r="AG149" i="16" s="1"/>
  <c r="AG389" i="12"/>
  <c r="AG148" i="16" s="1"/>
  <c r="AV147" i="16"/>
  <c r="AV390" i="12"/>
  <c r="AV149" i="16" s="1"/>
  <c r="AV389" i="12"/>
  <c r="AV148" i="16" s="1"/>
  <c r="AM147" i="16"/>
  <c r="AM390" i="12"/>
  <c r="AM149" i="16" s="1"/>
  <c r="AM389" i="12"/>
  <c r="AM148" i="16" s="1"/>
  <c r="AK147" i="16"/>
  <c r="AK389" i="12"/>
  <c r="AK148" i="16" s="1"/>
  <c r="AK390" i="12"/>
  <c r="AK149" i="16" s="1"/>
  <c r="AU147" i="16"/>
  <c r="AU390" i="12"/>
  <c r="AU149" i="16" s="1"/>
  <c r="AU389" i="12"/>
  <c r="AU148" i="16" s="1"/>
  <c r="Z389" i="12"/>
  <c r="Z148" i="16" s="1"/>
  <c r="AB15" i="37" s="1"/>
  <c r="Z390" i="12"/>
  <c r="Z149" i="16" s="1"/>
  <c r="Z147" i="16"/>
  <c r="AB14" i="37" s="1"/>
  <c r="AH369" i="16"/>
  <c r="AH116" i="16"/>
  <c r="AH118" i="16"/>
  <c r="BP118" i="16" s="1"/>
  <c r="I21" i="18" s="1"/>
  <c r="I50" i="18" s="1"/>
  <c r="BF120" i="16"/>
  <c r="BV120" i="16" s="1"/>
  <c r="BF119" i="16"/>
  <c r="BV119" i="16" s="1"/>
  <c r="AJ12" i="19"/>
  <c r="G50" i="37"/>
  <c r="ER19" i="22"/>
  <c r="ER22" i="22" s="1"/>
  <c r="EO22" i="22"/>
  <c r="BF147" i="16"/>
  <c r="BF390" i="12"/>
  <c r="BF149" i="16" s="1"/>
  <c r="BF389" i="12"/>
  <c r="BF148" i="16" s="1"/>
  <c r="BG390" i="12"/>
  <c r="BG149" i="16" s="1"/>
  <c r="BG147" i="16"/>
  <c r="BG389" i="12"/>
  <c r="BG148" i="16" s="1"/>
  <c r="K158" i="13"/>
  <c r="K166" i="13"/>
  <c r="AX147" i="16"/>
  <c r="AX389" i="12"/>
  <c r="AX148" i="16" s="1"/>
  <c r="AX390" i="12"/>
  <c r="AX149" i="16" s="1"/>
  <c r="AC147" i="16"/>
  <c r="AC389" i="12"/>
  <c r="AC148" i="16" s="1"/>
  <c r="AC390" i="12"/>
  <c r="AC149" i="16" s="1"/>
  <c r="BM144" i="16"/>
  <c r="BI144" i="16"/>
  <c r="BP144" i="16"/>
  <c r="V390" i="12"/>
  <c r="V149" i="16" s="1"/>
  <c r="V389" i="12"/>
  <c r="V148" i="16" s="1"/>
  <c r="X15" i="37" s="1"/>
  <c r="V147" i="16"/>
  <c r="X14" i="37" s="1"/>
  <c r="AS389" i="12"/>
  <c r="AS148" i="16" s="1"/>
  <c r="AS147" i="16"/>
  <c r="AS390" i="12"/>
  <c r="AS149" i="16" s="1"/>
  <c r="AW147" i="16"/>
  <c r="AW390" i="12"/>
  <c r="AW149" i="16" s="1"/>
  <c r="AW389" i="12"/>
  <c r="AW148" i="16" s="1"/>
  <c r="AJ390" i="12"/>
  <c r="AJ149" i="16" s="1"/>
  <c r="AJ389" i="12"/>
  <c r="AJ148" i="16" s="1"/>
  <c r="AJ147" i="16"/>
  <c r="DJ22" i="22"/>
  <c r="DM19" i="22"/>
  <c r="DL19" i="22"/>
  <c r="AI147" i="16"/>
  <c r="AI390" i="12"/>
  <c r="AI149" i="16" s="1"/>
  <c r="AI389" i="12"/>
  <c r="AI148" i="16" s="1"/>
  <c r="AT389" i="12"/>
  <c r="AT148" i="16" s="1"/>
  <c r="AT147" i="16"/>
  <c r="AT390" i="12"/>
  <c r="AT149" i="16" s="1"/>
  <c r="AD109" i="38"/>
  <c r="AE109" i="38"/>
  <c r="K134" i="13"/>
  <c r="K126" i="13"/>
  <c r="AH389" i="12"/>
  <c r="AH148" i="16" s="1"/>
  <c r="AH390" i="12"/>
  <c r="AH149" i="16" s="1"/>
  <c r="AH147" i="16"/>
  <c r="G50" i="18"/>
  <c r="M107" i="34"/>
  <c r="AE389" i="12"/>
  <c r="AE148" i="16" s="1"/>
  <c r="AE390" i="12"/>
  <c r="AE149" i="16" s="1"/>
  <c r="AE147" i="16"/>
  <c r="AL390" i="12"/>
  <c r="AL149" i="16" s="1"/>
  <c r="AL147" i="16"/>
  <c r="AL389" i="12"/>
  <c r="AL148" i="16" s="1"/>
  <c r="AF389" i="12"/>
  <c r="AF148" i="16" s="1"/>
  <c r="AF390" i="12"/>
  <c r="AF149" i="16" s="1"/>
  <c r="AF147" i="16"/>
  <c r="BV144" i="16"/>
  <c r="AV120" i="16"/>
  <c r="BT120" i="16" s="1"/>
  <c r="AV119" i="16"/>
  <c r="BT119" i="16" s="1"/>
  <c r="BP116" i="16"/>
  <c r="I20" i="18"/>
  <c r="I22" i="18" s="1"/>
  <c r="M50" i="37"/>
  <c r="J50" i="37"/>
  <c r="BD147" i="16"/>
  <c r="BD390" i="12"/>
  <c r="BD149" i="16" s="1"/>
  <c r="BD389" i="12"/>
  <c r="BD148" i="16" s="1"/>
  <c r="AI119" i="16"/>
  <c r="AI120" i="16"/>
  <c r="AY390" i="12"/>
  <c r="AY149" i="16" s="1"/>
  <c r="AY389" i="12"/>
  <c r="AY148" i="16" s="1"/>
  <c r="AY147" i="16"/>
  <c r="AN147" i="16"/>
  <c r="AN389" i="12"/>
  <c r="AN148" i="16" s="1"/>
  <c r="AN390" i="12"/>
  <c r="AN149" i="16" s="1"/>
  <c r="J22" i="17"/>
  <c r="BO187" i="45" s="1"/>
  <c r="F20" i="18"/>
  <c r="BX115" i="16"/>
  <c r="BK115" i="16" s="1"/>
  <c r="AD147" i="16"/>
  <c r="AD390" i="12"/>
  <c r="AD149" i="16" s="1"/>
  <c r="AD389" i="12"/>
  <c r="AD148" i="16" s="1"/>
  <c r="AF109" i="38"/>
  <c r="BN120" i="16"/>
  <c r="AR391" i="12" l="1"/>
  <c r="AR150" i="16" s="1"/>
  <c r="AR404" i="16" s="1"/>
  <c r="BN139" i="16"/>
  <c r="CP86" i="28"/>
  <c r="AB391" i="12"/>
  <c r="AB150" i="16" s="1"/>
  <c r="AB153" i="16" s="1"/>
  <c r="G3" i="44"/>
  <c r="G4" i="44" s="1"/>
  <c r="G5" i="44" s="1"/>
  <c r="BU149" i="16"/>
  <c r="BM139" i="16"/>
  <c r="BU148" i="16"/>
  <c r="BC391" i="12"/>
  <c r="BC150" i="16" s="1"/>
  <c r="BC404" i="16" s="1"/>
  <c r="I50" i="37"/>
  <c r="N37" i="37"/>
  <c r="BM116" i="16"/>
  <c r="AO391" i="12"/>
  <c r="AO150" i="16" s="1"/>
  <c r="AO153" i="16" s="1"/>
  <c r="W155" i="16"/>
  <c r="W152" i="16"/>
  <c r="M36" i="45"/>
  <c r="AM36" i="45" s="1"/>
  <c r="AT145" i="45"/>
  <c r="AZ145" i="45" s="1"/>
  <c r="E44" i="17"/>
  <c r="AT147" i="45" s="1"/>
  <c r="AZ147" i="45" s="1"/>
  <c r="DF19" i="22"/>
  <c r="CA85" i="28" s="1"/>
  <c r="CM85" i="28" s="1"/>
  <c r="DY19" i="22"/>
  <c r="DF18" i="22"/>
  <c r="CA83" i="28" s="1"/>
  <c r="CM83" i="28" s="1"/>
  <c r="DK18" i="22"/>
  <c r="X29" i="15"/>
  <c r="DC22" i="22"/>
  <c r="AA12" i="19"/>
  <c r="N8" i="34"/>
  <c r="N107" i="34" s="1"/>
  <c r="X391" i="12"/>
  <c r="X150" i="16" s="1"/>
  <c r="X152" i="16" s="1"/>
  <c r="BX138" i="16"/>
  <c r="BK138" i="16" s="1"/>
  <c r="F37" i="18"/>
  <c r="K37" i="18" s="1"/>
  <c r="M27" i="45"/>
  <c r="AM27" i="45" s="1"/>
  <c r="DQ19" i="22"/>
  <c r="DQ22" i="22" s="1"/>
  <c r="DF20" i="22"/>
  <c r="CA82" i="28" s="1"/>
  <c r="DK20" i="22"/>
  <c r="DY20" i="22"/>
  <c r="DR19" i="22"/>
  <c r="DY18" i="22"/>
  <c r="O16" i="42"/>
  <c r="AZ404" i="16"/>
  <c r="AO12" i="19"/>
  <c r="O105" i="34"/>
  <c r="F108" i="45"/>
  <c r="J108" i="45" s="1"/>
  <c r="AF9" i="45"/>
  <c r="AF108" i="45" s="1"/>
  <c r="AJ108" i="45" s="1"/>
  <c r="AS22" i="22"/>
  <c r="G9" i="45"/>
  <c r="BV149" i="16"/>
  <c r="BR147" i="16"/>
  <c r="W404" i="16"/>
  <c r="W153" i="16"/>
  <c r="BA153" i="16"/>
  <c r="BR148" i="16"/>
  <c r="BV148" i="16"/>
  <c r="BR262" i="12"/>
  <c r="BR261" i="12"/>
  <c r="BR263" i="12"/>
  <c r="AA153" i="16"/>
  <c r="BE153" i="16"/>
  <c r="O106" i="34"/>
  <c r="BR149" i="16"/>
  <c r="AA404" i="16"/>
  <c r="V391" i="12"/>
  <c r="V150" i="16" s="1"/>
  <c r="BK107" i="16"/>
  <c r="BV147" i="16"/>
  <c r="AT391" i="12"/>
  <c r="AT150" i="16" s="1"/>
  <c r="AT153" i="16" s="1"/>
  <c r="BO147" i="16"/>
  <c r="U14" i="18" s="1"/>
  <c r="BG391" i="12"/>
  <c r="BG150" i="16" s="1"/>
  <c r="BG404" i="16" s="1"/>
  <c r="BB391" i="12"/>
  <c r="BB150" i="16" s="1"/>
  <c r="AD391" i="12"/>
  <c r="AD150" i="16" s="1"/>
  <c r="BS149" i="16"/>
  <c r="BN149" i="16"/>
  <c r="U391" i="12"/>
  <c r="U150" i="16" s="1"/>
  <c r="U152" i="16" s="1"/>
  <c r="BP148" i="16"/>
  <c r="V15" i="18" s="1"/>
  <c r="BS147" i="16"/>
  <c r="AG391" i="12"/>
  <c r="AG150" i="16" s="1"/>
  <c r="AG404" i="16" s="1"/>
  <c r="BQ147" i="16"/>
  <c r="W14" i="18" s="1"/>
  <c r="BS148" i="16"/>
  <c r="BD391" i="12"/>
  <c r="BD150" i="16" s="1"/>
  <c r="BD153" i="16" s="1"/>
  <c r="BQ148" i="16"/>
  <c r="W15" i="18" s="1"/>
  <c r="BO149" i="16"/>
  <c r="AP391" i="12"/>
  <c r="AP150" i="16" s="1"/>
  <c r="AP153" i="16" s="1"/>
  <c r="BO148" i="16"/>
  <c r="U15" i="18" s="1"/>
  <c r="AF391" i="12"/>
  <c r="AF150" i="16" s="1"/>
  <c r="AF153" i="16" s="1"/>
  <c r="AH391" i="12"/>
  <c r="AH150" i="16" s="1"/>
  <c r="AH153" i="16" s="1"/>
  <c r="Y391" i="12"/>
  <c r="Y150" i="16" s="1"/>
  <c r="AL391" i="12"/>
  <c r="AL150" i="16" s="1"/>
  <c r="AL404" i="16" s="1"/>
  <c r="AM391" i="12"/>
  <c r="AM150" i="16" s="1"/>
  <c r="AM404" i="16" s="1"/>
  <c r="BP147" i="16"/>
  <c r="V14" i="18" s="1"/>
  <c r="AI391" i="12"/>
  <c r="AI150" i="16" s="1"/>
  <c r="AI404" i="16" s="1"/>
  <c r="AW391" i="12"/>
  <c r="AW150" i="16" s="1"/>
  <c r="AW153" i="16" s="1"/>
  <c r="AX391" i="12"/>
  <c r="AX150" i="16" s="1"/>
  <c r="AX153" i="16" s="1"/>
  <c r="Z391" i="12"/>
  <c r="Z150" i="16" s="1"/>
  <c r="AK391" i="12"/>
  <c r="AK150" i="16" s="1"/>
  <c r="AK153" i="16" s="1"/>
  <c r="AV391" i="12"/>
  <c r="AV150" i="16" s="1"/>
  <c r="AV404" i="16" s="1"/>
  <c r="T391" i="12"/>
  <c r="T150" i="16" s="1"/>
  <c r="T404" i="16" s="1"/>
  <c r="AN391" i="12"/>
  <c r="AN150" i="16" s="1"/>
  <c r="AN404" i="16" s="1"/>
  <c r="BP149" i="16"/>
  <c r="AC391" i="12"/>
  <c r="AC150" i="16" s="1"/>
  <c r="BF391" i="12"/>
  <c r="BF150" i="16" s="1"/>
  <c r="BF153" i="16" s="1"/>
  <c r="BT148" i="16"/>
  <c r="AS391" i="12"/>
  <c r="AS150" i="16" s="1"/>
  <c r="AS404" i="16" s="1"/>
  <c r="BT149" i="16"/>
  <c r="BN147" i="16"/>
  <c r="T14" i="18" s="1"/>
  <c r="BT147" i="16"/>
  <c r="AJ391" i="12"/>
  <c r="AJ150" i="16" s="1"/>
  <c r="AJ153" i="16" s="1"/>
  <c r="AQ391" i="12"/>
  <c r="AQ150" i="16" s="1"/>
  <c r="AQ404" i="16" s="1"/>
  <c r="AE391" i="12"/>
  <c r="AE150" i="16" s="1"/>
  <c r="AY391" i="12"/>
  <c r="AY150" i="16" s="1"/>
  <c r="AY404" i="16" s="1"/>
  <c r="BQ149" i="16"/>
  <c r="AU391" i="12"/>
  <c r="AU150" i="16" s="1"/>
  <c r="AU153" i="16" s="1"/>
  <c r="BN148" i="16"/>
  <c r="T15" i="18" s="1"/>
  <c r="AR134" i="13"/>
  <c r="BE134" i="13"/>
  <c r="BB134" i="13"/>
  <c r="AP134" i="13"/>
  <c r="AU134" i="13"/>
  <c r="AO134" i="13"/>
  <c r="AD134" i="13"/>
  <c r="AQ134" i="13"/>
  <c r="W134" i="13"/>
  <c r="T134" i="13"/>
  <c r="AG134" i="13"/>
  <c r="X134" i="13"/>
  <c r="U134" i="13"/>
  <c r="AV134" i="13"/>
  <c r="AS134" i="13"/>
  <c r="BF134" i="13"/>
  <c r="AE134" i="13"/>
  <c r="AW134" i="13"/>
  <c r="AT134" i="13"/>
  <c r="AH134" i="13"/>
  <c r="AM134" i="13"/>
  <c r="AJ134" i="13"/>
  <c r="AB134" i="13"/>
  <c r="AI134" i="13"/>
  <c r="AN134" i="13"/>
  <c r="BG134" i="13"/>
  <c r="Y134" i="13"/>
  <c r="V134" i="13"/>
  <c r="AL134" i="13"/>
  <c r="BC134" i="13"/>
  <c r="AZ134" i="13"/>
  <c r="Z134" i="13"/>
  <c r="AK134" i="13"/>
  <c r="AX134" i="13"/>
  <c r="AY134" i="13"/>
  <c r="AA134" i="13"/>
  <c r="AF134" i="13"/>
  <c r="AC134" i="13"/>
  <c r="BD134" i="13"/>
  <c r="BA134" i="13"/>
  <c r="AQ125" i="13"/>
  <c r="W125" i="13"/>
  <c r="AZ125" i="13"/>
  <c r="AJ125" i="13"/>
  <c r="AR125" i="13"/>
  <c r="AB125" i="13"/>
  <c r="Y125" i="13"/>
  <c r="BE125" i="13"/>
  <c r="AO125" i="13"/>
  <c r="BB125" i="13"/>
  <c r="AC125" i="13"/>
  <c r="T125" i="13"/>
  <c r="AS125" i="13"/>
  <c r="X125" i="13"/>
  <c r="AA125" i="13"/>
  <c r="Z125" i="13"/>
  <c r="AG125" i="13"/>
  <c r="BF125" i="13"/>
  <c r="AY125" i="13"/>
  <c r="AL125" i="13"/>
  <c r="AX125" i="13"/>
  <c r="AT125" i="13"/>
  <c r="BD125" i="13"/>
  <c r="AV125" i="13"/>
  <c r="AI125" i="13"/>
  <c r="AU125" i="13"/>
  <c r="AK125" i="13"/>
  <c r="BA125" i="13"/>
  <c r="BC125" i="13"/>
  <c r="U125" i="13"/>
  <c r="AE125" i="13"/>
  <c r="AW125" i="13"/>
  <c r="AN125" i="13"/>
  <c r="V125" i="13"/>
  <c r="AD125" i="13"/>
  <c r="AF125" i="13"/>
  <c r="AP125" i="13"/>
  <c r="BG125" i="13"/>
  <c r="AM125" i="13"/>
  <c r="AH125" i="13"/>
  <c r="BF133" i="13"/>
  <c r="W133" i="13"/>
  <c r="AQ133" i="13"/>
  <c r="AH133" i="13"/>
  <c r="AD133" i="13"/>
  <c r="AJ133" i="13"/>
  <c r="BD133" i="13"/>
  <c r="AN133" i="13"/>
  <c r="AZ133" i="13"/>
  <c r="AL133" i="13"/>
  <c r="AS133" i="13"/>
  <c r="AW133" i="13"/>
  <c r="AA133" i="13"/>
  <c r="U133" i="13"/>
  <c r="AO133" i="13"/>
  <c r="Z133" i="13"/>
  <c r="BB133" i="13"/>
  <c r="T133" i="13"/>
  <c r="AX133" i="13"/>
  <c r="AF133" i="13"/>
  <c r="AP133" i="13"/>
  <c r="BC133" i="13"/>
  <c r="AT133" i="13"/>
  <c r="AM133" i="13"/>
  <c r="BA133" i="13"/>
  <c r="AE133" i="13"/>
  <c r="Y133" i="13"/>
  <c r="BE133" i="13"/>
  <c r="BG133" i="13"/>
  <c r="AB133" i="13"/>
  <c r="X133" i="13"/>
  <c r="V133" i="13"/>
  <c r="AI133" i="13"/>
  <c r="AR133" i="13"/>
  <c r="AU133" i="13"/>
  <c r="AC133" i="13"/>
  <c r="AK133" i="13"/>
  <c r="AY133" i="13"/>
  <c r="AG133" i="13"/>
  <c r="AV133" i="13"/>
  <c r="AI132" i="13"/>
  <c r="BG132" i="13"/>
  <c r="AS132" i="13"/>
  <c r="AB132" i="13"/>
  <c r="BE132" i="13"/>
  <c r="AE132" i="13"/>
  <c r="W132" i="13"/>
  <c r="Y132" i="13"/>
  <c r="AQ132" i="13"/>
  <c r="AT132" i="13"/>
  <c r="BB132" i="13"/>
  <c r="V132" i="13"/>
  <c r="AU132" i="13"/>
  <c r="AH132" i="13"/>
  <c r="BA132" i="13"/>
  <c r="Z132" i="13"/>
  <c r="T132" i="13"/>
  <c r="AW132" i="13"/>
  <c r="AF132" i="13"/>
  <c r="AL132" i="13"/>
  <c r="AA132" i="13"/>
  <c r="BD132" i="13"/>
  <c r="AK132" i="13"/>
  <c r="AV132" i="13"/>
  <c r="AO132" i="13"/>
  <c r="AD132" i="13"/>
  <c r="AG132" i="13"/>
  <c r="AP132" i="13"/>
  <c r="AN132" i="13"/>
  <c r="BC132" i="13"/>
  <c r="AZ132" i="13"/>
  <c r="AX132" i="13"/>
  <c r="AR132" i="13"/>
  <c r="AM132" i="13"/>
  <c r="AJ132" i="13"/>
  <c r="AC132" i="13"/>
  <c r="X132" i="13"/>
  <c r="U132" i="13"/>
  <c r="BF132" i="13"/>
  <c r="AY132" i="13"/>
  <c r="BI147" i="16"/>
  <c r="V14" i="37"/>
  <c r="BM147" i="16"/>
  <c r="BF124" i="13"/>
  <c r="V124" i="13"/>
  <c r="AM124" i="13"/>
  <c r="X124" i="13"/>
  <c r="BE124" i="13"/>
  <c r="AK124" i="13"/>
  <c r="BA124" i="13"/>
  <c r="Y124" i="13"/>
  <c r="AS124" i="13"/>
  <c r="AZ124" i="13"/>
  <c r="AF124" i="13"/>
  <c r="AL124" i="13"/>
  <c r="BB124" i="13"/>
  <c r="BD124" i="13"/>
  <c r="AG124" i="13"/>
  <c r="AJ124" i="13"/>
  <c r="AW124" i="13"/>
  <c r="AD124" i="13"/>
  <c r="AE124" i="13"/>
  <c r="AA124" i="13"/>
  <c r="AX124" i="13"/>
  <c r="U124" i="13"/>
  <c r="AO124" i="13"/>
  <c r="AH124" i="13"/>
  <c r="AC124" i="13"/>
  <c r="AV124" i="13"/>
  <c r="AR124" i="13"/>
  <c r="T124" i="13"/>
  <c r="AN124" i="13"/>
  <c r="Z124" i="13"/>
  <c r="AB124" i="13"/>
  <c r="AU124" i="13"/>
  <c r="AY124" i="13"/>
  <c r="W124" i="13"/>
  <c r="AP124" i="13"/>
  <c r="BC124" i="13"/>
  <c r="AI124" i="13"/>
  <c r="BG124" i="13"/>
  <c r="AT124" i="13"/>
  <c r="AQ124" i="13"/>
  <c r="BI148" i="16"/>
  <c r="BM148" i="16"/>
  <c r="V15" i="37"/>
  <c r="AD15" i="37" s="1"/>
  <c r="AG164" i="13"/>
  <c r="AI164" i="13"/>
  <c r="AF164" i="13"/>
  <c r="BB164" i="13"/>
  <c r="AB164" i="13"/>
  <c r="BF164" i="13"/>
  <c r="AE164" i="13"/>
  <c r="AX164" i="13"/>
  <c r="V164" i="13"/>
  <c r="BA164" i="13"/>
  <c r="BG164" i="13"/>
  <c r="AH164" i="13"/>
  <c r="T164" i="13"/>
  <c r="BD164" i="13"/>
  <c r="AK164" i="13"/>
  <c r="AA164" i="13"/>
  <c r="Z164" i="13"/>
  <c r="AP164" i="13"/>
  <c r="AU164" i="13"/>
  <c r="AV164" i="13"/>
  <c r="Y164" i="13"/>
  <c r="U164" i="13"/>
  <c r="AN164" i="13"/>
  <c r="AS164" i="13"/>
  <c r="AY164" i="13"/>
  <c r="AZ164" i="13"/>
  <c r="AL164" i="13"/>
  <c r="AC164" i="13"/>
  <c r="BC164" i="13"/>
  <c r="AW164" i="13"/>
  <c r="AR164" i="13"/>
  <c r="W164" i="13"/>
  <c r="AQ164" i="13"/>
  <c r="AJ164" i="13"/>
  <c r="X164" i="13"/>
  <c r="AM164" i="13"/>
  <c r="AT164" i="13"/>
  <c r="AO164" i="13"/>
  <c r="BE164" i="13"/>
  <c r="AD164" i="13"/>
  <c r="BX144" i="16"/>
  <c r="BG166" i="13"/>
  <c r="AM166" i="13"/>
  <c r="AR166" i="13"/>
  <c r="AW166" i="13"/>
  <c r="BB166" i="13"/>
  <c r="T166" i="13"/>
  <c r="Y166" i="13"/>
  <c r="AD166" i="13"/>
  <c r="AI166" i="13"/>
  <c r="AN166" i="13"/>
  <c r="AS166" i="13"/>
  <c r="AX166" i="13"/>
  <c r="BC166" i="13"/>
  <c r="U166" i="13"/>
  <c r="Z166" i="13"/>
  <c r="AE166" i="13"/>
  <c r="AJ166" i="13"/>
  <c r="AO166" i="13"/>
  <c r="AT166" i="13"/>
  <c r="AY166" i="13"/>
  <c r="AK166" i="13"/>
  <c r="BD166" i="13"/>
  <c r="V166" i="13"/>
  <c r="AA166" i="13"/>
  <c r="AF166" i="13"/>
  <c r="W166" i="13"/>
  <c r="AP166" i="13"/>
  <c r="AU166" i="13"/>
  <c r="AZ166" i="13"/>
  <c r="BE166" i="13"/>
  <c r="AV166" i="13"/>
  <c r="AB166" i="13"/>
  <c r="AG166" i="13"/>
  <c r="AL166" i="13"/>
  <c r="AQ166" i="13"/>
  <c r="AH166" i="13"/>
  <c r="BA166" i="13"/>
  <c r="BF166" i="13"/>
  <c r="X166" i="13"/>
  <c r="AC166" i="13"/>
  <c r="BM149" i="16"/>
  <c r="BI149" i="16"/>
  <c r="AH156" i="13"/>
  <c r="AA156" i="13"/>
  <c r="Y156" i="13"/>
  <c r="AQ156" i="13"/>
  <c r="BG156" i="13"/>
  <c r="AX156" i="13"/>
  <c r="AZ156" i="13"/>
  <c r="AI156" i="13"/>
  <c r="AV156" i="13"/>
  <c r="AF156" i="13"/>
  <c r="AS156" i="13"/>
  <c r="V156" i="13"/>
  <c r="AJ156" i="13"/>
  <c r="AY156" i="13"/>
  <c r="Z156" i="13"/>
  <c r="AW156" i="13"/>
  <c r="AM156" i="13"/>
  <c r="AD156" i="13"/>
  <c r="BA156" i="13"/>
  <c r="BC156" i="13"/>
  <c r="BD156" i="13"/>
  <c r="AU156" i="13"/>
  <c r="AL156" i="13"/>
  <c r="AT156" i="13"/>
  <c r="AO156" i="13"/>
  <c r="AP156" i="13"/>
  <c r="AG156" i="13"/>
  <c r="AC156" i="13"/>
  <c r="AR156" i="13"/>
  <c r="AN156" i="13"/>
  <c r="AE156" i="13"/>
  <c r="X156" i="13"/>
  <c r="BB156" i="13"/>
  <c r="T156" i="13"/>
  <c r="BE156" i="13"/>
  <c r="AK156" i="13"/>
  <c r="BF156" i="13"/>
  <c r="U156" i="13"/>
  <c r="AB156" i="13"/>
  <c r="W156" i="13"/>
  <c r="BC158" i="13"/>
  <c r="AZ158" i="13"/>
  <c r="AB158" i="13"/>
  <c r="BB158" i="13"/>
  <c r="AY158" i="13"/>
  <c r="AG158" i="13"/>
  <c r="V158" i="13"/>
  <c r="AA158" i="13"/>
  <c r="AR158" i="13"/>
  <c r="AE158" i="13"/>
  <c r="AX158" i="13"/>
  <c r="AN158" i="13"/>
  <c r="AK158" i="13"/>
  <c r="AH158" i="13"/>
  <c r="AM158" i="13"/>
  <c r="BG158" i="13"/>
  <c r="BE158" i="13"/>
  <c r="AT158" i="13"/>
  <c r="AQ158" i="13"/>
  <c r="AD158" i="13"/>
  <c r="AU158" i="13"/>
  <c r="AJ158" i="13"/>
  <c r="BD158" i="13"/>
  <c r="BA158" i="13"/>
  <c r="AF158" i="13"/>
  <c r="X158" i="13"/>
  <c r="AC158" i="13"/>
  <c r="Z158" i="13"/>
  <c r="W158" i="13"/>
  <c r="AW158" i="13"/>
  <c r="AO158" i="13"/>
  <c r="AL158" i="13"/>
  <c r="AI158" i="13"/>
  <c r="Y158" i="13"/>
  <c r="T158" i="13"/>
  <c r="BF158" i="13"/>
  <c r="AV158" i="13"/>
  <c r="AS158" i="13"/>
  <c r="AP158" i="13"/>
  <c r="U158" i="13"/>
  <c r="ES19" i="22"/>
  <c r="ES22" i="22" s="1"/>
  <c r="ET19" i="22"/>
  <c r="ET22" i="22" s="1"/>
  <c r="AH120" i="16"/>
  <c r="BP120" i="16" s="1"/>
  <c r="AH119" i="16"/>
  <c r="BP119" i="16" s="1"/>
  <c r="AY165" i="13"/>
  <c r="AB165" i="13"/>
  <c r="AG165" i="13"/>
  <c r="AE165" i="13"/>
  <c r="Z165" i="13"/>
  <c r="W165" i="13"/>
  <c r="AM165" i="13"/>
  <c r="BF165" i="13"/>
  <c r="AK165" i="13"/>
  <c r="AQ165" i="13"/>
  <c r="AF165" i="13"/>
  <c r="AV165" i="13"/>
  <c r="V165" i="13"/>
  <c r="AH165" i="13"/>
  <c r="T165" i="13"/>
  <c r="AC165" i="13"/>
  <c r="AU165" i="13"/>
  <c r="X165" i="13"/>
  <c r="AR165" i="13"/>
  <c r="BB165" i="13"/>
  <c r="AI165" i="13"/>
  <c r="BA165" i="13"/>
  <c r="AD165" i="13"/>
  <c r="Y165" i="13"/>
  <c r="AJ165" i="13"/>
  <c r="AL165" i="13"/>
  <c r="BC165" i="13"/>
  <c r="AW165" i="13"/>
  <c r="AZ165" i="13"/>
  <c r="AA165" i="13"/>
  <c r="AX165" i="13"/>
  <c r="BE165" i="13"/>
  <c r="BD165" i="13"/>
  <c r="AN165" i="13"/>
  <c r="AP165" i="13"/>
  <c r="AO165" i="13"/>
  <c r="BG165" i="13"/>
  <c r="AS165" i="13"/>
  <c r="U165" i="13"/>
  <c r="AT165" i="13"/>
  <c r="F21" i="37"/>
  <c r="T120" i="16"/>
  <c r="BM120" i="16" s="1"/>
  <c r="T119" i="16"/>
  <c r="BM119" i="16" s="1"/>
  <c r="BM118" i="16"/>
  <c r="BI118" i="16"/>
  <c r="DW22" i="22"/>
  <c r="S49" i="23"/>
  <c r="E25" i="17"/>
  <c r="U28" i="39"/>
  <c r="Q28" i="39"/>
  <c r="DU22" i="22"/>
  <c r="DL22" i="22"/>
  <c r="DM22" i="22"/>
  <c r="Y157" i="13"/>
  <c r="AS157" i="13"/>
  <c r="T157" i="13"/>
  <c r="AC157" i="13"/>
  <c r="AM157" i="13"/>
  <c r="AN157" i="13"/>
  <c r="AO157" i="13"/>
  <c r="BG157" i="13"/>
  <c r="AP157" i="13"/>
  <c r="X157" i="13"/>
  <c r="BF157" i="13"/>
  <c r="AH157" i="13"/>
  <c r="AF157" i="13"/>
  <c r="AK157" i="13"/>
  <c r="AD157" i="13"/>
  <c r="AE157" i="13"/>
  <c r="AT157" i="13"/>
  <c r="W157" i="13"/>
  <c r="BD157" i="13"/>
  <c r="AR157" i="13"/>
  <c r="AZ157" i="13"/>
  <c r="AV157" i="13"/>
  <c r="AL157" i="13"/>
  <c r="AG157" i="13"/>
  <c r="U157" i="13"/>
  <c r="BE157" i="13"/>
  <c r="AA157" i="13"/>
  <c r="AX157" i="13"/>
  <c r="V157" i="13"/>
  <c r="AB157" i="13"/>
  <c r="BB157" i="13"/>
  <c r="AW157" i="13"/>
  <c r="AY157" i="13"/>
  <c r="AQ157" i="13"/>
  <c r="BC157" i="13"/>
  <c r="Z157" i="13"/>
  <c r="AU157" i="13"/>
  <c r="AJ157" i="13"/>
  <c r="BA157" i="13"/>
  <c r="AI157" i="13"/>
  <c r="F22" i="18"/>
  <c r="E20" i="18"/>
  <c r="K20" i="18"/>
  <c r="Z126" i="13"/>
  <c r="AE126" i="13"/>
  <c r="AB126" i="13"/>
  <c r="BC126" i="13"/>
  <c r="AZ126" i="13"/>
  <c r="AT126" i="13"/>
  <c r="AY126" i="13"/>
  <c r="BD126" i="13"/>
  <c r="BA126" i="13"/>
  <c r="AO126" i="13"/>
  <c r="AF126" i="13"/>
  <c r="AC126" i="13"/>
  <c r="AP126" i="13"/>
  <c r="V126" i="13"/>
  <c r="AA126" i="13"/>
  <c r="BE126" i="13"/>
  <c r="W126" i="13"/>
  <c r="T126" i="13"/>
  <c r="AU126" i="13"/>
  <c r="AR126" i="13"/>
  <c r="AQ126" i="13"/>
  <c r="AV126" i="13"/>
  <c r="AS126" i="13"/>
  <c r="AG126" i="13"/>
  <c r="AL126" i="13"/>
  <c r="U126" i="13"/>
  <c r="AH126" i="13"/>
  <c r="AM126" i="13"/>
  <c r="BF126" i="13"/>
  <c r="X126" i="13"/>
  <c r="BB126" i="13"/>
  <c r="BG126" i="13"/>
  <c r="Y126" i="13"/>
  <c r="AJ126" i="13"/>
  <c r="AW126" i="13"/>
  <c r="AN126" i="13"/>
  <c r="AK126" i="13"/>
  <c r="AX126" i="13"/>
  <c r="AD126" i="13"/>
  <c r="AI126" i="13"/>
  <c r="AR153" i="16" l="1"/>
  <c r="AE153" i="16"/>
  <c r="AE155" i="16"/>
  <c r="AE152" i="16"/>
  <c r="CM82" i="28"/>
  <c r="CA86" i="28"/>
  <c r="CM86" i="28" s="1"/>
  <c r="AD155" i="16"/>
  <c r="AD152" i="16"/>
  <c r="AT128" i="45"/>
  <c r="AZ128" i="45" s="1"/>
  <c r="S30" i="40"/>
  <c r="AB404" i="16"/>
  <c r="C5" i="44"/>
  <c r="C6" i="44" s="1"/>
  <c r="U153" i="16"/>
  <c r="U155" i="16"/>
  <c r="V153" i="16"/>
  <c r="V155" i="16"/>
  <c r="V152" i="16"/>
  <c r="X153" i="16"/>
  <c r="X155" i="16"/>
  <c r="Y404" i="16"/>
  <c r="Y155" i="16"/>
  <c r="Y152" i="16"/>
  <c r="Z153" i="16"/>
  <c r="Z155" i="16"/>
  <c r="Z152" i="16"/>
  <c r="AQ153" i="16"/>
  <c r="BU150" i="16"/>
  <c r="BC153" i="16"/>
  <c r="AP404" i="16"/>
  <c r="DS19" i="22"/>
  <c r="T153" i="16"/>
  <c r="AX404" i="16"/>
  <c r="AM153" i="16"/>
  <c r="AO404" i="16"/>
  <c r="DK22" i="22"/>
  <c r="AT404" i="16"/>
  <c r="X404" i="16"/>
  <c r="M99" i="45"/>
  <c r="AM99" i="45" s="1"/>
  <c r="U404" i="16"/>
  <c r="M12" i="45"/>
  <c r="AM12" i="45" s="1"/>
  <c r="M63" i="45"/>
  <c r="AM63" i="45" s="1"/>
  <c r="M47" i="45"/>
  <c r="AM47" i="45" s="1"/>
  <c r="M52" i="45"/>
  <c r="AM52" i="45" s="1"/>
  <c r="M90" i="45"/>
  <c r="AM90" i="45" s="1"/>
  <c r="M11" i="45"/>
  <c r="AM11" i="45" s="1"/>
  <c r="M40" i="45"/>
  <c r="AM40" i="45" s="1"/>
  <c r="M72" i="45"/>
  <c r="AM72" i="45" s="1"/>
  <c r="M73" i="45"/>
  <c r="AM73" i="45" s="1"/>
  <c r="M67" i="45"/>
  <c r="AM67" i="45" s="1"/>
  <c r="M29" i="45"/>
  <c r="AM29" i="45" s="1"/>
  <c r="M48" i="45"/>
  <c r="AM48" i="45" s="1"/>
  <c r="M89" i="45"/>
  <c r="AM89" i="45" s="1"/>
  <c r="M91" i="45"/>
  <c r="AM91" i="45" s="1"/>
  <c r="M77" i="45"/>
  <c r="AM77" i="45" s="1"/>
  <c r="M37" i="45"/>
  <c r="AM37" i="45" s="1"/>
  <c r="M13" i="45"/>
  <c r="AM13" i="45" s="1"/>
  <c r="M21" i="45"/>
  <c r="AM21" i="45" s="1"/>
  <c r="M58" i="45"/>
  <c r="AM58" i="45" s="1"/>
  <c r="M49" i="45"/>
  <c r="AM49" i="45" s="1"/>
  <c r="M68" i="45"/>
  <c r="AM68" i="45" s="1"/>
  <c r="M14" i="45"/>
  <c r="AM14" i="45" s="1"/>
  <c r="M75" i="45"/>
  <c r="AM75" i="45" s="1"/>
  <c r="M65" i="45"/>
  <c r="AM65" i="45" s="1"/>
  <c r="M46" i="45"/>
  <c r="AM46" i="45" s="1"/>
  <c r="M80" i="45"/>
  <c r="AM80" i="45" s="1"/>
  <c r="M100" i="45"/>
  <c r="AM100" i="45" s="1"/>
  <c r="M22" i="45"/>
  <c r="AM22" i="45" s="1"/>
  <c r="M105" i="45"/>
  <c r="AM105" i="45" s="1"/>
  <c r="M45" i="45"/>
  <c r="AM45" i="45" s="1"/>
  <c r="M62" i="45"/>
  <c r="AM62" i="45" s="1"/>
  <c r="M85" i="45"/>
  <c r="AM85" i="45" s="1"/>
  <c r="M19" i="45"/>
  <c r="AM19" i="45" s="1"/>
  <c r="M23" i="45"/>
  <c r="AM23" i="45" s="1"/>
  <c r="DH18" i="22"/>
  <c r="M8" i="45"/>
  <c r="DF22" i="22"/>
  <c r="M74" i="45"/>
  <c r="AM74" i="45" s="1"/>
  <c r="M53" i="45"/>
  <c r="AM53" i="45" s="1"/>
  <c r="M60" i="45"/>
  <c r="AM60" i="45" s="1"/>
  <c r="M59" i="45"/>
  <c r="AM59" i="45" s="1"/>
  <c r="M33" i="45"/>
  <c r="AM33" i="45" s="1"/>
  <c r="M69" i="45"/>
  <c r="AM69" i="45" s="1"/>
  <c r="AU404" i="16"/>
  <c r="M94" i="45"/>
  <c r="AM94" i="45" s="1"/>
  <c r="M44" i="45"/>
  <c r="AM44" i="45" s="1"/>
  <c r="M57" i="45"/>
  <c r="AM57" i="45" s="1"/>
  <c r="M76" i="45"/>
  <c r="AM76" i="45" s="1"/>
  <c r="DH20" i="22"/>
  <c r="AF10" i="19" s="1"/>
  <c r="AP10" i="19" s="1"/>
  <c r="M10" i="45"/>
  <c r="AM10" i="45" s="1"/>
  <c r="M84" i="45"/>
  <c r="AM84" i="45" s="1"/>
  <c r="M71" i="45"/>
  <c r="AM71" i="45" s="1"/>
  <c r="M16" i="45"/>
  <c r="AM16" i="45" s="1"/>
  <c r="M81" i="45"/>
  <c r="AM81" i="45" s="1"/>
  <c r="M41" i="45"/>
  <c r="AM41" i="45" s="1"/>
  <c r="M51" i="45"/>
  <c r="AM51" i="45" s="1"/>
  <c r="M101" i="45"/>
  <c r="AM101" i="45" s="1"/>
  <c r="M66" i="45"/>
  <c r="AM66" i="45" s="1"/>
  <c r="AV153" i="16"/>
  <c r="M25" i="45"/>
  <c r="AM25" i="45" s="1"/>
  <c r="M103" i="45"/>
  <c r="AM103" i="45" s="1"/>
  <c r="M39" i="45"/>
  <c r="AM39" i="45" s="1"/>
  <c r="M17" i="45"/>
  <c r="AM17" i="45" s="1"/>
  <c r="M54" i="45"/>
  <c r="AM54" i="45" s="1"/>
  <c r="M64" i="45"/>
  <c r="AM64" i="45" s="1"/>
  <c r="M18" i="45"/>
  <c r="AM18" i="45" s="1"/>
  <c r="M87" i="45"/>
  <c r="AM87" i="45" s="1"/>
  <c r="M32" i="45"/>
  <c r="AM32" i="45" s="1"/>
  <c r="M104" i="45"/>
  <c r="AM104" i="45" s="1"/>
  <c r="M56" i="45"/>
  <c r="AM56" i="45" s="1"/>
  <c r="M30" i="45"/>
  <c r="AM30" i="45" s="1"/>
  <c r="M50" i="45"/>
  <c r="AM50" i="45" s="1"/>
  <c r="M43" i="45"/>
  <c r="AM43" i="45" s="1"/>
  <c r="M28" i="45"/>
  <c r="AM28" i="45" s="1"/>
  <c r="M79" i="45"/>
  <c r="AM79" i="45" s="1"/>
  <c r="M97" i="45"/>
  <c r="AM97" i="45" s="1"/>
  <c r="M55" i="45"/>
  <c r="AM55" i="45" s="1"/>
  <c r="M82" i="45"/>
  <c r="AM82" i="45" s="1"/>
  <c r="M96" i="45"/>
  <c r="AM96" i="45" s="1"/>
  <c r="M83" i="45"/>
  <c r="AM83" i="45" s="1"/>
  <c r="M102" i="45"/>
  <c r="AM102" i="45" s="1"/>
  <c r="M107" i="45"/>
  <c r="AM107" i="45" s="1"/>
  <c r="M88" i="45"/>
  <c r="AM88" i="45" s="1"/>
  <c r="M15" i="45"/>
  <c r="AM15" i="45" s="1"/>
  <c r="M38" i="45"/>
  <c r="AM38" i="45" s="1"/>
  <c r="M35" i="45"/>
  <c r="AM35" i="45" s="1"/>
  <c r="M61" i="45"/>
  <c r="AM61" i="45" s="1"/>
  <c r="M34" i="45"/>
  <c r="AM34" i="45" s="1"/>
  <c r="M70" i="45"/>
  <c r="AM70" i="45" s="1"/>
  <c r="M31" i="45"/>
  <c r="AM31" i="45" s="1"/>
  <c r="M93" i="45"/>
  <c r="AM93" i="45" s="1"/>
  <c r="M92" i="45"/>
  <c r="AM92" i="45" s="1"/>
  <c r="M78" i="45"/>
  <c r="AM78" i="45" s="1"/>
  <c r="M42" i="45"/>
  <c r="AM42" i="45" s="1"/>
  <c r="M86" i="45"/>
  <c r="AM86" i="45" s="1"/>
  <c r="M95" i="45"/>
  <c r="AM95" i="45" s="1"/>
  <c r="M24" i="45"/>
  <c r="AM24" i="45" s="1"/>
  <c r="M20" i="45"/>
  <c r="AM20" i="45" s="1"/>
  <c r="M106" i="45"/>
  <c r="AM106" i="45" s="1"/>
  <c r="DH19" i="22"/>
  <c r="AF9" i="19" s="1"/>
  <c r="AP9" i="19" s="1"/>
  <c r="M9" i="45"/>
  <c r="AM9" i="45" s="1"/>
  <c r="M98" i="45"/>
  <c r="AM98" i="45" s="1"/>
  <c r="M26" i="45"/>
  <c r="AM26" i="45" s="1"/>
  <c r="Q107" i="38"/>
  <c r="Y153" i="16"/>
  <c r="G108" i="45"/>
  <c r="AG9" i="45"/>
  <c r="AG108" i="45" s="1"/>
  <c r="AN153" i="16"/>
  <c r="AW404" i="16"/>
  <c r="F105" i="34"/>
  <c r="F48" i="34"/>
  <c r="AI153" i="16"/>
  <c r="AF404" i="16"/>
  <c r="AG153" i="16"/>
  <c r="AK404" i="16"/>
  <c r="AS153" i="16"/>
  <c r="AD404" i="16"/>
  <c r="AE404" i="16"/>
  <c r="C9" i="44"/>
  <c r="C8" i="44"/>
  <c r="BG153" i="16"/>
  <c r="AJ404" i="16"/>
  <c r="BR150" i="16"/>
  <c r="AH404" i="16"/>
  <c r="BB404" i="16"/>
  <c r="BB153" i="16"/>
  <c r="AR151" i="16"/>
  <c r="BP150" i="16"/>
  <c r="AL151" i="16"/>
  <c r="AD153" i="16"/>
  <c r="BF404" i="16"/>
  <c r="BM150" i="16"/>
  <c r="AK151" i="16"/>
  <c r="BD151" i="16"/>
  <c r="AC404" i="16"/>
  <c r="AC153" i="16"/>
  <c r="Y151" i="16"/>
  <c r="V404" i="16"/>
  <c r="AI151" i="16"/>
  <c r="Z404" i="16"/>
  <c r="AD151" i="16"/>
  <c r="Z151" i="16"/>
  <c r="BB151" i="16"/>
  <c r="AG151" i="16"/>
  <c r="AY151" i="16"/>
  <c r="BA151" i="16"/>
  <c r="BV150" i="16"/>
  <c r="BQ150" i="16"/>
  <c r="AQ151" i="16"/>
  <c r="AA151" i="16"/>
  <c r="AM151" i="16"/>
  <c r="AE151" i="16"/>
  <c r="W151" i="16"/>
  <c r="BT150" i="16"/>
  <c r="BD404" i="16"/>
  <c r="BX149" i="16"/>
  <c r="AL153" i="16"/>
  <c r="AB151" i="16"/>
  <c r="BE151" i="16"/>
  <c r="AV151" i="16"/>
  <c r="AO151" i="16"/>
  <c r="AJ151" i="16"/>
  <c r="AN151" i="16"/>
  <c r="AX151" i="16"/>
  <c r="V151" i="16"/>
  <c r="AS151" i="16"/>
  <c r="AY153" i="16"/>
  <c r="BF151" i="16"/>
  <c r="U151" i="16"/>
  <c r="T151" i="16"/>
  <c r="BC151" i="16"/>
  <c r="AW151" i="16"/>
  <c r="AP151" i="16"/>
  <c r="AT151" i="16"/>
  <c r="BI150" i="16"/>
  <c r="U30" i="39" s="1"/>
  <c r="AF151" i="16"/>
  <c r="AC151" i="16"/>
  <c r="AH151" i="16"/>
  <c r="BG151" i="16"/>
  <c r="X151" i="16"/>
  <c r="AZ151" i="16"/>
  <c r="AU151" i="16"/>
  <c r="BO150" i="16"/>
  <c r="U29" i="39"/>
  <c r="T29" i="39" s="1"/>
  <c r="BS150" i="16"/>
  <c r="BN150" i="16"/>
  <c r="EU19" i="22"/>
  <c r="U199" i="13"/>
  <c r="AN199" i="13"/>
  <c r="AU199" i="13"/>
  <c r="AY199" i="13"/>
  <c r="AX199" i="13"/>
  <c r="AO200" i="13"/>
  <c r="AW200" i="13"/>
  <c r="U200" i="13"/>
  <c r="BD200" i="13"/>
  <c r="BF200" i="13"/>
  <c r="AP191" i="13"/>
  <c r="AR191" i="13"/>
  <c r="AE191" i="13"/>
  <c r="AF191" i="13"/>
  <c r="AM191" i="13"/>
  <c r="U192" i="13"/>
  <c r="BC192" i="13"/>
  <c r="BD192" i="13"/>
  <c r="AH192" i="13"/>
  <c r="AE192" i="13"/>
  <c r="Q106" i="38"/>
  <c r="BF199" i="13"/>
  <c r="AR199" i="13"/>
  <c r="BD199" i="13"/>
  <c r="AJ199" i="13"/>
  <c r="BG199" i="13"/>
  <c r="AT200" i="13"/>
  <c r="BC200" i="13"/>
  <c r="Y200" i="13"/>
  <c r="BI164" i="13"/>
  <c r="T200" i="13"/>
  <c r="AB200" i="13"/>
  <c r="W191" i="13"/>
  <c r="AV191" i="13"/>
  <c r="AD191" i="13"/>
  <c r="AZ191" i="13"/>
  <c r="V191" i="13"/>
  <c r="X192" i="13"/>
  <c r="AN192" i="13"/>
  <c r="AA192" i="13"/>
  <c r="AU192" i="13"/>
  <c r="BE192" i="13"/>
  <c r="J19" i="17"/>
  <c r="BO184" i="45" s="1"/>
  <c r="E26" i="17"/>
  <c r="AT129" i="45" s="1"/>
  <c r="AZ129" i="45" s="1"/>
  <c r="L730" i="4"/>
  <c r="E27" i="17"/>
  <c r="E29" i="17"/>
  <c r="T23" i="40" s="1"/>
  <c r="I23" i="40" s="1"/>
  <c r="F50" i="37"/>
  <c r="E50" i="37" s="1"/>
  <c r="N21" i="37"/>
  <c r="AT18" i="22"/>
  <c r="R59" i="14"/>
  <c r="R57" i="14"/>
  <c r="S56" i="14"/>
  <c r="BT261" i="12"/>
  <c r="BU261" i="12" s="1"/>
  <c r="AK199" i="13"/>
  <c r="AC199" i="13"/>
  <c r="BC199" i="13"/>
  <c r="V199" i="13"/>
  <c r="AQ199" i="13"/>
  <c r="AM200" i="13"/>
  <c r="AC200" i="13"/>
  <c r="AV200" i="13"/>
  <c r="AH200" i="13"/>
  <c r="BB200" i="13"/>
  <c r="AY191" i="13"/>
  <c r="AC191" i="13"/>
  <c r="AW191" i="13"/>
  <c r="AS191" i="13"/>
  <c r="BF191" i="13"/>
  <c r="AC192" i="13"/>
  <c r="AP192" i="13"/>
  <c r="AL192" i="13"/>
  <c r="V192" i="13"/>
  <c r="AB192" i="13"/>
  <c r="F21" i="18"/>
  <c r="BX118" i="16"/>
  <c r="BK118" i="16" s="1"/>
  <c r="BE199" i="13"/>
  <c r="AG199" i="13"/>
  <c r="BA199" i="13"/>
  <c r="AS199" i="13"/>
  <c r="Y199" i="13"/>
  <c r="X200" i="13"/>
  <c r="AL200" i="13"/>
  <c r="AU200" i="13"/>
  <c r="BG200" i="13"/>
  <c r="AF200" i="13"/>
  <c r="AQ191" i="13"/>
  <c r="AU191" i="13"/>
  <c r="AH191" i="13"/>
  <c r="AJ191" i="13"/>
  <c r="Y191" i="13"/>
  <c r="AJ192" i="13"/>
  <c r="AG192" i="13"/>
  <c r="AF192" i="13"/>
  <c r="BB192" i="13"/>
  <c r="AS192" i="13"/>
  <c r="T199" i="13"/>
  <c r="AP199" i="13"/>
  <c r="AD199" i="13"/>
  <c r="AF199" i="13"/>
  <c r="AA199" i="13"/>
  <c r="AJ200" i="13"/>
  <c r="AZ200" i="13"/>
  <c r="AP200" i="13"/>
  <c r="BA200" i="13"/>
  <c r="AI200" i="13"/>
  <c r="AT191" i="13"/>
  <c r="AB191" i="13"/>
  <c r="AO191" i="13"/>
  <c r="AG191" i="13"/>
  <c r="BA191" i="13"/>
  <c r="AM192" i="13"/>
  <c r="AD192" i="13"/>
  <c r="AW192" i="13"/>
  <c r="AT192" i="13"/>
  <c r="BG192" i="13"/>
  <c r="BI165" i="13"/>
  <c r="Q49" i="38"/>
  <c r="BB199" i="13"/>
  <c r="AO199" i="13"/>
  <c r="AM199" i="13"/>
  <c r="AV199" i="13"/>
  <c r="AH199" i="13"/>
  <c r="AQ200" i="13"/>
  <c r="AY200" i="13"/>
  <c r="Z200" i="13"/>
  <c r="V200" i="13"/>
  <c r="AG200" i="13"/>
  <c r="BG191" i="13"/>
  <c r="Z191" i="13"/>
  <c r="U191" i="13"/>
  <c r="BD191" i="13"/>
  <c r="AK191" i="13"/>
  <c r="S14" i="18"/>
  <c r="X14" i="18" s="1"/>
  <c r="BX147" i="16"/>
  <c r="AR192" i="13"/>
  <c r="AO192" i="13"/>
  <c r="BI132" i="13"/>
  <c r="T192" i="13"/>
  <c r="AQ192" i="13"/>
  <c r="AI192" i="13"/>
  <c r="BI133" i="13"/>
  <c r="AT20" i="22"/>
  <c r="BT263" i="12"/>
  <c r="BU263" i="12" s="1"/>
  <c r="AT19" i="22"/>
  <c r="BT262" i="12"/>
  <c r="BU262" i="12" s="1"/>
  <c r="W199" i="13"/>
  <c r="X199" i="13"/>
  <c r="AT199" i="13"/>
  <c r="AW199" i="13"/>
  <c r="AI199" i="13"/>
  <c r="BI166" i="13"/>
  <c r="AD200" i="13"/>
  <c r="W200" i="13"/>
  <c r="AS200" i="13"/>
  <c r="AA200" i="13"/>
  <c r="AX200" i="13"/>
  <c r="AI191" i="13"/>
  <c r="AN191" i="13"/>
  <c r="AX191" i="13"/>
  <c r="BB191" i="13"/>
  <c r="BE191" i="13"/>
  <c r="AD14" i="37"/>
  <c r="AY192" i="13"/>
  <c r="AX192" i="13"/>
  <c r="AV192" i="13"/>
  <c r="Z192" i="13"/>
  <c r="Y192" i="13"/>
  <c r="AB199" i="13"/>
  <c r="AE199" i="13"/>
  <c r="AL199" i="13"/>
  <c r="Z199" i="13"/>
  <c r="AZ199" i="13"/>
  <c r="BE200" i="13"/>
  <c r="AR200" i="13"/>
  <c r="AN200" i="13"/>
  <c r="AK200" i="13"/>
  <c r="AE200" i="13"/>
  <c r="BX148" i="16"/>
  <c r="S15" i="18"/>
  <c r="X15" i="18" s="1"/>
  <c r="BC191" i="13"/>
  <c r="T191" i="13"/>
  <c r="AA191" i="13"/>
  <c r="AL191" i="13"/>
  <c r="X191" i="13"/>
  <c r="BF192" i="13"/>
  <c r="AZ192" i="13"/>
  <c r="AK192" i="13"/>
  <c r="BA192" i="13"/>
  <c r="W192" i="13"/>
  <c r="BI134" i="13"/>
  <c r="H49" i="45" l="1"/>
  <c r="AH49" i="45" s="1"/>
  <c r="O8" i="34"/>
  <c r="CD85" i="28"/>
  <c r="CD86" i="28" s="1"/>
  <c r="DS22" i="22"/>
  <c r="AM8" i="45"/>
  <c r="AM108" i="45" s="1"/>
  <c r="M108" i="45"/>
  <c r="AF8" i="19"/>
  <c r="AP8" i="19" s="1"/>
  <c r="AP12" i="19" s="1"/>
  <c r="DH22" i="22"/>
  <c r="H106" i="45"/>
  <c r="AH106" i="45" s="1"/>
  <c r="H107" i="45"/>
  <c r="AH107" i="45" s="1"/>
  <c r="F106" i="34"/>
  <c r="BX150" i="16"/>
  <c r="BM151" i="16" s="1"/>
  <c r="O454" i="16"/>
  <c r="E30" i="17"/>
  <c r="AT133" i="45" s="1"/>
  <c r="AZ133" i="45" s="1"/>
  <c r="AT132" i="45"/>
  <c r="AZ132" i="45" s="1"/>
  <c r="E28" i="17"/>
  <c r="AT130" i="45"/>
  <c r="AZ130" i="45" s="1"/>
  <c r="O107" i="34"/>
  <c r="F19" i="34"/>
  <c r="H20" i="45"/>
  <c r="AH20" i="45" s="1"/>
  <c r="F57" i="34"/>
  <c r="H58" i="45"/>
  <c r="AH58" i="45" s="1"/>
  <c r="F102" i="34"/>
  <c r="H103" i="45"/>
  <c r="AH103" i="45" s="1"/>
  <c r="F33" i="34"/>
  <c r="H34" i="45"/>
  <c r="AH34" i="45" s="1"/>
  <c r="F83" i="34"/>
  <c r="H84" i="45"/>
  <c r="AH84" i="45" s="1"/>
  <c r="F16" i="34"/>
  <c r="H17" i="45"/>
  <c r="AH17" i="45" s="1"/>
  <c r="F66" i="34"/>
  <c r="H67" i="45"/>
  <c r="AH67" i="45" s="1"/>
  <c r="F89" i="34"/>
  <c r="H90" i="45"/>
  <c r="AH90" i="45" s="1"/>
  <c r="F68" i="34"/>
  <c r="H69" i="45"/>
  <c r="AH69" i="45" s="1"/>
  <c r="F17" i="34"/>
  <c r="H18" i="45"/>
  <c r="AH18" i="45" s="1"/>
  <c r="F97" i="34"/>
  <c r="H98" i="45"/>
  <c r="AH98" i="45" s="1"/>
  <c r="F46" i="34"/>
  <c r="H47" i="45"/>
  <c r="AH47" i="45" s="1"/>
  <c r="F85" i="34"/>
  <c r="H86" i="45"/>
  <c r="AH86" i="45" s="1"/>
  <c r="F91" i="34"/>
  <c r="H92" i="45"/>
  <c r="AH92" i="45" s="1"/>
  <c r="F88" i="34"/>
  <c r="H89" i="45"/>
  <c r="AH89" i="45" s="1"/>
  <c r="F65" i="34"/>
  <c r="H66" i="45"/>
  <c r="AH66" i="45" s="1"/>
  <c r="F77" i="34"/>
  <c r="H78" i="45"/>
  <c r="AH78" i="45" s="1"/>
  <c r="F41" i="34"/>
  <c r="H42" i="45"/>
  <c r="AH42" i="45" s="1"/>
  <c r="F100" i="34"/>
  <c r="H101" i="45"/>
  <c r="AH101" i="45" s="1"/>
  <c r="F82" i="34"/>
  <c r="H83" i="45"/>
  <c r="AH83" i="45" s="1"/>
  <c r="F24" i="34"/>
  <c r="H25" i="45"/>
  <c r="AH25" i="45" s="1"/>
  <c r="F27" i="34"/>
  <c r="H28" i="45"/>
  <c r="AH28" i="45" s="1"/>
  <c r="F52" i="34"/>
  <c r="H53" i="45"/>
  <c r="AH53" i="45" s="1"/>
  <c r="F96" i="34"/>
  <c r="H97" i="45"/>
  <c r="AH97" i="45" s="1"/>
  <c r="F23" i="34"/>
  <c r="H24" i="45"/>
  <c r="AH24" i="45" s="1"/>
  <c r="F20" i="34"/>
  <c r="H21" i="45"/>
  <c r="AH21" i="45" s="1"/>
  <c r="F12" i="34"/>
  <c r="H13" i="45"/>
  <c r="AH13" i="45" s="1"/>
  <c r="F7" i="34"/>
  <c r="H8" i="45"/>
  <c r="AH8" i="45" s="1"/>
  <c r="F99" i="34"/>
  <c r="H100" i="45"/>
  <c r="AH100" i="45" s="1"/>
  <c r="F71" i="34"/>
  <c r="H72" i="45"/>
  <c r="AH72" i="45" s="1"/>
  <c r="F29" i="34"/>
  <c r="H30" i="45"/>
  <c r="AH30" i="45" s="1"/>
  <c r="F80" i="34"/>
  <c r="H81" i="45"/>
  <c r="AH81" i="45" s="1"/>
  <c r="F61" i="34"/>
  <c r="H62" i="45"/>
  <c r="AH62" i="45" s="1"/>
  <c r="F59" i="34"/>
  <c r="H60" i="45"/>
  <c r="AH60" i="45" s="1"/>
  <c r="EU22" i="22"/>
  <c r="P9" i="45"/>
  <c r="F8" i="34"/>
  <c r="H9" i="45"/>
  <c r="AH9" i="45" s="1"/>
  <c r="F54" i="34"/>
  <c r="H55" i="45"/>
  <c r="AH55" i="45" s="1"/>
  <c r="F18" i="34"/>
  <c r="H19" i="45"/>
  <c r="AH19" i="45" s="1"/>
  <c r="F38" i="34"/>
  <c r="H39" i="45"/>
  <c r="AH39" i="45" s="1"/>
  <c r="F47" i="34"/>
  <c r="H48" i="45"/>
  <c r="AH48" i="45" s="1"/>
  <c r="F35" i="34"/>
  <c r="H36" i="45"/>
  <c r="AH36" i="45" s="1"/>
  <c r="F74" i="34"/>
  <c r="H75" i="45"/>
  <c r="AH75" i="45" s="1"/>
  <c r="F95" i="34"/>
  <c r="H96" i="45"/>
  <c r="AH96" i="45" s="1"/>
  <c r="F51" i="34"/>
  <c r="H52" i="45"/>
  <c r="AH52" i="45" s="1"/>
  <c r="F73" i="34"/>
  <c r="H74" i="45"/>
  <c r="AH74" i="45" s="1"/>
  <c r="F60" i="34"/>
  <c r="H61" i="45"/>
  <c r="AH61" i="45" s="1"/>
  <c r="F25" i="34"/>
  <c r="H26" i="45"/>
  <c r="AH26" i="45" s="1"/>
  <c r="F90" i="34"/>
  <c r="H91" i="45"/>
  <c r="AH91" i="45" s="1"/>
  <c r="F44" i="34"/>
  <c r="H45" i="45"/>
  <c r="AH45" i="45" s="1"/>
  <c r="F67" i="34"/>
  <c r="H68" i="45"/>
  <c r="AH68" i="45" s="1"/>
  <c r="F26" i="34"/>
  <c r="H27" i="45"/>
  <c r="AH27" i="45" s="1"/>
  <c r="F86" i="34"/>
  <c r="H87" i="45"/>
  <c r="AH87" i="45" s="1"/>
  <c r="F79" i="34"/>
  <c r="H80" i="45"/>
  <c r="AH80" i="45" s="1"/>
  <c r="F81" i="34"/>
  <c r="H82" i="45"/>
  <c r="AH82" i="45" s="1"/>
  <c r="F37" i="34"/>
  <c r="H38" i="45"/>
  <c r="AH38" i="45" s="1"/>
  <c r="F50" i="34"/>
  <c r="H51" i="45"/>
  <c r="AH51" i="45" s="1"/>
  <c r="F87" i="34"/>
  <c r="H88" i="45"/>
  <c r="AH88" i="45" s="1"/>
  <c r="F32" i="34"/>
  <c r="H33" i="45"/>
  <c r="AH33" i="45" s="1"/>
  <c r="F72" i="34"/>
  <c r="H73" i="45"/>
  <c r="AH73" i="45" s="1"/>
  <c r="F101" i="34"/>
  <c r="H102" i="45"/>
  <c r="AH102" i="45" s="1"/>
  <c r="F9" i="34"/>
  <c r="H10" i="45"/>
  <c r="AH10" i="45" s="1"/>
  <c r="F42" i="34"/>
  <c r="H43" i="45"/>
  <c r="AH43" i="45" s="1"/>
  <c r="F70" i="34"/>
  <c r="H71" i="45"/>
  <c r="AH71" i="45" s="1"/>
  <c r="F11" i="34"/>
  <c r="H12" i="45"/>
  <c r="AH12" i="45" s="1"/>
  <c r="F40" i="34"/>
  <c r="H41" i="45"/>
  <c r="AH41" i="45" s="1"/>
  <c r="F49" i="34"/>
  <c r="H50" i="45"/>
  <c r="AH50" i="45" s="1"/>
  <c r="F98" i="34"/>
  <c r="H99" i="45"/>
  <c r="AH99" i="45" s="1"/>
  <c r="F103" i="34"/>
  <c r="H104" i="45"/>
  <c r="AH104" i="45" s="1"/>
  <c r="F36" i="34"/>
  <c r="H37" i="45"/>
  <c r="AH37" i="45" s="1"/>
  <c r="F64" i="34"/>
  <c r="H65" i="45"/>
  <c r="AH65" i="45" s="1"/>
  <c r="F75" i="34"/>
  <c r="H76" i="45"/>
  <c r="AH76" i="45" s="1"/>
  <c r="G106" i="34"/>
  <c r="F104" i="34"/>
  <c r="H105" i="45"/>
  <c r="AH105" i="45" s="1"/>
  <c r="F39" i="34"/>
  <c r="H40" i="45"/>
  <c r="AH40" i="45" s="1"/>
  <c r="F78" i="34"/>
  <c r="H79" i="45"/>
  <c r="AH79" i="45" s="1"/>
  <c r="F28" i="34"/>
  <c r="H29" i="45"/>
  <c r="AH29" i="45" s="1"/>
  <c r="F56" i="34"/>
  <c r="H57" i="45"/>
  <c r="AH57" i="45" s="1"/>
  <c r="G48" i="34"/>
  <c r="P48" i="34" s="1"/>
  <c r="Q48" i="34" s="1"/>
  <c r="F10" i="34"/>
  <c r="H11" i="45"/>
  <c r="AH11" i="45" s="1"/>
  <c r="F13" i="34"/>
  <c r="H14" i="45"/>
  <c r="AH14" i="45" s="1"/>
  <c r="F31" i="34"/>
  <c r="H32" i="45"/>
  <c r="AH32" i="45" s="1"/>
  <c r="F34" i="34"/>
  <c r="H35" i="45"/>
  <c r="AH35" i="45" s="1"/>
  <c r="F15" i="34"/>
  <c r="H16" i="45"/>
  <c r="AH16" i="45" s="1"/>
  <c r="F76" i="34"/>
  <c r="H77" i="45"/>
  <c r="AH77" i="45" s="1"/>
  <c r="F21" i="34"/>
  <c r="H22" i="45"/>
  <c r="AH22" i="45" s="1"/>
  <c r="F69" i="34"/>
  <c r="H70" i="45"/>
  <c r="AH70" i="45" s="1"/>
  <c r="F63" i="34"/>
  <c r="H64" i="45"/>
  <c r="AH64" i="45" s="1"/>
  <c r="F62" i="34"/>
  <c r="H63" i="45"/>
  <c r="AH63" i="45" s="1"/>
  <c r="F14" i="34"/>
  <c r="H15" i="45"/>
  <c r="AH15" i="45" s="1"/>
  <c r="F45" i="34"/>
  <c r="H46" i="45"/>
  <c r="AH46" i="45" s="1"/>
  <c r="F30" i="34"/>
  <c r="H31" i="45"/>
  <c r="AH31" i="45" s="1"/>
  <c r="F22" i="34"/>
  <c r="H23" i="45"/>
  <c r="AH23" i="45" s="1"/>
  <c r="F58" i="34"/>
  <c r="H59" i="45"/>
  <c r="AH59" i="45" s="1"/>
  <c r="F93" i="34"/>
  <c r="H94" i="45"/>
  <c r="AH94" i="45" s="1"/>
  <c r="F94" i="34"/>
  <c r="H95" i="45"/>
  <c r="AH95" i="45" s="1"/>
  <c r="F84" i="34"/>
  <c r="H85" i="45"/>
  <c r="AH85" i="45" s="1"/>
  <c r="F55" i="34"/>
  <c r="H56" i="45"/>
  <c r="AH56" i="45" s="1"/>
  <c r="F92" i="34"/>
  <c r="H93" i="45"/>
  <c r="AH93" i="45" s="1"/>
  <c r="F43" i="34"/>
  <c r="H44" i="45"/>
  <c r="AH44" i="45" s="1"/>
  <c r="F53" i="34"/>
  <c r="H54" i="45"/>
  <c r="AH54" i="45" s="1"/>
  <c r="G105" i="34"/>
  <c r="P105" i="34" s="1"/>
  <c r="Q105" i="34" s="1"/>
  <c r="S20" i="17"/>
  <c r="S21" i="17"/>
  <c r="BK150" i="16"/>
  <c r="L92" i="45"/>
  <c r="AL92" i="45" s="1"/>
  <c r="Q73" i="38"/>
  <c r="Q105" i="38"/>
  <c r="L27" i="45"/>
  <c r="AL27" i="45" s="1"/>
  <c r="L55" i="45"/>
  <c r="AL55" i="45" s="1"/>
  <c r="L19" i="45"/>
  <c r="AL19" i="45" s="1"/>
  <c r="L89" i="45"/>
  <c r="AL89" i="45" s="1"/>
  <c r="L66" i="45"/>
  <c r="AL66" i="45" s="1"/>
  <c r="L78" i="45"/>
  <c r="AL78" i="45" s="1"/>
  <c r="Q41" i="38"/>
  <c r="Q50" i="38"/>
  <c r="Q99" i="38"/>
  <c r="L104" i="45"/>
  <c r="AL104" i="45" s="1"/>
  <c r="Q80" i="38"/>
  <c r="Q82" i="38"/>
  <c r="L38" i="45"/>
  <c r="AL38" i="45" s="1"/>
  <c r="L51" i="45"/>
  <c r="AL51" i="45" s="1"/>
  <c r="Q91" i="38"/>
  <c r="L18" i="45"/>
  <c r="AL18" i="45" s="1"/>
  <c r="Q28" i="38"/>
  <c r="Q53" i="38"/>
  <c r="Q54" i="38"/>
  <c r="L98" i="45"/>
  <c r="AL98" i="45" s="1"/>
  <c r="L47" i="45"/>
  <c r="AL47" i="45" s="1"/>
  <c r="Q20" i="38"/>
  <c r="Q40" i="38"/>
  <c r="Q79" i="38"/>
  <c r="Q29" i="38"/>
  <c r="AX19" i="22"/>
  <c r="AY19" i="22"/>
  <c r="Q9" i="38"/>
  <c r="AR9" i="19"/>
  <c r="AW9" i="19" s="1"/>
  <c r="Q55" i="38"/>
  <c r="Q19" i="38"/>
  <c r="Q89" i="38"/>
  <c r="Q66" i="38"/>
  <c r="Q78" i="38"/>
  <c r="L59" i="45"/>
  <c r="AL59" i="45" s="1"/>
  <c r="L94" i="45"/>
  <c r="AL94" i="45" s="1"/>
  <c r="L95" i="45"/>
  <c r="AL95" i="45" s="1"/>
  <c r="Q104" i="38"/>
  <c r="L80" i="45"/>
  <c r="AL80" i="45" s="1"/>
  <c r="L82" i="45"/>
  <c r="AL82" i="45" s="1"/>
  <c r="Q38" i="38"/>
  <c r="Q51" i="38"/>
  <c r="L91" i="45"/>
  <c r="AL91" i="45" s="1"/>
  <c r="L21" i="17"/>
  <c r="L22" i="17"/>
  <c r="L45" i="45"/>
  <c r="AL45" i="45" s="1"/>
  <c r="Q30" i="38"/>
  <c r="Q81" i="38"/>
  <c r="L54" i="45"/>
  <c r="AL54" i="45" s="1"/>
  <c r="Q98" i="38"/>
  <c r="Q47" i="38"/>
  <c r="L40" i="45"/>
  <c r="AL40" i="45" s="1"/>
  <c r="L79" i="45"/>
  <c r="AL79" i="45" s="1"/>
  <c r="L29" i="45"/>
  <c r="AL29" i="45" s="1"/>
  <c r="L102" i="45"/>
  <c r="AL102" i="45" s="1"/>
  <c r="Q87" i="38"/>
  <c r="L39" i="45"/>
  <c r="AL39" i="45" s="1"/>
  <c r="L48" i="45"/>
  <c r="AL48" i="45" s="1"/>
  <c r="L36" i="45"/>
  <c r="AL36" i="45" s="1"/>
  <c r="Q59" i="38"/>
  <c r="Q94" i="38"/>
  <c r="Q95" i="38"/>
  <c r="L85" i="45"/>
  <c r="AL85" i="45" s="1"/>
  <c r="Q11" i="38"/>
  <c r="Q14" i="38"/>
  <c r="L32" i="45"/>
  <c r="AL32" i="45" s="1"/>
  <c r="L35" i="45"/>
  <c r="AL35" i="45" s="1"/>
  <c r="L16" i="45"/>
  <c r="AL16" i="45" s="1"/>
  <c r="Q45" i="38"/>
  <c r="L30" i="45"/>
  <c r="AL30" i="45" s="1"/>
  <c r="L81" i="45"/>
  <c r="AL81" i="45" s="1"/>
  <c r="L62" i="45"/>
  <c r="AL62" i="45" s="1"/>
  <c r="L60" i="45"/>
  <c r="AL60" i="45" s="1"/>
  <c r="Q97" i="38"/>
  <c r="Q102" i="38"/>
  <c r="Q10" i="38"/>
  <c r="AR10" i="19"/>
  <c r="AW10" i="19" s="1"/>
  <c r="AX20" i="22"/>
  <c r="AY20" i="22"/>
  <c r="L87" i="45"/>
  <c r="AL87" i="45" s="1"/>
  <c r="Q39" i="38"/>
  <c r="Q48" i="38"/>
  <c r="Q36" i="38"/>
  <c r="L42" i="45"/>
  <c r="AL42" i="45" s="1"/>
  <c r="L101" i="45"/>
  <c r="AL101" i="45" s="1"/>
  <c r="L83" i="45"/>
  <c r="AL83" i="45" s="1"/>
  <c r="Q85" i="38"/>
  <c r="L11" i="45"/>
  <c r="AL11" i="45" s="1"/>
  <c r="L14" i="45"/>
  <c r="AL14" i="45" s="1"/>
  <c r="F50" i="18"/>
  <c r="E50" i="18" s="1"/>
  <c r="K21" i="18"/>
  <c r="S73" i="16"/>
  <c r="R73" i="16"/>
  <c r="R58" i="14"/>
  <c r="R60" i="14" s="1"/>
  <c r="R107" i="14" s="1"/>
  <c r="R118" i="14" s="1"/>
  <c r="S58" i="14"/>
  <c r="Q32" i="38"/>
  <c r="Q35" i="38"/>
  <c r="Q16" i="38"/>
  <c r="L37" i="45"/>
  <c r="AL37" i="45" s="1"/>
  <c r="L65" i="45"/>
  <c r="AL65" i="45" s="1"/>
  <c r="L76" i="45"/>
  <c r="AL76" i="45" s="1"/>
  <c r="Q62" i="38"/>
  <c r="Q60" i="38"/>
  <c r="L97" i="45"/>
  <c r="AL97" i="45" s="1"/>
  <c r="L86" i="45"/>
  <c r="AL86" i="45" s="1"/>
  <c r="L63" i="45"/>
  <c r="AL63" i="45" s="1"/>
  <c r="L43" i="45"/>
  <c r="AL43" i="45" s="1"/>
  <c r="L71" i="45"/>
  <c r="AL71" i="45" s="1"/>
  <c r="L12" i="45"/>
  <c r="AL12" i="45" s="1"/>
  <c r="Q42" i="38"/>
  <c r="Q101" i="38"/>
  <c r="Q83" i="38"/>
  <c r="Q84" i="38"/>
  <c r="Q17" i="38"/>
  <c r="L25" i="45"/>
  <c r="AL25" i="45" s="1"/>
  <c r="L67" i="45"/>
  <c r="AL67" i="45" s="1"/>
  <c r="L90" i="45"/>
  <c r="AL90" i="45" s="1"/>
  <c r="L69" i="45"/>
  <c r="AL69" i="45" s="1"/>
  <c r="Q37" i="38"/>
  <c r="Q65" i="38"/>
  <c r="Q76" i="38"/>
  <c r="Q68" i="38"/>
  <c r="L88" i="45"/>
  <c r="AL88" i="45" s="1"/>
  <c r="L33" i="45"/>
  <c r="AL33" i="45" s="1"/>
  <c r="Q86" i="38"/>
  <c r="Q92" i="38"/>
  <c r="L64" i="45"/>
  <c r="AL64" i="45" s="1"/>
  <c r="Q64" i="38"/>
  <c r="Q63" i="38"/>
  <c r="Q15" i="38"/>
  <c r="L75" i="45"/>
  <c r="AL75" i="45" s="1"/>
  <c r="L96" i="45"/>
  <c r="AL96" i="45" s="1"/>
  <c r="L52" i="45"/>
  <c r="AL52" i="45" s="1"/>
  <c r="L84" i="45"/>
  <c r="AL84" i="45" s="1"/>
  <c r="L17" i="45"/>
  <c r="AL17" i="45" s="1"/>
  <c r="Q25" i="38"/>
  <c r="Q67" i="38"/>
  <c r="Q90" i="38"/>
  <c r="Q69" i="38"/>
  <c r="L56" i="45"/>
  <c r="AL56" i="45" s="1"/>
  <c r="L93" i="45"/>
  <c r="AL93" i="45" s="1"/>
  <c r="L44" i="45"/>
  <c r="AL44" i="45" s="1"/>
  <c r="L68" i="45"/>
  <c r="AL68" i="45" s="1"/>
  <c r="Q88" i="38"/>
  <c r="Q33" i="38"/>
  <c r="T107" i="38"/>
  <c r="R107" i="38"/>
  <c r="S107" i="38"/>
  <c r="L20" i="45"/>
  <c r="AL20" i="45" s="1"/>
  <c r="Q24" i="38"/>
  <c r="Q21" i="38"/>
  <c r="Q13" i="38"/>
  <c r="Q43" i="38"/>
  <c r="Q71" i="38"/>
  <c r="Q12" i="38"/>
  <c r="R49" i="38"/>
  <c r="T49" i="38"/>
  <c r="S49" i="38"/>
  <c r="L24" i="45"/>
  <c r="AL24" i="45" s="1"/>
  <c r="L21" i="45"/>
  <c r="AL21" i="45" s="1"/>
  <c r="L13" i="45"/>
  <c r="AL13" i="45" s="1"/>
  <c r="Q58" i="38"/>
  <c r="Q103" i="38"/>
  <c r="Q34" i="38"/>
  <c r="L46" i="45"/>
  <c r="AL46" i="45" s="1"/>
  <c r="Q57" i="38"/>
  <c r="L31" i="45"/>
  <c r="AL31" i="45" s="1"/>
  <c r="L23" i="45"/>
  <c r="AL23" i="45" s="1"/>
  <c r="Q75" i="38"/>
  <c r="Q96" i="38"/>
  <c r="Q52" i="38"/>
  <c r="L74" i="45"/>
  <c r="AL74" i="45" s="1"/>
  <c r="L61" i="45"/>
  <c r="AL61" i="45" s="1"/>
  <c r="L26" i="45"/>
  <c r="AL26" i="45" s="1"/>
  <c r="L100" i="45"/>
  <c r="AL100" i="45" s="1"/>
  <c r="L72" i="45"/>
  <c r="AL72" i="45" s="1"/>
  <c r="Q56" i="38"/>
  <c r="Q93" i="38"/>
  <c r="Q44" i="38"/>
  <c r="S106" i="38"/>
  <c r="R106" i="38"/>
  <c r="T106" i="38"/>
  <c r="L77" i="45"/>
  <c r="AL77" i="45" s="1"/>
  <c r="L22" i="45"/>
  <c r="AL22" i="45" s="1"/>
  <c r="L70" i="45"/>
  <c r="AL70" i="45" s="1"/>
  <c r="L73" i="45"/>
  <c r="AL73" i="45" s="1"/>
  <c r="L105" i="45"/>
  <c r="AL105" i="45" s="1"/>
  <c r="Q27" i="38"/>
  <c r="L58" i="45"/>
  <c r="AL58" i="45" s="1"/>
  <c r="L103" i="45"/>
  <c r="AL103" i="45" s="1"/>
  <c r="L34" i="45"/>
  <c r="AL34" i="45" s="1"/>
  <c r="Q46" i="38"/>
  <c r="L57" i="45"/>
  <c r="AL57" i="45" s="1"/>
  <c r="Q31" i="38"/>
  <c r="Q23" i="38"/>
  <c r="L41" i="45"/>
  <c r="AL41" i="45" s="1"/>
  <c r="L50" i="45"/>
  <c r="AL50" i="45" s="1"/>
  <c r="L99" i="45"/>
  <c r="AL99" i="45" s="1"/>
  <c r="Q74" i="38"/>
  <c r="Q61" i="38"/>
  <c r="Q26" i="38"/>
  <c r="AY18" i="22"/>
  <c r="AX18" i="22"/>
  <c r="Q8" i="38"/>
  <c r="AR8" i="19"/>
  <c r="AT22" i="22"/>
  <c r="AU20" i="22" s="1"/>
  <c r="AV20" i="22" s="1"/>
  <c r="U71" i="16" s="1"/>
  <c r="U75" i="16" s="1"/>
  <c r="O23" i="15"/>
  <c r="Q100" i="38"/>
  <c r="Q72" i="38"/>
  <c r="N730" i="4"/>
  <c r="M730" i="4"/>
  <c r="J730" i="4"/>
  <c r="L729" i="4"/>
  <c r="V730" i="4"/>
  <c r="AF730" i="4" s="1"/>
  <c r="I730" i="4"/>
  <c r="K730" i="4"/>
  <c r="O730" i="4"/>
  <c r="Q18" i="38"/>
  <c r="L28" i="45"/>
  <c r="AL28" i="45" s="1"/>
  <c r="L53" i="45"/>
  <c r="AL53" i="45" s="1"/>
  <c r="Q77" i="38"/>
  <c r="Q22" i="38"/>
  <c r="Q70" i="38"/>
  <c r="AT131" i="45" l="1"/>
  <c r="AZ131" i="45" s="1"/>
  <c r="Q77" i="17"/>
  <c r="U76" i="16"/>
  <c r="AW8" i="19"/>
  <c r="P36" i="46"/>
  <c r="P38" i="46" s="1"/>
  <c r="P37" i="46"/>
  <c r="P330" i="16"/>
  <c r="U330" i="16" s="1"/>
  <c r="Y330" i="16" s="1"/>
  <c r="AU19" i="22"/>
  <c r="AV19" i="22" s="1"/>
  <c r="T71" i="16" s="1"/>
  <c r="T75" i="16" s="1"/>
  <c r="AU18" i="22"/>
  <c r="AV18" i="22" s="1"/>
  <c r="S71" i="16" s="1"/>
  <c r="BR151" i="16"/>
  <c r="BV151" i="16"/>
  <c r="BP151" i="16"/>
  <c r="BQ151" i="16"/>
  <c r="BT151" i="16"/>
  <c r="BU151" i="16"/>
  <c r="BO151" i="16"/>
  <c r="BN151" i="16"/>
  <c r="BS151" i="16"/>
  <c r="AF12" i="19"/>
  <c r="L107" i="45"/>
  <c r="L15" i="45"/>
  <c r="AL15" i="45" s="1"/>
  <c r="L49" i="45"/>
  <c r="L106" i="45"/>
  <c r="F107" i="34"/>
  <c r="M22" i="17"/>
  <c r="BS187" i="45" s="1"/>
  <c r="BR187" i="45"/>
  <c r="M21" i="17"/>
  <c r="BS186" i="45" s="1"/>
  <c r="BR186" i="45"/>
  <c r="P108" i="45"/>
  <c r="AP9" i="45"/>
  <c r="AP108" i="45" s="1"/>
  <c r="AH108" i="45"/>
  <c r="P106" i="34"/>
  <c r="Q106" i="34" s="1"/>
  <c r="G72" i="34"/>
  <c r="P72" i="34" s="1"/>
  <c r="Q72" i="34" s="1"/>
  <c r="Q73" i="45"/>
  <c r="AQ73" i="45" s="1"/>
  <c r="G89" i="34"/>
  <c r="P89" i="34" s="1"/>
  <c r="Q89" i="34" s="1"/>
  <c r="Q90" i="45"/>
  <c r="AQ90" i="45" s="1"/>
  <c r="G47" i="34"/>
  <c r="P47" i="34" s="1"/>
  <c r="Q47" i="34" s="1"/>
  <c r="Q48" i="45"/>
  <c r="AQ48" i="45" s="1"/>
  <c r="H108" i="45"/>
  <c r="G95" i="34"/>
  <c r="P95" i="34" s="1"/>
  <c r="Q95" i="34" s="1"/>
  <c r="Q96" i="45"/>
  <c r="AQ96" i="45" s="1"/>
  <c r="G56" i="34"/>
  <c r="P56" i="34" s="1"/>
  <c r="Q56" i="34" s="1"/>
  <c r="Q57" i="45"/>
  <c r="AQ57" i="45" s="1"/>
  <c r="G69" i="34"/>
  <c r="P69" i="34" s="1"/>
  <c r="Q69" i="34" s="1"/>
  <c r="Q70" i="45"/>
  <c r="AQ70" i="45" s="1"/>
  <c r="G67" i="34"/>
  <c r="Q68" i="45"/>
  <c r="AQ68" i="45" s="1"/>
  <c r="G75" i="34"/>
  <c r="P75" i="34" s="1"/>
  <c r="Q75" i="34" s="1"/>
  <c r="Q76" i="45"/>
  <c r="AQ76" i="45" s="1"/>
  <c r="G82" i="34"/>
  <c r="P82" i="34" s="1"/>
  <c r="Q82" i="34" s="1"/>
  <c r="Q83" i="45"/>
  <c r="AQ83" i="45" s="1"/>
  <c r="G34" i="34"/>
  <c r="Q35" i="45"/>
  <c r="AQ35" i="45" s="1"/>
  <c r="G94" i="34"/>
  <c r="P94" i="34" s="1"/>
  <c r="Q94" i="34" s="1"/>
  <c r="Q95" i="45"/>
  <c r="AQ95" i="45" s="1"/>
  <c r="G13" i="34"/>
  <c r="P13" i="34" s="1"/>
  <c r="Q13" i="34" s="1"/>
  <c r="Q14" i="45"/>
  <c r="AQ14" i="45" s="1"/>
  <c r="G98" i="34"/>
  <c r="P98" i="34" s="1"/>
  <c r="Q98" i="34" s="1"/>
  <c r="Q99" i="45"/>
  <c r="AQ99" i="45" s="1"/>
  <c r="G12" i="34"/>
  <c r="Q13" i="45"/>
  <c r="AQ13" i="45" s="1"/>
  <c r="G32" i="34"/>
  <c r="P32" i="34" s="1"/>
  <c r="Q32" i="34" s="1"/>
  <c r="Q33" i="45"/>
  <c r="AQ33" i="45" s="1"/>
  <c r="G66" i="34"/>
  <c r="P66" i="34" s="1"/>
  <c r="Q66" i="34" s="1"/>
  <c r="Q67" i="45"/>
  <c r="AQ67" i="45" s="1"/>
  <c r="G62" i="34"/>
  <c r="Q63" i="45"/>
  <c r="AQ63" i="45" s="1"/>
  <c r="G64" i="34"/>
  <c r="Q65" i="45"/>
  <c r="AQ65" i="45" s="1"/>
  <c r="G10" i="34"/>
  <c r="P10" i="34" s="1"/>
  <c r="Q10" i="34" s="1"/>
  <c r="Q11" i="45"/>
  <c r="AQ11" i="45" s="1"/>
  <c r="G100" i="34"/>
  <c r="P100" i="34" s="1"/>
  <c r="Q100" i="34" s="1"/>
  <c r="Q101" i="45"/>
  <c r="AQ101" i="45" s="1"/>
  <c r="G86" i="34"/>
  <c r="Q87" i="45"/>
  <c r="AQ87" i="45" s="1"/>
  <c r="G61" i="34"/>
  <c r="Q62" i="45"/>
  <c r="AQ62" i="45" s="1"/>
  <c r="G31" i="34"/>
  <c r="P31" i="34" s="1"/>
  <c r="Q31" i="34" s="1"/>
  <c r="Q32" i="45"/>
  <c r="AQ32" i="45" s="1"/>
  <c r="G38" i="34"/>
  <c r="P38" i="34" s="1"/>
  <c r="Q38" i="34" s="1"/>
  <c r="Q39" i="45"/>
  <c r="AQ39" i="45" s="1"/>
  <c r="G88" i="34"/>
  <c r="Q89" i="45"/>
  <c r="AQ89" i="45" s="1"/>
  <c r="G63" i="34"/>
  <c r="Q64" i="45"/>
  <c r="AQ64" i="45" s="1"/>
  <c r="G42" i="34"/>
  <c r="P42" i="34" s="1"/>
  <c r="Q42" i="34" s="1"/>
  <c r="Q43" i="45"/>
  <c r="AQ43" i="45" s="1"/>
  <c r="G59" i="34"/>
  <c r="P59" i="34" s="1"/>
  <c r="Q59" i="34" s="1"/>
  <c r="Q60" i="45"/>
  <c r="AQ60" i="45" s="1"/>
  <c r="G39" i="34"/>
  <c r="P39" i="34" s="1"/>
  <c r="Q39" i="34" s="1"/>
  <c r="Q40" i="45"/>
  <c r="AQ40" i="45" s="1"/>
  <c r="G102" i="34"/>
  <c r="Q103" i="45"/>
  <c r="AQ103" i="45" s="1"/>
  <c r="G21" i="34"/>
  <c r="P21" i="34" s="1"/>
  <c r="Q21" i="34" s="1"/>
  <c r="Q22" i="45"/>
  <c r="AQ22" i="45" s="1"/>
  <c r="G25" i="34"/>
  <c r="P25" i="34" s="1"/>
  <c r="Q25" i="34" s="1"/>
  <c r="Q26" i="45"/>
  <c r="AQ26" i="45" s="1"/>
  <c r="G16" i="34"/>
  <c r="Q17" i="45"/>
  <c r="AQ17" i="45" s="1"/>
  <c r="G74" i="34"/>
  <c r="Q75" i="45"/>
  <c r="AQ75" i="45" s="1"/>
  <c r="G101" i="34"/>
  <c r="P101" i="34" s="1"/>
  <c r="Q101" i="34" s="1"/>
  <c r="Q102" i="45"/>
  <c r="AQ102" i="45" s="1"/>
  <c r="G90" i="34"/>
  <c r="P90" i="34" s="1"/>
  <c r="Q90" i="34" s="1"/>
  <c r="Q91" i="45"/>
  <c r="AQ91" i="45" s="1"/>
  <c r="G93" i="34"/>
  <c r="Q94" i="45"/>
  <c r="AQ94" i="45" s="1"/>
  <c r="G50" i="34"/>
  <c r="Q51" i="45"/>
  <c r="AQ51" i="45" s="1"/>
  <c r="G57" i="34"/>
  <c r="P57" i="34" s="1"/>
  <c r="Q57" i="34" s="1"/>
  <c r="Q58" i="45"/>
  <c r="AQ58" i="45" s="1"/>
  <c r="G60" i="34"/>
  <c r="P60" i="34" s="1"/>
  <c r="Q60" i="34" s="1"/>
  <c r="Q61" i="45"/>
  <c r="AQ61" i="45" s="1"/>
  <c r="G22" i="34"/>
  <c r="Q23" i="45"/>
  <c r="AQ23" i="45" s="1"/>
  <c r="G45" i="34"/>
  <c r="Q46" i="45"/>
  <c r="AQ46" i="45" s="1"/>
  <c r="G20" i="34"/>
  <c r="P20" i="34" s="1"/>
  <c r="Q20" i="34" s="1"/>
  <c r="Q21" i="45"/>
  <c r="AQ21" i="45" s="1"/>
  <c r="G19" i="34"/>
  <c r="P19" i="34" s="1"/>
  <c r="Q19" i="34" s="1"/>
  <c r="Q20" i="45"/>
  <c r="AQ20" i="45" s="1"/>
  <c r="G87" i="34"/>
  <c r="Q88" i="45"/>
  <c r="AQ88" i="45" s="1"/>
  <c r="G24" i="34"/>
  <c r="Q25" i="45"/>
  <c r="AQ25" i="45" s="1"/>
  <c r="G11" i="34"/>
  <c r="P11" i="34" s="1"/>
  <c r="Q11" i="34" s="1"/>
  <c r="Q12" i="45"/>
  <c r="AQ12" i="45" s="1"/>
  <c r="G85" i="34"/>
  <c r="P85" i="34" s="1"/>
  <c r="Q85" i="34" s="1"/>
  <c r="Q86" i="45"/>
  <c r="AQ86" i="45" s="1"/>
  <c r="G36" i="34"/>
  <c r="Q37" i="45"/>
  <c r="AQ37" i="45" s="1"/>
  <c r="G41" i="34"/>
  <c r="Q42" i="45"/>
  <c r="AQ42" i="45" s="1"/>
  <c r="G84" i="34"/>
  <c r="P84" i="34" s="1"/>
  <c r="Q84" i="34" s="1"/>
  <c r="Q85" i="45"/>
  <c r="AQ85" i="45" s="1"/>
  <c r="G28" i="34"/>
  <c r="P28" i="34" s="1"/>
  <c r="Q28" i="34" s="1"/>
  <c r="Q29" i="45"/>
  <c r="AQ29" i="45" s="1"/>
  <c r="G18" i="34"/>
  <c r="Q19" i="45"/>
  <c r="AQ19" i="45" s="1"/>
  <c r="G26" i="34"/>
  <c r="Q27" i="45"/>
  <c r="AQ27" i="45" s="1"/>
  <c r="G14" i="34"/>
  <c r="P14" i="34" s="1"/>
  <c r="Q14" i="34" s="1"/>
  <c r="G99" i="34"/>
  <c r="P99" i="34" s="1"/>
  <c r="Q99" i="34" s="1"/>
  <c r="Q100" i="45"/>
  <c r="AQ100" i="45" s="1"/>
  <c r="G103" i="34"/>
  <c r="Q104" i="45"/>
  <c r="AQ104" i="45" s="1"/>
  <c r="G49" i="34"/>
  <c r="Q50" i="45"/>
  <c r="AQ50" i="45" s="1"/>
  <c r="G104" i="34"/>
  <c r="P104" i="34" s="1"/>
  <c r="Q104" i="34" s="1"/>
  <c r="Q105" i="45"/>
  <c r="AQ105" i="45" s="1"/>
  <c r="G43" i="34"/>
  <c r="P43" i="34" s="1"/>
  <c r="Q43" i="34" s="1"/>
  <c r="Q44" i="45"/>
  <c r="AQ44" i="45" s="1"/>
  <c r="G83" i="34"/>
  <c r="Q84" i="45"/>
  <c r="AQ84" i="45" s="1"/>
  <c r="G53" i="34"/>
  <c r="Q54" i="45"/>
  <c r="AQ54" i="45" s="1"/>
  <c r="G81" i="34"/>
  <c r="P81" i="34" s="1"/>
  <c r="Q81" i="34" s="1"/>
  <c r="Q82" i="45"/>
  <c r="AQ82" i="45" s="1"/>
  <c r="G58" i="34"/>
  <c r="P58" i="34" s="1"/>
  <c r="Q58" i="34" s="1"/>
  <c r="Q59" i="45"/>
  <c r="AQ59" i="45" s="1"/>
  <c r="G46" i="34"/>
  <c r="Q47" i="45"/>
  <c r="AQ47" i="45" s="1"/>
  <c r="G17" i="34"/>
  <c r="Q18" i="45"/>
  <c r="AQ18" i="45" s="1"/>
  <c r="G37" i="34"/>
  <c r="P37" i="34" s="1"/>
  <c r="Q37" i="34" s="1"/>
  <c r="Q38" i="45"/>
  <c r="AQ38" i="45" s="1"/>
  <c r="G77" i="34"/>
  <c r="P77" i="34" s="1"/>
  <c r="Q77" i="34" s="1"/>
  <c r="Q78" i="45"/>
  <c r="AQ78" i="45" s="1"/>
  <c r="G27" i="34"/>
  <c r="Q28" i="45"/>
  <c r="AQ28" i="45" s="1"/>
  <c r="G55" i="34"/>
  <c r="Q56" i="45"/>
  <c r="AQ56" i="45" s="1"/>
  <c r="G76" i="34"/>
  <c r="P76" i="34" s="1"/>
  <c r="Q76" i="34" s="1"/>
  <c r="Q77" i="45"/>
  <c r="AQ77" i="45" s="1"/>
  <c r="G73" i="34"/>
  <c r="P73" i="34" s="1"/>
  <c r="Q73" i="34" s="1"/>
  <c r="Q74" i="45"/>
  <c r="AQ74" i="45" s="1"/>
  <c r="G23" i="34"/>
  <c r="Q24" i="45"/>
  <c r="AQ24" i="45" s="1"/>
  <c r="G92" i="34"/>
  <c r="Q93" i="45"/>
  <c r="AQ93" i="45" s="1"/>
  <c r="G51" i="34"/>
  <c r="P51" i="34" s="1"/>
  <c r="Q51" i="34" s="1"/>
  <c r="Q52" i="45"/>
  <c r="AQ52" i="45" s="1"/>
  <c r="G68" i="34"/>
  <c r="Q69" i="45"/>
  <c r="AQ69" i="45" s="1"/>
  <c r="G96" i="34"/>
  <c r="Q97" i="45"/>
  <c r="AQ97" i="45" s="1"/>
  <c r="G80" i="34"/>
  <c r="Q81" i="45"/>
  <c r="AQ81" i="45" s="1"/>
  <c r="G15" i="34"/>
  <c r="P15" i="34" s="1"/>
  <c r="Q15" i="34" s="1"/>
  <c r="Q16" i="45"/>
  <c r="AQ16" i="45" s="1"/>
  <c r="G54" i="34"/>
  <c r="P54" i="34" s="1"/>
  <c r="Q54" i="34" s="1"/>
  <c r="Q55" i="45"/>
  <c r="AQ55" i="45" s="1"/>
  <c r="G91" i="34"/>
  <c r="Q92" i="45"/>
  <c r="AQ92" i="45" s="1"/>
  <c r="G52" i="34"/>
  <c r="Q53" i="45"/>
  <c r="AQ53" i="45" s="1"/>
  <c r="G40" i="34"/>
  <c r="P40" i="34" s="1"/>
  <c r="Q40" i="34" s="1"/>
  <c r="Q41" i="45"/>
  <c r="AQ41" i="45" s="1"/>
  <c r="G33" i="34"/>
  <c r="P33" i="34" s="1"/>
  <c r="Q33" i="34" s="1"/>
  <c r="Q34" i="45"/>
  <c r="AQ34" i="45" s="1"/>
  <c r="G71" i="34"/>
  <c r="Q72" i="45"/>
  <c r="AQ72" i="45" s="1"/>
  <c r="G30" i="34"/>
  <c r="Q31" i="45"/>
  <c r="AQ31" i="45" s="1"/>
  <c r="G70" i="34"/>
  <c r="P70" i="34" s="1"/>
  <c r="Q70" i="34" s="1"/>
  <c r="Q71" i="45"/>
  <c r="AQ71" i="45" s="1"/>
  <c r="G29" i="34"/>
  <c r="P29" i="34" s="1"/>
  <c r="Q29" i="34" s="1"/>
  <c r="Q30" i="45"/>
  <c r="AQ30" i="45" s="1"/>
  <c r="G35" i="34"/>
  <c r="Q36" i="45"/>
  <c r="AQ36" i="45" s="1"/>
  <c r="G78" i="34"/>
  <c r="Q79" i="45"/>
  <c r="AQ79" i="45" s="1"/>
  <c r="G44" i="34"/>
  <c r="P44" i="34" s="1"/>
  <c r="Q44" i="34" s="1"/>
  <c r="Q45" i="45"/>
  <c r="AQ45" i="45" s="1"/>
  <c r="G79" i="34"/>
  <c r="P79" i="34" s="1"/>
  <c r="Q79" i="34" s="1"/>
  <c r="Q80" i="45"/>
  <c r="AQ80" i="45" s="1"/>
  <c r="G97" i="34"/>
  <c r="Q98" i="45"/>
  <c r="AQ98" i="45" s="1"/>
  <c r="G65" i="34"/>
  <c r="Q66" i="45"/>
  <c r="AQ66" i="45" s="1"/>
  <c r="T70" i="38"/>
  <c r="R70" i="38"/>
  <c r="S70" i="38"/>
  <c r="R77" i="38"/>
  <c r="S77" i="38"/>
  <c r="T77" i="38"/>
  <c r="M729" i="4"/>
  <c r="W730" i="4"/>
  <c r="AG730" i="4" s="1"/>
  <c r="S8" i="38"/>
  <c r="R8" i="38"/>
  <c r="T8" i="38"/>
  <c r="Q109" i="38"/>
  <c r="S93" i="38"/>
  <c r="R93" i="38"/>
  <c r="T93" i="38"/>
  <c r="R90" i="38"/>
  <c r="S90" i="38"/>
  <c r="T90" i="38"/>
  <c r="S101" i="38"/>
  <c r="R101" i="38"/>
  <c r="T101" i="38"/>
  <c r="R35" i="38"/>
  <c r="T35" i="38"/>
  <c r="S35" i="38"/>
  <c r="R146" i="14"/>
  <c r="R167" i="14" s="1"/>
  <c r="AU10" i="19"/>
  <c r="AX10" i="19"/>
  <c r="R97" i="38"/>
  <c r="T97" i="38"/>
  <c r="S97" i="38"/>
  <c r="S87" i="38"/>
  <c r="R87" i="38"/>
  <c r="T87" i="38"/>
  <c r="S40" i="38"/>
  <c r="R40" i="38"/>
  <c r="T40" i="38"/>
  <c r="S20" i="38"/>
  <c r="R20" i="38"/>
  <c r="T20" i="38"/>
  <c r="R82" i="38"/>
  <c r="T82" i="38"/>
  <c r="S82" i="38"/>
  <c r="R99" i="38"/>
  <c r="S99" i="38"/>
  <c r="T99" i="38"/>
  <c r="R73" i="38"/>
  <c r="S73" i="38"/>
  <c r="T73" i="38"/>
  <c r="G13" i="26"/>
  <c r="AX22" i="22"/>
  <c r="AY22" i="22"/>
  <c r="T18" i="38"/>
  <c r="S18" i="38"/>
  <c r="R18" i="38"/>
  <c r="S74" i="38"/>
  <c r="R74" i="38"/>
  <c r="T74" i="38"/>
  <c r="N729" i="4"/>
  <c r="X730" i="4"/>
  <c r="AH730" i="4" s="1"/>
  <c r="S58" i="38"/>
  <c r="R58" i="38"/>
  <c r="T58" i="38"/>
  <c r="R24" i="38"/>
  <c r="S24" i="38"/>
  <c r="T24" i="38"/>
  <c r="S69" i="38"/>
  <c r="R69" i="38"/>
  <c r="T69" i="38"/>
  <c r="S25" i="38"/>
  <c r="R25" i="38"/>
  <c r="T25" i="38"/>
  <c r="S65" i="38"/>
  <c r="T65" i="38"/>
  <c r="R65" i="38"/>
  <c r="U9" i="37"/>
  <c r="R9" i="18"/>
  <c r="R75" i="16"/>
  <c r="T10" i="38"/>
  <c r="S10" i="38"/>
  <c r="R10" i="38"/>
  <c r="T81" i="38"/>
  <c r="R81" i="38"/>
  <c r="S81" i="38"/>
  <c r="S50" i="38"/>
  <c r="T50" i="38"/>
  <c r="R50" i="38"/>
  <c r="T105" i="38"/>
  <c r="S105" i="38"/>
  <c r="R105" i="38"/>
  <c r="V58" i="17"/>
  <c r="V729" i="4"/>
  <c r="S23" i="38"/>
  <c r="T23" i="38"/>
  <c r="R23" i="38"/>
  <c r="T56" i="38"/>
  <c r="S56" i="38"/>
  <c r="R56" i="38"/>
  <c r="S22" i="38"/>
  <c r="R22" i="38"/>
  <c r="T22" i="38"/>
  <c r="O729" i="4"/>
  <c r="Y730" i="4"/>
  <c r="AI730" i="4" s="1"/>
  <c r="R72" i="38"/>
  <c r="S72" i="38"/>
  <c r="T72" i="38"/>
  <c r="T31" i="38"/>
  <c r="S31" i="38"/>
  <c r="R31" i="38"/>
  <c r="S44" i="38"/>
  <c r="R44" i="38"/>
  <c r="T44" i="38"/>
  <c r="S71" i="38"/>
  <c r="R71" i="38"/>
  <c r="T71" i="38"/>
  <c r="R43" i="38"/>
  <c r="S43" i="38"/>
  <c r="T43" i="38"/>
  <c r="R67" i="38"/>
  <c r="S67" i="38"/>
  <c r="T67" i="38"/>
  <c r="S76" i="38"/>
  <c r="R76" i="38"/>
  <c r="T76" i="38"/>
  <c r="R39" i="38"/>
  <c r="T39" i="38"/>
  <c r="S39" i="38"/>
  <c r="S45" i="38"/>
  <c r="T45" i="38"/>
  <c r="R45" i="38"/>
  <c r="S11" i="38"/>
  <c r="R11" i="38"/>
  <c r="T11" i="38"/>
  <c r="S95" i="38"/>
  <c r="R95" i="38"/>
  <c r="T95" i="38"/>
  <c r="S51" i="38"/>
  <c r="R51" i="38"/>
  <c r="T51" i="38"/>
  <c r="AX9" i="19"/>
  <c r="AU9" i="19"/>
  <c r="S29" i="38"/>
  <c r="R29" i="38"/>
  <c r="T29" i="38"/>
  <c r="S80" i="38"/>
  <c r="R80" i="38"/>
  <c r="T80" i="38"/>
  <c r="U730" i="4"/>
  <c r="AE730" i="4" s="1"/>
  <c r="K729" i="4"/>
  <c r="R100" i="38"/>
  <c r="S100" i="38"/>
  <c r="T100" i="38"/>
  <c r="S61" i="38"/>
  <c r="R61" i="38"/>
  <c r="T61" i="38"/>
  <c r="T34" i="38"/>
  <c r="S34" i="38"/>
  <c r="R34" i="38"/>
  <c r="R103" i="38"/>
  <c r="T103" i="38"/>
  <c r="S103" i="38"/>
  <c r="T88" i="38"/>
  <c r="S88" i="38"/>
  <c r="R88" i="38"/>
  <c r="S37" i="38"/>
  <c r="R37" i="38"/>
  <c r="T37" i="38"/>
  <c r="R60" i="38"/>
  <c r="T60" i="38"/>
  <c r="S60" i="38"/>
  <c r="S16" i="38"/>
  <c r="R16" i="38"/>
  <c r="T16" i="38"/>
  <c r="R14" i="38"/>
  <c r="S14" i="38"/>
  <c r="T14" i="38"/>
  <c r="T59" i="38"/>
  <c r="R59" i="38"/>
  <c r="S59" i="38"/>
  <c r="R9" i="38"/>
  <c r="T9" i="38"/>
  <c r="S9" i="38"/>
  <c r="R54" i="38"/>
  <c r="T54" i="38"/>
  <c r="S54" i="38"/>
  <c r="I729" i="4"/>
  <c r="S730" i="4"/>
  <c r="AC730" i="4" s="1"/>
  <c r="O26" i="15"/>
  <c r="O27" i="15"/>
  <c r="O24" i="15"/>
  <c r="S26" i="38"/>
  <c r="R26" i="38"/>
  <c r="T26" i="38"/>
  <c r="S52" i="38"/>
  <c r="R52" i="38"/>
  <c r="T52" i="38"/>
  <c r="T75" i="38"/>
  <c r="R75" i="38"/>
  <c r="S75" i="38"/>
  <c r="S33" i="38"/>
  <c r="R33" i="38"/>
  <c r="T33" i="38"/>
  <c r="S17" i="38"/>
  <c r="R17" i="38"/>
  <c r="T17" i="38"/>
  <c r="S102" i="38"/>
  <c r="R102" i="38"/>
  <c r="T102" i="38"/>
  <c r="T47" i="38"/>
  <c r="S47" i="38"/>
  <c r="R47" i="38"/>
  <c r="S38" i="38"/>
  <c r="R38" i="38"/>
  <c r="T38" i="38"/>
  <c r="S66" i="38"/>
  <c r="R66" i="38"/>
  <c r="T66" i="38"/>
  <c r="S57" i="38"/>
  <c r="R57" i="38"/>
  <c r="T57" i="38"/>
  <c r="R12" i="38"/>
  <c r="T12" i="38"/>
  <c r="S12" i="38"/>
  <c r="S13" i="38"/>
  <c r="R13" i="38"/>
  <c r="T13" i="38"/>
  <c r="S21" i="38"/>
  <c r="T21" i="38"/>
  <c r="R21" i="38"/>
  <c r="R63" i="38"/>
  <c r="S63" i="38"/>
  <c r="T63" i="38"/>
  <c r="T32" i="38"/>
  <c r="S32" i="38"/>
  <c r="R32" i="38"/>
  <c r="R36" i="38"/>
  <c r="S36" i="38"/>
  <c r="T36" i="38"/>
  <c r="S78" i="38"/>
  <c r="R78" i="38"/>
  <c r="T78" i="38"/>
  <c r="S41" i="38"/>
  <c r="R41" i="38"/>
  <c r="T41" i="38"/>
  <c r="T27" i="38"/>
  <c r="R27" i="38"/>
  <c r="S27" i="38"/>
  <c r="S68" i="38"/>
  <c r="R68" i="38"/>
  <c r="T68" i="38"/>
  <c r="R84" i="38"/>
  <c r="S84" i="38"/>
  <c r="T84" i="38"/>
  <c r="R83" i="38"/>
  <c r="S83" i="38"/>
  <c r="T83" i="38"/>
  <c r="R42" i="38"/>
  <c r="S42" i="38"/>
  <c r="T42" i="38"/>
  <c r="R85" i="38"/>
  <c r="T85" i="38"/>
  <c r="S85" i="38"/>
  <c r="S48" i="38"/>
  <c r="R48" i="38"/>
  <c r="T48" i="38"/>
  <c r="S30" i="38"/>
  <c r="R30" i="38"/>
  <c r="T30" i="38"/>
  <c r="S104" i="38"/>
  <c r="R104" i="38"/>
  <c r="T104" i="38"/>
  <c r="S55" i="38"/>
  <c r="R55" i="38"/>
  <c r="T55" i="38"/>
  <c r="S28" i="38"/>
  <c r="R28" i="38"/>
  <c r="T28" i="38"/>
  <c r="J729" i="4"/>
  <c r="T730" i="4"/>
  <c r="AD730" i="4" s="1"/>
  <c r="AU8" i="19"/>
  <c r="AX8" i="19"/>
  <c r="P39" i="46" s="1"/>
  <c r="AR12" i="19"/>
  <c r="S46" i="38"/>
  <c r="R46" i="38"/>
  <c r="T46" i="38"/>
  <c r="S96" i="38"/>
  <c r="T96" i="38"/>
  <c r="R96" i="38"/>
  <c r="S15" i="38"/>
  <c r="R15" i="38"/>
  <c r="T15" i="38"/>
  <c r="R64" i="38"/>
  <c r="T64" i="38"/>
  <c r="S64" i="38"/>
  <c r="R92" i="38"/>
  <c r="T92" i="38"/>
  <c r="S92" i="38"/>
  <c r="S86" i="38"/>
  <c r="R86" i="38"/>
  <c r="T86" i="38"/>
  <c r="R62" i="38"/>
  <c r="T62" i="38"/>
  <c r="S62" i="38"/>
  <c r="T94" i="38"/>
  <c r="R94" i="38"/>
  <c r="S94" i="38"/>
  <c r="T98" i="38"/>
  <c r="R98" i="38"/>
  <c r="S98" i="38"/>
  <c r="S89" i="38"/>
  <c r="R89" i="38"/>
  <c r="T89" i="38"/>
  <c r="T19" i="38"/>
  <c r="S19" i="38"/>
  <c r="R19" i="38"/>
  <c r="S79" i="38"/>
  <c r="R79" i="38"/>
  <c r="T79" i="38"/>
  <c r="R53" i="38"/>
  <c r="T53" i="38"/>
  <c r="S53" i="38"/>
  <c r="R91" i="38"/>
  <c r="S91" i="38"/>
  <c r="T91" i="38"/>
  <c r="R76" i="16" l="1"/>
  <c r="R157" i="16"/>
  <c r="F27" i="47"/>
  <c r="P329" i="16"/>
  <c r="Q80" i="17"/>
  <c r="Q79" i="17"/>
  <c r="Q78" i="17"/>
  <c r="Q76" i="17"/>
  <c r="Q75" i="17"/>
  <c r="Q74" i="17"/>
  <c r="T76" i="16"/>
  <c r="BX151" i="16"/>
  <c r="Q15" i="45"/>
  <c r="AQ15" i="45" s="1"/>
  <c r="AL106" i="45"/>
  <c r="Q106" i="45"/>
  <c r="AQ106" i="45" s="1"/>
  <c r="AL49" i="45"/>
  <c r="Q49" i="45"/>
  <c r="AQ49" i="45" s="1"/>
  <c r="AL107" i="45"/>
  <c r="Q107" i="45"/>
  <c r="AQ107" i="45" s="1"/>
  <c r="P97" i="34"/>
  <c r="Q97" i="34" s="1"/>
  <c r="P35" i="34"/>
  <c r="Q35" i="34" s="1"/>
  <c r="P71" i="34"/>
  <c r="Q71" i="34" s="1"/>
  <c r="P91" i="34"/>
  <c r="Q91" i="34" s="1"/>
  <c r="P96" i="34"/>
  <c r="Q96" i="34" s="1"/>
  <c r="P23" i="34"/>
  <c r="Q23" i="34" s="1"/>
  <c r="P27" i="34"/>
  <c r="Q27" i="34" s="1"/>
  <c r="P46" i="34"/>
  <c r="Q46" i="34" s="1"/>
  <c r="P83" i="34"/>
  <c r="Q83" i="34" s="1"/>
  <c r="P103" i="34"/>
  <c r="Q103" i="34" s="1"/>
  <c r="P18" i="34"/>
  <c r="Q18" i="34" s="1"/>
  <c r="P36" i="34"/>
  <c r="Q36" i="34" s="1"/>
  <c r="P87" i="34"/>
  <c r="Q87" i="34" s="1"/>
  <c r="P22" i="34"/>
  <c r="Q22" i="34" s="1"/>
  <c r="P93" i="34"/>
  <c r="Q93" i="34" s="1"/>
  <c r="P16" i="34"/>
  <c r="Q16" i="34" s="1"/>
  <c r="P88" i="34"/>
  <c r="Q88" i="34" s="1"/>
  <c r="P86" i="34"/>
  <c r="Q86" i="34" s="1"/>
  <c r="P62" i="34"/>
  <c r="Q62" i="34" s="1"/>
  <c r="P34" i="34"/>
  <c r="Q34" i="34" s="1"/>
  <c r="P68" i="34"/>
  <c r="Q68" i="34" s="1"/>
  <c r="P65" i="34"/>
  <c r="Q65" i="34" s="1"/>
  <c r="P78" i="34"/>
  <c r="Q78" i="34" s="1"/>
  <c r="P30" i="34"/>
  <c r="Q30" i="34" s="1"/>
  <c r="P52" i="34"/>
  <c r="Q52" i="34" s="1"/>
  <c r="P80" i="34"/>
  <c r="Q80" i="34" s="1"/>
  <c r="P92" i="34"/>
  <c r="Q92" i="34" s="1"/>
  <c r="P55" i="34"/>
  <c r="Q55" i="34" s="1"/>
  <c r="P17" i="34"/>
  <c r="Q17" i="34" s="1"/>
  <c r="P53" i="34"/>
  <c r="Q53" i="34" s="1"/>
  <c r="P49" i="34"/>
  <c r="Q49" i="34" s="1"/>
  <c r="P26" i="34"/>
  <c r="Q26" i="34" s="1"/>
  <c r="P41" i="34"/>
  <c r="Q41" i="34" s="1"/>
  <c r="P24" i="34"/>
  <c r="Q24" i="34" s="1"/>
  <c r="P45" i="34"/>
  <c r="Q45" i="34" s="1"/>
  <c r="P50" i="34"/>
  <c r="Q50" i="34" s="1"/>
  <c r="P74" i="34"/>
  <c r="Q74" i="34" s="1"/>
  <c r="P102" i="34"/>
  <c r="Q102" i="34" s="1"/>
  <c r="P63" i="34"/>
  <c r="Q63" i="34" s="1"/>
  <c r="P61" i="34"/>
  <c r="Q61" i="34" s="1"/>
  <c r="P64" i="34"/>
  <c r="Q64" i="34" s="1"/>
  <c r="P12" i="34"/>
  <c r="Q12" i="34" s="1"/>
  <c r="P67" i="34"/>
  <c r="Q67" i="34" s="1"/>
  <c r="AU12" i="19"/>
  <c r="AW12" i="19"/>
  <c r="AC58" i="17"/>
  <c r="AF729" i="4"/>
  <c r="AJ58" i="17" s="1"/>
  <c r="W58" i="17"/>
  <c r="W729" i="4"/>
  <c r="T729" i="4"/>
  <c r="T58" i="17"/>
  <c r="S58" i="17"/>
  <c r="S729" i="4"/>
  <c r="J17" i="37"/>
  <c r="K17" i="37"/>
  <c r="M17" i="37"/>
  <c r="G17" i="37"/>
  <c r="H17" i="37"/>
  <c r="I17" i="37"/>
  <c r="L17" i="37"/>
  <c r="F17" i="37"/>
  <c r="AX12" i="19"/>
  <c r="Y729" i="4"/>
  <c r="Y58" i="17"/>
  <c r="R109" i="38"/>
  <c r="S109" i="38"/>
  <c r="T109" i="38"/>
  <c r="H27" i="27"/>
  <c r="J34" i="17"/>
  <c r="BX214" i="45" s="1"/>
  <c r="CH214" i="45" s="1"/>
  <c r="U729" i="4"/>
  <c r="U58" i="17"/>
  <c r="J17" i="18"/>
  <c r="H17" i="18"/>
  <c r="I17" i="18"/>
  <c r="G17" i="18"/>
  <c r="F17" i="18"/>
  <c r="X729" i="4"/>
  <c r="X58" i="17"/>
  <c r="U329" i="16" l="1"/>
  <c r="Y329" i="16" s="1"/>
  <c r="J33" i="17"/>
  <c r="BX213" i="45" s="1"/>
  <c r="CH213" i="45" s="1"/>
  <c r="J19" i="29"/>
  <c r="K19" i="29" s="1"/>
  <c r="K27" i="27"/>
  <c r="O106" i="38"/>
  <c r="AB58" i="17"/>
  <c r="AE729" i="4"/>
  <c r="AI58" i="17" s="1"/>
  <c r="O34" i="17"/>
  <c r="CM238" i="45" s="1"/>
  <c r="CW238" i="45" s="1"/>
  <c r="O107" i="38"/>
  <c r="AE58" i="17"/>
  <c r="AH729" i="4"/>
  <c r="AL58" i="17" s="1"/>
  <c r="R161" i="16"/>
  <c r="R169" i="16" s="1"/>
  <c r="R176" i="16"/>
  <c r="AI729" i="4"/>
  <c r="AM58" i="17" s="1"/>
  <c r="AF58" i="17"/>
  <c r="AC729" i="4"/>
  <c r="AG58" i="17" s="1"/>
  <c r="Z58" i="17"/>
  <c r="AG729" i="4"/>
  <c r="AK58" i="17" s="1"/>
  <c r="AD58" i="17"/>
  <c r="O49" i="38"/>
  <c r="AA58" i="17"/>
  <c r="AD729" i="4"/>
  <c r="AH58" i="17" s="1"/>
  <c r="T33" i="17" l="1"/>
  <c r="I29" i="40" s="1"/>
  <c r="O33" i="17"/>
  <c r="I76" i="34"/>
  <c r="I34" i="34"/>
  <c r="I65" i="34"/>
  <c r="I24" i="34"/>
  <c r="I87" i="34"/>
  <c r="O34" i="38"/>
  <c r="I30" i="34"/>
  <c r="I61" i="34"/>
  <c r="I85" i="34"/>
  <c r="O88" i="38"/>
  <c r="I80" i="34"/>
  <c r="O65" i="38"/>
  <c r="O18" i="38"/>
  <c r="I23" i="34"/>
  <c r="O91" i="38"/>
  <c r="I84" i="34"/>
  <c r="O95" i="38"/>
  <c r="I26" i="34"/>
  <c r="O40" i="38"/>
  <c r="O26" i="38"/>
  <c r="I78" i="34"/>
  <c r="O102" i="38"/>
  <c r="O56" i="38"/>
  <c r="O98" i="38"/>
  <c r="I58" i="34"/>
  <c r="I41" i="34"/>
  <c r="O37" i="38"/>
  <c r="O73" i="38"/>
  <c r="I73" i="34"/>
  <c r="I81" i="34"/>
  <c r="I18" i="34"/>
  <c r="O81" i="38"/>
  <c r="I22" i="34"/>
  <c r="I52" i="34"/>
  <c r="O96" i="38"/>
  <c r="I37" i="34"/>
  <c r="O85" i="38"/>
  <c r="O27" i="38"/>
  <c r="O79" i="38"/>
  <c r="O43" i="38"/>
  <c r="I101" i="34"/>
  <c r="I89" i="34"/>
  <c r="I69" i="34"/>
  <c r="I40" i="34"/>
  <c r="O59" i="38"/>
  <c r="I35" i="34"/>
  <c r="I100" i="34"/>
  <c r="O82" i="38"/>
  <c r="O19" i="38"/>
  <c r="I50" i="34"/>
  <c r="I53" i="34"/>
  <c r="O53" i="38"/>
  <c r="AA107" i="38"/>
  <c r="U107" i="38"/>
  <c r="I96" i="34"/>
  <c r="I14" i="34"/>
  <c r="I88" i="34"/>
  <c r="O38" i="38"/>
  <c r="I42" i="34"/>
  <c r="O90" i="38"/>
  <c r="I92" i="34"/>
  <c r="O70" i="38"/>
  <c r="O66" i="38"/>
  <c r="O33" i="38"/>
  <c r="O41" i="38"/>
  <c r="O36" i="38"/>
  <c r="I36" i="34"/>
  <c r="I19" i="34"/>
  <c r="I62" i="34"/>
  <c r="O45" i="38"/>
  <c r="I75" i="34"/>
  <c r="O23" i="38"/>
  <c r="O24" i="38"/>
  <c r="O97" i="38"/>
  <c r="O71" i="38"/>
  <c r="I43" i="34"/>
  <c r="O25" i="38"/>
  <c r="I20" i="34"/>
  <c r="O15" i="38"/>
  <c r="I21" i="34"/>
  <c r="I15" i="34"/>
  <c r="I99" i="34"/>
  <c r="I10" i="34"/>
  <c r="O93" i="38"/>
  <c r="I55" i="34"/>
  <c r="I11" i="34"/>
  <c r="O99" i="38"/>
  <c r="O35" i="38"/>
  <c r="I60" i="34"/>
  <c r="O20" i="38"/>
  <c r="I13" i="34"/>
  <c r="I38" i="34"/>
  <c r="AA49" i="38"/>
  <c r="U49" i="38"/>
  <c r="I27" i="34"/>
  <c r="O62" i="38"/>
  <c r="I29" i="34"/>
  <c r="O54" i="38"/>
  <c r="O58" i="38"/>
  <c r="O63" i="38"/>
  <c r="O69" i="38"/>
  <c r="O57" i="38"/>
  <c r="I67" i="34"/>
  <c r="O30" i="38"/>
  <c r="I91" i="34"/>
  <c r="O76" i="38"/>
  <c r="O44" i="38"/>
  <c r="O21" i="38"/>
  <c r="O22" i="38"/>
  <c r="I46" i="34"/>
  <c r="O16" i="38"/>
  <c r="O100" i="38"/>
  <c r="O11" i="38"/>
  <c r="I49" i="34"/>
  <c r="I86" i="34"/>
  <c r="I82" i="34"/>
  <c r="I66" i="34"/>
  <c r="AA106" i="38"/>
  <c r="U106" i="38"/>
  <c r="O61" i="38"/>
  <c r="O14" i="38"/>
  <c r="O39" i="38"/>
  <c r="I57" i="34"/>
  <c r="O28" i="38"/>
  <c r="O101" i="38"/>
  <c r="I72" i="34"/>
  <c r="O31" i="38"/>
  <c r="I33" i="34"/>
  <c r="I47" i="34"/>
  <c r="R205" i="16"/>
  <c r="O92" i="38"/>
  <c r="I103" i="34"/>
  <c r="I31" i="34"/>
  <c r="O47" i="38"/>
  <c r="I104" i="34"/>
  <c r="O50" i="38"/>
  <c r="O46" i="38"/>
  <c r="I77" i="34"/>
  <c r="O87" i="38"/>
  <c r="O67" i="38"/>
  <c r="I54" i="34"/>
  <c r="I16" i="34"/>
  <c r="O42" i="38"/>
  <c r="I79" i="34"/>
  <c r="O77" i="38"/>
  <c r="O86" i="38"/>
  <c r="I44" i="34"/>
  <c r="I68" i="34"/>
  <c r="I56" i="34"/>
  <c r="O68" i="38"/>
  <c r="O51" i="38"/>
  <c r="I83" i="34"/>
  <c r="O74" i="38"/>
  <c r="O48" i="38"/>
  <c r="O60" i="38"/>
  <c r="I51" i="34"/>
  <c r="R170" i="16"/>
  <c r="O75" i="38"/>
  <c r="O84" i="38"/>
  <c r="I12" i="34"/>
  <c r="O104" i="38"/>
  <c r="O32" i="38"/>
  <c r="T34" i="17"/>
  <c r="I71" i="34"/>
  <c r="O29" i="38"/>
  <c r="O105" i="38"/>
  <c r="O78" i="38"/>
  <c r="I93" i="34"/>
  <c r="O83" i="38"/>
  <c r="O55" i="38"/>
  <c r="O17" i="38"/>
  <c r="I98" i="34"/>
  <c r="I102" i="34"/>
  <c r="O64" i="38"/>
  <c r="O80" i="38"/>
  <c r="I59" i="34"/>
  <c r="O52" i="38"/>
  <c r="I64" i="34"/>
  <c r="I74" i="34"/>
  <c r="O13" i="38"/>
  <c r="I95" i="34"/>
  <c r="I90" i="34"/>
  <c r="O89" i="38"/>
  <c r="O72" i="38"/>
  <c r="I94" i="34"/>
  <c r="I39" i="34"/>
  <c r="I28" i="34"/>
  <c r="I25" i="34"/>
  <c r="O94" i="38"/>
  <c r="I32" i="34"/>
  <c r="O12" i="38"/>
  <c r="I97" i="34"/>
  <c r="O103" i="38"/>
  <c r="I63" i="34"/>
  <c r="CM237" i="45" l="1"/>
  <c r="CW237" i="45" s="1"/>
  <c r="L14" i="17"/>
  <c r="L15" i="17"/>
  <c r="K29" i="40"/>
  <c r="K15" i="40" s="1"/>
  <c r="M15" i="40" s="1"/>
  <c r="I17" i="34"/>
  <c r="I45" i="34"/>
  <c r="I105" i="34"/>
  <c r="I106" i="34"/>
  <c r="I48" i="34"/>
  <c r="I70" i="34"/>
  <c r="D14" i="42"/>
  <c r="H14" i="42" s="1"/>
  <c r="N14" i="42" s="1"/>
  <c r="P14" i="42" s="1"/>
  <c r="D12" i="42"/>
  <c r="H12" i="42" s="1"/>
  <c r="N12" i="42" s="1"/>
  <c r="P12" i="42" s="1"/>
  <c r="D10" i="42"/>
  <c r="D13" i="42"/>
  <c r="H13" i="42" s="1"/>
  <c r="N13" i="42" s="1"/>
  <c r="P13" i="42" s="1"/>
  <c r="D11" i="42"/>
  <c r="H11" i="42" s="1"/>
  <c r="N11" i="42" s="1"/>
  <c r="P11" i="42" s="1"/>
  <c r="D15" i="42"/>
  <c r="H15" i="42" s="1"/>
  <c r="N15" i="42" s="1"/>
  <c r="P15" i="42" s="1"/>
  <c r="AA80" i="38"/>
  <c r="U80" i="38"/>
  <c r="AA74" i="38"/>
  <c r="U74" i="38"/>
  <c r="AA67" i="38"/>
  <c r="U67" i="38"/>
  <c r="AA87" i="38"/>
  <c r="U87" i="38"/>
  <c r="AA47" i="38"/>
  <c r="U47" i="38"/>
  <c r="AA28" i="38"/>
  <c r="U28" i="38"/>
  <c r="AA11" i="38"/>
  <c r="U11" i="38"/>
  <c r="AA76" i="38"/>
  <c r="U76" i="38"/>
  <c r="AA57" i="38"/>
  <c r="U57" i="38"/>
  <c r="AA97" i="38"/>
  <c r="U97" i="38"/>
  <c r="AA33" i="38"/>
  <c r="U33" i="38"/>
  <c r="AA90" i="38"/>
  <c r="U90" i="38"/>
  <c r="AA98" i="38"/>
  <c r="U98" i="38"/>
  <c r="AA31" i="38"/>
  <c r="U31" i="38"/>
  <c r="AA39" i="38"/>
  <c r="U39" i="38"/>
  <c r="AA16" i="38"/>
  <c r="U16" i="38"/>
  <c r="AA25" i="38"/>
  <c r="U25" i="38"/>
  <c r="AA38" i="38"/>
  <c r="U38" i="38"/>
  <c r="AA53" i="38"/>
  <c r="U53" i="38"/>
  <c r="AA27" i="38"/>
  <c r="U27" i="38"/>
  <c r="AA42" i="38"/>
  <c r="U42" i="38"/>
  <c r="AA72" i="38"/>
  <c r="U72" i="38"/>
  <c r="AA52" i="38"/>
  <c r="U52" i="38"/>
  <c r="AA105" i="38"/>
  <c r="U105" i="38"/>
  <c r="AA92" i="38"/>
  <c r="U92" i="38"/>
  <c r="AA14" i="38"/>
  <c r="U14" i="38"/>
  <c r="AA61" i="38"/>
  <c r="U61" i="38"/>
  <c r="AA35" i="38"/>
  <c r="U35" i="38"/>
  <c r="AA99" i="38"/>
  <c r="U99" i="38"/>
  <c r="AA93" i="38"/>
  <c r="U93" i="38"/>
  <c r="AA66" i="38"/>
  <c r="U66" i="38"/>
  <c r="AA43" i="38"/>
  <c r="U43" i="38"/>
  <c r="AA96" i="38"/>
  <c r="U96" i="38"/>
  <c r="AA81" i="38"/>
  <c r="U81" i="38"/>
  <c r="AA37" i="38"/>
  <c r="U37" i="38"/>
  <c r="AA102" i="38"/>
  <c r="U102" i="38"/>
  <c r="AA64" i="38"/>
  <c r="U64" i="38"/>
  <c r="AA75" i="38"/>
  <c r="U75" i="38"/>
  <c r="AA60" i="38"/>
  <c r="U60" i="38"/>
  <c r="AA77" i="38"/>
  <c r="U77" i="38"/>
  <c r="AA94" i="38"/>
  <c r="U94" i="38"/>
  <c r="AA55" i="38"/>
  <c r="U55" i="38"/>
  <c r="AA48" i="38"/>
  <c r="U48" i="38"/>
  <c r="AA68" i="38"/>
  <c r="U68" i="38"/>
  <c r="AA22" i="38"/>
  <c r="U22" i="38"/>
  <c r="AA45" i="38"/>
  <c r="U45" i="38"/>
  <c r="AA40" i="38"/>
  <c r="U40" i="38"/>
  <c r="AA65" i="38"/>
  <c r="U65" i="38"/>
  <c r="AA103" i="38"/>
  <c r="U103" i="38"/>
  <c r="AA89" i="38"/>
  <c r="U89" i="38"/>
  <c r="AA62" i="38"/>
  <c r="U62" i="38"/>
  <c r="AA20" i="38"/>
  <c r="U20" i="38"/>
  <c r="AA15" i="38"/>
  <c r="U15" i="38"/>
  <c r="AA23" i="38"/>
  <c r="U23" i="38"/>
  <c r="AA19" i="38"/>
  <c r="U19" i="38"/>
  <c r="AA17" i="38"/>
  <c r="U17" i="38"/>
  <c r="AA32" i="38"/>
  <c r="U32" i="38"/>
  <c r="AA46" i="38"/>
  <c r="U46" i="38"/>
  <c r="R231" i="16"/>
  <c r="AA100" i="38"/>
  <c r="U100" i="38"/>
  <c r="AA30" i="38"/>
  <c r="U30" i="38"/>
  <c r="AA63" i="38"/>
  <c r="U63" i="38"/>
  <c r="AA71" i="38"/>
  <c r="U71" i="38"/>
  <c r="AA24" i="38"/>
  <c r="U24" i="38"/>
  <c r="AA70" i="38"/>
  <c r="U70" i="38"/>
  <c r="AA85" i="38"/>
  <c r="U85" i="38"/>
  <c r="AA34" i="38"/>
  <c r="U34" i="38"/>
  <c r="AA29" i="38"/>
  <c r="U29" i="38"/>
  <c r="AA84" i="38"/>
  <c r="U84" i="38"/>
  <c r="AA21" i="38"/>
  <c r="U21" i="38"/>
  <c r="AA54" i="38"/>
  <c r="U54" i="38"/>
  <c r="AA36" i="38"/>
  <c r="U36" i="38"/>
  <c r="AA41" i="38"/>
  <c r="U41" i="38"/>
  <c r="AA82" i="38"/>
  <c r="U82" i="38"/>
  <c r="AA79" i="38"/>
  <c r="U79" i="38"/>
  <c r="AA73" i="38"/>
  <c r="U73" i="38"/>
  <c r="AA56" i="38"/>
  <c r="U56" i="38"/>
  <c r="AA26" i="38"/>
  <c r="U26" i="38"/>
  <c r="AA91" i="38"/>
  <c r="U91" i="38"/>
  <c r="AA13" i="38"/>
  <c r="U13" i="38"/>
  <c r="AA51" i="38"/>
  <c r="U51" i="38"/>
  <c r="AA86" i="38"/>
  <c r="U86" i="38"/>
  <c r="AA12" i="38"/>
  <c r="U12" i="38"/>
  <c r="AA83" i="38"/>
  <c r="U83" i="38"/>
  <c r="AA78" i="38"/>
  <c r="U78" i="38"/>
  <c r="AA104" i="38"/>
  <c r="U104" i="38"/>
  <c r="AA50" i="38"/>
  <c r="U50" i="38"/>
  <c r="AA101" i="38"/>
  <c r="U101" i="38"/>
  <c r="AA44" i="38"/>
  <c r="U44" i="38"/>
  <c r="AA69" i="38"/>
  <c r="U69" i="38"/>
  <c r="AA58" i="38"/>
  <c r="U58" i="38"/>
  <c r="AA59" i="38"/>
  <c r="U59" i="38"/>
  <c r="AA95" i="38"/>
  <c r="U95" i="38"/>
  <c r="AA18" i="38"/>
  <c r="U18" i="38"/>
  <c r="AA88" i="38"/>
  <c r="U88" i="38"/>
  <c r="K17" i="40" l="1"/>
  <c r="M17" i="40" s="1"/>
  <c r="K19" i="40"/>
  <c r="M19" i="40" s="1"/>
  <c r="K18" i="40"/>
  <c r="M18" i="40" s="1"/>
  <c r="K16" i="40"/>
  <c r="M16" i="40" s="1"/>
  <c r="T21" i="40"/>
  <c r="I21" i="40" s="1"/>
  <c r="H26" i="33"/>
  <c r="K26" i="33" s="1"/>
  <c r="BG159" i="45"/>
  <c r="BG179" i="45" s="1"/>
  <c r="M15" i="17"/>
  <c r="BH159" i="45" s="1"/>
  <c r="BH179" i="45" s="1"/>
  <c r="M14" i="17"/>
  <c r="BH158" i="45" s="1"/>
  <c r="BH178" i="45" s="1"/>
  <c r="BG158" i="45"/>
  <c r="BG178" i="45" s="1"/>
  <c r="K23" i="40"/>
  <c r="H10" i="42"/>
  <c r="D16" i="42"/>
  <c r="R241" i="16"/>
  <c r="K21" i="40" l="1"/>
  <c r="M21" i="40" s="1"/>
  <c r="N21" i="40"/>
  <c r="N10" i="42"/>
  <c r="H16" i="42"/>
  <c r="R245" i="16"/>
  <c r="R252" i="16"/>
  <c r="N16" i="42" l="1"/>
  <c r="P16" i="42" s="1"/>
  <c r="H28" i="33" s="1"/>
  <c r="K28" i="33" s="1"/>
  <c r="P10" i="42"/>
  <c r="R292" i="16"/>
  <c r="R246" i="16"/>
  <c r="R296" i="16" l="1"/>
  <c r="R305" i="16" s="1"/>
  <c r="R350" i="16"/>
  <c r="R357" i="16" s="1"/>
  <c r="R359" i="16" s="1"/>
  <c r="AN106" i="38" l="1"/>
  <c r="AG106" i="38" s="1"/>
  <c r="R306" i="16"/>
  <c r="R308" i="16"/>
  <c r="AN107" i="38"/>
  <c r="AG107" i="38" s="1"/>
  <c r="AN49" i="38"/>
  <c r="AG49" i="38" s="1"/>
  <c r="AN96" i="38" l="1"/>
  <c r="AG96" i="38" s="1"/>
  <c r="AN103" i="38"/>
  <c r="AG103" i="38" s="1"/>
  <c r="AN63" i="38"/>
  <c r="AG63" i="38" s="1"/>
  <c r="AN91" i="38"/>
  <c r="AG91" i="38" s="1"/>
  <c r="AN50" i="38"/>
  <c r="AG50" i="38" s="1"/>
  <c r="AN84" i="38"/>
  <c r="AG84" i="38" s="1"/>
  <c r="AN16" i="38"/>
  <c r="AG16" i="38" s="1"/>
  <c r="AN90" i="38"/>
  <c r="AG90" i="38" s="1"/>
  <c r="AN52" i="38"/>
  <c r="AG52" i="38" s="1"/>
  <c r="AN62" i="38"/>
  <c r="AG62" i="38" s="1"/>
  <c r="AN26" i="38"/>
  <c r="AG26" i="38" s="1"/>
  <c r="AN14" i="38"/>
  <c r="AG14" i="38" s="1"/>
  <c r="AN55" i="38"/>
  <c r="AG55" i="38" s="1"/>
  <c r="AN61" i="38"/>
  <c r="AG61" i="38" s="1"/>
  <c r="AN19" i="38"/>
  <c r="AG19" i="38" s="1"/>
  <c r="AN51" i="38"/>
  <c r="AG51" i="38" s="1"/>
  <c r="AN24" i="38"/>
  <c r="AG24" i="38" s="1"/>
  <c r="AN60" i="38"/>
  <c r="AG60" i="38" s="1"/>
  <c r="AN47" i="38"/>
  <c r="AG47" i="38" s="1"/>
  <c r="AN75" i="38"/>
  <c r="AG75" i="38" s="1"/>
  <c r="AN64" i="38"/>
  <c r="AG64" i="38" s="1"/>
  <c r="AN95" i="38"/>
  <c r="AG95" i="38" s="1"/>
  <c r="AN43" i="38"/>
  <c r="AG43" i="38" s="1"/>
  <c r="R311" i="16"/>
  <c r="R314" i="16"/>
  <c r="AN79" i="38"/>
  <c r="AG79" i="38" s="1"/>
  <c r="AN12" i="38"/>
  <c r="AG12" i="38" s="1"/>
  <c r="AN93" i="38"/>
  <c r="AG93" i="38" s="1"/>
  <c r="AN105" i="38"/>
  <c r="AG105" i="38" s="1"/>
  <c r="AN41" i="38"/>
  <c r="AG41" i="38" s="1"/>
  <c r="AN57" i="38"/>
  <c r="AG57" i="38" s="1"/>
  <c r="AN54" i="38"/>
  <c r="AG54" i="38" s="1"/>
  <c r="AN82" i="38"/>
  <c r="AG82" i="38" s="1"/>
  <c r="AN71" i="38"/>
  <c r="AG71" i="38" s="1"/>
  <c r="AN11" i="38"/>
  <c r="AG11" i="38" s="1"/>
  <c r="AN97" i="38"/>
  <c r="AG97" i="38" s="1"/>
  <c r="AN104" i="38"/>
  <c r="AG104" i="38" s="1"/>
  <c r="AN59" i="38"/>
  <c r="AG59" i="38" s="1"/>
  <c r="AN77" i="38"/>
  <c r="AG77" i="38" s="1"/>
  <c r="AN98" i="38"/>
  <c r="AG98" i="38" s="1"/>
  <c r="AN83" i="38"/>
  <c r="AG83" i="38" s="1"/>
  <c r="AN28" i="38"/>
  <c r="AG28" i="38" s="1"/>
  <c r="AN33" i="38"/>
  <c r="AG33" i="38" s="1"/>
  <c r="AN13" i="38"/>
  <c r="AG13" i="38" s="1"/>
  <c r="AN69" i="38"/>
  <c r="AG69" i="38" s="1"/>
  <c r="AN58" i="38"/>
  <c r="AG58" i="38" s="1"/>
  <c r="AN30" i="38"/>
  <c r="AG30" i="38" s="1"/>
  <c r="AN27" i="38"/>
  <c r="AG27" i="38" s="1"/>
  <c r="AN102" i="38"/>
  <c r="AG102" i="38" s="1"/>
  <c r="AN18" i="38"/>
  <c r="AG18" i="38" s="1"/>
  <c r="AN29" i="38"/>
  <c r="AG29" i="38" s="1"/>
  <c r="AN94" i="38"/>
  <c r="AG94" i="38" s="1"/>
  <c r="AN32" i="38"/>
  <c r="AG32" i="38" s="1"/>
  <c r="AN35" i="38"/>
  <c r="AG35" i="38" s="1"/>
  <c r="AN23" i="38"/>
  <c r="AG23" i="38" s="1"/>
  <c r="AN44" i="38"/>
  <c r="AG44" i="38" s="1"/>
  <c r="AN100" i="38"/>
  <c r="AG100" i="38" s="1"/>
  <c r="AN38" i="38"/>
  <c r="AG38" i="38" s="1"/>
  <c r="AN15" i="38"/>
  <c r="AG15" i="38" s="1"/>
  <c r="AN31" i="38"/>
  <c r="AG31" i="38" s="1"/>
  <c r="AN81" i="38"/>
  <c r="AG81" i="38" s="1"/>
  <c r="AN65" i="38"/>
  <c r="AG65" i="38" s="1"/>
  <c r="AN67" i="38"/>
  <c r="AG67" i="38" s="1"/>
  <c r="AN48" i="38"/>
  <c r="AG48" i="38" s="1"/>
  <c r="AN40" i="38"/>
  <c r="AG40" i="38" s="1"/>
  <c r="AN87" i="38"/>
  <c r="AG87" i="38" s="1"/>
  <c r="AN53" i="38"/>
  <c r="AG53" i="38" s="1"/>
  <c r="AN56" i="38"/>
  <c r="AG56" i="38" s="1"/>
  <c r="AN46" i="38"/>
  <c r="AG46" i="38" s="1"/>
  <c r="AN45" i="38"/>
  <c r="AG45" i="38" s="1"/>
  <c r="AN22" i="38"/>
  <c r="AG22" i="38" s="1"/>
  <c r="AN86" i="38"/>
  <c r="AG86" i="38" s="1"/>
  <c r="AN25" i="38"/>
  <c r="AG25" i="38" s="1"/>
  <c r="AN92" i="38"/>
  <c r="AG92" i="38" s="1"/>
  <c r="AN42" i="38"/>
  <c r="AG42" i="38" s="1"/>
  <c r="AN74" i="38"/>
  <c r="AG74" i="38" s="1"/>
  <c r="AN17" i="38"/>
  <c r="AG17" i="38" s="1"/>
  <c r="AN99" i="38"/>
  <c r="AG99" i="38" s="1"/>
  <c r="AN78" i="38"/>
  <c r="AG78" i="38" s="1"/>
  <c r="AN21" i="38"/>
  <c r="AG21" i="38" s="1"/>
  <c r="AN73" i="38"/>
  <c r="AG73" i="38" s="1"/>
  <c r="AN70" i="38"/>
  <c r="AG70" i="38" s="1"/>
  <c r="AN72" i="38"/>
  <c r="AG72" i="38" s="1"/>
  <c r="AN34" i="38"/>
  <c r="AG34" i="38" s="1"/>
  <c r="AN36" i="38"/>
  <c r="AG36" i="38" s="1"/>
  <c r="AN39" i="38"/>
  <c r="AG39" i="38" s="1"/>
  <c r="AN80" i="38"/>
  <c r="AG80" i="38" s="1"/>
  <c r="AN85" i="38"/>
  <c r="AG85" i="38" s="1"/>
  <c r="AN20" i="38"/>
  <c r="AG20" i="38" s="1"/>
  <c r="AN88" i="38"/>
  <c r="AG88" i="38" s="1"/>
  <c r="AN37" i="38"/>
  <c r="AG37" i="38" s="1"/>
  <c r="AN68" i="38"/>
  <c r="AG68" i="38" s="1"/>
  <c r="AN89" i="38"/>
  <c r="AG89" i="38" s="1"/>
  <c r="AN76" i="38"/>
  <c r="AG76" i="38" s="1"/>
  <c r="AN66" i="38"/>
  <c r="AG66" i="38" s="1"/>
  <c r="AN101" i="38"/>
  <c r="AG101" i="38" s="1"/>
  <c r="R315" i="16" l="1"/>
  <c r="R312" i="16"/>
  <c r="J36" i="18" l="1"/>
  <c r="J18" i="29" l="1"/>
  <c r="H15" i="27"/>
  <c r="K15" i="27" s="1"/>
  <c r="H24" i="4"/>
  <c r="H19" i="33" s="1"/>
  <c r="K19" i="33" s="1"/>
  <c r="K24" i="27" l="1"/>
  <c r="K30" i="27"/>
  <c r="H24" i="27"/>
  <c r="H30" i="27"/>
  <c r="S59" i="14"/>
  <c r="S60" i="14" s="1"/>
  <c r="S107" i="14" s="1"/>
  <c r="S118" i="14" s="1"/>
  <c r="BV259" i="12"/>
  <c r="S74" i="16"/>
  <c r="P331" i="16" s="1"/>
  <c r="U331" i="16" s="1"/>
  <c r="Y331" i="16" s="1"/>
  <c r="K18" i="29"/>
  <c r="S75" i="16" l="1"/>
  <c r="U21" i="39"/>
  <c r="O10" i="26"/>
  <c r="U22" i="39"/>
  <c r="R10" i="18"/>
  <c r="U10" i="37"/>
  <c r="BV261" i="12"/>
  <c r="BW261" i="12" s="1"/>
  <c r="BV262" i="12"/>
  <c r="BW262" i="12" s="1"/>
  <c r="BV263" i="12"/>
  <c r="BW263" i="12" s="1"/>
  <c r="S76" i="16" l="1"/>
  <c r="S157" i="16"/>
  <c r="F28" i="47"/>
  <c r="T22" i="39"/>
  <c r="G578" i="4"/>
  <c r="W9" i="26" s="1"/>
  <c r="G501" i="4"/>
  <c r="AZ20" i="22"/>
  <c r="BZ82" i="28" s="1"/>
  <c r="K271" i="12"/>
  <c r="G18" i="37"/>
  <c r="F18" i="37"/>
  <c r="I18" i="37"/>
  <c r="L23" i="37"/>
  <c r="G23" i="37"/>
  <c r="M18" i="37"/>
  <c r="H18" i="37"/>
  <c r="H23" i="37"/>
  <c r="M23" i="37"/>
  <c r="I23" i="37"/>
  <c r="L18" i="37"/>
  <c r="K23" i="37"/>
  <c r="J23" i="37"/>
  <c r="K18" i="37"/>
  <c r="J18" i="37"/>
  <c r="F23" i="37"/>
  <c r="H23" i="18"/>
  <c r="H18" i="18"/>
  <c r="G23" i="18"/>
  <c r="G18" i="18"/>
  <c r="I23" i="18"/>
  <c r="F23" i="18"/>
  <c r="J18" i="18"/>
  <c r="F18" i="18"/>
  <c r="I18" i="18"/>
  <c r="J23" i="18"/>
  <c r="K269" i="12"/>
  <c r="AZ18" i="22"/>
  <c r="BZ83" i="28" s="1"/>
  <c r="K270" i="12"/>
  <c r="AZ19" i="22"/>
  <c r="BZ85" i="28" s="1"/>
  <c r="J35" i="17"/>
  <c r="T13" i="40" s="1"/>
  <c r="I13" i="40" s="1"/>
  <c r="N13" i="40" s="1"/>
  <c r="BZ86" i="28" l="1"/>
  <c r="S271" i="12"/>
  <c r="T271" i="12" s="1"/>
  <c r="U271" i="12" s="1"/>
  <c r="V271" i="12" s="1"/>
  <c r="W271" i="12" s="1"/>
  <c r="X271" i="12" s="1"/>
  <c r="Y271" i="12" s="1"/>
  <c r="Z271" i="12" s="1"/>
  <c r="AA271" i="12" s="1"/>
  <c r="AB271" i="12" s="1"/>
  <c r="AC271" i="12" s="1"/>
  <c r="AD271" i="12" s="1"/>
  <c r="AE271" i="12" s="1"/>
  <c r="AF271" i="12" s="1"/>
  <c r="AG271" i="12" s="1"/>
  <c r="AH271" i="12" s="1"/>
  <c r="AI271" i="12" s="1"/>
  <c r="AJ271" i="12" s="1"/>
  <c r="AK271" i="12" s="1"/>
  <c r="AL271" i="12" s="1"/>
  <c r="AM271" i="12" s="1"/>
  <c r="AN271" i="12" s="1"/>
  <c r="AO271" i="12" s="1"/>
  <c r="AP271" i="12" s="1"/>
  <c r="AQ271" i="12" s="1"/>
  <c r="AR271" i="12" s="1"/>
  <c r="AS271" i="12" s="1"/>
  <c r="AT271" i="12" s="1"/>
  <c r="AU271" i="12" s="1"/>
  <c r="AV271" i="12" s="1"/>
  <c r="AW271" i="12" s="1"/>
  <c r="AX271" i="12" s="1"/>
  <c r="AY271" i="12" s="1"/>
  <c r="AZ271" i="12" s="1"/>
  <c r="BA271" i="12" s="1"/>
  <c r="BB271" i="12" s="1"/>
  <c r="BC271" i="12" s="1"/>
  <c r="BD271" i="12" s="1"/>
  <c r="BE271" i="12" s="1"/>
  <c r="BF271" i="12" s="1"/>
  <c r="BG271" i="12" s="1"/>
  <c r="GB15" i="5"/>
  <c r="K46" i="13"/>
  <c r="L10" i="45"/>
  <c r="G9" i="34"/>
  <c r="P9" i="34" s="1"/>
  <c r="Q9" i="34" s="1"/>
  <c r="AS10" i="19"/>
  <c r="AV10" i="19" s="1"/>
  <c r="BB20" i="22"/>
  <c r="BA20" i="22"/>
  <c r="L9" i="45"/>
  <c r="AS9" i="19"/>
  <c r="AV9" i="19" s="1"/>
  <c r="G8" i="34"/>
  <c r="P8" i="34" s="1"/>
  <c r="Q8" i="34" s="1"/>
  <c r="BA19" i="22"/>
  <c r="BB19" i="22"/>
  <c r="H579" i="4"/>
  <c r="G579" i="4" s="1"/>
  <c r="AH128" i="14"/>
  <c r="AH139" i="14" s="1"/>
  <c r="AO128" i="14"/>
  <c r="AO139" i="14" s="1"/>
  <c r="Y128" i="14"/>
  <c r="Y139" i="14" s="1"/>
  <c r="AM128" i="14"/>
  <c r="AM139" i="14" s="1"/>
  <c r="X128" i="14"/>
  <c r="X139" i="14" s="1"/>
  <c r="BG128" i="14"/>
  <c r="BG139" i="14" s="1"/>
  <c r="AS128" i="14"/>
  <c r="AS139" i="14" s="1"/>
  <c r="AC128" i="14"/>
  <c r="AC139" i="14" s="1"/>
  <c r="S128" i="14"/>
  <c r="S140" i="14" s="1"/>
  <c r="BD128" i="14"/>
  <c r="BD139" i="14" s="1"/>
  <c r="BA128" i="14"/>
  <c r="BA139" i="14" s="1"/>
  <c r="AW128" i="14"/>
  <c r="AW139" i="14" s="1"/>
  <c r="BF128" i="14"/>
  <c r="BF139" i="14" s="1"/>
  <c r="W128" i="14"/>
  <c r="W139" i="14" s="1"/>
  <c r="AY128" i="14"/>
  <c r="AY139" i="14" s="1"/>
  <c r="AI128" i="14"/>
  <c r="AI139" i="14" s="1"/>
  <c r="AZ128" i="14"/>
  <c r="AZ139" i="14" s="1"/>
  <c r="AX128" i="14"/>
  <c r="AX139" i="14" s="1"/>
  <c r="AP128" i="14"/>
  <c r="AP139" i="14" s="1"/>
  <c r="BB128" i="14"/>
  <c r="BB139" i="14" s="1"/>
  <c r="AN128" i="14"/>
  <c r="AN139" i="14" s="1"/>
  <c r="AR128" i="14"/>
  <c r="AR139" i="14" s="1"/>
  <c r="BE128" i="14"/>
  <c r="BE139" i="14" s="1"/>
  <c r="AA128" i="14"/>
  <c r="AA139" i="14" s="1"/>
  <c r="AE128" i="14"/>
  <c r="AE139" i="14" s="1"/>
  <c r="AL128" i="14"/>
  <c r="AL139" i="14" s="1"/>
  <c r="AD128" i="14"/>
  <c r="AD139" i="14" s="1"/>
  <c r="BC128" i="14"/>
  <c r="BC139" i="14" s="1"/>
  <c r="AJ128" i="14"/>
  <c r="AJ139" i="14" s="1"/>
  <c r="AQ128" i="14"/>
  <c r="AQ139" i="14" s="1"/>
  <c r="AG128" i="14"/>
  <c r="AG139" i="14" s="1"/>
  <c r="AV128" i="14"/>
  <c r="AV139" i="14" s="1"/>
  <c r="AF128" i="14"/>
  <c r="AF139" i="14" s="1"/>
  <c r="Z128" i="14"/>
  <c r="Z139" i="14" s="1"/>
  <c r="V128" i="14"/>
  <c r="V139" i="14" s="1"/>
  <c r="AU128" i="14"/>
  <c r="AU139" i="14" s="1"/>
  <c r="AB128" i="14"/>
  <c r="AB139" i="14" s="1"/>
  <c r="AT128" i="14"/>
  <c r="AT139" i="14" s="1"/>
  <c r="U128" i="14"/>
  <c r="U139" i="14" s="1"/>
  <c r="AK128" i="14"/>
  <c r="AK139" i="14" s="1"/>
  <c r="T128" i="14"/>
  <c r="T139" i="14" s="1"/>
  <c r="K45" i="13"/>
  <c r="GB14" i="5"/>
  <c r="S270" i="12"/>
  <c r="T270" i="12" s="1"/>
  <c r="U270" i="12" s="1"/>
  <c r="V270" i="12" s="1"/>
  <c r="W270" i="12" s="1"/>
  <c r="X270" i="12" s="1"/>
  <c r="Y270" i="12" s="1"/>
  <c r="Z270" i="12" s="1"/>
  <c r="AA270" i="12" s="1"/>
  <c r="AB270" i="12" s="1"/>
  <c r="AC270" i="12" s="1"/>
  <c r="AD270" i="12" s="1"/>
  <c r="AE270" i="12" s="1"/>
  <c r="AF270" i="12" s="1"/>
  <c r="AG270" i="12" s="1"/>
  <c r="AH270" i="12" s="1"/>
  <c r="AI270" i="12" s="1"/>
  <c r="AJ270" i="12" s="1"/>
  <c r="AK270" i="12" s="1"/>
  <c r="AL270" i="12" s="1"/>
  <c r="AM270" i="12" s="1"/>
  <c r="AN270" i="12" s="1"/>
  <c r="AO270" i="12" s="1"/>
  <c r="AP270" i="12" s="1"/>
  <c r="AQ270" i="12" s="1"/>
  <c r="AR270" i="12" s="1"/>
  <c r="AS270" i="12" s="1"/>
  <c r="AT270" i="12" s="1"/>
  <c r="AU270" i="12" s="1"/>
  <c r="AV270" i="12" s="1"/>
  <c r="AW270" i="12" s="1"/>
  <c r="AX270" i="12" s="1"/>
  <c r="AY270" i="12" s="1"/>
  <c r="AZ270" i="12" s="1"/>
  <c r="BA270" i="12" s="1"/>
  <c r="BB270" i="12" s="1"/>
  <c r="BC270" i="12" s="1"/>
  <c r="BD270" i="12" s="1"/>
  <c r="BE270" i="12" s="1"/>
  <c r="BF270" i="12" s="1"/>
  <c r="BG270" i="12" s="1"/>
  <c r="GB13" i="5"/>
  <c r="S269" i="12"/>
  <c r="T269" i="12" s="1"/>
  <c r="U269" i="12" s="1"/>
  <c r="V269" i="12" s="1"/>
  <c r="W269" i="12" s="1"/>
  <c r="X269" i="12" s="1"/>
  <c r="Y269" i="12" s="1"/>
  <c r="Z269" i="12" s="1"/>
  <c r="AA269" i="12" s="1"/>
  <c r="AB269" i="12" s="1"/>
  <c r="AC269" i="12" s="1"/>
  <c r="AD269" i="12" s="1"/>
  <c r="AE269" i="12" s="1"/>
  <c r="AF269" i="12" s="1"/>
  <c r="AG269" i="12" s="1"/>
  <c r="AH269" i="12" s="1"/>
  <c r="AI269" i="12" s="1"/>
  <c r="AJ269" i="12" s="1"/>
  <c r="AK269" i="12" s="1"/>
  <c r="AL269" i="12" s="1"/>
  <c r="AM269" i="12" s="1"/>
  <c r="AN269" i="12" s="1"/>
  <c r="AO269" i="12" s="1"/>
  <c r="AP269" i="12" s="1"/>
  <c r="AQ269" i="12" s="1"/>
  <c r="AR269" i="12" s="1"/>
  <c r="AS269" i="12" s="1"/>
  <c r="AT269" i="12" s="1"/>
  <c r="AU269" i="12" s="1"/>
  <c r="AV269" i="12" s="1"/>
  <c r="AW269" i="12" s="1"/>
  <c r="AX269" i="12" s="1"/>
  <c r="AY269" i="12" s="1"/>
  <c r="AZ269" i="12" s="1"/>
  <c r="BA269" i="12" s="1"/>
  <c r="BB269" i="12" s="1"/>
  <c r="BC269" i="12" s="1"/>
  <c r="BD269" i="12" s="1"/>
  <c r="BE269" i="12" s="1"/>
  <c r="BF269" i="12" s="1"/>
  <c r="BG269" i="12" s="1"/>
  <c r="K44" i="13"/>
  <c r="L8" i="45"/>
  <c r="BA18" i="22"/>
  <c r="AS8" i="19"/>
  <c r="BB18" i="22"/>
  <c r="G7" i="34"/>
  <c r="AZ22" i="22"/>
  <c r="O29" i="15"/>
  <c r="BX215" i="45"/>
  <c r="CH215" i="45" s="1"/>
  <c r="S161" i="16"/>
  <c r="O35" i="17"/>
  <c r="E6" i="14" l="1"/>
  <c r="AD140" i="14"/>
  <c r="Z140" i="14"/>
  <c r="AC140" i="14"/>
  <c r="AB140" i="14"/>
  <c r="AA140" i="14"/>
  <c r="Y140" i="14"/>
  <c r="X140" i="14"/>
  <c r="W140" i="14"/>
  <c r="U140" i="14"/>
  <c r="T35" i="17"/>
  <c r="T146" i="12"/>
  <c r="T140" i="14"/>
  <c r="S142" i="14"/>
  <c r="S132" i="14"/>
  <c r="T127" i="14" s="1"/>
  <c r="T129" i="14" s="1"/>
  <c r="S139" i="14"/>
  <c r="S141" i="14"/>
  <c r="V140" i="14"/>
  <c r="AL152" i="14"/>
  <c r="X152" i="14"/>
  <c r="AH152" i="14"/>
  <c r="AQ152" i="14"/>
  <c r="BD152" i="14"/>
  <c r="BC152" i="14"/>
  <c r="AD152" i="14"/>
  <c r="W152" i="14"/>
  <c r="AN152" i="14"/>
  <c r="AP152" i="14"/>
  <c r="AE152" i="14"/>
  <c r="AV152" i="14"/>
  <c r="BG152" i="14"/>
  <c r="AB152" i="14"/>
  <c r="AT152" i="14"/>
  <c r="Y152" i="14"/>
  <c r="BE152" i="14"/>
  <c r="Z152" i="14"/>
  <c r="AK152" i="14"/>
  <c r="AM152" i="14"/>
  <c r="AS152" i="14"/>
  <c r="T152" i="14"/>
  <c r="AA152" i="14"/>
  <c r="AW152" i="14"/>
  <c r="AY152" i="14"/>
  <c r="BF152" i="14"/>
  <c r="AC152" i="14"/>
  <c r="AR152" i="14"/>
  <c r="AF152" i="14"/>
  <c r="BA152" i="14"/>
  <c r="AO152" i="14"/>
  <c r="AG152" i="14"/>
  <c r="V152" i="14"/>
  <c r="AU152" i="14"/>
  <c r="AX152" i="14"/>
  <c r="AZ152" i="14"/>
  <c r="T211" i="16"/>
  <c r="U152" i="14"/>
  <c r="BB152" i="14"/>
  <c r="AJ152" i="14"/>
  <c r="AI152" i="14"/>
  <c r="K140" i="13"/>
  <c r="CM239" i="45"/>
  <c r="CW239" i="45" s="1"/>
  <c r="T147" i="12"/>
  <c r="P7" i="34"/>
  <c r="G107" i="34"/>
  <c r="AL10" i="45"/>
  <c r="Q10" i="45"/>
  <c r="AQ10" i="45" s="1"/>
  <c r="AV8" i="19"/>
  <c r="AS12" i="19"/>
  <c r="AV12" i="19" s="1"/>
  <c r="L45" i="13"/>
  <c r="K92" i="13"/>
  <c r="L46" i="13"/>
  <c r="K93" i="13"/>
  <c r="K91" i="13"/>
  <c r="L44" i="13"/>
  <c r="P45" i="39"/>
  <c r="BA22" i="22"/>
  <c r="BB22" i="22"/>
  <c r="AL8" i="45"/>
  <c r="L108" i="45"/>
  <c r="Q8" i="45"/>
  <c r="AL9" i="45"/>
  <c r="Q9" i="45"/>
  <c r="AQ9" i="45" s="1"/>
  <c r="T148" i="12"/>
  <c r="U224" i="16" l="1"/>
  <c r="BF174" i="13"/>
  <c r="AX174" i="13"/>
  <c r="AP174" i="13"/>
  <c r="AH174" i="13"/>
  <c r="Z174" i="13"/>
  <c r="BE174" i="13"/>
  <c r="AW174" i="13"/>
  <c r="AO174" i="13"/>
  <c r="AG174" i="13"/>
  <c r="Y174" i="13"/>
  <c r="BD174" i="13"/>
  <c r="AV174" i="13"/>
  <c r="AN174" i="13"/>
  <c r="AF174" i="13"/>
  <c r="X174" i="13"/>
  <c r="BG174" i="13"/>
  <c r="AQ174" i="13"/>
  <c r="BC174" i="13"/>
  <c r="AU174" i="13"/>
  <c r="AM174" i="13"/>
  <c r="AE174" i="13"/>
  <c r="W174" i="13"/>
  <c r="AR174" i="13"/>
  <c r="AB174" i="13"/>
  <c r="BB174" i="13"/>
  <c r="AT174" i="13"/>
  <c r="AL174" i="13"/>
  <c r="AD174" i="13"/>
  <c r="V174" i="13"/>
  <c r="AY174" i="13"/>
  <c r="AA174" i="13"/>
  <c r="BA174" i="13"/>
  <c r="AS174" i="13"/>
  <c r="AK174" i="13"/>
  <c r="AC174" i="13"/>
  <c r="U174" i="13"/>
  <c r="AZ174" i="13"/>
  <c r="AJ174" i="13"/>
  <c r="T174" i="13"/>
  <c r="AI174" i="13"/>
  <c r="AE162" i="14"/>
  <c r="AB162" i="14"/>
  <c r="AC162" i="14"/>
  <c r="AD162" i="14"/>
  <c r="AA162" i="14"/>
  <c r="X162" i="14"/>
  <c r="Y162" i="14"/>
  <c r="Z162" i="14"/>
  <c r="AL108" i="45"/>
  <c r="Q108" i="45"/>
  <c r="AQ8" i="45"/>
  <c r="AQ108" i="45" s="1"/>
  <c r="T141" i="13"/>
  <c r="T140" i="13"/>
  <c r="T142" i="13"/>
  <c r="U146" i="12"/>
  <c r="O46" i="13"/>
  <c r="L93" i="13"/>
  <c r="M93" i="13" s="1"/>
  <c r="AJ18" i="22"/>
  <c r="T373" i="12"/>
  <c r="T92" i="14"/>
  <c r="T276" i="12"/>
  <c r="T161" i="12"/>
  <c r="U148" i="12"/>
  <c r="T278" i="12"/>
  <c r="AJ20" i="22"/>
  <c r="AM20" i="22" s="1"/>
  <c r="T163" i="12"/>
  <c r="L92" i="13"/>
  <c r="M92" i="13" s="1"/>
  <c r="O45" i="13"/>
  <c r="Q7" i="34"/>
  <c r="P107" i="34"/>
  <c r="Q107" i="34" s="1"/>
  <c r="U147" i="12"/>
  <c r="S163" i="14"/>
  <c r="S165" i="14" s="1"/>
  <c r="T153" i="14"/>
  <c r="T154" i="14" s="1"/>
  <c r="U151" i="14" s="1"/>
  <c r="V162" i="14"/>
  <c r="U162" i="14"/>
  <c r="W162" i="14"/>
  <c r="T161" i="14"/>
  <c r="T162" i="14"/>
  <c r="S144" i="14"/>
  <c r="S146" i="14" s="1"/>
  <c r="O44" i="13"/>
  <c r="L91" i="13"/>
  <c r="M91" i="13" s="1"/>
  <c r="AJ19" i="22"/>
  <c r="AM19" i="22" s="1"/>
  <c r="T277" i="12"/>
  <c r="T162" i="12"/>
  <c r="U211" i="16"/>
  <c r="T223" i="16"/>
  <c r="I17" i="47"/>
  <c r="F39" i="37"/>
  <c r="T141" i="14"/>
  <c r="T136" i="14"/>
  <c r="T130" i="14"/>
  <c r="T131" i="14" s="1"/>
  <c r="V224" i="16" l="1"/>
  <c r="J17" i="47" s="1"/>
  <c r="V211" i="16"/>
  <c r="S167" i="14"/>
  <c r="BE45" i="13"/>
  <c r="AD45" i="13"/>
  <c r="AN45" i="13"/>
  <c r="AU45" i="13"/>
  <c r="BD45" i="13"/>
  <c r="AK45" i="13"/>
  <c r="AL45" i="13"/>
  <c r="AI45" i="13"/>
  <c r="U45" i="13"/>
  <c r="Y45" i="13"/>
  <c r="AP45" i="13"/>
  <c r="AC45" i="13"/>
  <c r="T45" i="13"/>
  <c r="AB45" i="13"/>
  <c r="BG45" i="13"/>
  <c r="AR45" i="13"/>
  <c r="AV45" i="13"/>
  <c r="V45" i="13"/>
  <c r="AS45" i="13"/>
  <c r="AF45" i="13"/>
  <c r="AO45" i="13"/>
  <c r="BC45" i="13"/>
  <c r="Z45" i="13"/>
  <c r="AM45" i="13"/>
  <c r="BB45" i="13"/>
  <c r="BF45" i="13"/>
  <c r="AX45" i="13"/>
  <c r="AA45" i="13"/>
  <c r="AG45" i="13"/>
  <c r="AQ45" i="13"/>
  <c r="W45" i="13"/>
  <c r="AZ45" i="13"/>
  <c r="AH45" i="13"/>
  <c r="AT45" i="13"/>
  <c r="AY45" i="13"/>
  <c r="AE45" i="13"/>
  <c r="X45" i="13"/>
  <c r="BA45" i="13"/>
  <c r="AW45" i="13"/>
  <c r="AJ45" i="13"/>
  <c r="T96" i="14"/>
  <c r="T403" i="12"/>
  <c r="T154" i="16" s="1"/>
  <c r="U153" i="14"/>
  <c r="U154" i="14" s="1"/>
  <c r="V151" i="14" s="1"/>
  <c r="U158" i="14"/>
  <c r="U161" i="14"/>
  <c r="U278" i="12"/>
  <c r="U163" i="12"/>
  <c r="O9" i="38"/>
  <c r="Q9" i="19"/>
  <c r="T94" i="14"/>
  <c r="T124" i="16"/>
  <c r="T375" i="12"/>
  <c r="T383" i="12" s="1"/>
  <c r="T393" i="12" s="1"/>
  <c r="T394" i="12" s="1"/>
  <c r="T144" i="14"/>
  <c r="T225" i="16"/>
  <c r="AR44" i="13"/>
  <c r="AE44" i="13"/>
  <c r="AP44" i="13"/>
  <c r="BA44" i="13"/>
  <c r="AF44" i="13"/>
  <c r="AX44" i="13"/>
  <c r="AS44" i="13"/>
  <c r="AV44" i="13"/>
  <c r="AO44" i="13"/>
  <c r="BG44" i="13"/>
  <c r="AQ44" i="13"/>
  <c r="V44" i="13"/>
  <c r="BB44" i="13"/>
  <c r="AZ44" i="13"/>
  <c r="Z44" i="13"/>
  <c r="T44" i="13"/>
  <c r="BC44" i="13"/>
  <c r="AB44" i="13"/>
  <c r="AT44" i="13"/>
  <c r="AA44" i="13"/>
  <c r="AJ44" i="13"/>
  <c r="W44" i="13"/>
  <c r="AH44" i="13"/>
  <c r="Y44" i="13"/>
  <c r="X44" i="13"/>
  <c r="AD44" i="13"/>
  <c r="AC44" i="13"/>
  <c r="AW44" i="13"/>
  <c r="AM44" i="13"/>
  <c r="BF44" i="13"/>
  <c r="AY44" i="13"/>
  <c r="AG44" i="13"/>
  <c r="U44" i="13"/>
  <c r="BD44" i="13"/>
  <c r="BE44" i="13"/>
  <c r="AI44" i="13"/>
  <c r="AK44" i="13"/>
  <c r="AU44" i="13"/>
  <c r="AN44" i="13"/>
  <c r="AL44" i="13"/>
  <c r="T165" i="14"/>
  <c r="O10" i="38"/>
  <c r="Q10" i="19"/>
  <c r="AM18" i="22"/>
  <c r="AJ22" i="22"/>
  <c r="AR46" i="13"/>
  <c r="AU46" i="13"/>
  <c r="U46" i="13"/>
  <c r="AP46" i="13"/>
  <c r="W46" i="13"/>
  <c r="AD46" i="13"/>
  <c r="BE46" i="13"/>
  <c r="AL46" i="13"/>
  <c r="T46" i="13"/>
  <c r="AV46" i="13"/>
  <c r="AM46" i="13"/>
  <c r="AQ46" i="13"/>
  <c r="X46" i="13"/>
  <c r="AK46" i="13"/>
  <c r="BF46" i="13"/>
  <c r="AW46" i="13"/>
  <c r="AO46" i="13"/>
  <c r="AH46" i="13"/>
  <c r="BB46" i="13"/>
  <c r="AJ46" i="13"/>
  <c r="Y46" i="13"/>
  <c r="V46" i="13"/>
  <c r="BG46" i="13"/>
  <c r="AN46" i="13"/>
  <c r="BA46" i="13"/>
  <c r="AI46" i="13"/>
  <c r="BC46" i="13"/>
  <c r="AC46" i="13"/>
  <c r="AX46" i="13"/>
  <c r="AE46" i="13"/>
  <c r="AZ46" i="13"/>
  <c r="Z46" i="13"/>
  <c r="AT46" i="13"/>
  <c r="AB46" i="13"/>
  <c r="BD46" i="13"/>
  <c r="AA46" i="13"/>
  <c r="AG46" i="13"/>
  <c r="AY46" i="13"/>
  <c r="AF46" i="13"/>
  <c r="AS46" i="13"/>
  <c r="U142" i="13"/>
  <c r="T150" i="13"/>
  <c r="G39" i="37"/>
  <c r="U277" i="12"/>
  <c r="U162" i="12"/>
  <c r="U373" i="12"/>
  <c r="U276" i="12"/>
  <c r="U161" i="12"/>
  <c r="U92" i="14"/>
  <c r="U94" i="14" s="1"/>
  <c r="U107" i="14" s="1"/>
  <c r="U118" i="14" s="1"/>
  <c r="T148" i="13"/>
  <c r="U140" i="13"/>
  <c r="T195" i="13"/>
  <c r="T132" i="14"/>
  <c r="U127" i="14" s="1"/>
  <c r="V147" i="12"/>
  <c r="V148" i="12"/>
  <c r="V146" i="12"/>
  <c r="T149" i="13"/>
  <c r="U141" i="13"/>
  <c r="W211" i="16" l="1"/>
  <c r="W224" i="16"/>
  <c r="U119" i="14"/>
  <c r="X211" i="16"/>
  <c r="H39" i="37"/>
  <c r="I39" i="37"/>
  <c r="K17" i="47"/>
  <c r="U195" i="13"/>
  <c r="V140" i="13"/>
  <c r="U148" i="13"/>
  <c r="BF173" i="13"/>
  <c r="BF183" i="13"/>
  <c r="BF423" i="16" s="1"/>
  <c r="AX173" i="13"/>
  <c r="AX183" i="13"/>
  <c r="AX423" i="16" s="1"/>
  <c r="V141" i="13"/>
  <c r="U149" i="13"/>
  <c r="AJ183" i="13"/>
  <c r="AJ423" i="16" s="1"/>
  <c r="AJ173" i="13"/>
  <c r="BB173" i="13"/>
  <c r="BB183" i="13"/>
  <c r="BB423" i="16" s="1"/>
  <c r="F31" i="37"/>
  <c r="T126" i="16"/>
  <c r="H8" i="47" s="1"/>
  <c r="H9" i="47" s="1"/>
  <c r="F26" i="37"/>
  <c r="F25" i="37"/>
  <c r="T381" i="16"/>
  <c r="T383" i="16" s="1"/>
  <c r="T385" i="16" s="1"/>
  <c r="O8" i="38"/>
  <c r="O19" i="15"/>
  <c r="O28" i="15" s="1"/>
  <c r="Q8" i="19"/>
  <c r="Q12" i="19" s="1"/>
  <c r="AM22" i="22"/>
  <c r="AW183" i="13"/>
  <c r="AW423" i="16" s="1"/>
  <c r="AW173" i="13"/>
  <c r="AA183" i="13"/>
  <c r="AA423" i="16" s="1"/>
  <c r="AA173" i="13"/>
  <c r="V173" i="13"/>
  <c r="V183" i="13"/>
  <c r="V423" i="16" s="1"/>
  <c r="BA173" i="13"/>
  <c r="BA183" i="13"/>
  <c r="BA423" i="16" s="1"/>
  <c r="BC93" i="13"/>
  <c r="AQ93" i="13"/>
  <c r="AY93" i="13"/>
  <c r="AR93" i="13"/>
  <c r="AE93" i="13"/>
  <c r="AI93" i="13"/>
  <c r="BF93" i="13"/>
  <c r="AM93" i="13"/>
  <c r="BA93" i="13"/>
  <c r="BB93" i="13"/>
  <c r="T93" i="13"/>
  <c r="AO93" i="13"/>
  <c r="AL93" i="13"/>
  <c r="AA93" i="13"/>
  <c r="AX93" i="13"/>
  <c r="BE93" i="13"/>
  <c r="AH93" i="13"/>
  <c r="AG93" i="13"/>
  <c r="Z93" i="13"/>
  <c r="AP93" i="13"/>
  <c r="AT93" i="13"/>
  <c r="V93" i="13"/>
  <c r="AK93" i="13"/>
  <c r="W93" i="13"/>
  <c r="AC93" i="13"/>
  <c r="AD93" i="13"/>
  <c r="BD93" i="13"/>
  <c r="AZ93" i="13"/>
  <c r="AB93" i="13"/>
  <c r="AN93" i="13"/>
  <c r="U93" i="13"/>
  <c r="BG93" i="13"/>
  <c r="X93" i="13"/>
  <c r="BI46" i="13"/>
  <c r="Y93" i="13"/>
  <c r="AF93" i="13"/>
  <c r="AU93" i="13"/>
  <c r="AV93" i="13"/>
  <c r="AW93" i="13"/>
  <c r="AJ93" i="13"/>
  <c r="AS93" i="13"/>
  <c r="W173" i="13"/>
  <c r="W183" i="13"/>
  <c r="W423" i="16" s="1"/>
  <c r="T196" i="13"/>
  <c r="AK173" i="13"/>
  <c r="AK183" i="13"/>
  <c r="AK423" i="16" s="1"/>
  <c r="AI183" i="13"/>
  <c r="AI423" i="16" s="1"/>
  <c r="AI173" i="13"/>
  <c r="U96" i="14"/>
  <c r="U403" i="12"/>
  <c r="U154" i="16" s="1"/>
  <c r="BE183" i="13"/>
  <c r="BE423" i="16" s="1"/>
  <c r="BE173" i="13"/>
  <c r="AC183" i="13"/>
  <c r="AC423" i="16" s="1"/>
  <c r="AC173" i="13"/>
  <c r="AT173" i="13"/>
  <c r="AT183" i="13"/>
  <c r="AT423" i="16" s="1"/>
  <c r="AQ173" i="13"/>
  <c r="AQ183" i="13"/>
  <c r="AQ423" i="16" s="1"/>
  <c r="AP183" i="13"/>
  <c r="AP423" i="16" s="1"/>
  <c r="AP173" i="13"/>
  <c r="U165" i="14"/>
  <c r="V277" i="12"/>
  <c r="V162" i="12"/>
  <c r="AA10" i="38"/>
  <c r="U10" i="38"/>
  <c r="BD173" i="13"/>
  <c r="BD183" i="13"/>
  <c r="BD423" i="16" s="1"/>
  <c r="AD183" i="13"/>
  <c r="AD423" i="16" s="1"/>
  <c r="AD173" i="13"/>
  <c r="AB183" i="13"/>
  <c r="AB423" i="16" s="1"/>
  <c r="AB173" i="13"/>
  <c r="BG173" i="13"/>
  <c r="BG183" i="13"/>
  <c r="BG423" i="16" s="1"/>
  <c r="AE183" i="13"/>
  <c r="AE423" i="16" s="1"/>
  <c r="AE173" i="13"/>
  <c r="T107" i="14"/>
  <c r="W147" i="12"/>
  <c r="U150" i="13"/>
  <c r="V142" i="13"/>
  <c r="AU183" i="13"/>
  <c r="AU423" i="16" s="1"/>
  <c r="AU173" i="13"/>
  <c r="AZ173" i="13"/>
  <c r="AZ183" i="13"/>
  <c r="AZ423" i="16" s="1"/>
  <c r="AM173" i="13"/>
  <c r="AM183" i="13"/>
  <c r="AM423" i="16" s="1"/>
  <c r="AF183" i="13"/>
  <c r="AF423" i="16" s="1"/>
  <c r="AF173" i="13"/>
  <c r="V158" i="14"/>
  <c r="V153" i="14"/>
  <c r="V161" i="14"/>
  <c r="W146" i="12"/>
  <c r="V276" i="12"/>
  <c r="V161" i="12"/>
  <c r="V373" i="12"/>
  <c r="V92" i="14"/>
  <c r="V94" i="14" s="1"/>
  <c r="V107" i="14" s="1"/>
  <c r="V118" i="14" s="1"/>
  <c r="U136" i="14"/>
  <c r="U141" i="14"/>
  <c r="U129" i="14"/>
  <c r="U130" i="14" s="1"/>
  <c r="V278" i="12"/>
  <c r="V163" i="12"/>
  <c r="U173" i="13"/>
  <c r="U183" i="13"/>
  <c r="U423" i="16" s="1"/>
  <c r="X183" i="13"/>
  <c r="X423" i="16" s="1"/>
  <c r="X173" i="13"/>
  <c r="BC173" i="13"/>
  <c r="BC183" i="13"/>
  <c r="BC423" i="16" s="1"/>
  <c r="AO183" i="13"/>
  <c r="AO423" i="16" s="1"/>
  <c r="AO173" i="13"/>
  <c r="AR173" i="13"/>
  <c r="AR183" i="13"/>
  <c r="AR423" i="16" s="1"/>
  <c r="BD92" i="13"/>
  <c r="AX92" i="13"/>
  <c r="AF92" i="13"/>
  <c r="AJ92" i="13"/>
  <c r="AQ92" i="13"/>
  <c r="AI92" i="13"/>
  <c r="AY92" i="13"/>
  <c r="BG92" i="13"/>
  <c r="AB92" i="13"/>
  <c r="T92" i="13"/>
  <c r="BE92" i="13"/>
  <c r="V92" i="13"/>
  <c r="AS92" i="13"/>
  <c r="AD92" i="13"/>
  <c r="AA92" i="13"/>
  <c r="AN92" i="13"/>
  <c r="BA92" i="13"/>
  <c r="AL92" i="13"/>
  <c r="AU92" i="13"/>
  <c r="AK92" i="13"/>
  <c r="AZ92" i="13"/>
  <c r="BB92" i="13"/>
  <c r="W92" i="13"/>
  <c r="Z92" i="13"/>
  <c r="AG92" i="13"/>
  <c r="U92" i="13"/>
  <c r="BC92" i="13"/>
  <c r="BF92" i="13"/>
  <c r="Y92" i="13"/>
  <c r="AM92" i="13"/>
  <c r="BI45" i="13"/>
  <c r="AV92" i="13"/>
  <c r="AE92" i="13"/>
  <c r="X92" i="13"/>
  <c r="AT92" i="13"/>
  <c r="AC92" i="13"/>
  <c r="AP92" i="13"/>
  <c r="AR92" i="13"/>
  <c r="AW92" i="13"/>
  <c r="AO92" i="13"/>
  <c r="AH92" i="13"/>
  <c r="U124" i="16"/>
  <c r="U375" i="12"/>
  <c r="U383" i="12" s="1"/>
  <c r="U393" i="12" s="1"/>
  <c r="U394" i="12" s="1"/>
  <c r="W148" i="12"/>
  <c r="AL183" i="13"/>
  <c r="AL423" i="16" s="1"/>
  <c r="AL173" i="13"/>
  <c r="AG183" i="13"/>
  <c r="AG423" i="16" s="1"/>
  <c r="AG173" i="13"/>
  <c r="Y173" i="13"/>
  <c r="Y183" i="13"/>
  <c r="Y423" i="16" s="1"/>
  <c r="AZ91" i="13"/>
  <c r="AR91" i="13"/>
  <c r="V91" i="13"/>
  <c r="AX91" i="13"/>
  <c r="AT91" i="13"/>
  <c r="X91" i="13"/>
  <c r="T91" i="13"/>
  <c r="AO91" i="13"/>
  <c r="AV91" i="13"/>
  <c r="AK91" i="13"/>
  <c r="AE91" i="13"/>
  <c r="BF91" i="13"/>
  <c r="AF91" i="13"/>
  <c r="AW91" i="13"/>
  <c r="BG91" i="13"/>
  <c r="BE91" i="13"/>
  <c r="AS91" i="13"/>
  <c r="AP91" i="13"/>
  <c r="AI91" i="13"/>
  <c r="AL91" i="13"/>
  <c r="AQ91" i="13"/>
  <c r="Y91" i="13"/>
  <c r="BI44" i="13"/>
  <c r="AJ91" i="13"/>
  <c r="Z91" i="13"/>
  <c r="BA91" i="13"/>
  <c r="AD91" i="13"/>
  <c r="AG91" i="13"/>
  <c r="T183" i="13"/>
  <c r="T423" i="16" s="1"/>
  <c r="W91" i="13"/>
  <c r="BB91" i="13"/>
  <c r="AM91" i="13"/>
  <c r="AB91" i="13"/>
  <c r="AU91" i="13"/>
  <c r="AC91" i="13"/>
  <c r="T173" i="13"/>
  <c r="AH91" i="13"/>
  <c r="BD91" i="13"/>
  <c r="U91" i="13"/>
  <c r="BC91" i="13"/>
  <c r="AY91" i="13"/>
  <c r="AA91" i="13"/>
  <c r="AN91" i="13"/>
  <c r="AV183" i="13"/>
  <c r="AV423" i="16" s="1"/>
  <c r="AV173" i="13"/>
  <c r="AN173" i="13"/>
  <c r="AN183" i="13"/>
  <c r="AN423" i="16" s="1"/>
  <c r="AY183" i="13"/>
  <c r="AY423" i="16" s="1"/>
  <c r="AY173" i="13"/>
  <c r="AH173" i="13"/>
  <c r="AH183" i="13"/>
  <c r="AH423" i="16" s="1"/>
  <c r="Z173" i="13"/>
  <c r="Z183" i="13"/>
  <c r="Z423" i="16" s="1"/>
  <c r="AS173" i="13"/>
  <c r="AS183" i="13"/>
  <c r="AS423" i="16" s="1"/>
  <c r="U9" i="38"/>
  <c r="AA9" i="38"/>
  <c r="Y224" i="16" l="1"/>
  <c r="M17" i="47" s="1"/>
  <c r="BM211" i="16"/>
  <c r="F39" i="18" s="1"/>
  <c r="X224" i="16"/>
  <c r="L17" i="47" s="1"/>
  <c r="T178" i="13"/>
  <c r="J39" i="37"/>
  <c r="Y211" i="16"/>
  <c r="BM224" i="16"/>
  <c r="W17" i="47" s="1"/>
  <c r="C7" i="44"/>
  <c r="C10" i="44" s="1"/>
  <c r="C11" i="44" s="1"/>
  <c r="C12" i="44" s="1"/>
  <c r="V119" i="14"/>
  <c r="V165" i="14"/>
  <c r="BD175" i="13"/>
  <c r="BD180" i="13"/>
  <c r="BD405" i="16" s="1"/>
  <c r="BD406" i="16" s="1"/>
  <c r="BD443" i="16" s="1"/>
  <c r="W175" i="13"/>
  <c r="W180" i="13"/>
  <c r="W405" i="16" s="1"/>
  <c r="W406" i="16" s="1"/>
  <c r="W443" i="16" s="1"/>
  <c r="Y175" i="13"/>
  <c r="Y180" i="13"/>
  <c r="Y405" i="16" s="1"/>
  <c r="Y406" i="16" s="1"/>
  <c r="Y443" i="16" s="1"/>
  <c r="AW175" i="13"/>
  <c r="AW180" i="13"/>
  <c r="AW405" i="16" s="1"/>
  <c r="AW406" i="16" s="1"/>
  <c r="AW443" i="16" s="1"/>
  <c r="X175" i="13"/>
  <c r="X180" i="13"/>
  <c r="X405" i="16" s="1"/>
  <c r="X406" i="16" s="1"/>
  <c r="X443" i="16" s="1"/>
  <c r="X148" i="12"/>
  <c r="V124" i="16"/>
  <c r="V375" i="12"/>
  <c r="V383" i="12" s="1"/>
  <c r="V393" i="12" s="1"/>
  <c r="V394" i="12" s="1"/>
  <c r="AH180" i="13"/>
  <c r="AH405" i="16" s="1"/>
  <c r="AH406" i="16" s="1"/>
  <c r="AH443" i="16" s="1"/>
  <c r="AH175" i="13"/>
  <c r="AQ175" i="13"/>
  <c r="AQ180" i="13"/>
  <c r="AQ405" i="16" s="1"/>
  <c r="AQ406" i="16" s="1"/>
  <c r="AQ443" i="16" s="1"/>
  <c r="AF180" i="13"/>
  <c r="AF405" i="16" s="1"/>
  <c r="AF406" i="16" s="1"/>
  <c r="AF443" i="16" s="1"/>
  <c r="AF175" i="13"/>
  <c r="AT180" i="13"/>
  <c r="AT405" i="16" s="1"/>
  <c r="AT406" i="16" s="1"/>
  <c r="AT443" i="16" s="1"/>
  <c r="AT175" i="13"/>
  <c r="W163" i="12"/>
  <c r="W278" i="12"/>
  <c r="V96" i="14"/>
  <c r="V403" i="12"/>
  <c r="V154" i="16" s="1"/>
  <c r="V150" i="13"/>
  <c r="W142" i="13"/>
  <c r="U196" i="13"/>
  <c r="AN180" i="13"/>
  <c r="AN405" i="16" s="1"/>
  <c r="AN406" i="16" s="1"/>
  <c r="AN443" i="16" s="1"/>
  <c r="AN175" i="13"/>
  <c r="AD175" i="13"/>
  <c r="AD180" i="13"/>
  <c r="AD405" i="16" s="1"/>
  <c r="AD406" i="16" s="1"/>
  <c r="AD443" i="16" s="1"/>
  <c r="AE175" i="13"/>
  <c r="AE180" i="13"/>
  <c r="AE405" i="16" s="1"/>
  <c r="AE406" i="16" s="1"/>
  <c r="AE443" i="16" s="1"/>
  <c r="U126" i="16"/>
  <c r="I8" i="47" s="1"/>
  <c r="I9" i="47" s="1"/>
  <c r="G25" i="37"/>
  <c r="G26" i="37"/>
  <c r="U381" i="16"/>
  <c r="U383" i="16" s="1"/>
  <c r="U385" i="16" s="1"/>
  <c r="U131" i="14"/>
  <c r="U132" i="14" s="1"/>
  <c r="V127" i="14" s="1"/>
  <c r="W276" i="12"/>
  <c r="W161" i="12"/>
  <c r="W373" i="12"/>
  <c r="W92" i="14"/>
  <c r="W94" i="14" s="1"/>
  <c r="W107" i="14" s="1"/>
  <c r="W118" i="14" s="1"/>
  <c r="T128" i="16"/>
  <c r="V195" i="13"/>
  <c r="W140" i="13"/>
  <c r="V148" i="13"/>
  <c r="AG175" i="13"/>
  <c r="AG180" i="13"/>
  <c r="AG405" i="16" s="1"/>
  <c r="AG406" i="16" s="1"/>
  <c r="AG443" i="16" s="1"/>
  <c r="AL180" i="13"/>
  <c r="AL405" i="16" s="1"/>
  <c r="AL406" i="16" s="1"/>
  <c r="AL443" i="16" s="1"/>
  <c r="AL175" i="13"/>
  <c r="BF180" i="13"/>
  <c r="BF405" i="16" s="1"/>
  <c r="BF406" i="16" s="1"/>
  <c r="BF443" i="16" s="1"/>
  <c r="BF175" i="13"/>
  <c r="AX175" i="13"/>
  <c r="AX180" i="13"/>
  <c r="AX405" i="16" s="1"/>
  <c r="AX406" i="16" s="1"/>
  <c r="AX443" i="16" s="1"/>
  <c r="AC180" i="13"/>
  <c r="AC405" i="16" s="1"/>
  <c r="AC406" i="16" s="1"/>
  <c r="AC443" i="16" s="1"/>
  <c r="AC175" i="13"/>
  <c r="AI175" i="13"/>
  <c r="AI180" i="13"/>
  <c r="AI405" i="16" s="1"/>
  <c r="AI406" i="16" s="1"/>
  <c r="AI443" i="16" s="1"/>
  <c r="V180" i="13"/>
  <c r="V405" i="16" s="1"/>
  <c r="V406" i="16" s="1"/>
  <c r="V443" i="16" s="1"/>
  <c r="V175" i="13"/>
  <c r="AA180" i="13"/>
  <c r="AA405" i="16" s="1"/>
  <c r="AA406" i="16" s="1"/>
  <c r="AA443" i="16" s="1"/>
  <c r="AA175" i="13"/>
  <c r="AU180" i="13"/>
  <c r="AU405" i="16" s="1"/>
  <c r="AU406" i="16" s="1"/>
  <c r="AU443" i="16" s="1"/>
  <c r="AU175" i="13"/>
  <c r="BA180" i="13"/>
  <c r="BA405" i="16" s="1"/>
  <c r="BA406" i="16" s="1"/>
  <c r="BA443" i="16" s="1"/>
  <c r="BA175" i="13"/>
  <c r="AP175" i="13"/>
  <c r="AP180" i="13"/>
  <c r="AP405" i="16" s="1"/>
  <c r="AP406" i="16" s="1"/>
  <c r="AP443" i="16" s="1"/>
  <c r="AK175" i="13"/>
  <c r="AK180" i="13"/>
  <c r="AK405" i="16" s="1"/>
  <c r="AK406" i="16" s="1"/>
  <c r="AK443" i="16" s="1"/>
  <c r="AR180" i="13"/>
  <c r="AR405" i="16" s="1"/>
  <c r="AR406" i="16" s="1"/>
  <c r="AR443" i="16" s="1"/>
  <c r="AR175" i="13"/>
  <c r="X146" i="12"/>
  <c r="W277" i="12"/>
  <c r="W162" i="12"/>
  <c r="T118" i="14"/>
  <c r="AA8" i="38"/>
  <c r="O109" i="38"/>
  <c r="U8" i="38"/>
  <c r="AY180" i="13"/>
  <c r="AY405" i="16" s="1"/>
  <c r="AY406" i="16" s="1"/>
  <c r="AY443" i="16" s="1"/>
  <c r="AY175" i="13"/>
  <c r="AB175" i="13"/>
  <c r="AB180" i="13"/>
  <c r="AB405" i="16" s="1"/>
  <c r="AB406" i="16" s="1"/>
  <c r="AB443" i="16" s="1"/>
  <c r="Z175" i="13"/>
  <c r="Z180" i="13"/>
  <c r="Z405" i="16" s="1"/>
  <c r="Z406" i="16" s="1"/>
  <c r="Z443" i="16" s="1"/>
  <c r="AS180" i="13"/>
  <c r="AS405" i="16" s="1"/>
  <c r="AS406" i="16" s="1"/>
  <c r="AS443" i="16" s="1"/>
  <c r="AS175" i="13"/>
  <c r="AV175" i="13"/>
  <c r="AV180" i="13"/>
  <c r="AV405" i="16" s="1"/>
  <c r="AV406" i="16" s="1"/>
  <c r="AV443" i="16" s="1"/>
  <c r="AZ180" i="13"/>
  <c r="AZ405" i="16" s="1"/>
  <c r="AZ406" i="16" s="1"/>
  <c r="AZ443" i="16" s="1"/>
  <c r="AZ175" i="13"/>
  <c r="X147" i="12"/>
  <c r="BI93" i="13"/>
  <c r="BK93" i="13"/>
  <c r="L102" i="13" s="1"/>
  <c r="M102" i="13" s="1"/>
  <c r="V149" i="13"/>
  <c r="W141" i="13"/>
  <c r="BC175" i="13"/>
  <c r="BC180" i="13"/>
  <c r="BC405" i="16" s="1"/>
  <c r="BC406" i="16" s="1"/>
  <c r="BC443" i="16" s="1"/>
  <c r="AM180" i="13"/>
  <c r="AM405" i="16" s="1"/>
  <c r="AM406" i="16" s="1"/>
  <c r="AM443" i="16" s="1"/>
  <c r="AM175" i="13"/>
  <c r="AJ180" i="13"/>
  <c r="AJ405" i="16" s="1"/>
  <c r="AJ406" i="16" s="1"/>
  <c r="AJ443" i="16" s="1"/>
  <c r="AJ175" i="13"/>
  <c r="BE175" i="13"/>
  <c r="BE180" i="13"/>
  <c r="BE405" i="16" s="1"/>
  <c r="BE406" i="16" s="1"/>
  <c r="BE443" i="16" s="1"/>
  <c r="AO175" i="13"/>
  <c r="AO180" i="13"/>
  <c r="AO405" i="16" s="1"/>
  <c r="AO406" i="16" s="1"/>
  <c r="AO443" i="16" s="1"/>
  <c r="BI92" i="13"/>
  <c r="BK92" i="13"/>
  <c r="L101" i="13" s="1"/>
  <c r="M101" i="13" s="1"/>
  <c r="V154" i="14"/>
  <c r="W151" i="14" s="1"/>
  <c r="U180" i="13"/>
  <c r="U405" i="16" s="1"/>
  <c r="U406" i="16" s="1"/>
  <c r="U175" i="13"/>
  <c r="BB175" i="13"/>
  <c r="BB180" i="13"/>
  <c r="BB405" i="16" s="1"/>
  <c r="BB406" i="16" s="1"/>
  <c r="BB443" i="16" s="1"/>
  <c r="BG175" i="13"/>
  <c r="BG180" i="13"/>
  <c r="BG405" i="16" s="1"/>
  <c r="BG406" i="16" s="1"/>
  <c r="BG443" i="16" s="1"/>
  <c r="T175" i="13"/>
  <c r="T177" i="13" s="1"/>
  <c r="U172" i="13" s="1"/>
  <c r="U178" i="13" s="1"/>
  <c r="BK91" i="13"/>
  <c r="L100" i="13" s="1"/>
  <c r="M100" i="13" s="1"/>
  <c r="BI91" i="13"/>
  <c r="T180" i="13"/>
  <c r="T405" i="16" s="1"/>
  <c r="T406" i="16" s="1"/>
  <c r="Z211" i="16" l="1"/>
  <c r="Z224" i="16"/>
  <c r="K39" i="37"/>
  <c r="N17" i="47"/>
  <c r="W119" i="14"/>
  <c r="U177" i="13"/>
  <c r="V172" i="13" s="1"/>
  <c r="AR101" i="13"/>
  <c r="AE101" i="13"/>
  <c r="AM101" i="13"/>
  <c r="AP101" i="13"/>
  <c r="BA101" i="13"/>
  <c r="AI101" i="13"/>
  <c r="AA101" i="13"/>
  <c r="U101" i="13"/>
  <c r="U109" i="13" s="1"/>
  <c r="U117" i="13" s="1"/>
  <c r="BB101" i="13"/>
  <c r="BG101" i="13"/>
  <c r="AN101" i="13"/>
  <c r="BE101" i="13"/>
  <c r="AV101" i="13"/>
  <c r="AF101" i="13"/>
  <c r="AK101" i="13"/>
  <c r="AT101" i="13"/>
  <c r="AQ101" i="13"/>
  <c r="Z101" i="13"/>
  <c r="AS101" i="13"/>
  <c r="BF101" i="13"/>
  <c r="T101" i="13"/>
  <c r="BD101" i="13"/>
  <c r="AB101" i="13"/>
  <c r="AX101" i="13"/>
  <c r="AJ101" i="13"/>
  <c r="AH101" i="13"/>
  <c r="AD101" i="13"/>
  <c r="Y101" i="13"/>
  <c r="W101" i="13"/>
  <c r="W109" i="13" s="1"/>
  <c r="W117" i="13" s="1"/>
  <c r="X101" i="13"/>
  <c r="X109" i="13" s="1"/>
  <c r="X117" i="13" s="1"/>
  <c r="AU101" i="13"/>
  <c r="V101" i="13"/>
  <c r="V109" i="13" s="1"/>
  <c r="V117" i="13" s="1"/>
  <c r="BC101" i="13"/>
  <c r="AW101" i="13"/>
  <c r="AG101" i="13"/>
  <c r="AC101" i="13"/>
  <c r="AO101" i="13"/>
  <c r="AY101" i="13"/>
  <c r="AL101" i="13"/>
  <c r="AZ101" i="13"/>
  <c r="Y146" i="12"/>
  <c r="V196" i="13"/>
  <c r="AA211" i="16"/>
  <c r="AB224" i="16" s="1"/>
  <c r="AA109" i="38"/>
  <c r="U109" i="38"/>
  <c r="X373" i="12"/>
  <c r="X161" i="12"/>
  <c r="X92" i="14"/>
  <c r="X276" i="12"/>
  <c r="W195" i="13"/>
  <c r="X140" i="13"/>
  <c r="W148" i="13"/>
  <c r="X162" i="12"/>
  <c r="X277" i="12"/>
  <c r="X142" i="13"/>
  <c r="W150" i="13"/>
  <c r="W124" i="16"/>
  <c r="W375" i="12"/>
  <c r="W383" i="12" s="1"/>
  <c r="W393" i="12" s="1"/>
  <c r="W394" i="12" s="1"/>
  <c r="U128" i="16"/>
  <c r="T443" i="16"/>
  <c r="T408" i="16"/>
  <c r="Y147" i="12"/>
  <c r="X141" i="13"/>
  <c r="W149" i="13"/>
  <c r="U144" i="14"/>
  <c r="U146" i="14" s="1"/>
  <c r="U167" i="14" s="1"/>
  <c r="T146" i="14"/>
  <c r="T167" i="14" s="1"/>
  <c r="BM118" i="14"/>
  <c r="T119" i="14"/>
  <c r="W96" i="14"/>
  <c r="W403" i="12"/>
  <c r="W154" i="16" s="1"/>
  <c r="BM92" i="14"/>
  <c r="X163" i="12"/>
  <c r="X278" i="12"/>
  <c r="T141" i="16"/>
  <c r="T157" i="16" s="1"/>
  <c r="T129" i="16"/>
  <c r="F28" i="37"/>
  <c r="Y148" i="12"/>
  <c r="AI100" i="13"/>
  <c r="AK100" i="13"/>
  <c r="BE100" i="13"/>
  <c r="AF100" i="13"/>
  <c r="AQ100" i="13"/>
  <c r="AE100" i="13"/>
  <c r="BF100" i="13"/>
  <c r="W100" i="13"/>
  <c r="W108" i="13" s="1"/>
  <c r="X100" i="13"/>
  <c r="X108" i="13" s="1"/>
  <c r="BC100" i="13"/>
  <c r="T100" i="13"/>
  <c r="AD100" i="13"/>
  <c r="AR100" i="13"/>
  <c r="Y100" i="13"/>
  <c r="U100" i="13"/>
  <c r="U108" i="13" s="1"/>
  <c r="BG100" i="13"/>
  <c r="BB100" i="13"/>
  <c r="AG100" i="13"/>
  <c r="AH100" i="13"/>
  <c r="BD100" i="13"/>
  <c r="AV100" i="13"/>
  <c r="AW100" i="13"/>
  <c r="AO100" i="13"/>
  <c r="Z100" i="13"/>
  <c r="V100" i="13"/>
  <c r="V108" i="13" s="1"/>
  <c r="AT100" i="13"/>
  <c r="BA100" i="13"/>
  <c r="AX100" i="13"/>
  <c r="AM100" i="13"/>
  <c r="AL100" i="13"/>
  <c r="AY100" i="13"/>
  <c r="AB100" i="13"/>
  <c r="AU100" i="13"/>
  <c r="AZ100" i="13"/>
  <c r="AN100" i="13"/>
  <c r="AJ100" i="13"/>
  <c r="AS100" i="13"/>
  <c r="AC100" i="13"/>
  <c r="AP100" i="13"/>
  <c r="AA100" i="13"/>
  <c r="W161" i="14"/>
  <c r="W158" i="14"/>
  <c r="W153" i="14"/>
  <c r="W154" i="14" s="1"/>
  <c r="X151" i="14" s="1"/>
  <c r="V136" i="14"/>
  <c r="V141" i="14"/>
  <c r="V129" i="14"/>
  <c r="V130" i="14" s="1"/>
  <c r="W102" i="13"/>
  <c r="W110" i="13" s="1"/>
  <c r="W118" i="13" s="1"/>
  <c r="AX102" i="13"/>
  <c r="AU102" i="13"/>
  <c r="U102" i="13"/>
  <c r="U110" i="13" s="1"/>
  <c r="U118" i="13" s="1"/>
  <c r="Z102" i="13"/>
  <c r="AV102" i="13"/>
  <c r="AB102" i="13"/>
  <c r="AO102" i="13"/>
  <c r="AF102" i="13"/>
  <c r="AY102" i="13"/>
  <c r="AP102" i="13"/>
  <c r="AA102" i="13"/>
  <c r="AW102" i="13"/>
  <c r="AC102" i="13"/>
  <c r="BD102" i="13"/>
  <c r="BA102" i="13"/>
  <c r="BB102" i="13"/>
  <c r="V102" i="13"/>
  <c r="V110" i="13" s="1"/>
  <c r="V118" i="13" s="1"/>
  <c r="AR102" i="13"/>
  <c r="X102" i="13"/>
  <c r="X110" i="13" s="1"/>
  <c r="X118" i="13" s="1"/>
  <c r="AS102" i="13"/>
  <c r="AG102" i="13"/>
  <c r="AD102" i="13"/>
  <c r="AZ102" i="13"/>
  <c r="AN102" i="13"/>
  <c r="BF102" i="13"/>
  <c r="BE102" i="13"/>
  <c r="AH102" i="13"/>
  <c r="AE102" i="13"/>
  <c r="BC102" i="13"/>
  <c r="AL102" i="13"/>
  <c r="BG102" i="13"/>
  <c r="AK102" i="13"/>
  <c r="Y102" i="13"/>
  <c r="T102" i="13"/>
  <c r="AQ102" i="13"/>
  <c r="AT102" i="13"/>
  <c r="AM102" i="13"/>
  <c r="AI102" i="13"/>
  <c r="AJ102" i="13"/>
  <c r="U443" i="16"/>
  <c r="U408" i="16"/>
  <c r="L39" i="37"/>
  <c r="H26" i="37"/>
  <c r="V126" i="16"/>
  <c r="J8" i="47" s="1"/>
  <c r="J9" i="47" s="1"/>
  <c r="H25" i="37"/>
  <c r="V381" i="16"/>
  <c r="V383" i="16" s="1"/>
  <c r="V385" i="16" s="1"/>
  <c r="V408" i="16" s="1"/>
  <c r="AA224" i="16" l="1"/>
  <c r="BN224" i="16" s="1"/>
  <c r="X17" i="47" s="1"/>
  <c r="V177" i="13"/>
  <c r="W172" i="13" s="1"/>
  <c r="V178" i="13"/>
  <c r="W196" i="13"/>
  <c r="W165" i="14"/>
  <c r="Z147" i="12"/>
  <c r="V116" i="13"/>
  <c r="V184" i="13" s="1"/>
  <c r="V182" i="13"/>
  <c r="X116" i="13"/>
  <c r="X184" i="13" s="1"/>
  <c r="X182" i="13"/>
  <c r="W381" i="16"/>
  <c r="W383" i="16" s="1"/>
  <c r="W385" i="16" s="1"/>
  <c r="W408" i="16" s="1"/>
  <c r="W126" i="16"/>
  <c r="I26" i="37"/>
  <c r="I25" i="37"/>
  <c r="BM124" i="16"/>
  <c r="Z146" i="12"/>
  <c r="F51" i="37"/>
  <c r="V131" i="14"/>
  <c r="V132" i="14" s="1"/>
  <c r="W127" i="14" s="1"/>
  <c r="W116" i="13"/>
  <c r="W184" i="13" s="1"/>
  <c r="W182" i="13"/>
  <c r="Y110" i="13"/>
  <c r="Y118" i="13" s="1"/>
  <c r="Y163" i="12"/>
  <c r="Y278" i="12"/>
  <c r="Y373" i="12"/>
  <c r="Y92" i="14"/>
  <c r="Y276" i="12"/>
  <c r="Y108" i="13"/>
  <c r="Y161" i="12"/>
  <c r="X148" i="13"/>
  <c r="Y140" i="13"/>
  <c r="X195" i="13"/>
  <c r="BI102" i="13"/>
  <c r="T110" i="13"/>
  <c r="U182" i="13"/>
  <c r="U116" i="13"/>
  <c r="U184" i="13" s="1"/>
  <c r="Z148" i="12"/>
  <c r="X149" i="13"/>
  <c r="Y141" i="13"/>
  <c r="M39" i="37"/>
  <c r="N39" i="37" s="1"/>
  <c r="BN211" i="16"/>
  <c r="AB211" i="16"/>
  <c r="AC224" i="16" s="1"/>
  <c r="P17" i="47"/>
  <c r="Y142" i="13"/>
  <c r="X150" i="13"/>
  <c r="BI100" i="13"/>
  <c r="T108" i="13"/>
  <c r="BM94" i="14"/>
  <c r="X94" i="14"/>
  <c r="X161" i="14"/>
  <c r="X153" i="14"/>
  <c r="X158" i="14"/>
  <c r="U141" i="16"/>
  <c r="U157" i="16" s="1"/>
  <c r="U129" i="16"/>
  <c r="G28" i="37"/>
  <c r="X96" i="14"/>
  <c r="X403" i="12"/>
  <c r="X154" i="16" s="1"/>
  <c r="V128" i="16"/>
  <c r="Y277" i="12"/>
  <c r="Y109" i="13"/>
  <c r="Y117" i="13" s="1"/>
  <c r="Y162" i="12"/>
  <c r="X124" i="16"/>
  <c r="X375" i="12"/>
  <c r="X383" i="12" s="1"/>
  <c r="X393" i="12" s="1"/>
  <c r="X394" i="12" s="1"/>
  <c r="BI101" i="13"/>
  <c r="T109" i="13"/>
  <c r="O17" i="47" l="1"/>
  <c r="BM126" i="16"/>
  <c r="W8" i="47" s="1"/>
  <c r="W9" i="47" s="1"/>
  <c r="K8" i="47"/>
  <c r="K9" i="47" s="1"/>
  <c r="W177" i="13"/>
  <c r="X172" i="13" s="1"/>
  <c r="W178" i="13"/>
  <c r="V144" i="14"/>
  <c r="V146" i="14" s="1"/>
  <c r="V167" i="14" s="1"/>
  <c r="X196" i="13"/>
  <c r="W185" i="13"/>
  <c r="V185" i="13"/>
  <c r="U185" i="13"/>
  <c r="W141" i="14"/>
  <c r="W136" i="14"/>
  <c r="W129" i="14"/>
  <c r="W130" i="14" s="1"/>
  <c r="G39" i="18"/>
  <c r="X165" i="14"/>
  <c r="Y403" i="12"/>
  <c r="Y154" i="16" s="1"/>
  <c r="Y96" i="14"/>
  <c r="T116" i="13"/>
  <c r="T182" i="13"/>
  <c r="Z110" i="13"/>
  <c r="Z118" i="13" s="1"/>
  <c r="Z278" i="12"/>
  <c r="Z163" i="12"/>
  <c r="Y182" i="13"/>
  <c r="Y116" i="13"/>
  <c r="Y184" i="13" s="1"/>
  <c r="AA146" i="12"/>
  <c r="Z373" i="12"/>
  <c r="Z92" i="14"/>
  <c r="Z161" i="12"/>
  <c r="Z276" i="12"/>
  <c r="Z108" i="13"/>
  <c r="T117" i="13"/>
  <c r="G51" i="37"/>
  <c r="Z140" i="13"/>
  <c r="Y148" i="13"/>
  <c r="Y195" i="13"/>
  <c r="Y94" i="14"/>
  <c r="Y107" i="14" s="1"/>
  <c r="Y118" i="14" s="1"/>
  <c r="Y119" i="14" s="1"/>
  <c r="AA147" i="12"/>
  <c r="Y124" i="16"/>
  <c r="Y375" i="12"/>
  <c r="Y383" i="12" s="1"/>
  <c r="Y393" i="12" s="1"/>
  <c r="Y394" i="12" s="1"/>
  <c r="F26" i="18"/>
  <c r="F25" i="18"/>
  <c r="Z162" i="12"/>
  <c r="Z109" i="13"/>
  <c r="Z117" i="13" s="1"/>
  <c r="Z277" i="12"/>
  <c r="AA148" i="12"/>
  <c r="X107" i="14"/>
  <c r="AC211" i="16"/>
  <c r="T118" i="13"/>
  <c r="X154" i="14"/>
  <c r="Y151" i="14" s="1"/>
  <c r="BM107" i="14"/>
  <c r="Y150" i="13"/>
  <c r="Z142" i="13"/>
  <c r="J26" i="37"/>
  <c r="J25" i="37"/>
  <c r="X381" i="16"/>
  <c r="X383" i="16" s="1"/>
  <c r="X385" i="16" s="1"/>
  <c r="X408" i="16" s="1"/>
  <c r="X126" i="16"/>
  <c r="L8" i="47" s="1"/>
  <c r="L9" i="47" s="1"/>
  <c r="V129" i="16"/>
  <c r="H28" i="37"/>
  <c r="V141" i="16"/>
  <c r="V157" i="16" s="1"/>
  <c r="Q17" i="47"/>
  <c r="Z141" i="13"/>
  <c r="Y149" i="13"/>
  <c r="W128" i="16"/>
  <c r="BM128" i="16" s="1"/>
  <c r="X185" i="13"/>
  <c r="AD211" i="16" l="1"/>
  <c r="AE224" i="16" s="1"/>
  <c r="AD224" i="16"/>
  <c r="X177" i="13"/>
  <c r="Y172" i="13" s="1"/>
  <c r="X178" i="13"/>
  <c r="F28" i="18"/>
  <c r="F51" i="18" s="1"/>
  <c r="S17" i="47"/>
  <c r="AE211" i="16"/>
  <c r="H51" i="37"/>
  <c r="W141" i="16"/>
  <c r="W157" i="16" s="1"/>
  <c r="W129" i="16"/>
  <c r="BM129" i="16" s="1"/>
  <c r="I28" i="37"/>
  <c r="X118" i="14"/>
  <c r="AB148" i="12"/>
  <c r="AA141" i="13"/>
  <c r="Z149" i="13"/>
  <c r="Z96" i="14"/>
  <c r="Z403" i="12"/>
  <c r="Z154" i="16" s="1"/>
  <c r="Z94" i="14"/>
  <c r="Z124" i="16"/>
  <c r="Z375" i="12"/>
  <c r="Z383" i="12" s="1"/>
  <c r="Z393" i="12" s="1"/>
  <c r="Z394" i="12" s="1"/>
  <c r="X128" i="16"/>
  <c r="AA142" i="13"/>
  <c r="Z150" i="13"/>
  <c r="AA276" i="12"/>
  <c r="AA161" i="12"/>
  <c r="AA373" i="12"/>
  <c r="AA108" i="13"/>
  <c r="AA92" i="14"/>
  <c r="AA94" i="14" s="1"/>
  <c r="AA107" i="14" s="1"/>
  <c r="AA118" i="14" s="1"/>
  <c r="K25" i="37"/>
  <c r="K26" i="37"/>
  <c r="Y381" i="16"/>
  <c r="Y383" i="16" s="1"/>
  <c r="Y385" i="16" s="1"/>
  <c r="Y408" i="16" s="1"/>
  <c r="Y126" i="16"/>
  <c r="M8" i="47" s="1"/>
  <c r="M9" i="47" s="1"/>
  <c r="R17" i="47"/>
  <c r="AB146" i="12"/>
  <c r="W131" i="14"/>
  <c r="W132" i="14" s="1"/>
  <c r="X127" i="14" s="1"/>
  <c r="Y196" i="13"/>
  <c r="AA163" i="12"/>
  <c r="AA110" i="13"/>
  <c r="AA278" i="12"/>
  <c r="AA162" i="12"/>
  <c r="AA109" i="13"/>
  <c r="AA117" i="13" s="1"/>
  <c r="AA277" i="12"/>
  <c r="Z195" i="13"/>
  <c r="AA140" i="13"/>
  <c r="Z148" i="13"/>
  <c r="Z116" i="13"/>
  <c r="Z184" i="13" s="1"/>
  <c r="Z182" i="13"/>
  <c r="Y185" i="13"/>
  <c r="T184" i="13"/>
  <c r="T185" i="13" s="1"/>
  <c r="Y158" i="14"/>
  <c r="Y161" i="14"/>
  <c r="Y153" i="14"/>
  <c r="AB147" i="12"/>
  <c r="BO211" i="16" l="1"/>
  <c r="H39" i="18" s="1"/>
  <c r="AF224" i="16"/>
  <c r="Y177" i="13"/>
  <c r="Z172" i="13" s="1"/>
  <c r="Y178" i="13"/>
  <c r="Z196" i="13"/>
  <c r="Y165" i="14"/>
  <c r="AA119" i="14"/>
  <c r="X141" i="14"/>
  <c r="X136" i="14"/>
  <c r="X129" i="14"/>
  <c r="X130" i="14" s="1"/>
  <c r="L26" i="37"/>
  <c r="Z126" i="16"/>
  <c r="N8" i="47" s="1"/>
  <c r="N9" i="47" s="1"/>
  <c r="L25" i="37"/>
  <c r="Z381" i="16"/>
  <c r="Z383" i="16" s="1"/>
  <c r="Z385" i="16" s="1"/>
  <c r="Z408" i="16" s="1"/>
  <c r="AB141" i="13"/>
  <c r="AA149" i="13"/>
  <c r="Y154" i="14"/>
  <c r="Z151" i="14" s="1"/>
  <c r="Y128" i="16"/>
  <c r="W144" i="14"/>
  <c r="W146" i="14" s="1"/>
  <c r="W167" i="14" s="1"/>
  <c r="AB110" i="13"/>
  <c r="AB118" i="13" s="1"/>
  <c r="AB163" i="12"/>
  <c r="AB278" i="12"/>
  <c r="AC147" i="12"/>
  <c r="Z185" i="13"/>
  <c r="AC146" i="12"/>
  <c r="AA182" i="13"/>
  <c r="AA116" i="13"/>
  <c r="AB142" i="13"/>
  <c r="AA150" i="13"/>
  <c r="AC148" i="12"/>
  <c r="AA124" i="16"/>
  <c r="BN124" i="16" s="1"/>
  <c r="AA375" i="12"/>
  <c r="AA383" i="12" s="1"/>
  <c r="AA393" i="12" s="1"/>
  <c r="AA394" i="12" s="1"/>
  <c r="BN92" i="14"/>
  <c r="AF211" i="16"/>
  <c r="AG224" i="16" s="1"/>
  <c r="AB109" i="13"/>
  <c r="AB162" i="12"/>
  <c r="AB277" i="12"/>
  <c r="AA403" i="12"/>
  <c r="AA154" i="16" s="1"/>
  <c r="AA96" i="14"/>
  <c r="Z107" i="14"/>
  <c r="X119" i="14"/>
  <c r="AA118" i="13"/>
  <c r="AB92" i="14"/>
  <c r="AB276" i="12"/>
  <c r="AB161" i="12"/>
  <c r="AB108" i="13"/>
  <c r="AB373" i="12"/>
  <c r="AB140" i="13"/>
  <c r="AA195" i="13"/>
  <c r="AA148" i="13"/>
  <c r="X129" i="16"/>
  <c r="J28" i="37"/>
  <c r="X141" i="16"/>
  <c r="X157" i="16" s="1"/>
  <c r="BM141" i="16"/>
  <c r="I51" i="37"/>
  <c r="BO224" i="16"/>
  <c r="Y17" i="47" s="1"/>
  <c r="BM157" i="16"/>
  <c r="Z177" i="13" l="1"/>
  <c r="AA172" i="13" s="1"/>
  <c r="Z178" i="13"/>
  <c r="G25" i="18"/>
  <c r="G26" i="18"/>
  <c r="AG211" i="16"/>
  <c r="AH224" i="16" s="1"/>
  <c r="AC92" i="14"/>
  <c r="AC94" i="14" s="1"/>
  <c r="AC107" i="14" s="1"/>
  <c r="AC118" i="14" s="1"/>
  <c r="AC108" i="13"/>
  <c r="AC161" i="12"/>
  <c r="AC276" i="12"/>
  <c r="AC373" i="12"/>
  <c r="Y129" i="16"/>
  <c r="K28" i="37"/>
  <c r="Y141" i="16"/>
  <c r="Y157" i="16" s="1"/>
  <c r="AC141" i="13"/>
  <c r="AB149" i="13"/>
  <c r="Z118" i="14"/>
  <c r="AC140" i="13"/>
  <c r="AB148" i="13"/>
  <c r="AB195" i="13"/>
  <c r="AC110" i="13"/>
  <c r="AC278" i="12"/>
  <c r="AC163" i="12"/>
  <c r="AD148" i="12"/>
  <c r="AD147" i="12"/>
  <c r="AC277" i="12"/>
  <c r="AC109" i="13"/>
  <c r="AC162" i="12"/>
  <c r="Z128" i="16"/>
  <c r="AB116" i="13"/>
  <c r="AB182" i="13"/>
  <c r="BN94" i="14"/>
  <c r="AB150" i="13"/>
  <c r="AC142" i="13"/>
  <c r="AB124" i="16"/>
  <c r="AB375" i="12"/>
  <c r="AB383" i="12" s="1"/>
  <c r="AB393" i="12" s="1"/>
  <c r="AB394" i="12" s="1"/>
  <c r="J51" i="37"/>
  <c r="AB96" i="14"/>
  <c r="AB403" i="12"/>
  <c r="AB154" i="16" s="1"/>
  <c r="AA184" i="13"/>
  <c r="AA185" i="13" s="1"/>
  <c r="X131" i="14"/>
  <c r="X132" i="14" s="1"/>
  <c r="Y127" i="14" s="1"/>
  <c r="Z158" i="14"/>
  <c r="Z153" i="14"/>
  <c r="Z154" i="14" s="1"/>
  <c r="AA151" i="14" s="1"/>
  <c r="Z161" i="14"/>
  <c r="AA196" i="13"/>
  <c r="AB94" i="14"/>
  <c r="AB117" i="13"/>
  <c r="AA381" i="16"/>
  <c r="AA383" i="16" s="1"/>
  <c r="AA385" i="16" s="1"/>
  <c r="AA408" i="16" s="1"/>
  <c r="M26" i="37"/>
  <c r="N26" i="37" s="1"/>
  <c r="AA126" i="16"/>
  <c r="O8" i="47" s="1"/>
  <c r="O9" i="47" s="1"/>
  <c r="M25" i="37"/>
  <c r="N25" i="37" s="1"/>
  <c r="AD146" i="12"/>
  <c r="AA177" i="13" l="1"/>
  <c r="AB172" i="13" s="1"/>
  <c r="AA178" i="13"/>
  <c r="AC119" i="14"/>
  <c r="AB184" i="13"/>
  <c r="AB185" i="13" s="1"/>
  <c r="AB196" i="13"/>
  <c r="G28" i="18"/>
  <c r="AE146" i="12"/>
  <c r="CP18" i="22" s="1"/>
  <c r="Z165" i="14"/>
  <c r="AC117" i="13"/>
  <c r="AD140" i="13"/>
  <c r="AC148" i="13"/>
  <c r="AC195" i="13"/>
  <c r="AD141" i="13"/>
  <c r="AC149" i="13"/>
  <c r="AA128" i="16"/>
  <c r="BN128" i="16" s="1"/>
  <c r="BN126" i="16"/>
  <c r="X8" i="47" s="1"/>
  <c r="X9" i="47" s="1"/>
  <c r="X144" i="14"/>
  <c r="X146" i="14" s="1"/>
  <c r="X167" i="14" s="1"/>
  <c r="AE147" i="12"/>
  <c r="CP19" i="22" s="1"/>
  <c r="AE148" i="12"/>
  <c r="CP20" i="22" s="1"/>
  <c r="AD142" i="13"/>
  <c r="AC150" i="13"/>
  <c r="AH211" i="16"/>
  <c r="AI224" i="16" s="1"/>
  <c r="AD110" i="13"/>
  <c r="AD118" i="13" s="1"/>
  <c r="AD278" i="12"/>
  <c r="AD163" i="12"/>
  <c r="AA153" i="14"/>
  <c r="AA161" i="14"/>
  <c r="AA158" i="14"/>
  <c r="AD373" i="12"/>
  <c r="AD92" i="14"/>
  <c r="AD161" i="12"/>
  <c r="AD276" i="12"/>
  <c r="AD108" i="13"/>
  <c r="AB107" i="14"/>
  <c r="Z119" i="14"/>
  <c r="BN118" i="14"/>
  <c r="K51" i="37"/>
  <c r="Z141" i="16"/>
  <c r="Z157" i="16" s="1"/>
  <c r="L28" i="37"/>
  <c r="Z129" i="16"/>
  <c r="Y141" i="14"/>
  <c r="Y136" i="14"/>
  <c r="Y129" i="14"/>
  <c r="BN107" i="14"/>
  <c r="AC118" i="13"/>
  <c r="AC124" i="16"/>
  <c r="AC375" i="12"/>
  <c r="AC383" i="12" s="1"/>
  <c r="AC393" i="12" s="1"/>
  <c r="AC394" i="12" s="1"/>
  <c r="AD109" i="13"/>
  <c r="AD277" i="12"/>
  <c r="AD162" i="12"/>
  <c r="AC403" i="12"/>
  <c r="AC154" i="16" s="1"/>
  <c r="AC96" i="14"/>
  <c r="AB381" i="16"/>
  <c r="AB383" i="16" s="1"/>
  <c r="AB385" i="16" s="1"/>
  <c r="AB408" i="16" s="1"/>
  <c r="AB126" i="16"/>
  <c r="P8" i="47" s="1"/>
  <c r="P9" i="47" s="1"/>
  <c r="AC116" i="13"/>
  <c r="AC182" i="13"/>
  <c r="AB177" i="13" l="1"/>
  <c r="AC172" i="13" s="1"/>
  <c r="AB178" i="13"/>
  <c r="CP22" i="22"/>
  <c r="G51" i="18"/>
  <c r="AC196" i="13"/>
  <c r="AA165" i="14"/>
  <c r="AC381" i="16"/>
  <c r="AC383" i="16" s="1"/>
  <c r="AC385" i="16" s="1"/>
  <c r="AC408" i="16" s="1"/>
  <c r="AC126" i="16"/>
  <c r="Q8" i="47" s="1"/>
  <c r="Q9" i="47" s="1"/>
  <c r="AD96" i="14"/>
  <c r="AD403" i="12"/>
  <c r="AD154" i="16" s="1"/>
  <c r="AD195" i="13"/>
  <c r="AE140" i="13"/>
  <c r="AD148" i="13"/>
  <c r="Y130" i="14"/>
  <c r="L51" i="37"/>
  <c r="AD94" i="14"/>
  <c r="AD107" i="14" s="1"/>
  <c r="AD118" i="14" s="1"/>
  <c r="AD119" i="14" s="1"/>
  <c r="AD375" i="12"/>
  <c r="AD383" i="12" s="1"/>
  <c r="AD393" i="12" s="1"/>
  <c r="AD394" i="12" s="1"/>
  <c r="AD124" i="16"/>
  <c r="AD150" i="13"/>
  <c r="AE142" i="13"/>
  <c r="AF148" i="12"/>
  <c r="AA129" i="16"/>
  <c r="BN129" i="16" s="1"/>
  <c r="AA141" i="16"/>
  <c r="AA157" i="16" s="1"/>
  <c r="M28" i="37"/>
  <c r="N28" i="37" s="1"/>
  <c r="AC184" i="13"/>
  <c r="AC185" i="13" s="1"/>
  <c r="AB128" i="16"/>
  <c r="AE278" i="12"/>
  <c r="AE110" i="13"/>
  <c r="AE163" i="12"/>
  <c r="CS20" i="22" s="1"/>
  <c r="AF146" i="12"/>
  <c r="AD117" i="13"/>
  <c r="AB118" i="14"/>
  <c r="AA154" i="14"/>
  <c r="AB151" i="14" s="1"/>
  <c r="AI211" i="16"/>
  <c r="AJ224" i="16" s="1"/>
  <c r="BP224" i="16"/>
  <c r="Z17" i="47" s="1"/>
  <c r="AF147" i="12"/>
  <c r="AE141" i="13"/>
  <c r="AD149" i="13"/>
  <c r="AE276" i="12"/>
  <c r="AE92" i="14"/>
  <c r="AE94" i="14" s="1"/>
  <c r="AE107" i="14" s="1"/>
  <c r="AE118" i="14" s="1"/>
  <c r="AE373" i="12"/>
  <c r="AE161" i="12"/>
  <c r="CS18" i="22" s="1"/>
  <c r="AE108" i="13"/>
  <c r="AD116" i="13"/>
  <c r="AD182" i="13"/>
  <c r="AE162" i="12"/>
  <c r="CS19" i="22" s="1"/>
  <c r="AE109" i="13"/>
  <c r="AE117" i="13" s="1"/>
  <c r="AE277" i="12"/>
  <c r="AC177" i="13" l="1"/>
  <c r="AD172" i="13" s="1"/>
  <c r="AC178" i="13"/>
  <c r="AN10" i="38"/>
  <c r="AG10" i="38" s="1"/>
  <c r="X10" i="19"/>
  <c r="AK10" i="19" s="1"/>
  <c r="AN8" i="38"/>
  <c r="AG8" i="38" s="1"/>
  <c r="X8" i="19"/>
  <c r="AK8" i="19" s="1"/>
  <c r="CS22" i="22"/>
  <c r="E21" i="17" s="1"/>
  <c r="X9" i="19"/>
  <c r="AK9" i="19" s="1"/>
  <c r="AN9" i="38"/>
  <c r="AG9" i="38" s="1"/>
  <c r="AE119" i="14"/>
  <c r="AD184" i="13"/>
  <c r="AD185" i="13" s="1"/>
  <c r="AD196" i="13"/>
  <c r="AG146" i="12"/>
  <c r="AG148" i="12"/>
  <c r="AB161" i="14"/>
  <c r="AB158" i="14"/>
  <c r="AB153" i="14"/>
  <c r="AE118" i="13"/>
  <c r="AF142" i="13"/>
  <c r="AE150" i="13"/>
  <c r="AE149" i="13"/>
  <c r="AF141" i="13"/>
  <c r="BO118" i="14"/>
  <c r="AB119" i="14"/>
  <c r="Y131" i="14"/>
  <c r="Y132" i="14" s="1"/>
  <c r="Z127" i="14" s="1"/>
  <c r="AE375" i="12"/>
  <c r="AE383" i="12" s="1"/>
  <c r="AE393" i="12" s="1"/>
  <c r="AE394" i="12" s="1"/>
  <c r="AE124" i="16"/>
  <c r="BO124" i="16" s="1"/>
  <c r="AG147" i="12"/>
  <c r="M51" i="37"/>
  <c r="E51" i="37" s="1"/>
  <c r="BN141" i="16"/>
  <c r="AD126" i="16"/>
  <c r="R8" i="47" s="1"/>
  <c r="R9" i="47" s="1"/>
  <c r="AD381" i="16"/>
  <c r="AD383" i="16" s="1"/>
  <c r="AD385" i="16" s="1"/>
  <c r="AD408" i="16" s="1"/>
  <c r="AC128" i="16"/>
  <c r="AJ211" i="16"/>
  <c r="AK224" i="16" s="1"/>
  <c r="BP211" i="16"/>
  <c r="AF278" i="12"/>
  <c r="AF110" i="13"/>
  <c r="AF118" i="13" s="1"/>
  <c r="AF163" i="12"/>
  <c r="AE116" i="13"/>
  <c r="AE182" i="13"/>
  <c r="AF277" i="12"/>
  <c r="AF109" i="13"/>
  <c r="AF117" i="13" s="1"/>
  <c r="AF162" i="12"/>
  <c r="AB129" i="16"/>
  <c r="AB141" i="16"/>
  <c r="AB157" i="16" s="1"/>
  <c r="BN157" i="16"/>
  <c r="AE96" i="14"/>
  <c r="AE403" i="12"/>
  <c r="AE154" i="16" s="1"/>
  <c r="AF108" i="13"/>
  <c r="AF276" i="12"/>
  <c r="AF92" i="14"/>
  <c r="AF161" i="12"/>
  <c r="AF373" i="12"/>
  <c r="BO92" i="14"/>
  <c r="AE195" i="13"/>
  <c r="AE148" i="13"/>
  <c r="AF140" i="13"/>
  <c r="AD177" i="13" l="1"/>
  <c r="AE172" i="13" s="1"/>
  <c r="AD178" i="13"/>
  <c r="AN109" i="38"/>
  <c r="AG109" i="38" s="1"/>
  <c r="X12" i="19"/>
  <c r="AK12" i="19" s="1"/>
  <c r="AT124" i="45"/>
  <c r="AZ124" i="45" s="1"/>
  <c r="E31" i="17"/>
  <c r="AT134" i="45" s="1"/>
  <c r="AZ134" i="45" s="1"/>
  <c r="E32" i="17"/>
  <c r="AT135" i="45" s="1"/>
  <c r="AZ135" i="45" s="1"/>
  <c r="AE196" i="13"/>
  <c r="Y144" i="14"/>
  <c r="Y146" i="14" s="1"/>
  <c r="Y167" i="14" s="1"/>
  <c r="Z136" i="14"/>
  <c r="Z141" i="14"/>
  <c r="Z129" i="14"/>
  <c r="Z130" i="14" s="1"/>
  <c r="AH148" i="12"/>
  <c r="BO94" i="14"/>
  <c r="AE184" i="13"/>
  <c r="AE185" i="13" s="1"/>
  <c r="AH146" i="12"/>
  <c r="AF124" i="16"/>
  <c r="AF375" i="12"/>
  <c r="AF383" i="12" s="1"/>
  <c r="AF393" i="12" s="1"/>
  <c r="AF394" i="12" s="1"/>
  <c r="AF96" i="14"/>
  <c r="AF403" i="12"/>
  <c r="AF154" i="16" s="1"/>
  <c r="AC141" i="16"/>
  <c r="AC157" i="16" s="1"/>
  <c r="AC129" i="16"/>
  <c r="AH147" i="12"/>
  <c r="AG276" i="12"/>
  <c r="AG161" i="12"/>
  <c r="AG108" i="13"/>
  <c r="AG373" i="12"/>
  <c r="AG92" i="14"/>
  <c r="AG94" i="14" s="1"/>
  <c r="AG107" i="14" s="1"/>
  <c r="AG118" i="14" s="1"/>
  <c r="AG119" i="14" s="1"/>
  <c r="AF195" i="13"/>
  <c r="AG140" i="13"/>
  <c r="AF148" i="13"/>
  <c r="AG110" i="13"/>
  <c r="AG118" i="13" s="1"/>
  <c r="AG278" i="12"/>
  <c r="AG163" i="12"/>
  <c r="AF94" i="14"/>
  <c r="AF107" i="14" s="1"/>
  <c r="AF118" i="14" s="1"/>
  <c r="AF119" i="14" s="1"/>
  <c r="H26" i="18"/>
  <c r="H25" i="18"/>
  <c r="AG277" i="12"/>
  <c r="AG162" i="12"/>
  <c r="AG109" i="13"/>
  <c r="AG117" i="13" s="1"/>
  <c r="AG141" i="13"/>
  <c r="AF149" i="13"/>
  <c r="AB165" i="14"/>
  <c r="AF116" i="13"/>
  <c r="AF184" i="13" s="1"/>
  <c r="AF182" i="13"/>
  <c r="AE126" i="16"/>
  <c r="AE381" i="16"/>
  <c r="AE383" i="16" s="1"/>
  <c r="AE385" i="16" s="1"/>
  <c r="AE408" i="16" s="1"/>
  <c r="I39" i="18"/>
  <c r="AD128" i="16"/>
  <c r="AB154" i="14"/>
  <c r="AC151" i="14" s="1"/>
  <c r="AK211" i="16"/>
  <c r="AL224" i="16" s="1"/>
  <c r="AG142" i="13"/>
  <c r="AF150" i="13"/>
  <c r="BO126" i="16" l="1"/>
  <c r="Y8" i="47" s="1"/>
  <c r="Y9" i="47" s="1"/>
  <c r="S8" i="47"/>
  <c r="S9" i="47" s="1"/>
  <c r="AE177" i="13"/>
  <c r="AF172" i="13" s="1"/>
  <c r="AE178" i="13"/>
  <c r="AF196" i="13"/>
  <c r="AF185" i="13"/>
  <c r="H28" i="18"/>
  <c r="AH140" i="13"/>
  <c r="AG148" i="13"/>
  <c r="AG195" i="13"/>
  <c r="AF381" i="16"/>
  <c r="AF383" i="16" s="1"/>
  <c r="AF385" i="16" s="1"/>
  <c r="AF408" i="16" s="1"/>
  <c r="AF126" i="16"/>
  <c r="AH109" i="13"/>
  <c r="AH117" i="13" s="1"/>
  <c r="AH277" i="12"/>
  <c r="AH162" i="12"/>
  <c r="AH161" i="12"/>
  <c r="AH92" i="14"/>
  <c r="AH108" i="13"/>
  <c r="AH276" i="12"/>
  <c r="AH373" i="12"/>
  <c r="AI147" i="12"/>
  <c r="AI146" i="12"/>
  <c r="BO107" i="14"/>
  <c r="Z131" i="14"/>
  <c r="Z132" i="14" s="1"/>
  <c r="AA127" i="14" s="1"/>
  <c r="AG375" i="12"/>
  <c r="AG383" i="12" s="1"/>
  <c r="AG393" i="12" s="1"/>
  <c r="AG394" i="12" s="1"/>
  <c r="AG124" i="16"/>
  <c r="AL211" i="16"/>
  <c r="AM224" i="16" s="1"/>
  <c r="AG149" i="13"/>
  <c r="AH141" i="13"/>
  <c r="AG116" i="13"/>
  <c r="AG184" i="13" s="1"/>
  <c r="AG182" i="13"/>
  <c r="AG150" i="13"/>
  <c r="AH142" i="13"/>
  <c r="AD129" i="16"/>
  <c r="AD141" i="16"/>
  <c r="AD157" i="16" s="1"/>
  <c r="AE128" i="16"/>
  <c r="AG403" i="12"/>
  <c r="AG154" i="16" s="1"/>
  <c r="AG96" i="14"/>
  <c r="AH278" i="12"/>
  <c r="AH163" i="12"/>
  <c r="AH110" i="13"/>
  <c r="AH118" i="13" s="1"/>
  <c r="AC161" i="14"/>
  <c r="AC153" i="14"/>
  <c r="AC154" i="14" s="1"/>
  <c r="AD151" i="14" s="1"/>
  <c r="AC158" i="14"/>
  <c r="AI148" i="12"/>
  <c r="AF177" i="13" l="1"/>
  <c r="AG172" i="13" s="1"/>
  <c r="AF178" i="13"/>
  <c r="Z144" i="14"/>
  <c r="Z146" i="14" s="1"/>
  <c r="Z167" i="14" s="1"/>
  <c r="AG185" i="13"/>
  <c r="AJ147" i="12"/>
  <c r="AD158" i="14"/>
  <c r="AD161" i="14"/>
  <c r="AD153" i="14"/>
  <c r="AG126" i="16"/>
  <c r="AG128" i="16" s="1"/>
  <c r="AG381" i="16"/>
  <c r="AG383" i="16" s="1"/>
  <c r="AG385" i="16" s="1"/>
  <c r="AG408" i="16" s="1"/>
  <c r="AI277" i="12"/>
  <c r="AI162" i="12"/>
  <c r="AI109" i="13"/>
  <c r="AI117" i="13" s="1"/>
  <c r="AG196" i="13"/>
  <c r="AH195" i="13"/>
  <c r="AI140" i="13"/>
  <c r="AH148" i="13"/>
  <c r="AI278" i="12"/>
  <c r="AI110" i="13"/>
  <c r="AI118" i="13" s="1"/>
  <c r="AI163" i="12"/>
  <c r="AH116" i="13"/>
  <c r="AH184" i="13" s="1"/>
  <c r="AH182" i="13"/>
  <c r="AE129" i="16"/>
  <c r="BO129" i="16" s="1"/>
  <c r="AE141" i="16"/>
  <c r="AE157" i="16" s="1"/>
  <c r="AH149" i="13"/>
  <c r="AI141" i="13"/>
  <c r="AM211" i="16"/>
  <c r="AN224" i="16" s="1"/>
  <c r="AH94" i="14"/>
  <c r="AH107" i="14" s="1"/>
  <c r="AH118" i="14" s="1"/>
  <c r="AH119" i="14" s="1"/>
  <c r="AH124" i="16"/>
  <c r="AH375" i="12"/>
  <c r="AH383" i="12" s="1"/>
  <c r="AH393" i="12" s="1"/>
  <c r="AH394" i="12" s="1"/>
  <c r="AA141" i="14"/>
  <c r="AA136" i="14"/>
  <c r="AA129" i="14"/>
  <c r="AA130" i="14" s="1"/>
  <c r="AA131" i="14" s="1"/>
  <c r="AA132" i="14" s="1"/>
  <c r="AB127" i="14" s="1"/>
  <c r="AI161" i="12"/>
  <c r="AI108" i="13"/>
  <c r="AI373" i="12"/>
  <c r="AI276" i="12"/>
  <c r="AI92" i="14"/>
  <c r="AI94" i="14" s="1"/>
  <c r="AI107" i="14" s="1"/>
  <c r="AI118" i="14" s="1"/>
  <c r="AH96" i="14"/>
  <c r="AH403" i="12"/>
  <c r="AH154" i="16" s="1"/>
  <c r="BO128" i="16"/>
  <c r="H51" i="18" s="1"/>
  <c r="AJ148" i="12"/>
  <c r="AC165" i="14"/>
  <c r="AI142" i="13"/>
  <c r="AH150" i="13"/>
  <c r="AJ146" i="12"/>
  <c r="AF128" i="16"/>
  <c r="AG177" i="13" l="1"/>
  <c r="AH172" i="13" s="1"/>
  <c r="AG178" i="13"/>
  <c r="AD165" i="14"/>
  <c r="BP118" i="14"/>
  <c r="BO141" i="16"/>
  <c r="AH185" i="13"/>
  <c r="AI119" i="14"/>
  <c r="AB141" i="14"/>
  <c r="AB136" i="14"/>
  <c r="AB129" i="14"/>
  <c r="AB130" i="14" s="1"/>
  <c r="AI124" i="16"/>
  <c r="BP124" i="16" s="1"/>
  <c r="AI375" i="12"/>
  <c r="AI383" i="12" s="1"/>
  <c r="AI393" i="12" s="1"/>
  <c r="AI394" i="12" s="1"/>
  <c r="AJ141" i="13"/>
  <c r="AI149" i="13"/>
  <c r="AI148" i="13"/>
  <c r="AJ140" i="13"/>
  <c r="AI195" i="13"/>
  <c r="AJ110" i="13"/>
  <c r="AJ118" i="13" s="1"/>
  <c r="AJ163" i="12"/>
  <c r="AJ278" i="12"/>
  <c r="AK148" i="12"/>
  <c r="AJ142" i="13"/>
  <c r="AI150" i="13"/>
  <c r="AG141" i="16"/>
  <c r="AG157" i="16" s="1"/>
  <c r="AG129" i="16"/>
  <c r="AI116" i="13"/>
  <c r="AI184" i="13" s="1"/>
  <c r="AI182" i="13"/>
  <c r="AH381" i="16"/>
  <c r="AH383" i="16" s="1"/>
  <c r="AH385" i="16" s="1"/>
  <c r="AH408" i="16" s="1"/>
  <c r="AH126" i="16"/>
  <c r="AH128" i="16" s="1"/>
  <c r="AI96" i="14"/>
  <c r="AI403" i="12"/>
  <c r="AI154" i="16" s="1"/>
  <c r="AD154" i="14"/>
  <c r="AE151" i="14" s="1"/>
  <c r="AJ373" i="12"/>
  <c r="AJ92" i="14"/>
  <c r="AJ276" i="12"/>
  <c r="AJ161" i="12"/>
  <c r="AJ108" i="13"/>
  <c r="AK146" i="12"/>
  <c r="AK147" i="12"/>
  <c r="AF141" i="16"/>
  <c r="AF157" i="16" s="1"/>
  <c r="AF129" i="16"/>
  <c r="BP92" i="14"/>
  <c r="BO157" i="16"/>
  <c r="AA144" i="14"/>
  <c r="AA146" i="14" s="1"/>
  <c r="AA167" i="14" s="1"/>
  <c r="AN211" i="16"/>
  <c r="AO224" i="16" s="1"/>
  <c r="BQ211" i="16"/>
  <c r="AJ162" i="12"/>
  <c r="AJ109" i="13"/>
  <c r="AJ117" i="13" s="1"/>
  <c r="AJ277" i="12"/>
  <c r="AH196" i="13"/>
  <c r="AH177" i="13" l="1"/>
  <c r="AI172" i="13" s="1"/>
  <c r="AH178" i="13"/>
  <c r="AI185" i="13"/>
  <c r="AI196" i="13"/>
  <c r="AL146" i="12"/>
  <c r="AI381" i="16"/>
  <c r="AI383" i="16" s="1"/>
  <c r="AI385" i="16" s="1"/>
  <c r="AI408" i="16" s="1"/>
  <c r="AI126" i="16"/>
  <c r="AI128" i="16" s="1"/>
  <c r="BP94" i="14"/>
  <c r="AJ182" i="13"/>
  <c r="AJ116" i="13"/>
  <c r="AJ184" i="13" s="1"/>
  <c r="I25" i="18"/>
  <c r="I26" i="18"/>
  <c r="AL147" i="12"/>
  <c r="AL148" i="12"/>
  <c r="AK141" i="13"/>
  <c r="AJ149" i="13"/>
  <c r="AK92" i="14"/>
  <c r="AK94" i="14" s="1"/>
  <c r="AK107" i="14" s="1"/>
  <c r="AK118" i="14" s="1"/>
  <c r="AK373" i="12"/>
  <c r="AK108" i="13"/>
  <c r="AK276" i="12"/>
  <c r="AK161" i="12"/>
  <c r="AE158" i="14"/>
  <c r="AE153" i="14"/>
  <c r="AE161" i="14"/>
  <c r="AJ96" i="14"/>
  <c r="AJ403" i="12"/>
  <c r="AJ154" i="16" s="1"/>
  <c r="AB131" i="14"/>
  <c r="AB132" i="14" s="1"/>
  <c r="AC127" i="14" s="1"/>
  <c r="J39" i="18"/>
  <c r="K39" i="18" s="1"/>
  <c r="AO211" i="16"/>
  <c r="AP224" i="16" s="1"/>
  <c r="AJ148" i="13"/>
  <c r="AJ195" i="13"/>
  <c r="AK140" i="13"/>
  <c r="AJ94" i="14"/>
  <c r="AJ107" i="14" s="1"/>
  <c r="AJ118" i="14" s="1"/>
  <c r="AJ119" i="14" s="1"/>
  <c r="AH141" i="16"/>
  <c r="AH157" i="16" s="1"/>
  <c r="AH129" i="16"/>
  <c r="AJ150" i="13"/>
  <c r="AK142" i="13"/>
  <c r="AK162" i="12"/>
  <c r="AK109" i="13"/>
  <c r="AK117" i="13" s="1"/>
  <c r="AK277" i="12"/>
  <c r="AJ375" i="12"/>
  <c r="AJ383" i="12" s="1"/>
  <c r="AJ393" i="12" s="1"/>
  <c r="AJ394" i="12" s="1"/>
  <c r="AJ124" i="16"/>
  <c r="AK278" i="12"/>
  <c r="AK163" i="12"/>
  <c r="AK110" i="13"/>
  <c r="AK118" i="13" s="1"/>
  <c r="AI177" i="13" l="1"/>
  <c r="AJ172" i="13" s="1"/>
  <c r="AI178" i="13"/>
  <c r="AK119" i="14"/>
  <c r="AB144" i="14"/>
  <c r="AB146" i="14" s="1"/>
  <c r="AB167" i="14" s="1"/>
  <c r="BP126" i="16"/>
  <c r="Z8" i="47" s="1"/>
  <c r="Z9" i="47" s="1"/>
  <c r="AJ185" i="13"/>
  <c r="AE165" i="14"/>
  <c r="AK148" i="13"/>
  <c r="AK195" i="13"/>
  <c r="AL140" i="13"/>
  <c r="AL141" i="13"/>
  <c r="AK149" i="13"/>
  <c r="AL163" i="12"/>
  <c r="AL110" i="13"/>
  <c r="AL118" i="13" s="1"/>
  <c r="AL278" i="12"/>
  <c r="AJ381" i="16"/>
  <c r="AJ383" i="16" s="1"/>
  <c r="AJ385" i="16" s="1"/>
  <c r="AJ408" i="16" s="1"/>
  <c r="AJ126" i="16"/>
  <c r="AJ196" i="13"/>
  <c r="AK96" i="14"/>
  <c r="AK403" i="12"/>
  <c r="AK154" i="16" s="1"/>
  <c r="AM148" i="12"/>
  <c r="BP107" i="14"/>
  <c r="AM147" i="12"/>
  <c r="AI141" i="16"/>
  <c r="AI157" i="16" s="1"/>
  <c r="BP157" i="16" s="1"/>
  <c r="AI129" i="16"/>
  <c r="BP129" i="16" s="1"/>
  <c r="BP128" i="16"/>
  <c r="AC141" i="14"/>
  <c r="AC136" i="14"/>
  <c r="AC129" i="14"/>
  <c r="AC130" i="14" s="1"/>
  <c r="AP211" i="16"/>
  <c r="AQ224" i="16" s="1"/>
  <c r="AK116" i="13"/>
  <c r="AK184" i="13" s="1"/>
  <c r="AK182" i="13"/>
  <c r="AL109" i="13"/>
  <c r="AL117" i="13" s="1"/>
  <c r="AL162" i="12"/>
  <c r="AL277" i="12"/>
  <c r="AK124" i="16"/>
  <c r="AK375" i="12"/>
  <c r="AK383" i="12" s="1"/>
  <c r="AK393" i="12" s="1"/>
  <c r="AK394" i="12" s="1"/>
  <c r="AL142" i="13"/>
  <c r="AK150" i="13"/>
  <c r="I28" i="18"/>
  <c r="AM146" i="12"/>
  <c r="AE154" i="14"/>
  <c r="AF151" i="14" s="1"/>
  <c r="AL276" i="12"/>
  <c r="AL161" i="12"/>
  <c r="AL108" i="13"/>
  <c r="AL373" i="12"/>
  <c r="AL92" i="14"/>
  <c r="AJ177" i="13" l="1"/>
  <c r="AK172" i="13" s="1"/>
  <c r="AJ178" i="13"/>
  <c r="AC131" i="14"/>
  <c r="AC132" i="14" s="1"/>
  <c r="AD127" i="14" s="1"/>
  <c r="AD141" i="14" s="1"/>
  <c r="AK185" i="13"/>
  <c r="BP141" i="16"/>
  <c r="AK196" i="13"/>
  <c r="AL375" i="12"/>
  <c r="AL383" i="12" s="1"/>
  <c r="AL393" i="12" s="1"/>
  <c r="AL394" i="12" s="1"/>
  <c r="AL124" i="16"/>
  <c r="AL116" i="13"/>
  <c r="AL184" i="13" s="1"/>
  <c r="AL182" i="13"/>
  <c r="AM142" i="13"/>
  <c r="AL150" i="13"/>
  <c r="AM109" i="13"/>
  <c r="AM117" i="13" s="1"/>
  <c r="AM277" i="12"/>
  <c r="AM162" i="12"/>
  <c r="AL149" i="13"/>
  <c r="AM141" i="13"/>
  <c r="AL94" i="14"/>
  <c r="AL107" i="14" s="1"/>
  <c r="AL118" i="14" s="1"/>
  <c r="I51" i="18"/>
  <c r="AN147" i="12"/>
  <c r="AJ128" i="16"/>
  <c r="AL148" i="13"/>
  <c r="AL195" i="13"/>
  <c r="AM140" i="13"/>
  <c r="AL96" i="14"/>
  <c r="AL403" i="12"/>
  <c r="AL154" i="16" s="1"/>
  <c r="AF153" i="14"/>
  <c r="AF154" i="14" s="1"/>
  <c r="AG151" i="14" s="1"/>
  <c r="AF161" i="14"/>
  <c r="AF158" i="14"/>
  <c r="AN146" i="12"/>
  <c r="AK381" i="16"/>
  <c r="AK383" i="16" s="1"/>
  <c r="AK385" i="16" s="1"/>
  <c r="AK408" i="16" s="1"/>
  <c r="AK126" i="16"/>
  <c r="AK128" i="16" s="1"/>
  <c r="AQ211" i="16"/>
  <c r="AR224" i="16" s="1"/>
  <c r="AN148" i="12"/>
  <c r="AM373" i="12"/>
  <c r="AM276" i="12"/>
  <c r="AM108" i="13"/>
  <c r="AM161" i="12"/>
  <c r="AM92" i="14"/>
  <c r="AM94" i="14" s="1"/>
  <c r="AM107" i="14" s="1"/>
  <c r="AM118" i="14" s="1"/>
  <c r="AM110" i="13"/>
  <c r="AM118" i="13" s="1"/>
  <c r="AM163" i="12"/>
  <c r="AM278" i="12"/>
  <c r="AK177" i="13" l="1"/>
  <c r="AL172" i="13" s="1"/>
  <c r="AK178" i="13"/>
  <c r="BQ118" i="14"/>
  <c r="AL196" i="13"/>
  <c r="AD136" i="14"/>
  <c r="AD129" i="14"/>
  <c r="AD130" i="14" s="1"/>
  <c r="AD131" i="14" s="1"/>
  <c r="AC144" i="14"/>
  <c r="AC146" i="14" s="1"/>
  <c r="AC167" i="14" s="1"/>
  <c r="AM119" i="14"/>
  <c r="AF165" i="14"/>
  <c r="BQ92" i="14"/>
  <c r="BQ94" i="14" s="1"/>
  <c r="AM148" i="13"/>
  <c r="AM195" i="13"/>
  <c r="AN140" i="13"/>
  <c r="AN163" i="12"/>
  <c r="AN110" i="13"/>
  <c r="AN118" i="13" s="1"/>
  <c r="AN278" i="12"/>
  <c r="AG153" i="14"/>
  <c r="AG154" i="14" s="1"/>
  <c r="AH151" i="14" s="1"/>
  <c r="AG161" i="14"/>
  <c r="AG158" i="14"/>
  <c r="AL185" i="13"/>
  <c r="AM116" i="13"/>
  <c r="AM184" i="13" s="1"/>
  <c r="AM182" i="13"/>
  <c r="AN108" i="13"/>
  <c r="AN161" i="12"/>
  <c r="AN92" i="14"/>
  <c r="AN276" i="12"/>
  <c r="AN373" i="12"/>
  <c r="AR211" i="16"/>
  <c r="AS224" i="16" s="1"/>
  <c r="AM150" i="13"/>
  <c r="AN142" i="13"/>
  <c r="AO148" i="12"/>
  <c r="AK141" i="16"/>
  <c r="AK157" i="16" s="1"/>
  <c r="AK129" i="16"/>
  <c r="AJ129" i="16"/>
  <c r="AJ141" i="16"/>
  <c r="AN141" i="13"/>
  <c r="AM149" i="13"/>
  <c r="AN162" i="12"/>
  <c r="AN277" i="12"/>
  <c r="AN109" i="13"/>
  <c r="AN117" i="13" s="1"/>
  <c r="AM403" i="12"/>
  <c r="AM154" i="16" s="1"/>
  <c r="AM96" i="14"/>
  <c r="AO146" i="12"/>
  <c r="AL119" i="14"/>
  <c r="AO147" i="12"/>
  <c r="AL381" i="16"/>
  <c r="AL383" i="16" s="1"/>
  <c r="AL385" i="16" s="1"/>
  <c r="AL408" i="16" s="1"/>
  <c r="AL126" i="16"/>
  <c r="BR211" i="16"/>
  <c r="AM124" i="16"/>
  <c r="AM375" i="12"/>
  <c r="AM383" i="12" s="1"/>
  <c r="AM393" i="12" s="1"/>
  <c r="AM394" i="12" s="1"/>
  <c r="AL177" i="13" l="1"/>
  <c r="AM172" i="13" s="1"/>
  <c r="AL178" i="13"/>
  <c r="AD132" i="14"/>
  <c r="AE127" i="14" s="1"/>
  <c r="AE141" i="14" s="1"/>
  <c r="AD144" i="14"/>
  <c r="AD146" i="14" s="1"/>
  <c r="AD167" i="14" s="1"/>
  <c r="AM185" i="13"/>
  <c r="AM196" i="13"/>
  <c r="AN94" i="14"/>
  <c r="AN107" i="14" s="1"/>
  <c r="AN118" i="14" s="1"/>
  <c r="AN119" i="14" s="1"/>
  <c r="AO109" i="13"/>
  <c r="AO117" i="13" s="1"/>
  <c r="AO277" i="12"/>
  <c r="AO162" i="12"/>
  <c r="AO142" i="13"/>
  <c r="AN150" i="13"/>
  <c r="AN96" i="14"/>
  <c r="AN403" i="12"/>
  <c r="AN154" i="16" s="1"/>
  <c r="AG165" i="14"/>
  <c r="AS211" i="16"/>
  <c r="AT224" i="16" s="1"/>
  <c r="BQ107" i="14"/>
  <c r="AJ157" i="16"/>
  <c r="AP148" i="12"/>
  <c r="AP147" i="12"/>
  <c r="AN182" i="13"/>
  <c r="AN116" i="13"/>
  <c r="AN184" i="13" s="1"/>
  <c r="AO108" i="13"/>
  <c r="AO276" i="12"/>
  <c r="AO373" i="12"/>
  <c r="AO92" i="14"/>
  <c r="AO94" i="14" s="1"/>
  <c r="AO107" i="14" s="1"/>
  <c r="AO118" i="14" s="1"/>
  <c r="AO161" i="12"/>
  <c r="AM381" i="16"/>
  <c r="AM383" i="16" s="1"/>
  <c r="AM385" i="16" s="1"/>
  <c r="AM408" i="16" s="1"/>
  <c r="AM126" i="16"/>
  <c r="AM128" i="16" s="1"/>
  <c r="BQ124" i="16"/>
  <c r="AP146" i="12"/>
  <c r="AN195" i="13"/>
  <c r="AN148" i="13"/>
  <c r="AO140" i="13"/>
  <c r="AN375" i="12"/>
  <c r="AN383" i="12" s="1"/>
  <c r="AN393" i="12" s="1"/>
  <c r="AN394" i="12" s="1"/>
  <c r="AN124" i="16"/>
  <c r="AN149" i="13"/>
  <c r="AO141" i="13"/>
  <c r="AH153" i="14"/>
  <c r="AH154" i="14" s="1"/>
  <c r="AI151" i="14" s="1"/>
  <c r="AH158" i="14"/>
  <c r="AH161" i="14"/>
  <c r="AL128" i="16"/>
  <c r="AO163" i="12"/>
  <c r="AO110" i="13"/>
  <c r="AO118" i="13" s="1"/>
  <c r="AO278" i="12"/>
  <c r="AM177" i="13" l="1"/>
  <c r="AN172" i="13" s="1"/>
  <c r="AM178" i="13"/>
  <c r="BQ126" i="16"/>
  <c r="AA8" i="47" s="1"/>
  <c r="AA9" i="47" s="1"/>
  <c r="AE129" i="14"/>
  <c r="AE130" i="14" s="1"/>
  <c r="AE136" i="14"/>
  <c r="AO119" i="14"/>
  <c r="AN196" i="13"/>
  <c r="AN185" i="13"/>
  <c r="AO96" i="14"/>
  <c r="AO403" i="12"/>
  <c r="AO154" i="16" s="1"/>
  <c r="AP109" i="13"/>
  <c r="AP117" i="13" s="1"/>
  <c r="AP277" i="12"/>
  <c r="AP162" i="12"/>
  <c r="AO148" i="13"/>
  <c r="AO195" i="13"/>
  <c r="AP140" i="13"/>
  <c r="AQ147" i="12"/>
  <c r="AT211" i="16"/>
  <c r="AU224" i="16" s="1"/>
  <c r="AO150" i="13"/>
  <c r="AP142" i="13"/>
  <c r="AO375" i="12"/>
  <c r="AO383" i="12" s="1"/>
  <c r="AO393" i="12" s="1"/>
  <c r="AO394" i="12" s="1"/>
  <c r="AO124" i="16"/>
  <c r="AQ148" i="12"/>
  <c r="AN126" i="16"/>
  <c r="AN381" i="16"/>
  <c r="AN383" i="16" s="1"/>
  <c r="AN385" i="16" s="1"/>
  <c r="AN408" i="16" s="1"/>
  <c r="AM141" i="16"/>
  <c r="AM157" i="16" s="1"/>
  <c r="AM129" i="16"/>
  <c r="AL141" i="16"/>
  <c r="AL129" i="16"/>
  <c r="BQ128" i="16"/>
  <c r="AI161" i="14"/>
  <c r="AI158" i="14"/>
  <c r="AI153" i="14"/>
  <c r="AI154" i="14" s="1"/>
  <c r="AJ151" i="14" s="1"/>
  <c r="AP163" i="12"/>
  <c r="AP110" i="13"/>
  <c r="AP118" i="13" s="1"/>
  <c r="AP278" i="12"/>
  <c r="AH165" i="14"/>
  <c r="AP92" i="14"/>
  <c r="AP94" i="14" s="1"/>
  <c r="AP107" i="14" s="1"/>
  <c r="AP118" i="14" s="1"/>
  <c r="AP373" i="12"/>
  <c r="AP108" i="13"/>
  <c r="AP276" i="12"/>
  <c r="AP161" i="12"/>
  <c r="AO182" i="13"/>
  <c r="AO116" i="13"/>
  <c r="AO184" i="13" s="1"/>
  <c r="AP141" i="13"/>
  <c r="AO149" i="13"/>
  <c r="AQ146" i="12"/>
  <c r="J25" i="18"/>
  <c r="J26" i="18"/>
  <c r="K26" i="18" s="1"/>
  <c r="AN177" i="13" l="1"/>
  <c r="AO172" i="13" s="1"/>
  <c r="AN178" i="13"/>
  <c r="AO196" i="13"/>
  <c r="BQ129" i="16"/>
  <c r="AE131" i="14"/>
  <c r="AP119" i="14"/>
  <c r="AJ158" i="14"/>
  <c r="AJ161" i="14"/>
  <c r="AJ153" i="14"/>
  <c r="AP375" i="12"/>
  <c r="AP383" i="12" s="1"/>
  <c r="AP393" i="12" s="1"/>
  <c r="AP394" i="12" s="1"/>
  <c r="AP124" i="16"/>
  <c r="AU211" i="16"/>
  <c r="BS224" i="16"/>
  <c r="AQ141" i="13"/>
  <c r="AP149" i="13"/>
  <c r="AN128" i="16"/>
  <c r="AQ92" i="14"/>
  <c r="AQ94" i="14" s="1"/>
  <c r="AQ107" i="14" s="1"/>
  <c r="AQ118" i="14" s="1"/>
  <c r="BR118" i="14" s="1"/>
  <c r="AQ276" i="12"/>
  <c r="AQ108" i="13"/>
  <c r="AQ161" i="12"/>
  <c r="AQ373" i="12"/>
  <c r="AR146" i="12"/>
  <c r="AP116" i="13"/>
  <c r="AP184" i="13" s="1"/>
  <c r="AP182" i="13"/>
  <c r="AR148" i="12"/>
  <c r="AP96" i="14"/>
  <c r="AP403" i="12"/>
  <c r="AP154" i="16" s="1"/>
  <c r="AO185" i="13"/>
  <c r="AQ278" i="12"/>
  <c r="AQ163" i="12"/>
  <c r="AQ110" i="13"/>
  <c r="AQ118" i="13" s="1"/>
  <c r="AQ162" i="12"/>
  <c r="AQ109" i="13"/>
  <c r="AQ117" i="13" s="1"/>
  <c r="AQ277" i="12"/>
  <c r="K25" i="18"/>
  <c r="J28" i="18"/>
  <c r="AL157" i="16"/>
  <c r="BQ141" i="16"/>
  <c r="AO381" i="16"/>
  <c r="AO383" i="16" s="1"/>
  <c r="AO385" i="16" s="1"/>
  <c r="AO408" i="16" s="1"/>
  <c r="AO126" i="16"/>
  <c r="AO128" i="16" s="1"/>
  <c r="AR147" i="12"/>
  <c r="AP195" i="13"/>
  <c r="AQ140" i="13"/>
  <c r="AP148" i="13"/>
  <c r="AI165" i="14"/>
  <c r="AQ142" i="13"/>
  <c r="AP150" i="13"/>
  <c r="BS211" i="16" l="1"/>
  <c r="AV224" i="16"/>
  <c r="AO177" i="13"/>
  <c r="AP172" i="13" s="1"/>
  <c r="AO178" i="13"/>
  <c r="AP185" i="13"/>
  <c r="AP196" i="13"/>
  <c r="AJ165" i="14"/>
  <c r="AE132" i="14"/>
  <c r="AF127" i="14" s="1"/>
  <c r="AE144" i="14"/>
  <c r="AE146" i="14" s="1"/>
  <c r="AE167" i="14" s="1"/>
  <c r="BR92" i="14"/>
  <c r="BR94" i="14" s="1"/>
  <c r="BR107" i="14" s="1"/>
  <c r="AQ119" i="14"/>
  <c r="AS147" i="12"/>
  <c r="AS146" i="12"/>
  <c r="AN129" i="16"/>
  <c r="AN141" i="16"/>
  <c r="AR277" i="12"/>
  <c r="AR162" i="12"/>
  <c r="AR109" i="13"/>
  <c r="AR117" i="13" s="1"/>
  <c r="AO129" i="16"/>
  <c r="AO141" i="16"/>
  <c r="AO157" i="16" s="1"/>
  <c r="AS148" i="12"/>
  <c r="AQ403" i="12"/>
  <c r="AQ154" i="16" s="1"/>
  <c r="AQ96" i="14"/>
  <c r="AR141" i="13"/>
  <c r="AQ149" i="13"/>
  <c r="AQ150" i="13"/>
  <c r="AR142" i="13"/>
  <c r="AR163" i="12"/>
  <c r="AR110" i="13"/>
  <c r="AR118" i="13" s="1"/>
  <c r="AR278" i="12"/>
  <c r="AQ116" i="13"/>
  <c r="AQ184" i="13" s="1"/>
  <c r="AQ182" i="13"/>
  <c r="AV211" i="16"/>
  <c r="AW224" i="16" s="1"/>
  <c r="BQ157" i="16"/>
  <c r="AR140" i="13"/>
  <c r="AQ148" i="13"/>
  <c r="AQ195" i="13"/>
  <c r="J51" i="18"/>
  <c r="E51" i="18" s="1"/>
  <c r="K28" i="18"/>
  <c r="AR161" i="12"/>
  <c r="AR373" i="12"/>
  <c r="AR108" i="13"/>
  <c r="AR92" i="14"/>
  <c r="AR276" i="12"/>
  <c r="AP126" i="16"/>
  <c r="AP128" i="16" s="1"/>
  <c r="AP381" i="16"/>
  <c r="AP383" i="16" s="1"/>
  <c r="AP385" i="16" s="1"/>
  <c r="AP408" i="16" s="1"/>
  <c r="AJ154" i="14"/>
  <c r="AK151" i="14" s="1"/>
  <c r="AQ124" i="16"/>
  <c r="AQ375" i="12"/>
  <c r="AQ383" i="12" s="1"/>
  <c r="AQ393" i="12" s="1"/>
  <c r="AQ394" i="12" s="1"/>
  <c r="AP177" i="13" l="1"/>
  <c r="AQ172" i="13" s="1"/>
  <c r="AP178" i="13"/>
  <c r="AQ196" i="13"/>
  <c r="AF136" i="14"/>
  <c r="AF141" i="14"/>
  <c r="AF129" i="14"/>
  <c r="AF130" i="14" s="1"/>
  <c r="AF131" i="14" s="1"/>
  <c r="AF132" i="14" s="1"/>
  <c r="AG127" i="14" s="1"/>
  <c r="AQ185" i="13"/>
  <c r="AR124" i="16"/>
  <c r="AR375" i="12"/>
  <c r="AR383" i="12" s="1"/>
  <c r="AR393" i="12" s="1"/>
  <c r="AR394" i="12" s="1"/>
  <c r="AS140" i="13"/>
  <c r="AR148" i="13"/>
  <c r="AR195" i="13"/>
  <c r="AT146" i="12"/>
  <c r="AS109" i="13"/>
  <c r="AS117" i="13" s="1"/>
  <c r="AS162" i="12"/>
  <c r="AS277" i="12"/>
  <c r="AR149" i="13"/>
  <c r="AS141" i="13"/>
  <c r="AT147" i="12"/>
  <c r="AR94" i="14"/>
  <c r="AR107" i="14" s="1"/>
  <c r="AR118" i="14" s="1"/>
  <c r="AR119" i="14" s="1"/>
  <c r="AQ381" i="16"/>
  <c r="AQ383" i="16" s="1"/>
  <c r="AQ385" i="16" s="1"/>
  <c r="AQ408" i="16" s="1"/>
  <c r="AQ126" i="16"/>
  <c r="AQ128" i="16" s="1"/>
  <c r="BR128" i="16" s="1"/>
  <c r="AR116" i="13"/>
  <c r="AR184" i="13" s="1"/>
  <c r="AR182" i="13"/>
  <c r="BR124" i="16"/>
  <c r="AR96" i="14"/>
  <c r="AR403" i="12"/>
  <c r="AR154" i="16" s="1"/>
  <c r="AS142" i="13"/>
  <c r="AR150" i="13"/>
  <c r="AS161" i="12"/>
  <c r="AS92" i="14"/>
  <c r="AS94" i="14" s="1"/>
  <c r="AS107" i="14" s="1"/>
  <c r="AS118" i="14" s="1"/>
  <c r="AS373" i="12"/>
  <c r="AS276" i="12"/>
  <c r="AS108" i="13"/>
  <c r="AK161" i="14"/>
  <c r="AK158" i="14"/>
  <c r="AK153" i="14"/>
  <c r="AP141" i="16"/>
  <c r="AP157" i="16" s="1"/>
  <c r="AP129" i="16"/>
  <c r="AN157" i="16"/>
  <c r="AT148" i="12"/>
  <c r="AW211" i="16"/>
  <c r="AX224" i="16" s="1"/>
  <c r="AS110" i="13"/>
  <c r="AS118" i="13" s="1"/>
  <c r="AS163" i="12"/>
  <c r="AS278" i="12"/>
  <c r="BR126" i="16" l="1"/>
  <c r="AQ177" i="13"/>
  <c r="AR172" i="13" s="1"/>
  <c r="AQ178" i="13"/>
  <c r="AG141" i="14"/>
  <c r="AG136" i="14"/>
  <c r="AG129" i="14"/>
  <c r="AF144" i="14"/>
  <c r="AF146" i="14" s="1"/>
  <c r="AF167" i="14" s="1"/>
  <c r="AK165" i="14"/>
  <c r="AS119" i="14"/>
  <c r="AR185" i="13"/>
  <c r="AT110" i="13"/>
  <c r="AT118" i="13" s="1"/>
  <c r="AT278" i="12"/>
  <c r="AT163" i="12"/>
  <c r="AU146" i="12"/>
  <c r="AS375" i="12"/>
  <c r="AS383" i="12" s="1"/>
  <c r="AS393" i="12" s="1"/>
  <c r="AS394" i="12" s="1"/>
  <c r="AS124" i="16"/>
  <c r="AU148" i="12"/>
  <c r="AT162" i="12"/>
  <c r="AT109" i="13"/>
  <c r="AT117" i="13" s="1"/>
  <c r="AT277" i="12"/>
  <c r="AT276" i="12"/>
  <c r="AT92" i="14"/>
  <c r="AT161" i="12"/>
  <c r="AT108" i="13"/>
  <c r="AT373" i="12"/>
  <c r="AK154" i="14"/>
  <c r="AL151" i="14" s="1"/>
  <c r="AS96" i="14"/>
  <c r="AS403" i="12"/>
  <c r="AS154" i="16" s="1"/>
  <c r="AU147" i="12"/>
  <c r="AS149" i="13"/>
  <c r="AT141" i="13"/>
  <c r="AR196" i="13"/>
  <c r="AX211" i="16"/>
  <c r="AY224" i="16" s="1"/>
  <c r="AS150" i="13"/>
  <c r="AT142" i="13"/>
  <c r="AS195" i="13"/>
  <c r="AT140" i="13"/>
  <c r="AS148" i="13"/>
  <c r="AQ129" i="16"/>
  <c r="BR129" i="16" s="1"/>
  <c r="AQ141" i="16"/>
  <c r="AS116" i="13"/>
  <c r="AS184" i="13" s="1"/>
  <c r="AS182" i="13"/>
  <c r="AR381" i="16"/>
  <c r="AR383" i="16" s="1"/>
  <c r="AR385" i="16" s="1"/>
  <c r="AR408" i="16" s="1"/>
  <c r="AR126" i="16"/>
  <c r="AR177" i="13" l="1"/>
  <c r="AS172" i="13" s="1"/>
  <c r="AR178" i="13"/>
  <c r="AS196" i="13"/>
  <c r="AG130" i="14"/>
  <c r="AS185" i="13"/>
  <c r="AQ157" i="16"/>
  <c r="BR141" i="16"/>
  <c r="AV146" i="12"/>
  <c r="AV147" i="12"/>
  <c r="AR128" i="16"/>
  <c r="BT224" i="16"/>
  <c r="AY211" i="16"/>
  <c r="AZ224" i="16" s="1"/>
  <c r="AU108" i="13"/>
  <c r="AU92" i="14"/>
  <c r="AU94" i="14" s="1"/>
  <c r="AU107" i="14" s="1"/>
  <c r="AU118" i="14" s="1"/>
  <c r="AU276" i="12"/>
  <c r="AU161" i="12"/>
  <c r="AU373" i="12"/>
  <c r="AL158" i="14"/>
  <c r="AL153" i="14"/>
  <c r="AL154" i="14" s="1"/>
  <c r="AM151" i="14" s="1"/>
  <c r="AL161" i="14"/>
  <c r="AT124" i="16"/>
  <c r="AT375" i="12"/>
  <c r="AT383" i="12" s="1"/>
  <c r="AT393" i="12" s="1"/>
  <c r="AT394" i="12" s="1"/>
  <c r="AT148" i="13"/>
  <c r="AT195" i="13"/>
  <c r="AU140" i="13"/>
  <c r="AT149" i="13"/>
  <c r="AU141" i="13"/>
  <c r="AT116" i="13"/>
  <c r="AT184" i="13" s="1"/>
  <c r="AT182" i="13"/>
  <c r="AU110" i="13"/>
  <c r="AU118" i="13" s="1"/>
  <c r="AU278" i="12"/>
  <c r="AU163" i="12"/>
  <c r="AT96" i="14"/>
  <c r="AT403" i="12"/>
  <c r="AT154" i="16" s="1"/>
  <c r="AV148" i="12"/>
  <c r="AT150" i="13"/>
  <c r="AU142" i="13"/>
  <c r="AU277" i="12"/>
  <c r="AU162" i="12"/>
  <c r="AU109" i="13"/>
  <c r="AU117" i="13" s="1"/>
  <c r="AT94" i="14"/>
  <c r="AT107" i="14" s="1"/>
  <c r="AT118" i="14" s="1"/>
  <c r="AS126" i="16"/>
  <c r="AS128" i="16" s="1"/>
  <c r="AS381" i="16"/>
  <c r="AS383" i="16" s="1"/>
  <c r="AS385" i="16" s="1"/>
  <c r="AS408" i="16" s="1"/>
  <c r="AS177" i="13" l="1"/>
  <c r="AT172" i="13" s="1"/>
  <c r="AS178" i="13"/>
  <c r="AU119" i="14"/>
  <c r="AT196" i="13"/>
  <c r="BS92" i="14"/>
  <c r="BS94" i="14" s="1"/>
  <c r="BS107" i="14" s="1"/>
  <c r="BS118" i="14"/>
  <c r="AG131" i="14"/>
  <c r="AG132" i="14" s="1"/>
  <c r="AH127" i="14" s="1"/>
  <c r="AT119" i="14"/>
  <c r="AT185" i="13"/>
  <c r="AS141" i="16"/>
  <c r="AS157" i="16" s="1"/>
  <c r="AS129" i="16"/>
  <c r="AV110" i="13"/>
  <c r="AV118" i="13" s="1"/>
  <c r="AV278" i="12"/>
  <c r="AV163" i="12"/>
  <c r="AT381" i="16"/>
  <c r="AT383" i="16" s="1"/>
  <c r="AT385" i="16" s="1"/>
  <c r="AT408" i="16" s="1"/>
  <c r="AT126" i="16"/>
  <c r="AT128" i="16" s="1"/>
  <c r="AU149" i="13"/>
  <c r="AV141" i="13"/>
  <c r="AM161" i="14"/>
  <c r="AM158" i="14"/>
  <c r="AM153" i="14"/>
  <c r="AM154" i="14" s="1"/>
  <c r="AN151" i="14" s="1"/>
  <c r="AU116" i="13"/>
  <c r="AU184" i="13" s="1"/>
  <c r="AU182" i="13"/>
  <c r="AW148" i="12"/>
  <c r="AZ211" i="16"/>
  <c r="BA224" i="16" s="1"/>
  <c r="BT211" i="16"/>
  <c r="AW146" i="12"/>
  <c r="AV140" i="13"/>
  <c r="AU148" i="13"/>
  <c r="AU195" i="13"/>
  <c r="AL165" i="14"/>
  <c r="AV108" i="13"/>
  <c r="AV92" i="14"/>
  <c r="AV276" i="12"/>
  <c r="AV161" i="12"/>
  <c r="AV373" i="12"/>
  <c r="AU375" i="12"/>
  <c r="AU383" i="12" s="1"/>
  <c r="AU393" i="12" s="1"/>
  <c r="AU394" i="12" s="1"/>
  <c r="AU124" i="16"/>
  <c r="BS124" i="16" s="1"/>
  <c r="BR157" i="16"/>
  <c r="AU403" i="12"/>
  <c r="AU154" i="16" s="1"/>
  <c r="AU96" i="14"/>
  <c r="AR141" i="16"/>
  <c r="AR129" i="16"/>
  <c r="AV142" i="13"/>
  <c r="AU150" i="13"/>
  <c r="AW147" i="12"/>
  <c r="AV162" i="12"/>
  <c r="AV109" i="13"/>
  <c r="AV117" i="13" s="1"/>
  <c r="AV277" i="12"/>
  <c r="AT177" i="13" l="1"/>
  <c r="AU172" i="13" s="1"/>
  <c r="AT178" i="13"/>
  <c r="AH141" i="14"/>
  <c r="AH136" i="14"/>
  <c r="AH129" i="14"/>
  <c r="AH130" i="14" s="1"/>
  <c r="AH131" i="14" s="1"/>
  <c r="AG144" i="14"/>
  <c r="AG146" i="14" s="1"/>
  <c r="AG167" i="14" s="1"/>
  <c r="AU196" i="13"/>
  <c r="AU185" i="13"/>
  <c r="AV150" i="13"/>
  <c r="AW142" i="13"/>
  <c r="AV116" i="13"/>
  <c r="AV184" i="13" s="1"/>
  <c r="AV182" i="13"/>
  <c r="AM165" i="14"/>
  <c r="AV96" i="14"/>
  <c r="AV403" i="12"/>
  <c r="AV154" i="16" s="1"/>
  <c r="AX146" i="12"/>
  <c r="AX147" i="12"/>
  <c r="AW108" i="13"/>
  <c r="AW161" i="12"/>
  <c r="AW276" i="12"/>
  <c r="AW92" i="14"/>
  <c r="AW94" i="14" s="1"/>
  <c r="AW107" i="14" s="1"/>
  <c r="AW118" i="14" s="1"/>
  <c r="AW373" i="12"/>
  <c r="BA211" i="16"/>
  <c r="BB224" i="16" s="1"/>
  <c r="AW278" i="12"/>
  <c r="AW163" i="12"/>
  <c r="AW110" i="13"/>
  <c r="AW118" i="13" s="1"/>
  <c r="AW141" i="13"/>
  <c r="AV149" i="13"/>
  <c r="AV124" i="16"/>
  <c r="AV375" i="12"/>
  <c r="AV383" i="12" s="1"/>
  <c r="AV393" i="12" s="1"/>
  <c r="AV394" i="12" s="1"/>
  <c r="AW140" i="13"/>
  <c r="AV148" i="13"/>
  <c r="AV195" i="13"/>
  <c r="AX148" i="12"/>
  <c r="AU381" i="16"/>
  <c r="AU383" i="16" s="1"/>
  <c r="AU385" i="16" s="1"/>
  <c r="AU408" i="16" s="1"/>
  <c r="AU126" i="16"/>
  <c r="AT129" i="16"/>
  <c r="AT141" i="16"/>
  <c r="AT157" i="16" s="1"/>
  <c r="AR157" i="16"/>
  <c r="AW162" i="12"/>
  <c r="AW109" i="13"/>
  <c r="AW117" i="13" s="1"/>
  <c r="AW277" i="12"/>
  <c r="AV94" i="14"/>
  <c r="AV107" i="14" s="1"/>
  <c r="AV118" i="14" s="1"/>
  <c r="AV119" i="14" s="1"/>
  <c r="AN158" i="14"/>
  <c r="AN161" i="14"/>
  <c r="AN153" i="14"/>
  <c r="AN154" i="14" s="1"/>
  <c r="AO151" i="14" s="1"/>
  <c r="AU177" i="13" l="1"/>
  <c r="AV172" i="13" s="1"/>
  <c r="AU178" i="13"/>
  <c r="AV196" i="13"/>
  <c r="AH132" i="14"/>
  <c r="AI127" i="14" s="1"/>
  <c r="AH144" i="14"/>
  <c r="AH146" i="14" s="1"/>
  <c r="AH167" i="14" s="1"/>
  <c r="AV185" i="13"/>
  <c r="AO161" i="14"/>
  <c r="AO153" i="14"/>
  <c r="AO158" i="14"/>
  <c r="AW119" i="14"/>
  <c r="AW148" i="13"/>
  <c r="AX140" i="13"/>
  <c r="AW195" i="13"/>
  <c r="BB211" i="16"/>
  <c r="BC224" i="16" s="1"/>
  <c r="AW96" i="14"/>
  <c r="AW403" i="12"/>
  <c r="AW154" i="16" s="1"/>
  <c r="AW182" i="13"/>
  <c r="AW116" i="13"/>
  <c r="AW184" i="13" s="1"/>
  <c r="AX278" i="12"/>
  <c r="AX163" i="12"/>
  <c r="AX110" i="13"/>
  <c r="AX118" i="13" s="1"/>
  <c r="AU128" i="16"/>
  <c r="BS126" i="16"/>
  <c r="AV126" i="16"/>
  <c r="AV381" i="16"/>
  <c r="AV383" i="16" s="1"/>
  <c r="AV385" i="16" s="1"/>
  <c r="AV408" i="16" s="1"/>
  <c r="AX109" i="13"/>
  <c r="AX117" i="13" s="1"/>
  <c r="AX277" i="12"/>
  <c r="AX162" i="12"/>
  <c r="AY147" i="12"/>
  <c r="AN165" i="14"/>
  <c r="AY148" i="12"/>
  <c r="AW149" i="13"/>
  <c r="AX141" i="13"/>
  <c r="AX108" i="13"/>
  <c r="AX276" i="12"/>
  <c r="AX161" i="12"/>
  <c r="AX92" i="14"/>
  <c r="AX94" i="14" s="1"/>
  <c r="AX107" i="14" s="1"/>
  <c r="AX118" i="14" s="1"/>
  <c r="AX373" i="12"/>
  <c r="AX142" i="13"/>
  <c r="AW150" i="13"/>
  <c r="AW124" i="16"/>
  <c r="AW375" i="12"/>
  <c r="AW383" i="12" s="1"/>
  <c r="AW393" i="12" s="1"/>
  <c r="AW394" i="12" s="1"/>
  <c r="AY146" i="12"/>
  <c r="AV177" i="13" l="1"/>
  <c r="AW172" i="13" s="1"/>
  <c r="AV178" i="13"/>
  <c r="AI136" i="14"/>
  <c r="AI141" i="14"/>
  <c r="AI129" i="14"/>
  <c r="AW196" i="13"/>
  <c r="AX119" i="14"/>
  <c r="AO165" i="14"/>
  <c r="AX116" i="13"/>
  <c r="AX184" i="13" s="1"/>
  <c r="AX182" i="13"/>
  <c r="AV128" i="16"/>
  <c r="AY276" i="12"/>
  <c r="AY108" i="13"/>
  <c r="AY92" i="14"/>
  <c r="AY94" i="14" s="1"/>
  <c r="AY107" i="14" s="1"/>
  <c r="AY118" i="14" s="1"/>
  <c r="BT118" i="14" s="1"/>
  <c r="AY373" i="12"/>
  <c r="AY161" i="12"/>
  <c r="AX96" i="14"/>
  <c r="AX403" i="12"/>
  <c r="AX154" i="16" s="1"/>
  <c r="AY162" i="12"/>
  <c r="AY277" i="12"/>
  <c r="AY109" i="13"/>
  <c r="AY117" i="13" s="1"/>
  <c r="AW185" i="13"/>
  <c r="AY140" i="13"/>
  <c r="AX148" i="13"/>
  <c r="AX195" i="13"/>
  <c r="AZ146" i="12"/>
  <c r="AZ147" i="12"/>
  <c r="AW126" i="16"/>
  <c r="AW128" i="16" s="1"/>
  <c r="AW381" i="16"/>
  <c r="AW383" i="16" s="1"/>
  <c r="AW385" i="16" s="1"/>
  <c r="AW408" i="16" s="1"/>
  <c r="AY141" i="13"/>
  <c r="AX149" i="13"/>
  <c r="AU141" i="16"/>
  <c r="AU129" i="16"/>
  <c r="BS129" i="16" s="1"/>
  <c r="BS128" i="16"/>
  <c r="AY142" i="13"/>
  <c r="AX150" i="13"/>
  <c r="AZ148" i="12"/>
  <c r="AO154" i="14"/>
  <c r="AP151" i="14" s="1"/>
  <c r="AX375" i="12"/>
  <c r="AX383" i="12" s="1"/>
  <c r="AX393" i="12" s="1"/>
  <c r="AX394" i="12" s="1"/>
  <c r="AX124" i="16"/>
  <c r="AY163" i="12"/>
  <c r="AY110" i="13"/>
  <c r="AY118" i="13" s="1"/>
  <c r="AY278" i="12"/>
  <c r="BC211" i="16"/>
  <c r="BU211" i="16" l="1"/>
  <c r="BD224" i="16"/>
  <c r="AW177" i="13"/>
  <c r="AX172" i="13" s="1"/>
  <c r="AW178" i="13"/>
  <c r="BT92" i="14"/>
  <c r="BT94" i="14" s="1"/>
  <c r="BT107" i="14" s="1"/>
  <c r="AI130" i="14"/>
  <c r="AI131" i="14" s="1"/>
  <c r="AI132" i="14" s="1"/>
  <c r="AJ127" i="14" s="1"/>
  <c r="AX185" i="13"/>
  <c r="AX196" i="13"/>
  <c r="AY119" i="14"/>
  <c r="AZ162" i="12"/>
  <c r="AZ277" i="12"/>
  <c r="AZ109" i="13"/>
  <c r="AZ117" i="13" s="1"/>
  <c r="AY116" i="13"/>
  <c r="AY184" i="13" s="1"/>
  <c r="AY182" i="13"/>
  <c r="BA146" i="12"/>
  <c r="AU157" i="16"/>
  <c r="BS141" i="16"/>
  <c r="AZ108" i="13"/>
  <c r="AZ92" i="14"/>
  <c r="AZ276" i="12"/>
  <c r="AZ373" i="12"/>
  <c r="AZ161" i="12"/>
  <c r="AV129" i="16"/>
  <c r="AV141" i="16"/>
  <c r="BD211" i="16"/>
  <c r="BE224" i="16" s="1"/>
  <c r="AP153" i="14"/>
  <c r="AP154" i="14" s="1"/>
  <c r="AQ151" i="14" s="1"/>
  <c r="AP161" i="14"/>
  <c r="AP158" i="14"/>
  <c r="AZ278" i="12"/>
  <c r="AZ163" i="12"/>
  <c r="AZ110" i="13"/>
  <c r="AZ118" i="13" s="1"/>
  <c r="AZ141" i="13"/>
  <c r="AY149" i="13"/>
  <c r="AY96" i="14"/>
  <c r="AY403" i="12"/>
  <c r="AY154" i="16" s="1"/>
  <c r="BA148" i="12"/>
  <c r="AW141" i="16"/>
  <c r="AW157" i="16" s="1"/>
  <c r="AW129" i="16"/>
  <c r="AZ140" i="13"/>
  <c r="AY148" i="13"/>
  <c r="AY195" i="13"/>
  <c r="AY124" i="16"/>
  <c r="AY375" i="12"/>
  <c r="AY383" i="12" s="1"/>
  <c r="AY393" i="12" s="1"/>
  <c r="AY394" i="12" s="1"/>
  <c r="AX381" i="16"/>
  <c r="AX383" i="16" s="1"/>
  <c r="AX385" i="16" s="1"/>
  <c r="AX408" i="16" s="1"/>
  <c r="AX126" i="16"/>
  <c r="AX128" i="16" s="1"/>
  <c r="AZ142" i="13"/>
  <c r="AY150" i="13"/>
  <c r="BA147" i="12"/>
  <c r="AX177" i="13" l="1"/>
  <c r="AY172" i="13" s="1"/>
  <c r="AX178" i="13"/>
  <c r="AY196" i="13"/>
  <c r="AJ129" i="14"/>
  <c r="AJ130" i="14" s="1"/>
  <c r="AJ131" i="14" s="1"/>
  <c r="AJ132" i="14" s="1"/>
  <c r="AK127" i="14" s="1"/>
  <c r="AJ136" i="14"/>
  <c r="AJ141" i="14"/>
  <c r="AI144" i="14"/>
  <c r="AI146" i="14" s="1"/>
  <c r="AI167" i="14" s="1"/>
  <c r="AY185" i="13"/>
  <c r="BB147" i="12"/>
  <c r="AZ148" i="13"/>
  <c r="AZ195" i="13"/>
  <c r="BA140" i="13"/>
  <c r="BA142" i="13"/>
  <c r="AZ150" i="13"/>
  <c r="BE211" i="16"/>
  <c r="BF224" i="16" s="1"/>
  <c r="AX129" i="16"/>
  <c r="AX141" i="16"/>
  <c r="AX157" i="16" s="1"/>
  <c r="AZ94" i="14"/>
  <c r="AZ107" i="14" s="1"/>
  <c r="AZ118" i="14" s="1"/>
  <c r="AZ119" i="14" s="1"/>
  <c r="BA278" i="12"/>
  <c r="BA163" i="12"/>
  <c r="BA110" i="13"/>
  <c r="BA118" i="13" s="1"/>
  <c r="AZ116" i="13"/>
  <c r="AZ184" i="13" s="1"/>
  <c r="AZ182" i="13"/>
  <c r="AY126" i="16"/>
  <c r="AY128" i="16" s="1"/>
  <c r="BT128" i="16" s="1"/>
  <c r="AY381" i="16"/>
  <c r="AY383" i="16" s="1"/>
  <c r="AY385" i="16" s="1"/>
  <c r="AY408" i="16" s="1"/>
  <c r="BS157" i="16"/>
  <c r="BB146" i="12"/>
  <c r="AP165" i="14"/>
  <c r="AZ96" i="14"/>
  <c r="AZ403" i="12"/>
  <c r="AZ154" i="16" s="1"/>
  <c r="BA92" i="14"/>
  <c r="BA94" i="14" s="1"/>
  <c r="BA107" i="14" s="1"/>
  <c r="BA118" i="14" s="1"/>
  <c r="BA276" i="12"/>
  <c r="BA161" i="12"/>
  <c r="BA108" i="13"/>
  <c r="BA373" i="12"/>
  <c r="BT124" i="16"/>
  <c r="AZ375" i="12"/>
  <c r="AZ383" i="12" s="1"/>
  <c r="AZ393" i="12" s="1"/>
  <c r="AZ394" i="12" s="1"/>
  <c r="AZ124" i="16"/>
  <c r="BA109" i="13"/>
  <c r="BA117" i="13" s="1"/>
  <c r="BA277" i="12"/>
  <c r="BA162" i="12"/>
  <c r="BA141" i="13"/>
  <c r="AZ149" i="13"/>
  <c r="AQ158" i="14"/>
  <c r="AQ153" i="14"/>
  <c r="AQ154" i="14" s="1"/>
  <c r="AR151" i="14" s="1"/>
  <c r="AQ161" i="14"/>
  <c r="BB148" i="12"/>
  <c r="AV157" i="16"/>
  <c r="AY177" i="13" l="1"/>
  <c r="AZ172" i="13" s="1"/>
  <c r="AY178" i="13"/>
  <c r="BA119" i="14"/>
  <c r="BT126" i="16"/>
  <c r="AJ144" i="14"/>
  <c r="AJ146" i="14" s="1"/>
  <c r="AJ167" i="14" s="1"/>
  <c r="AK129" i="14"/>
  <c r="AK141" i="14"/>
  <c r="AK136" i="14"/>
  <c r="BA375" i="12"/>
  <c r="BA383" i="12" s="1"/>
  <c r="BA393" i="12" s="1"/>
  <c r="BA394" i="12" s="1"/>
  <c r="BA124" i="16"/>
  <c r="BA149" i="13"/>
  <c r="BB141" i="13"/>
  <c r="BC146" i="12"/>
  <c r="BB278" i="12"/>
  <c r="BB110" i="13"/>
  <c r="BB118" i="13" s="1"/>
  <c r="BB163" i="12"/>
  <c r="AZ381" i="16"/>
  <c r="AZ383" i="16" s="1"/>
  <c r="AZ385" i="16" s="1"/>
  <c r="AZ408" i="16" s="1"/>
  <c r="AZ126" i="16"/>
  <c r="AY129" i="16"/>
  <c r="BT129" i="16" s="1"/>
  <c r="AY141" i="16"/>
  <c r="BA150" i="13"/>
  <c r="BB142" i="13"/>
  <c r="BB108" i="13"/>
  <c r="BB276" i="12"/>
  <c r="BB92" i="14"/>
  <c r="BB161" i="12"/>
  <c r="BB373" i="12"/>
  <c r="AZ185" i="13"/>
  <c r="BA195" i="13"/>
  <c r="BA148" i="13"/>
  <c r="BB140" i="13"/>
  <c r="BA403" i="12"/>
  <c r="BA154" i="16" s="1"/>
  <c r="BA96" i="14"/>
  <c r="BF211" i="16"/>
  <c r="BG224" i="16" s="1"/>
  <c r="AZ196" i="13"/>
  <c r="BC147" i="12"/>
  <c r="BA116" i="13"/>
  <c r="BA184" i="13" s="1"/>
  <c r="BA182" i="13"/>
  <c r="AR153" i="14"/>
  <c r="AR154" i="14" s="1"/>
  <c r="AS151" i="14" s="1"/>
  <c r="AR161" i="14"/>
  <c r="AR158" i="14"/>
  <c r="BC148" i="12"/>
  <c r="AQ165" i="14"/>
  <c r="BB162" i="12"/>
  <c r="BB277" i="12"/>
  <c r="BB109" i="13"/>
  <c r="BB117" i="13" s="1"/>
  <c r="AZ177" i="13" l="1"/>
  <c r="BA172" i="13" s="1"/>
  <c r="AZ178" i="13"/>
  <c r="AK130" i="14"/>
  <c r="BA196" i="13"/>
  <c r="BD147" i="12"/>
  <c r="BB148" i="13"/>
  <c r="BB195" i="13"/>
  <c r="BC140" i="13"/>
  <c r="AS158" i="14"/>
  <c r="AS153" i="14"/>
  <c r="AS161" i="14"/>
  <c r="BC109" i="13"/>
  <c r="BC117" i="13" s="1"/>
  <c r="BC162" i="12"/>
  <c r="BC277" i="12"/>
  <c r="AR165" i="14"/>
  <c r="BA185" i="13"/>
  <c r="BV224" i="16"/>
  <c r="BG211" i="16"/>
  <c r="BV211" i="16" s="1"/>
  <c r="BX211" i="16" s="1"/>
  <c r="BC108" i="13"/>
  <c r="BC373" i="12"/>
  <c r="BC92" i="14"/>
  <c r="BC94" i="14" s="1"/>
  <c r="BC107" i="14" s="1"/>
  <c r="BC118" i="14" s="1"/>
  <c r="BC161" i="12"/>
  <c r="BC276" i="12"/>
  <c r="BC119" i="14" s="1"/>
  <c r="BD146" i="12"/>
  <c r="BB375" i="12"/>
  <c r="BB383" i="12" s="1"/>
  <c r="BB393" i="12" s="1"/>
  <c r="BB394" i="12" s="1"/>
  <c r="BB124" i="16"/>
  <c r="BC141" i="13"/>
  <c r="BB149" i="13"/>
  <c r="BC163" i="12"/>
  <c r="BC110" i="13"/>
  <c r="BC118" i="13" s="1"/>
  <c r="BC278" i="12"/>
  <c r="BD148" i="12"/>
  <c r="BB96" i="14"/>
  <c r="BB403" i="12"/>
  <c r="BB154" i="16" s="1"/>
  <c r="AZ128" i="16"/>
  <c r="BB94" i="14"/>
  <c r="BB107" i="14" s="1"/>
  <c r="BB118" i="14" s="1"/>
  <c r="BB119" i="14" s="1"/>
  <c r="BC142" i="13"/>
  <c r="BB150" i="13"/>
  <c r="BA381" i="16"/>
  <c r="BA383" i="16" s="1"/>
  <c r="BA385" i="16" s="1"/>
  <c r="BA408" i="16" s="1"/>
  <c r="BA126" i="16"/>
  <c r="BA128" i="16" s="1"/>
  <c r="BB116" i="13"/>
  <c r="BB184" i="13" s="1"/>
  <c r="BB182" i="13"/>
  <c r="AY157" i="16"/>
  <c r="BT141" i="16"/>
  <c r="BA177" i="13" l="1"/>
  <c r="BB172" i="13" s="1"/>
  <c r="BA178" i="13"/>
  <c r="AK131" i="14"/>
  <c r="AK144" i="14" s="1"/>
  <c r="AK146" i="14" s="1"/>
  <c r="AK167" i="14" s="1"/>
  <c r="BU92" i="14"/>
  <c r="BU94" i="14" s="1"/>
  <c r="BU107" i="14" s="1"/>
  <c r="AS165" i="14"/>
  <c r="BB196" i="13"/>
  <c r="BE146" i="12"/>
  <c r="BC116" i="13"/>
  <c r="BC184" i="13" s="1"/>
  <c r="BC182" i="13"/>
  <c r="BA129" i="16"/>
  <c r="BA141" i="16"/>
  <c r="BA157" i="16" s="1"/>
  <c r="BC149" i="13"/>
  <c r="BD141" i="13"/>
  <c r="BI224" i="16"/>
  <c r="BQ224" i="16"/>
  <c r="AA17" i="47" s="1"/>
  <c r="BR224" i="16"/>
  <c r="BU224" i="16"/>
  <c r="AS154" i="14"/>
  <c r="AT151" i="14" s="1"/>
  <c r="BC375" i="12"/>
  <c r="BC383" i="12" s="1"/>
  <c r="BC393" i="12" s="1"/>
  <c r="BC394" i="12" s="1"/>
  <c r="BC124" i="16"/>
  <c r="BU124" i="16" s="1"/>
  <c r="BT157" i="16"/>
  <c r="BD163" i="12"/>
  <c r="BD110" i="13"/>
  <c r="BD118" i="13" s="1"/>
  <c r="BD278" i="12"/>
  <c r="BB381" i="16"/>
  <c r="BB383" i="16" s="1"/>
  <c r="BB385" i="16" s="1"/>
  <c r="BB408" i="16" s="1"/>
  <c r="BB126" i="16"/>
  <c r="BB128" i="16" s="1"/>
  <c r="BC403" i="12"/>
  <c r="BC154" i="16" s="1"/>
  <c r="BC96" i="14"/>
  <c r="BU118" i="14"/>
  <c r="BD140" i="13"/>
  <c r="BC148" i="13"/>
  <c r="BC195" i="13"/>
  <c r="BE148" i="12"/>
  <c r="BD161" i="12"/>
  <c r="BD373" i="12"/>
  <c r="BD108" i="13"/>
  <c r="BD92" i="14"/>
  <c r="BD276" i="12"/>
  <c r="BD142" i="13"/>
  <c r="BC150" i="13"/>
  <c r="BB185" i="13"/>
  <c r="BE147" i="12"/>
  <c r="AZ129" i="16"/>
  <c r="AZ141" i="16"/>
  <c r="BI211" i="16"/>
  <c r="O455" i="16" s="1"/>
  <c r="BD277" i="12"/>
  <c r="BD109" i="13"/>
  <c r="BD117" i="13" s="1"/>
  <c r="BD162" i="12"/>
  <c r="BB177" i="13" l="1"/>
  <c r="BC172" i="13" s="1"/>
  <c r="BB178" i="13"/>
  <c r="BC196" i="13"/>
  <c r="AK132" i="14"/>
  <c r="AL127" i="14" s="1"/>
  <c r="BC185" i="13"/>
  <c r="AZ157" i="16"/>
  <c r="BD150" i="13"/>
  <c r="BE142" i="13"/>
  <c r="BB129" i="16"/>
  <c r="BB141" i="16"/>
  <c r="BB157" i="16" s="1"/>
  <c r="BE141" i="13"/>
  <c r="BD149" i="13"/>
  <c r="BC381" i="16"/>
  <c r="BC383" i="16" s="1"/>
  <c r="BC385" i="16" s="1"/>
  <c r="BC408" i="16" s="1"/>
  <c r="BC126" i="16"/>
  <c r="BF147" i="12"/>
  <c r="BG147" i="12"/>
  <c r="BD94" i="14"/>
  <c r="BD107" i="14" s="1"/>
  <c r="BD118" i="14" s="1"/>
  <c r="BD119" i="14" s="1"/>
  <c r="BD195" i="13"/>
  <c r="BD148" i="13"/>
  <c r="BE140" i="13"/>
  <c r="BE109" i="13"/>
  <c r="BE117" i="13" s="1"/>
  <c r="BE277" i="12"/>
  <c r="BE162" i="12"/>
  <c r="BD116" i="13"/>
  <c r="BD184" i="13" s="1"/>
  <c r="BD182" i="13"/>
  <c r="AT153" i="14"/>
  <c r="AT154" i="14" s="1"/>
  <c r="AU151" i="14" s="1"/>
  <c r="AT161" i="14"/>
  <c r="AT158" i="14"/>
  <c r="BD124" i="16"/>
  <c r="BD375" i="12"/>
  <c r="BD383" i="12" s="1"/>
  <c r="BD393" i="12" s="1"/>
  <c r="BD394" i="12" s="1"/>
  <c r="BE163" i="12"/>
  <c r="BE110" i="13"/>
  <c r="BE118" i="13" s="1"/>
  <c r="BE278" i="12"/>
  <c r="BX224" i="16"/>
  <c r="BF146" i="12"/>
  <c r="BG146" i="12"/>
  <c r="BD96" i="14"/>
  <c r="BD403" i="12"/>
  <c r="BD154" i="16" s="1"/>
  <c r="BF148" i="12"/>
  <c r="BG148" i="12"/>
  <c r="BE92" i="14"/>
  <c r="BE94" i="14" s="1"/>
  <c r="BE107" i="14" s="1"/>
  <c r="BE118" i="14" s="1"/>
  <c r="BE276" i="12"/>
  <c r="BE161" i="12"/>
  <c r="BE108" i="13"/>
  <c r="BE373" i="12"/>
  <c r="BC177" i="13" l="1"/>
  <c r="BD172" i="13" s="1"/>
  <c r="BC178" i="13"/>
  <c r="BD196" i="13"/>
  <c r="AL136" i="14"/>
  <c r="AL141" i="14"/>
  <c r="AL129" i="14"/>
  <c r="AL130" i="14" s="1"/>
  <c r="BE119" i="14"/>
  <c r="BI147" i="12"/>
  <c r="BG109" i="13"/>
  <c r="BG277" i="12"/>
  <c r="BG162" i="12"/>
  <c r="BF141" i="13"/>
  <c r="BE149" i="13"/>
  <c r="BI148" i="12"/>
  <c r="BG110" i="13"/>
  <c r="BG163" i="12"/>
  <c r="BG278" i="12"/>
  <c r="BF110" i="13"/>
  <c r="BF118" i="13" s="1"/>
  <c r="BF278" i="12"/>
  <c r="BF163" i="12"/>
  <c r="BD381" i="16"/>
  <c r="BD383" i="16" s="1"/>
  <c r="BD385" i="16" s="1"/>
  <c r="BD408" i="16" s="1"/>
  <c r="BD126" i="16"/>
  <c r="BF277" i="12"/>
  <c r="BF162" i="12"/>
  <c r="BF109" i="13"/>
  <c r="BF117" i="13" s="1"/>
  <c r="BE124" i="16"/>
  <c r="BE375" i="12"/>
  <c r="BE383" i="12" s="1"/>
  <c r="BE393" i="12" s="1"/>
  <c r="BE394" i="12" s="1"/>
  <c r="BF140" i="13"/>
  <c r="BE195" i="13"/>
  <c r="BE148" i="13"/>
  <c r="BF142" i="13"/>
  <c r="BE150" i="13"/>
  <c r="BE182" i="13"/>
  <c r="BE116" i="13"/>
  <c r="BE184" i="13" s="1"/>
  <c r="BG276" i="12"/>
  <c r="BG108" i="13"/>
  <c r="BG161" i="12"/>
  <c r="BG92" i="14"/>
  <c r="BG373" i="12"/>
  <c r="BI146" i="12"/>
  <c r="AT165" i="14"/>
  <c r="BC128" i="16"/>
  <c r="BU126" i="16"/>
  <c r="BF161" i="12"/>
  <c r="BF108" i="13"/>
  <c r="BF92" i="14"/>
  <c r="BF94" i="14" s="1"/>
  <c r="BF107" i="14" s="1"/>
  <c r="BF118" i="14" s="1"/>
  <c r="BF373" i="12"/>
  <c r="BF276" i="12"/>
  <c r="AU153" i="14"/>
  <c r="AU161" i="14"/>
  <c r="AU158" i="14"/>
  <c r="BE96" i="14"/>
  <c r="BE403" i="12"/>
  <c r="BE154" i="16" s="1"/>
  <c r="BD185" i="13"/>
  <c r="BV92" i="14"/>
  <c r="BF119" i="14" l="1"/>
  <c r="EG18" i="22"/>
  <c r="EM18" i="22" s="1"/>
  <c r="EZ18" i="22"/>
  <c r="EG19" i="22"/>
  <c r="EM19" i="22" s="1"/>
  <c r="EW19" i="22" s="1"/>
  <c r="EZ19" i="22"/>
  <c r="CB85" i="28" s="1"/>
  <c r="EG20" i="22"/>
  <c r="EM20" i="22" s="1"/>
  <c r="EW20" i="22" s="1"/>
  <c r="EZ20" i="22"/>
  <c r="CB82" i="28" s="1"/>
  <c r="BD177" i="13"/>
  <c r="BE172" i="13" s="1"/>
  <c r="BD178" i="13"/>
  <c r="AL131" i="14"/>
  <c r="AL144" i="14" s="1"/>
  <c r="AL146" i="14" s="1"/>
  <c r="AL167" i="14" s="1"/>
  <c r="BE196" i="13"/>
  <c r="AU165" i="14"/>
  <c r="BF96" i="14"/>
  <c r="BF403" i="12"/>
  <c r="BF154" i="16" s="1"/>
  <c r="BE381" i="16"/>
  <c r="BE383" i="16" s="1"/>
  <c r="BE385" i="16" s="1"/>
  <c r="BE408" i="16" s="1"/>
  <c r="BE126" i="16"/>
  <c r="BE128" i="16" s="1"/>
  <c r="BE185" i="13"/>
  <c r="BF116" i="13"/>
  <c r="BF184" i="13" s="1"/>
  <c r="BF182" i="13"/>
  <c r="BI276" i="12"/>
  <c r="AU154" i="14"/>
  <c r="AV151" i="14" s="1"/>
  <c r="BV94" i="14"/>
  <c r="BX92" i="14"/>
  <c r="BC141" i="16"/>
  <c r="BC129" i="16"/>
  <c r="BU129" i="16" s="1"/>
  <c r="BU128" i="16"/>
  <c r="BF149" i="13"/>
  <c r="BG141" i="13"/>
  <c r="BG149" i="13" s="1"/>
  <c r="BG124" i="16"/>
  <c r="BG375" i="12"/>
  <c r="BG383" i="12" s="1"/>
  <c r="BG393" i="12" s="1"/>
  <c r="BG394" i="12" s="1"/>
  <c r="BG142" i="13"/>
  <c r="BG150" i="13" s="1"/>
  <c r="BF150" i="13"/>
  <c r="BK162" i="12"/>
  <c r="BI162" i="12"/>
  <c r="BG94" i="14"/>
  <c r="BI92" i="14"/>
  <c r="BI277" i="12"/>
  <c r="BF124" i="16"/>
  <c r="BV124" i="16" s="1"/>
  <c r="BX124" i="16" s="1"/>
  <c r="BF375" i="12"/>
  <c r="BF383" i="12" s="1"/>
  <c r="BF393" i="12" s="1"/>
  <c r="BF394" i="12" s="1"/>
  <c r="BG96" i="14"/>
  <c r="BG403" i="12"/>
  <c r="BG154" i="16" s="1"/>
  <c r="BK161" i="12"/>
  <c r="BI161" i="12"/>
  <c r="BI278" i="12"/>
  <c r="BG117" i="13"/>
  <c r="BK109" i="13"/>
  <c r="BI109" i="13"/>
  <c r="BG116" i="13"/>
  <c r="BG182" i="13"/>
  <c r="BK108" i="13"/>
  <c r="BI108" i="13"/>
  <c r="BF195" i="13"/>
  <c r="BF148" i="13"/>
  <c r="BG140" i="13"/>
  <c r="BK163" i="12"/>
  <c r="BI163" i="12"/>
  <c r="BD128" i="16"/>
  <c r="BG118" i="13"/>
  <c r="BI110" i="13"/>
  <c r="BK110" i="13"/>
  <c r="I8" i="34" l="1"/>
  <c r="I9" i="34"/>
  <c r="I7" i="34"/>
  <c r="CF82" i="28"/>
  <c r="CE82" i="28"/>
  <c r="EG22" i="22"/>
  <c r="CF85" i="28"/>
  <c r="CE85" i="28"/>
  <c r="EZ22" i="22"/>
  <c r="CB83" i="28"/>
  <c r="CB86" i="28" s="1"/>
  <c r="BE177" i="13"/>
  <c r="BF172" i="13" s="1"/>
  <c r="BE178" i="13"/>
  <c r="X17" i="15"/>
  <c r="X26" i="15" s="1"/>
  <c r="BI96" i="14"/>
  <c r="AL132" i="14"/>
  <c r="AM127" i="14" s="1"/>
  <c r="BF196" i="13"/>
  <c r="BI149" i="13"/>
  <c r="EM22" i="22"/>
  <c r="EW18" i="22"/>
  <c r="EW22" i="22" s="1"/>
  <c r="BI150" i="13"/>
  <c r="BF185" i="13"/>
  <c r="BE129" i="16"/>
  <c r="BE141" i="16"/>
  <c r="BE157" i="16" s="1"/>
  <c r="BG381" i="16"/>
  <c r="BG383" i="16" s="1"/>
  <c r="BG385" i="16" s="1"/>
  <c r="BG408" i="16" s="1"/>
  <c r="BG126" i="16"/>
  <c r="BI124" i="16"/>
  <c r="BC157" i="16"/>
  <c r="BU141" i="16"/>
  <c r="M394" i="12"/>
  <c r="D39" i="2" s="1"/>
  <c r="BD129" i="16"/>
  <c r="BD141" i="16"/>
  <c r="BG148" i="13"/>
  <c r="BG195" i="13"/>
  <c r="BI118" i="13"/>
  <c r="BK118" i="13"/>
  <c r="BG107" i="14"/>
  <c r="BI94" i="14"/>
  <c r="BV107" i="14"/>
  <c r="BX107" i="14" s="1"/>
  <c r="BX94" i="14"/>
  <c r="I107" i="34"/>
  <c r="AV153" i="14"/>
  <c r="AV154" i="14" s="1"/>
  <c r="AW151" i="14" s="1"/>
  <c r="AV161" i="14"/>
  <c r="AV158" i="14"/>
  <c r="BK117" i="13"/>
  <c r="BI117" i="13"/>
  <c r="BF381" i="16"/>
  <c r="BF383" i="16" s="1"/>
  <c r="BF385" i="16" s="1"/>
  <c r="BF408" i="16" s="1"/>
  <c r="BF126" i="16"/>
  <c r="BG184" i="13"/>
  <c r="BG185" i="13" s="1"/>
  <c r="BK116" i="13"/>
  <c r="BI116" i="13"/>
  <c r="CG85" i="28" l="1"/>
  <c r="CG82" i="28"/>
  <c r="CF83" i="28"/>
  <c r="CF86" i="28" s="1"/>
  <c r="CE83" i="28"/>
  <c r="CG83" i="28" s="1"/>
  <c r="BF177" i="13"/>
  <c r="BG172" i="13" s="1"/>
  <c r="BF178" i="13"/>
  <c r="M185" i="13"/>
  <c r="AM141" i="14"/>
  <c r="AM136" i="14"/>
  <c r="AM129" i="14"/>
  <c r="AM130" i="14" s="1"/>
  <c r="AW158" i="14"/>
  <c r="AW161" i="14"/>
  <c r="AW153" i="14"/>
  <c r="BU157" i="16"/>
  <c r="BG118" i="14"/>
  <c r="BI107" i="14"/>
  <c r="BK107" i="14" s="1"/>
  <c r="AV165" i="14"/>
  <c r="BF128" i="16"/>
  <c r="BV126" i="16"/>
  <c r="BX126" i="16" s="1"/>
  <c r="BG196" i="13"/>
  <c r="BI148" i="13"/>
  <c r="BG128" i="16"/>
  <c r="BI126" i="16"/>
  <c r="S453" i="16" s="1"/>
  <c r="BD157" i="16"/>
  <c r="CE86" i="28" l="1"/>
  <c r="CG86" i="28"/>
  <c r="BG177" i="13"/>
  <c r="BG178" i="13"/>
  <c r="M178" i="13" s="1"/>
  <c r="D45" i="2" s="1"/>
  <c r="BK126" i="16"/>
  <c r="AM131" i="14"/>
  <c r="AM132" i="14" s="1"/>
  <c r="AN127" i="14" s="1"/>
  <c r="AW165" i="14"/>
  <c r="E171" i="14"/>
  <c r="E173" i="14"/>
  <c r="BI118" i="14"/>
  <c r="S123" i="14"/>
  <c r="E170" i="14"/>
  <c r="E172" i="14" s="1"/>
  <c r="S122" i="14"/>
  <c r="S121" i="14"/>
  <c r="BV118" i="14"/>
  <c r="BX118" i="14" s="1"/>
  <c r="BG119" i="14"/>
  <c r="E119" i="14" s="1"/>
  <c r="D43" i="2" s="1"/>
  <c r="BG129" i="16"/>
  <c r="BG141" i="16"/>
  <c r="BI128" i="16"/>
  <c r="BF141" i="16"/>
  <c r="BF129" i="16"/>
  <c r="BV128" i="16"/>
  <c r="BX128" i="16" s="1"/>
  <c r="AW154" i="14"/>
  <c r="AX151" i="14" s="1"/>
  <c r="AM144" i="14" l="1"/>
  <c r="AM146" i="14" s="1"/>
  <c r="AM167" i="14" s="1"/>
  <c r="BV129" i="16"/>
  <c r="AN141" i="14"/>
  <c r="AN136" i="14"/>
  <c r="AN129" i="14"/>
  <c r="AN130" i="14" s="1"/>
  <c r="BK118" i="14"/>
  <c r="BI129" i="16"/>
  <c r="BK128" i="16"/>
  <c r="AX161" i="14"/>
  <c r="AX153" i="14"/>
  <c r="AX158" i="14"/>
  <c r="BF157" i="16"/>
  <c r="BV141" i="16"/>
  <c r="BX141" i="16" s="1"/>
  <c r="BG157" i="16"/>
  <c r="BI141" i="16"/>
  <c r="BK141" i="16" l="1"/>
  <c r="AN131" i="14"/>
  <c r="AN132" i="14" s="1"/>
  <c r="AO127" i="14" s="1"/>
  <c r="AX165" i="14"/>
  <c r="BV157" i="16"/>
  <c r="BX157" i="16" s="1"/>
  <c r="AX154" i="14"/>
  <c r="AY151" i="14" s="1"/>
  <c r="BI157" i="16"/>
  <c r="O165" i="16"/>
  <c r="AN144" i="14" l="1"/>
  <c r="AN146" i="14" s="1"/>
  <c r="AN167" i="14" s="1"/>
  <c r="AO141" i="14"/>
  <c r="AO136" i="14"/>
  <c r="AO129" i="14"/>
  <c r="AO130" i="14" s="1"/>
  <c r="S166" i="16"/>
  <c r="AY158" i="14"/>
  <c r="AY153" i="14"/>
  <c r="AY161" i="14"/>
  <c r="O80" i="16" l="1"/>
  <c r="O81" i="16" s="1"/>
  <c r="R81" i="16" s="1"/>
  <c r="S81" i="16" s="1"/>
  <c r="P333" i="16"/>
  <c r="AO131" i="14"/>
  <c r="AO132" i="14" s="1"/>
  <c r="AP127" i="14" s="1"/>
  <c r="AY165" i="14"/>
  <c r="S167" i="16"/>
  <c r="T165" i="16" s="1"/>
  <c r="S176" i="16"/>
  <c r="S169" i="16"/>
  <c r="AY154" i="14"/>
  <c r="AZ151" i="14" s="1"/>
  <c r="U333" i="16" l="1"/>
  <c r="Y333" i="16" s="1"/>
  <c r="P336" i="16"/>
  <c r="O339" i="16" s="1"/>
  <c r="O342" i="16" s="1"/>
  <c r="T81" i="16"/>
  <c r="R85" i="16"/>
  <c r="R82" i="16"/>
  <c r="AO144" i="14"/>
  <c r="AO146" i="14" s="1"/>
  <c r="AO167" i="14" s="1"/>
  <c r="AP136" i="14"/>
  <c r="AP129" i="14"/>
  <c r="AP130" i="14" s="1"/>
  <c r="AP131" i="14" s="1"/>
  <c r="AP132" i="14" s="1"/>
  <c r="AQ127" i="14" s="1"/>
  <c r="AP141" i="14"/>
  <c r="J37" i="17"/>
  <c r="S170" i="16"/>
  <c r="AZ153" i="14"/>
  <c r="AZ154" i="14" s="1"/>
  <c r="BA151" i="14" s="1"/>
  <c r="AZ161" i="14"/>
  <c r="AZ158" i="14"/>
  <c r="BM165" i="16"/>
  <c r="T166" i="16"/>
  <c r="T167" i="16" s="1"/>
  <c r="U165" i="16" s="1"/>
  <c r="U81" i="16" l="1"/>
  <c r="R83" i="16"/>
  <c r="S82" i="16"/>
  <c r="S83" i="16" s="1"/>
  <c r="AQ129" i="14"/>
  <c r="AQ130" i="14" s="1"/>
  <c r="AQ131" i="14" s="1"/>
  <c r="AQ132" i="14" s="1"/>
  <c r="AR127" i="14" s="1"/>
  <c r="AQ141" i="14"/>
  <c r="AQ136" i="14"/>
  <c r="AP144" i="14"/>
  <c r="AP146" i="14" s="1"/>
  <c r="AP167" i="14" s="1"/>
  <c r="BA158" i="14"/>
  <c r="BA153" i="14"/>
  <c r="BA161" i="14"/>
  <c r="U166" i="16"/>
  <c r="U167" i="16" s="1"/>
  <c r="V165" i="16" s="1"/>
  <c r="W454" i="16"/>
  <c r="J43" i="17"/>
  <c r="BX217" i="45"/>
  <c r="CH217" i="45" s="1"/>
  <c r="J40" i="17"/>
  <c r="BX220" i="45" s="1"/>
  <c r="CH220" i="45" s="1"/>
  <c r="O37" i="17"/>
  <c r="T37" i="17"/>
  <c r="S171" i="16"/>
  <c r="AZ165" i="14"/>
  <c r="T176" i="16"/>
  <c r="T82" i="16" l="1"/>
  <c r="S84" i="16"/>
  <c r="S194" i="16"/>
  <c r="U332" i="16" s="1"/>
  <c r="S181" i="16"/>
  <c r="R84" i="16"/>
  <c r="V81" i="16"/>
  <c r="AR136" i="14"/>
  <c r="AR129" i="14"/>
  <c r="AR130" i="14" s="1"/>
  <c r="AR141" i="14"/>
  <c r="AQ144" i="14"/>
  <c r="AQ146" i="14" s="1"/>
  <c r="AQ167" i="14" s="1"/>
  <c r="BA165" i="14"/>
  <c r="V166" i="16"/>
  <c r="V167" i="16" s="1"/>
  <c r="W165" i="16" s="1"/>
  <c r="U176" i="16"/>
  <c r="CM241" i="45"/>
  <c r="CW241" i="45" s="1"/>
  <c r="J46" i="17"/>
  <c r="I43" i="17" s="1"/>
  <c r="BX223" i="45"/>
  <c r="CH223" i="45" s="1"/>
  <c r="BA154" i="14"/>
  <c r="BB151" i="14" s="1"/>
  <c r="S185" i="16" l="1"/>
  <c r="T180" i="16" s="1"/>
  <c r="T197" i="16"/>
  <c r="H15" i="47" s="1"/>
  <c r="S199" i="16"/>
  <c r="S203" i="16" s="1"/>
  <c r="O36" i="17"/>
  <c r="CM240" i="45" s="1"/>
  <c r="CW240" i="45" s="1"/>
  <c r="W81" i="16"/>
  <c r="T83" i="16"/>
  <c r="U82" i="16"/>
  <c r="AR131" i="14"/>
  <c r="AR132" i="14" s="1"/>
  <c r="AS127" i="14" s="1"/>
  <c r="W166" i="16"/>
  <c r="BM166" i="16" s="1"/>
  <c r="CL247" i="45"/>
  <c r="CV247" i="45" s="1"/>
  <c r="BW223" i="45"/>
  <c r="CG223" i="45" s="1"/>
  <c r="BX226" i="45"/>
  <c r="CH226" i="45" s="1"/>
  <c r="I46" i="17"/>
  <c r="I44" i="17"/>
  <c r="I45" i="17"/>
  <c r="BB161" i="14"/>
  <c r="BB153" i="14"/>
  <c r="BB158" i="14"/>
  <c r="V176" i="16"/>
  <c r="X81" i="16" l="1"/>
  <c r="Y81" i="16" s="1"/>
  <c r="T191" i="16"/>
  <c r="H12" i="47" s="1"/>
  <c r="BM180" i="16"/>
  <c r="T194" i="16"/>
  <c r="T84" i="16"/>
  <c r="T181" i="16"/>
  <c r="U83" i="16"/>
  <c r="S205" i="16"/>
  <c r="S231" i="16" s="1"/>
  <c r="H9" i="33" s="1"/>
  <c r="V82" i="16"/>
  <c r="AR144" i="14"/>
  <c r="AR146" i="14" s="1"/>
  <c r="AR167" i="14" s="1"/>
  <c r="AS136" i="14"/>
  <c r="AS129" i="14"/>
  <c r="AS130" i="14" s="1"/>
  <c r="AS141" i="14"/>
  <c r="BB165" i="14"/>
  <c r="BB154" i="14"/>
  <c r="BC151" i="14" s="1"/>
  <c r="BW225" i="45"/>
  <c r="CG225" i="45" s="1"/>
  <c r="CL249" i="45"/>
  <c r="CV249" i="45" s="1"/>
  <c r="CL248" i="45"/>
  <c r="CV248" i="45" s="1"/>
  <c r="BW224" i="45"/>
  <c r="CG224" i="45" s="1"/>
  <c r="BW226" i="45"/>
  <c r="CG226" i="45" s="1"/>
  <c r="CL250" i="45"/>
  <c r="CV250" i="45" s="1"/>
  <c r="W176" i="16"/>
  <c r="W167" i="16"/>
  <c r="Z81" i="16" l="1"/>
  <c r="AA81" i="16" s="1"/>
  <c r="AB81" i="16" s="1"/>
  <c r="AC81" i="16" s="1"/>
  <c r="AD81" i="16" s="1"/>
  <c r="T195" i="16"/>
  <c r="H13" i="47" s="1"/>
  <c r="U197" i="16"/>
  <c r="I15" i="47" s="1"/>
  <c r="I9" i="33"/>
  <c r="K9" i="33"/>
  <c r="T196" i="16"/>
  <c r="W82" i="16"/>
  <c r="X82" i="16" s="1"/>
  <c r="V83" i="16"/>
  <c r="U84" i="16"/>
  <c r="U181" i="16"/>
  <c r="AS131" i="14"/>
  <c r="AS132" i="14" s="1"/>
  <c r="AT127" i="14" s="1"/>
  <c r="BC158" i="14"/>
  <c r="BC161" i="14"/>
  <c r="BC153" i="14"/>
  <c r="BM167" i="16"/>
  <c r="X165" i="16"/>
  <c r="F32" i="37" l="1"/>
  <c r="H14" i="47"/>
  <c r="Y82" i="16"/>
  <c r="V197" i="16"/>
  <c r="J15" i="47" s="1"/>
  <c r="W83" i="16"/>
  <c r="X83" i="16" s="1"/>
  <c r="X181" i="16" s="1"/>
  <c r="AE81" i="16"/>
  <c r="V181" i="16"/>
  <c r="V84" i="16"/>
  <c r="BC165" i="14"/>
  <c r="AS144" i="14"/>
  <c r="AS146" i="14" s="1"/>
  <c r="AS167" i="14" s="1"/>
  <c r="AT141" i="14"/>
  <c r="AT136" i="14"/>
  <c r="AT129" i="14"/>
  <c r="AT130" i="14" s="1"/>
  <c r="AT131" i="14" s="1"/>
  <c r="X166" i="16"/>
  <c r="X167" i="16" s="1"/>
  <c r="Y165" i="16" s="1"/>
  <c r="BN165" i="16"/>
  <c r="BC154" i="14"/>
  <c r="BD151" i="14" s="1"/>
  <c r="AF81" i="16" l="1"/>
  <c r="AG81" i="16" s="1"/>
  <c r="AH81" i="16" s="1"/>
  <c r="AI81" i="16" s="1"/>
  <c r="AJ81" i="16" s="1"/>
  <c r="AK81" i="16" s="1"/>
  <c r="AL81" i="16" s="1"/>
  <c r="AM81" i="16" s="1"/>
  <c r="AN81" i="16" s="1"/>
  <c r="AO81" i="16" s="1"/>
  <c r="AP81" i="16" s="1"/>
  <c r="AQ81" i="16" s="1"/>
  <c r="AR81" i="16" s="1"/>
  <c r="AS81" i="16" s="1"/>
  <c r="AT81" i="16" s="1"/>
  <c r="AU81" i="16" s="1"/>
  <c r="AV81" i="16" s="1"/>
  <c r="AW81" i="16" s="1"/>
  <c r="AX81" i="16" s="1"/>
  <c r="W84" i="16"/>
  <c r="W181" i="16"/>
  <c r="Y83" i="16"/>
  <c r="Y84" i="16" s="1"/>
  <c r="X197" i="16"/>
  <c r="L15" i="47" s="1"/>
  <c r="W197" i="16"/>
  <c r="K15" i="47" s="1"/>
  <c r="Z82" i="16"/>
  <c r="X84" i="16"/>
  <c r="Y197" i="16"/>
  <c r="M15" i="47" s="1"/>
  <c r="BM181" i="16"/>
  <c r="AT132" i="14"/>
  <c r="AU127" i="14" s="1"/>
  <c r="AT144" i="14"/>
  <c r="AT146" i="14" s="1"/>
  <c r="AT167" i="14" s="1"/>
  <c r="Y166" i="16"/>
  <c r="Y167" i="16" s="1"/>
  <c r="Z165" i="16" s="1"/>
  <c r="X176" i="16"/>
  <c r="BD153" i="14"/>
  <c r="BD154" i="14" s="1"/>
  <c r="BE151" i="14" s="1"/>
  <c r="BD161" i="14"/>
  <c r="BD158" i="14"/>
  <c r="BM197" i="16" l="1"/>
  <c r="W15" i="47" s="1"/>
  <c r="Y181" i="16"/>
  <c r="AY81" i="16"/>
  <c r="Z83" i="16"/>
  <c r="Z84" i="16" s="1"/>
  <c r="AA82" i="16"/>
  <c r="AB82" i="16" s="1"/>
  <c r="AC82" i="16" s="1"/>
  <c r="AD82" i="16" s="1"/>
  <c r="AU129" i="14"/>
  <c r="AU130" i="14" s="1"/>
  <c r="AU136" i="14"/>
  <c r="AU141" i="14"/>
  <c r="BE161" i="14"/>
  <c r="BE153" i="14"/>
  <c r="BE158" i="14"/>
  <c r="Z166" i="16"/>
  <c r="Z167" i="16" s="1"/>
  <c r="AA165" i="16" s="1"/>
  <c r="Y176" i="16"/>
  <c r="BD165" i="14"/>
  <c r="AE82" i="16" l="1"/>
  <c r="Z181" i="16"/>
  <c r="AA83" i="16"/>
  <c r="AB83" i="16" s="1"/>
  <c r="AZ81" i="16"/>
  <c r="BA81" i="16" s="1"/>
  <c r="BB81" i="16" s="1"/>
  <c r="AA197" i="16"/>
  <c r="O15" i="47" s="1"/>
  <c r="Z197" i="16"/>
  <c r="N15" i="47" s="1"/>
  <c r="AU131" i="14"/>
  <c r="AU132" i="14" s="1"/>
  <c r="AV127" i="14" s="1"/>
  <c r="BE165" i="14"/>
  <c r="BE154" i="14"/>
  <c r="BF151" i="14" s="1"/>
  <c r="BF161" i="14" s="1"/>
  <c r="AA166" i="16"/>
  <c r="Z176" i="16"/>
  <c r="BF153" i="14"/>
  <c r="BF154" i="14" s="1"/>
  <c r="BG151" i="14" s="1"/>
  <c r="AB84" i="16" l="1"/>
  <c r="AB181" i="16"/>
  <c r="AC83" i="16"/>
  <c r="AD83" i="16" s="1"/>
  <c r="BN197" i="16"/>
  <c r="X15" i="47" s="1"/>
  <c r="AA84" i="16"/>
  <c r="AA181" i="16"/>
  <c r="AF82" i="16"/>
  <c r="AG82" i="16" s="1"/>
  <c r="BC81" i="16"/>
  <c r="BD81" i="16" s="1"/>
  <c r="BE81" i="16" s="1"/>
  <c r="BF81" i="16" s="1"/>
  <c r="AU144" i="14"/>
  <c r="AU146" i="14" s="1"/>
  <c r="AU167" i="14" s="1"/>
  <c r="AV141" i="14"/>
  <c r="AV129" i="14"/>
  <c r="AV130" i="14" s="1"/>
  <c r="AV136" i="14"/>
  <c r="BF158" i="14"/>
  <c r="BF165" i="14" s="1"/>
  <c r="AA176" i="16"/>
  <c r="BN166" i="16"/>
  <c r="BG153" i="14"/>
  <c r="BG154" i="14" s="1"/>
  <c r="BG161" i="14"/>
  <c r="BG158" i="14"/>
  <c r="AA167" i="16"/>
  <c r="AB197" i="16" l="1"/>
  <c r="P15" i="47" s="1"/>
  <c r="BN181" i="16"/>
  <c r="BG81" i="16"/>
  <c r="AC84" i="16"/>
  <c r="AC181" i="16"/>
  <c r="AD181" i="16"/>
  <c r="AE197" i="16" s="1"/>
  <c r="S15" i="47" s="1"/>
  <c r="AE83" i="16"/>
  <c r="AD84" i="16"/>
  <c r="AC197" i="16"/>
  <c r="Q15" i="47" s="1"/>
  <c r="AH82" i="16"/>
  <c r="AI82" i="16" s="1"/>
  <c r="AJ82" i="16" s="1"/>
  <c r="AK82" i="16" s="1"/>
  <c r="AL82" i="16" s="1"/>
  <c r="AM82" i="16" s="1"/>
  <c r="AN82" i="16" s="1"/>
  <c r="AO82" i="16" s="1"/>
  <c r="AP82" i="16" s="1"/>
  <c r="AQ82" i="16" s="1"/>
  <c r="AR82" i="16" s="1"/>
  <c r="AS82" i="16" s="1"/>
  <c r="AT82" i="16" s="1"/>
  <c r="AV131" i="14"/>
  <c r="AV132" i="14" s="1"/>
  <c r="AW127" i="14" s="1"/>
  <c r="BN167" i="16"/>
  <c r="AB165" i="16"/>
  <c r="BG165" i="14"/>
  <c r="AD197" i="16" l="1"/>
  <c r="R15" i="47" s="1"/>
  <c r="AU82" i="16"/>
  <c r="AV82" i="16" s="1"/>
  <c r="AW82" i="16" s="1"/>
  <c r="AX82" i="16" s="1"/>
  <c r="AE181" i="16"/>
  <c r="AF197" i="16" s="1"/>
  <c r="AF83" i="16"/>
  <c r="AE84" i="16"/>
  <c r="AV144" i="14"/>
  <c r="AV146" i="14" s="1"/>
  <c r="AV167" i="14" s="1"/>
  <c r="AW141" i="14"/>
  <c r="AW136" i="14"/>
  <c r="AW129" i="14"/>
  <c r="AB166" i="16"/>
  <c r="AB167" i="16" s="1"/>
  <c r="AC165" i="16" s="1"/>
  <c r="BO165" i="16"/>
  <c r="BO197" i="16" l="1"/>
  <c r="Y15" i="47" s="1"/>
  <c r="AY82" i="16"/>
  <c r="AF84" i="16"/>
  <c r="AF181" i="16"/>
  <c r="AG83" i="16"/>
  <c r="AW130" i="14"/>
  <c r="AW131" i="14" s="1"/>
  <c r="AW144" i="14" s="1"/>
  <c r="AW146" i="14" s="1"/>
  <c r="AW167" i="14" s="1"/>
  <c r="AC166" i="16"/>
  <c r="AC176" i="16" s="1"/>
  <c r="AB176" i="16"/>
  <c r="AG197" i="16" l="1"/>
  <c r="BO181" i="16"/>
  <c r="AZ82" i="16"/>
  <c r="AG84" i="16"/>
  <c r="AG181" i="16"/>
  <c r="AH83" i="16"/>
  <c r="AW132" i="14"/>
  <c r="AX127" i="14" s="1"/>
  <c r="AC167" i="16"/>
  <c r="AD165" i="16" s="1"/>
  <c r="BA82" i="16" l="1"/>
  <c r="BB82" i="16" s="1"/>
  <c r="AH84" i="16"/>
  <c r="AH181" i="16"/>
  <c r="AI197" i="16" s="1"/>
  <c r="BP197" i="16" s="1"/>
  <c r="Z15" i="47" s="1"/>
  <c r="AI83" i="16"/>
  <c r="AH197" i="16"/>
  <c r="AX136" i="14"/>
  <c r="AX141" i="14"/>
  <c r="AX129" i="14"/>
  <c r="AX130" i="14" s="1"/>
  <c r="AD166" i="16"/>
  <c r="BC82" i="16" l="1"/>
  <c r="BD82" i="16" s="1"/>
  <c r="BE82" i="16" s="1"/>
  <c r="BF82" i="16" s="1"/>
  <c r="AI84" i="16"/>
  <c r="AI181" i="16"/>
  <c r="AJ197" i="16" s="1"/>
  <c r="AJ83" i="16"/>
  <c r="AX131" i="14"/>
  <c r="AX144" i="14" s="1"/>
  <c r="AX146" i="14" s="1"/>
  <c r="AX167" i="14" s="1"/>
  <c r="AD176" i="16"/>
  <c r="AD167" i="16"/>
  <c r="AE165" i="16" s="1"/>
  <c r="BG82" i="16" l="1"/>
  <c r="AJ84" i="16"/>
  <c r="AJ181" i="16"/>
  <c r="AK83" i="16"/>
  <c r="AX132" i="14"/>
  <c r="AY127" i="14" s="1"/>
  <c r="AY129" i="14" s="1"/>
  <c r="AE166" i="16"/>
  <c r="AK84" i="16" l="1"/>
  <c r="AK181" i="16"/>
  <c r="AL83" i="16"/>
  <c r="AK197" i="16"/>
  <c r="BP181" i="16"/>
  <c r="AY141" i="14"/>
  <c r="AY136" i="14"/>
  <c r="AY130" i="14"/>
  <c r="AY131" i="14" s="1"/>
  <c r="AY132" i="14" s="1"/>
  <c r="AZ127" i="14" s="1"/>
  <c r="AE176" i="16"/>
  <c r="BO166" i="16"/>
  <c r="AE167" i="16"/>
  <c r="AL84" i="16" l="1"/>
  <c r="AL181" i="16"/>
  <c r="AM197" i="16" s="1"/>
  <c r="AM83" i="16"/>
  <c r="AL197" i="16"/>
  <c r="BQ197" i="16" s="1"/>
  <c r="AA15" i="47" s="1"/>
  <c r="AZ141" i="14"/>
  <c r="AZ129" i="14"/>
  <c r="AZ130" i="14" s="1"/>
  <c r="AZ136" i="14"/>
  <c r="AY144" i="14"/>
  <c r="AY146" i="14" s="1"/>
  <c r="AY167" i="14" s="1"/>
  <c r="AF165" i="16"/>
  <c r="BO167" i="16"/>
  <c r="AM84" i="16" l="1"/>
  <c r="AM181" i="16"/>
  <c r="AN83" i="16"/>
  <c r="AZ131" i="14"/>
  <c r="AZ132" i="14" s="1"/>
  <c r="BA127" i="14" s="1"/>
  <c r="BP165" i="16"/>
  <c r="AF166" i="16"/>
  <c r="AN84" i="16" l="1"/>
  <c r="AN181" i="16"/>
  <c r="AO197" i="16" s="1"/>
  <c r="AO83" i="16"/>
  <c r="AN197" i="16"/>
  <c r="BQ181" i="16"/>
  <c r="BA129" i="14"/>
  <c r="BA130" i="14" s="1"/>
  <c r="BA141" i="14"/>
  <c r="BA136" i="14"/>
  <c r="AZ144" i="14"/>
  <c r="AZ146" i="14" s="1"/>
  <c r="AZ167" i="14" s="1"/>
  <c r="AF176" i="16"/>
  <c r="AF167" i="16"/>
  <c r="AG165" i="16" s="1"/>
  <c r="AO84" i="16" l="1"/>
  <c r="AO181" i="16"/>
  <c r="AP83" i="16"/>
  <c r="BA131" i="14"/>
  <c r="BA132" i="14" s="1"/>
  <c r="BB127" i="14" s="1"/>
  <c r="AG166" i="16"/>
  <c r="AP84" i="16" l="1"/>
  <c r="AP181" i="16"/>
  <c r="AQ197" i="16" s="1"/>
  <c r="AQ83" i="16"/>
  <c r="AP197" i="16"/>
  <c r="BR197" i="16" s="1"/>
  <c r="BA144" i="14"/>
  <c r="BA146" i="14" s="1"/>
  <c r="BA167" i="14" s="1"/>
  <c r="BB129" i="14"/>
  <c r="BB130" i="14" s="1"/>
  <c r="BB131" i="14" s="1"/>
  <c r="BB132" i="14" s="1"/>
  <c r="BC127" i="14" s="1"/>
  <c r="BB136" i="14"/>
  <c r="BB141" i="14"/>
  <c r="AG176" i="16"/>
  <c r="AG167" i="16"/>
  <c r="AH165" i="16" s="1"/>
  <c r="AQ84" i="16" l="1"/>
  <c r="AQ181" i="16"/>
  <c r="AR83" i="16"/>
  <c r="BC136" i="14"/>
  <c r="BC141" i="14"/>
  <c r="BC129" i="14"/>
  <c r="BC130" i="14" s="1"/>
  <c r="BB144" i="14"/>
  <c r="BB146" i="14" s="1"/>
  <c r="BB167" i="14" s="1"/>
  <c r="AH166" i="16"/>
  <c r="AR84" i="16" l="1"/>
  <c r="AR181" i="16"/>
  <c r="AS197" i="16" s="1"/>
  <c r="AS83" i="16"/>
  <c r="AR197" i="16"/>
  <c r="BR181" i="16"/>
  <c r="AH176" i="16"/>
  <c r="AH167" i="16"/>
  <c r="AI165" i="16" s="1"/>
  <c r="BC131" i="14"/>
  <c r="BC132" i="14" s="1"/>
  <c r="BD127" i="14" s="1"/>
  <c r="AS84" i="16" l="1"/>
  <c r="AS181" i="16"/>
  <c r="AT83" i="16"/>
  <c r="BC144" i="14"/>
  <c r="BC146" i="14" s="1"/>
  <c r="BC167" i="14" s="1"/>
  <c r="BD136" i="14"/>
  <c r="BD141" i="14"/>
  <c r="BD129" i="14"/>
  <c r="AI166" i="16"/>
  <c r="AT84" i="16" l="1"/>
  <c r="AT181" i="16"/>
  <c r="AU197" i="16" s="1"/>
  <c r="AU83" i="16"/>
  <c r="AT197" i="16"/>
  <c r="BS197" i="16" s="1"/>
  <c r="AI176" i="16"/>
  <c r="BP166" i="16"/>
  <c r="AI167" i="16"/>
  <c r="BD130" i="14"/>
  <c r="BD131" i="14" s="1"/>
  <c r="BD132" i="14" s="1"/>
  <c r="BE127" i="14" s="1"/>
  <c r="AU84" i="16" l="1"/>
  <c r="AU181" i="16"/>
  <c r="AV83" i="16"/>
  <c r="BE141" i="14"/>
  <c r="BE136" i="14"/>
  <c r="BE129" i="14"/>
  <c r="BE130" i="14" s="1"/>
  <c r="BD144" i="14"/>
  <c r="BD146" i="14" s="1"/>
  <c r="BD167" i="14" s="1"/>
  <c r="AJ165" i="16"/>
  <c r="BP167" i="16"/>
  <c r="AV84" i="16" l="1"/>
  <c r="AV181" i="16"/>
  <c r="AW197" i="16" s="1"/>
  <c r="AW83" i="16"/>
  <c r="AV197" i="16"/>
  <c r="BS181" i="16"/>
  <c r="BQ165" i="16"/>
  <c r="AJ166" i="16"/>
  <c r="AJ167" i="16" s="1"/>
  <c r="AK165" i="16" s="1"/>
  <c r="BE131" i="14"/>
  <c r="BE132" i="14" s="1"/>
  <c r="BF127" i="14" s="1"/>
  <c r="AW84" i="16" l="1"/>
  <c r="AW181" i="16"/>
  <c r="AX83" i="16"/>
  <c r="AK166" i="16"/>
  <c r="AK176" i="16" s="1"/>
  <c r="BF141" i="14"/>
  <c r="BF136" i="14"/>
  <c r="BF129" i="14"/>
  <c r="BF130" i="14" s="1"/>
  <c r="BF131" i="14" s="1"/>
  <c r="BF132" i="14" s="1"/>
  <c r="BG127" i="14" s="1"/>
  <c r="AJ176" i="16"/>
  <c r="BE144" i="14"/>
  <c r="BE146" i="14" s="1"/>
  <c r="BE167" i="14" s="1"/>
  <c r="AX181" i="16" l="1"/>
  <c r="AY197" i="16" s="1"/>
  <c r="AX84" i="16"/>
  <c r="AY83" i="16"/>
  <c r="AX197" i="16"/>
  <c r="BT197" i="16" s="1"/>
  <c r="BG141" i="14"/>
  <c r="BG136" i="14"/>
  <c r="BG129" i="14"/>
  <c r="BG130" i="14" s="1"/>
  <c r="AK167" i="16"/>
  <c r="AL165" i="16" s="1"/>
  <c r="BF144" i="14"/>
  <c r="BF146" i="14" s="1"/>
  <c r="BF167" i="14" s="1"/>
  <c r="AY181" i="16" l="1"/>
  <c r="AY84" i="16"/>
  <c r="AZ83" i="16"/>
  <c r="BG131" i="14"/>
  <c r="BG132" i="14" s="1"/>
  <c r="AL166" i="16"/>
  <c r="AZ84" i="16" l="1"/>
  <c r="AZ181" i="16"/>
  <c r="BA197" i="16" s="1"/>
  <c r="BA83" i="16"/>
  <c r="AZ197" i="16"/>
  <c r="BT181" i="16"/>
  <c r="BG144" i="14"/>
  <c r="BG146" i="14" s="1"/>
  <c r="BG167" i="14" s="1"/>
  <c r="T171" i="14" s="1"/>
  <c r="AL176" i="16"/>
  <c r="AL167" i="16"/>
  <c r="AM165" i="16" s="1"/>
  <c r="BA84" i="16" l="1"/>
  <c r="BA181" i="16"/>
  <c r="BB83" i="16"/>
  <c r="T173" i="14"/>
  <c r="T170" i="14"/>
  <c r="T172" i="14" s="1"/>
  <c r="AM166" i="16"/>
  <c r="AM167" i="16" s="1"/>
  <c r="BB181" i="16" l="1"/>
  <c r="BC197" i="16" s="1"/>
  <c r="BC83" i="16"/>
  <c r="BB84" i="16"/>
  <c r="BB197" i="16"/>
  <c r="BU197" i="16" s="1"/>
  <c r="AN165" i="16"/>
  <c r="BQ167" i="16"/>
  <c r="AM176" i="16"/>
  <c r="BQ166" i="16"/>
  <c r="BC84" i="16" l="1"/>
  <c r="BC181" i="16"/>
  <c r="BD83" i="16"/>
  <c r="BR165" i="16"/>
  <c r="AN166" i="16"/>
  <c r="BD84" i="16" l="1"/>
  <c r="BD181" i="16"/>
  <c r="BE197" i="16" s="1"/>
  <c r="BE83" i="16"/>
  <c r="BD197" i="16"/>
  <c r="BU181" i="16"/>
  <c r="AN176" i="16"/>
  <c r="AN167" i="16"/>
  <c r="AO165" i="16" s="1"/>
  <c r="BE84" i="16" l="1"/>
  <c r="BE181" i="16"/>
  <c r="BF83" i="16"/>
  <c r="AO166" i="16"/>
  <c r="BF181" i="16" l="1"/>
  <c r="BG197" i="16" s="1"/>
  <c r="BF84" i="16"/>
  <c r="BG83" i="16"/>
  <c r="BF197" i="16"/>
  <c r="BV197" i="16" s="1"/>
  <c r="BX197" i="16" s="1"/>
  <c r="AO176" i="16"/>
  <c r="AO167" i="16"/>
  <c r="AP165" i="16" s="1"/>
  <c r="BG181" i="16" l="1"/>
  <c r="T340" i="16" s="1"/>
  <c r="BG84" i="16"/>
  <c r="BI197" i="16"/>
  <c r="AP166" i="16"/>
  <c r="X340" i="16" l="1"/>
  <c r="T44" i="17" s="1"/>
  <c r="O44" i="17"/>
  <c r="T182" i="16"/>
  <c r="BI181" i="16"/>
  <c r="BV181" i="16"/>
  <c r="BX181" i="16" s="1"/>
  <c r="AP176" i="16"/>
  <c r="AP167" i="16"/>
  <c r="AQ165" i="16" s="1"/>
  <c r="F30" i="47" l="1"/>
  <c r="J10" i="17"/>
  <c r="BE154" i="45" s="1"/>
  <c r="BE174" i="45" s="1"/>
  <c r="CM248" i="45"/>
  <c r="CW248" i="45" s="1"/>
  <c r="F36" i="37"/>
  <c r="T183" i="16"/>
  <c r="AQ166" i="16"/>
  <c r="AQ167" i="16" s="1"/>
  <c r="T185" i="16" l="1"/>
  <c r="U180" i="16" s="1"/>
  <c r="T198" i="16"/>
  <c r="AR165" i="16"/>
  <c r="BR167" i="16"/>
  <c r="AQ176" i="16"/>
  <c r="BR166" i="16"/>
  <c r="T199" i="16" l="1"/>
  <c r="F30" i="37"/>
  <c r="U196" i="16"/>
  <c r="I14" i="47" s="1"/>
  <c r="U195" i="16"/>
  <c r="I13" i="47" s="1"/>
  <c r="U194" i="16"/>
  <c r="U191" i="16"/>
  <c r="I12" i="47" s="1"/>
  <c r="U182" i="16"/>
  <c r="AR166" i="16"/>
  <c r="AR167" i="16" s="1"/>
  <c r="AS165" i="16" s="1"/>
  <c r="BS165" i="16"/>
  <c r="G32" i="37" l="1"/>
  <c r="T203" i="16"/>
  <c r="U183" i="16"/>
  <c r="G36" i="37"/>
  <c r="AS166" i="16"/>
  <c r="AS176" i="16" s="1"/>
  <c r="AR176" i="16"/>
  <c r="U198" i="16" l="1"/>
  <c r="T205" i="16"/>
  <c r="U185" i="16"/>
  <c r="V180" i="16" s="1"/>
  <c r="AS167" i="16"/>
  <c r="AT165" i="16" s="1"/>
  <c r="T212" i="16" l="1"/>
  <c r="U199" i="16"/>
  <c r="G30" i="37"/>
  <c r="V191" i="16"/>
  <c r="J12" i="47" s="1"/>
  <c r="V195" i="16"/>
  <c r="J13" i="47" s="1"/>
  <c r="V194" i="16"/>
  <c r="V196" i="16"/>
  <c r="J14" i="47" s="1"/>
  <c r="V182" i="16"/>
  <c r="AT166" i="16"/>
  <c r="AT167" i="16" s="1"/>
  <c r="AU165" i="16" s="1"/>
  <c r="H36" i="37" l="1"/>
  <c r="U203" i="16"/>
  <c r="V183" i="16"/>
  <c r="H32" i="37"/>
  <c r="T214" i="16"/>
  <c r="U210" i="16" s="1"/>
  <c r="T229" i="16"/>
  <c r="V17" i="37"/>
  <c r="AU166" i="16"/>
  <c r="AU176" i="16" s="1"/>
  <c r="AT176" i="16"/>
  <c r="U205" i="16" l="1"/>
  <c r="V198" i="16"/>
  <c r="T231" i="16"/>
  <c r="U223" i="16"/>
  <c r="U212" i="16"/>
  <c r="U220" i="16"/>
  <c r="I16" i="47" s="1"/>
  <c r="V185" i="16"/>
  <c r="W180" i="16" s="1"/>
  <c r="BS166" i="16"/>
  <c r="AU167" i="16"/>
  <c r="AV165" i="16" s="1"/>
  <c r="V199" i="16" l="1"/>
  <c r="H30" i="37"/>
  <c r="W194" i="16"/>
  <c r="W196" i="16"/>
  <c r="K14" i="47" s="1"/>
  <c r="W191" i="16"/>
  <c r="K12" i="47" s="1"/>
  <c r="W195" i="16"/>
  <c r="K13" i="47" s="1"/>
  <c r="W182" i="16"/>
  <c r="W183" i="16" s="1"/>
  <c r="U214" i="16"/>
  <c r="V210" i="16" s="1"/>
  <c r="W17" i="37"/>
  <c r="U225" i="16"/>
  <c r="U229" i="16" s="1"/>
  <c r="BS167" i="16"/>
  <c r="BT165" i="16"/>
  <c r="AV166" i="16"/>
  <c r="W198" i="16" l="1"/>
  <c r="W199" i="16" s="1"/>
  <c r="BM183" i="16"/>
  <c r="BM194" i="16"/>
  <c r="I36" i="37"/>
  <c r="BM182" i="16"/>
  <c r="F36" i="18" s="1"/>
  <c r="U231" i="16"/>
  <c r="V223" i="16"/>
  <c r="V220" i="16"/>
  <c r="J16" i="47" s="1"/>
  <c r="W185" i="16"/>
  <c r="G31" i="37"/>
  <c r="BM195" i="16"/>
  <c r="W13" i="47" s="1"/>
  <c r="I32" i="37"/>
  <c r="V203" i="16"/>
  <c r="BM191" i="16"/>
  <c r="W12" i="47" s="1"/>
  <c r="I30" i="37"/>
  <c r="BM196" i="16"/>
  <c r="W14" i="47" s="1"/>
  <c r="AV176" i="16"/>
  <c r="AV167" i="16"/>
  <c r="AW165" i="16" s="1"/>
  <c r="BM185" i="16" l="1"/>
  <c r="X180" i="16"/>
  <c r="V205" i="16"/>
  <c r="BM199" i="16"/>
  <c r="W203" i="16"/>
  <c r="V225" i="16"/>
  <c r="H31" i="37" s="1"/>
  <c r="F30" i="18"/>
  <c r="F32" i="18"/>
  <c r="BM198" i="16"/>
  <c r="AW166" i="16"/>
  <c r="AW167" i="16" s="1"/>
  <c r="AX165" i="16" s="1"/>
  <c r="V212" i="16" l="1"/>
  <c r="BN180" i="16"/>
  <c r="X194" i="16"/>
  <c r="X196" i="16"/>
  <c r="L14" i="47" s="1"/>
  <c r="X191" i="16"/>
  <c r="L12" i="47" s="1"/>
  <c r="X195" i="16"/>
  <c r="L13" i="47" s="1"/>
  <c r="X182" i="16"/>
  <c r="BM203" i="16"/>
  <c r="W205" i="16"/>
  <c r="BM205" i="16" s="1"/>
  <c r="AX166" i="16"/>
  <c r="AX176" i="16" s="1"/>
  <c r="AW176" i="16"/>
  <c r="X183" i="16" l="1"/>
  <c r="J36" i="37"/>
  <c r="V214" i="16"/>
  <c r="W210" i="16" s="1"/>
  <c r="V229" i="16"/>
  <c r="X17" i="37"/>
  <c r="X185" i="16"/>
  <c r="Y180" i="16" s="1"/>
  <c r="J32" i="37"/>
  <c r="AX167" i="16"/>
  <c r="AY165" i="16" s="1"/>
  <c r="V231" i="16" l="1"/>
  <c r="W212" i="16"/>
  <c r="W223" i="16"/>
  <c r="W220" i="16"/>
  <c r="K16" i="47" s="1"/>
  <c r="Y191" i="16"/>
  <c r="M12" i="47" s="1"/>
  <c r="Y194" i="16"/>
  <c r="Y195" i="16"/>
  <c r="M13" i="47" s="1"/>
  <c r="Y196" i="16"/>
  <c r="M14" i="47" s="1"/>
  <c r="Y182" i="16"/>
  <c r="X198" i="16"/>
  <c r="AY166" i="16"/>
  <c r="K32" i="37" l="1"/>
  <c r="BM220" i="16"/>
  <c r="W16" i="47" s="1"/>
  <c r="X199" i="16"/>
  <c r="J30" i="37"/>
  <c r="W225" i="16"/>
  <c r="I31" i="37" s="1"/>
  <c r="BM223" i="16"/>
  <c r="Y183" i="16"/>
  <c r="Y185" i="16" s="1"/>
  <c r="Z180" i="16" s="1"/>
  <c r="K36" i="37"/>
  <c r="W214" i="16"/>
  <c r="Y17" i="37"/>
  <c r="BM212" i="16"/>
  <c r="S17" i="18" s="1"/>
  <c r="AY176" i="16"/>
  <c r="BT166" i="16"/>
  <c r="AY167" i="16"/>
  <c r="Z196" i="16" l="1"/>
  <c r="N14" i="47" s="1"/>
  <c r="Z194" i="16"/>
  <c r="Z195" i="16"/>
  <c r="N13" i="47" s="1"/>
  <c r="Z191" i="16"/>
  <c r="N12" i="47" s="1"/>
  <c r="Z182" i="16"/>
  <c r="L36" i="37" s="1"/>
  <c r="W229" i="16"/>
  <c r="BM225" i="16"/>
  <c r="Y198" i="16"/>
  <c r="BM214" i="16"/>
  <c r="X210" i="16"/>
  <c r="X203" i="16"/>
  <c r="X205" i="16" s="1"/>
  <c r="F31" i="18"/>
  <c r="AZ165" i="16"/>
  <c r="BT167" i="16"/>
  <c r="X220" i="16" l="1"/>
  <c r="L16" i="47" s="1"/>
  <c r="X223" i="16"/>
  <c r="BN210" i="16"/>
  <c r="X212" i="16"/>
  <c r="X214" i="16" s="1"/>
  <c r="Y210" i="16" s="1"/>
  <c r="L32" i="37"/>
  <c r="Y199" i="16"/>
  <c r="K30" i="37"/>
  <c r="BN194" i="16"/>
  <c r="Z183" i="16"/>
  <c r="Z185" i="16" s="1"/>
  <c r="AA180" i="16" s="1"/>
  <c r="W231" i="16"/>
  <c r="BM231" i="16" s="1"/>
  <c r="BM229" i="16"/>
  <c r="BU165" i="16"/>
  <c r="AZ166" i="16"/>
  <c r="AZ167" i="16" s="1"/>
  <c r="BA165" i="16" s="1"/>
  <c r="AA194" i="16" l="1"/>
  <c r="AA191" i="16"/>
  <c r="O12" i="47" s="1"/>
  <c r="AA196" i="16"/>
  <c r="O14" i="47" s="1"/>
  <c r="AA195" i="16"/>
  <c r="O13" i="47" s="1"/>
  <c r="AA182" i="16"/>
  <c r="Y220" i="16"/>
  <c r="M16" i="47" s="1"/>
  <c r="Y223" i="16"/>
  <c r="Y225" i="16" s="1"/>
  <c r="Y203" i="16"/>
  <c r="Y205" i="16" s="1"/>
  <c r="Y212" i="16" s="1"/>
  <c r="AA17" i="37" s="1"/>
  <c r="Z17" i="37"/>
  <c r="Z198" i="16"/>
  <c r="X225" i="16"/>
  <c r="X229" i="16" s="1"/>
  <c r="J31" i="37"/>
  <c r="BA166" i="16"/>
  <c r="BA176" i="16" s="1"/>
  <c r="AZ176" i="16"/>
  <c r="BN182" i="16" l="1"/>
  <c r="G36" i="18" s="1"/>
  <c r="M36" i="37"/>
  <c r="N36" i="37" s="1"/>
  <c r="AA183" i="16"/>
  <c r="L30" i="37"/>
  <c r="Z199" i="16"/>
  <c r="Z203" i="16" s="1"/>
  <c r="Z205" i="16" s="1"/>
  <c r="BN195" i="16"/>
  <c r="X13" i="47" s="1"/>
  <c r="M32" i="37"/>
  <c r="N32" i="37" s="1"/>
  <c r="X231" i="16"/>
  <c r="Y214" i="16"/>
  <c r="Z210" i="16" s="1"/>
  <c r="BN196" i="16"/>
  <c r="X14" i="47" s="1"/>
  <c r="Y229" i="16"/>
  <c r="Y231" i="16" s="1"/>
  <c r="BN191" i="16"/>
  <c r="X12" i="47" s="1"/>
  <c r="K31" i="37"/>
  <c r="BA167" i="16"/>
  <c r="BB165" i="16" s="1"/>
  <c r="BB166" i="16" s="1"/>
  <c r="BB167" i="16" s="1"/>
  <c r="BC165" i="16" s="1"/>
  <c r="G30" i="18" l="1"/>
  <c r="AA198" i="16"/>
  <c r="BN183" i="16"/>
  <c r="AA185" i="16"/>
  <c r="G32" i="18"/>
  <c r="Z212" i="16"/>
  <c r="Z214" i="16" s="1"/>
  <c r="AA210" i="16" s="1"/>
  <c r="Z220" i="16"/>
  <c r="N16" i="47" s="1"/>
  <c r="Z223" i="16"/>
  <c r="BC166" i="16"/>
  <c r="BC176" i="16" s="1"/>
  <c r="BB176" i="16"/>
  <c r="BU166" i="16"/>
  <c r="Z225" i="16" l="1"/>
  <c r="Z229" i="16" s="1"/>
  <c r="AA220" i="16"/>
  <c r="O16" i="47" s="1"/>
  <c r="AA223" i="16"/>
  <c r="AA225" i="16" s="1"/>
  <c r="BN225" i="16" s="1"/>
  <c r="AA199" i="16"/>
  <c r="BN198" i="16"/>
  <c r="M30" i="37"/>
  <c r="N30" i="37" s="1"/>
  <c r="AB180" i="16"/>
  <c r="BN185" i="16"/>
  <c r="AB17" i="37"/>
  <c r="L31" i="37"/>
  <c r="BN220" i="16"/>
  <c r="X16" i="47" s="1"/>
  <c r="BC167" i="16"/>
  <c r="BN223" i="16" l="1"/>
  <c r="G31" i="18" s="1"/>
  <c r="BN199" i="16"/>
  <c r="AA203" i="16"/>
  <c r="M31" i="37"/>
  <c r="N31" i="37" s="1"/>
  <c r="AB195" i="16"/>
  <c r="P13" i="47" s="1"/>
  <c r="AB196" i="16"/>
  <c r="P14" i="47" s="1"/>
  <c r="AB194" i="16"/>
  <c r="AB191" i="16"/>
  <c r="P12" i="47" s="1"/>
  <c r="BO180" i="16"/>
  <c r="AB182" i="16"/>
  <c r="Z231" i="16"/>
  <c r="BU167" i="16"/>
  <c r="BD165" i="16"/>
  <c r="AB183" i="16" l="1"/>
  <c r="AB185" i="16" s="1"/>
  <c r="AC180" i="16" s="1"/>
  <c r="BN203" i="16"/>
  <c r="AA205" i="16"/>
  <c r="BD166" i="16"/>
  <c r="BD167" i="16" s="1"/>
  <c r="BE165" i="16" s="1"/>
  <c r="BV165" i="16"/>
  <c r="AB198" i="16" l="1"/>
  <c r="BN205" i="16"/>
  <c r="AA212" i="16"/>
  <c r="AC194" i="16"/>
  <c r="AC196" i="16"/>
  <c r="Q14" i="47" s="1"/>
  <c r="AC191" i="16"/>
  <c r="Q12" i="47" s="1"/>
  <c r="AC195" i="16"/>
  <c r="Q13" i="47" s="1"/>
  <c r="AC182" i="16"/>
  <c r="BE166" i="16"/>
  <c r="BE176" i="16" s="1"/>
  <c r="BD176" i="16"/>
  <c r="AC183" i="16" l="1"/>
  <c r="AA229" i="16"/>
  <c r="AC17" i="37"/>
  <c r="AD17" i="37" s="1"/>
  <c r="BN212" i="16"/>
  <c r="T17" i="18" s="1"/>
  <c r="AA214" i="16"/>
  <c r="AC185" i="16"/>
  <c r="AD180" i="16" s="1"/>
  <c r="AB199" i="16"/>
  <c r="BE167" i="16"/>
  <c r="BF165" i="16" s="1"/>
  <c r="BF166" i="16" s="1"/>
  <c r="AA231" i="16" l="1"/>
  <c r="BN231" i="16" s="1"/>
  <c r="BN229" i="16"/>
  <c r="AB203" i="16"/>
  <c r="AB205" i="16" s="1"/>
  <c r="AD191" i="16"/>
  <c r="R12" i="47" s="1"/>
  <c r="AD195" i="16"/>
  <c r="R13" i="47" s="1"/>
  <c r="AD194" i="16"/>
  <c r="BO194" i="16" s="1"/>
  <c r="AD196" i="16"/>
  <c r="R14" i="47" s="1"/>
  <c r="AD182" i="16"/>
  <c r="BN214" i="16"/>
  <c r="AB210" i="16"/>
  <c r="AC198" i="16"/>
  <c r="BF176" i="16"/>
  <c r="BF167" i="16"/>
  <c r="BG165" i="16" s="1"/>
  <c r="AC199" i="16" l="1"/>
  <c r="AB212" i="16"/>
  <c r="AB214" i="16" s="1"/>
  <c r="AC210" i="16" s="1"/>
  <c r="BO210" i="16"/>
  <c r="AB223" i="16"/>
  <c r="AB220" i="16"/>
  <c r="P16" i="47" s="1"/>
  <c r="AD183" i="16"/>
  <c r="BG166" i="16"/>
  <c r="AC220" i="16" l="1"/>
  <c r="Q16" i="47" s="1"/>
  <c r="AC223" i="16"/>
  <c r="AC225" i="16" s="1"/>
  <c r="AB225" i="16"/>
  <c r="AB229" i="16" s="1"/>
  <c r="AC203" i="16"/>
  <c r="AC205" i="16" s="1"/>
  <c r="AC212" i="16" s="1"/>
  <c r="AD198" i="16"/>
  <c r="AD185" i="16"/>
  <c r="AE180" i="16" s="1"/>
  <c r="BG176" i="16"/>
  <c r="BV166" i="16"/>
  <c r="BG167" i="16"/>
  <c r="BV167" i="16" s="1"/>
  <c r="AC214" i="16" l="1"/>
  <c r="AD210" i="16" s="1"/>
  <c r="AB231" i="16"/>
  <c r="AE196" i="16"/>
  <c r="S14" i="47" s="1"/>
  <c r="AE191" i="16"/>
  <c r="S12" i="47" s="1"/>
  <c r="AE195" i="16"/>
  <c r="S13" i="47" s="1"/>
  <c r="AE194" i="16"/>
  <c r="AE182" i="16"/>
  <c r="AC229" i="16"/>
  <c r="AC231" i="16" s="1"/>
  <c r="AD199" i="16"/>
  <c r="BI176" i="16"/>
  <c r="BO195" i="16" l="1"/>
  <c r="Y13" i="47" s="1"/>
  <c r="BO191" i="16"/>
  <c r="Y12" i="47" s="1"/>
  <c r="BO196" i="16"/>
  <c r="Y14" i="47" s="1"/>
  <c r="AD203" i="16"/>
  <c r="AD205" i="16" s="1"/>
  <c r="AD212" i="16" s="1"/>
  <c r="AE183" i="16"/>
  <c r="AE185" i="16" s="1"/>
  <c r="BO182" i="16"/>
  <c r="H36" i="18" s="1"/>
  <c r="AD223" i="16"/>
  <c r="AD220" i="16"/>
  <c r="R16" i="47" s="1"/>
  <c r="H30" i="18" l="1"/>
  <c r="AE198" i="16"/>
  <c r="BO183" i="16"/>
  <c r="AF180" i="16"/>
  <c r="BO185" i="16"/>
  <c r="H32" i="18"/>
  <c r="AD225" i="16"/>
  <c r="AD229" i="16" s="1"/>
  <c r="AD214" i="16"/>
  <c r="AE210" i="16" s="1"/>
  <c r="AD231" i="16" l="1"/>
  <c r="AE199" i="16"/>
  <c r="BO198" i="16"/>
  <c r="AE223" i="16"/>
  <c r="AE220" i="16"/>
  <c r="S16" i="47" s="1"/>
  <c r="AF194" i="16"/>
  <c r="AF196" i="16"/>
  <c r="AF195" i="16"/>
  <c r="AF191" i="16"/>
  <c r="BP180" i="16"/>
  <c r="AF182" i="16"/>
  <c r="AE225" i="16" l="1"/>
  <c r="BO225" i="16" s="1"/>
  <c r="BO223" i="16"/>
  <c r="AE203" i="16"/>
  <c r="BO199" i="16"/>
  <c r="BO220" i="16"/>
  <c r="Y16" i="47" s="1"/>
  <c r="AF183" i="16"/>
  <c r="BP182" i="16"/>
  <c r="BI182" i="16"/>
  <c r="BO203" i="16" l="1"/>
  <c r="AE205" i="16"/>
  <c r="BX182" i="16"/>
  <c r="I36" i="18"/>
  <c r="K36" i="18" s="1"/>
  <c r="AF198" i="16"/>
  <c r="AF185" i="16"/>
  <c r="AG180" i="16" s="1"/>
  <c r="H31" i="18"/>
  <c r="AF199" i="16" l="1"/>
  <c r="AG183" i="16"/>
  <c r="AG194" i="16"/>
  <c r="AG195" i="16"/>
  <c r="AG191" i="16"/>
  <c r="AG196" i="16"/>
  <c r="BO205" i="16"/>
  <c r="AE212" i="16"/>
  <c r="AG198" i="16" l="1"/>
  <c r="AE229" i="16"/>
  <c r="BO212" i="16"/>
  <c r="U17" i="18" s="1"/>
  <c r="AE214" i="16"/>
  <c r="AG185" i="16"/>
  <c r="AH180" i="16" s="1"/>
  <c r="AF203" i="16"/>
  <c r="AF205" i="16" s="1"/>
  <c r="BO214" i="16" l="1"/>
  <c r="AF210" i="16"/>
  <c r="AE231" i="16"/>
  <c r="BO231" i="16" s="1"/>
  <c r="BO229" i="16"/>
  <c r="AG199" i="16"/>
  <c r="AH183" i="16"/>
  <c r="AH185" i="16" s="1"/>
  <c r="AI180" i="16" s="1"/>
  <c r="AH194" i="16"/>
  <c r="BP194" i="16" s="1"/>
  <c r="AH191" i="16"/>
  <c r="AH195" i="16"/>
  <c r="AH196" i="16"/>
  <c r="AI183" i="16" l="1"/>
  <c r="AI198" i="16" s="1"/>
  <c r="AI195" i="16"/>
  <c r="AI191" i="16"/>
  <c r="AI194" i="16"/>
  <c r="AI196" i="16"/>
  <c r="BP195" i="16"/>
  <c r="Z13" i="47" s="1"/>
  <c r="AG203" i="16"/>
  <c r="AG205" i="16" s="1"/>
  <c r="BP196" i="16"/>
  <c r="Z14" i="47" s="1"/>
  <c r="BP191" i="16"/>
  <c r="Z12" i="47" s="1"/>
  <c r="AH198" i="16"/>
  <c r="AF212" i="16"/>
  <c r="BP210" i="16"/>
  <c r="AF223" i="16"/>
  <c r="AF220" i="16"/>
  <c r="AI199" i="16" l="1"/>
  <c r="AI203" i="16" s="1"/>
  <c r="BP183" i="16"/>
  <c r="AI185" i="16"/>
  <c r="AJ180" i="16" s="1"/>
  <c r="I32" i="18"/>
  <c r="AF225" i="16"/>
  <c r="AF214" i="16"/>
  <c r="AG210" i="16" s="1"/>
  <c r="BP185" i="16"/>
  <c r="AH199" i="16"/>
  <c r="BP198" i="16"/>
  <c r="I30" i="18"/>
  <c r="AI205" i="16"/>
  <c r="AG220" i="16" l="1"/>
  <c r="AG212" i="16"/>
  <c r="AG214" i="16" s="1"/>
  <c r="AH210" i="16" s="1"/>
  <c r="AG223" i="16"/>
  <c r="AH203" i="16"/>
  <c r="BP199" i="16"/>
  <c r="AF229" i="16"/>
  <c r="AJ191" i="16"/>
  <c r="BQ180" i="16"/>
  <c r="AJ183" i="16"/>
  <c r="AJ195" i="16"/>
  <c r="AJ196" i="16"/>
  <c r="AJ194" i="16"/>
  <c r="AJ185" i="16"/>
  <c r="AK180" i="16" s="1"/>
  <c r="AK191" i="16" l="1"/>
  <c r="AK183" i="16"/>
  <c r="AK198" i="16" s="1"/>
  <c r="AK194" i="16"/>
  <c r="AK195" i="16"/>
  <c r="AK196" i="16"/>
  <c r="AF231" i="16"/>
  <c r="AH205" i="16"/>
  <c r="AH212" i="16" s="1"/>
  <c r="BP203" i="16"/>
  <c r="AH220" i="16"/>
  <c r="AH223" i="16"/>
  <c r="AJ198" i="16"/>
  <c r="AJ199" i="16" s="1"/>
  <c r="AJ203" i="16" s="1"/>
  <c r="AJ205" i="16" s="1"/>
  <c r="AG225" i="16"/>
  <c r="AK185" i="16" l="1"/>
  <c r="AL180" i="16" s="1"/>
  <c r="AH225" i="16"/>
  <c r="AH229" i="16" s="1"/>
  <c r="AH231" i="16" s="1"/>
  <c r="AL196" i="16"/>
  <c r="AL195" i="16"/>
  <c r="AL191" i="16"/>
  <c r="AL183" i="16"/>
  <c r="AL185" i="16" s="1"/>
  <c r="AM180" i="16" s="1"/>
  <c r="AL194" i="16"/>
  <c r="AH214" i="16"/>
  <c r="AI210" i="16" s="1"/>
  <c r="AK199" i="16"/>
  <c r="AK203" i="16" s="1"/>
  <c r="AK205" i="16" s="1"/>
  <c r="AG229" i="16"/>
  <c r="BP205" i="16"/>
  <c r="AM196" i="16" l="1"/>
  <c r="BQ196" i="16" s="1"/>
  <c r="AA14" i="47" s="1"/>
  <c r="AM191" i="16"/>
  <c r="BQ191" i="16" s="1"/>
  <c r="AA12" i="47" s="1"/>
  <c r="AM195" i="16"/>
  <c r="BQ195" i="16" s="1"/>
  <c r="AA13" i="47" s="1"/>
  <c r="AM194" i="16"/>
  <c r="AM183" i="16"/>
  <c r="AM198" i="16" s="1"/>
  <c r="AI212" i="16"/>
  <c r="AI220" i="16"/>
  <c r="AI223" i="16"/>
  <c r="BQ194" i="16"/>
  <c r="AG231" i="16"/>
  <c r="AL198" i="16"/>
  <c r="AL199" i="16" s="1"/>
  <c r="AL203" i="16" s="1"/>
  <c r="AL205" i="16" s="1"/>
  <c r="BQ183" i="16"/>
  <c r="AM184" i="16" l="1"/>
  <c r="AM185" i="16" s="1"/>
  <c r="BQ198" i="16"/>
  <c r="AM199" i="16"/>
  <c r="AI225" i="16"/>
  <c r="AI229" i="16" s="1"/>
  <c r="BP223" i="16"/>
  <c r="J32" i="18"/>
  <c r="K32" i="18" s="1"/>
  <c r="BP220" i="16"/>
  <c r="Z16" i="47" s="1"/>
  <c r="J30" i="18"/>
  <c r="K30" i="18" s="1"/>
  <c r="BQ184" i="16"/>
  <c r="BX184" i="16" s="1"/>
  <c r="BI184" i="16"/>
  <c r="AI214" i="16"/>
  <c r="BP212" i="16"/>
  <c r="V17" i="18" s="1"/>
  <c r="S237" i="16"/>
  <c r="BQ185" i="16" l="1"/>
  <c r="AN180" i="16"/>
  <c r="AN195" i="16" s="1"/>
  <c r="I31" i="18"/>
  <c r="AI231" i="16"/>
  <c r="BP229" i="16"/>
  <c r="AJ210" i="16"/>
  <c r="BP214" i="16"/>
  <c r="AN191" i="16"/>
  <c r="BR180" i="16"/>
  <c r="AN183" i="16"/>
  <c r="AN185" i="16" s="1"/>
  <c r="AO180" i="16" s="1"/>
  <c r="AN194" i="16"/>
  <c r="BQ199" i="16"/>
  <c r="AM203" i="16"/>
  <c r="AN196" i="16" l="1"/>
  <c r="BQ210" i="16"/>
  <c r="AJ212" i="16"/>
  <c r="AJ223" i="16"/>
  <c r="AJ220" i="16"/>
  <c r="AO196" i="16"/>
  <c r="AO183" i="16"/>
  <c r="AO198" i="16" s="1"/>
  <c r="AO195" i="16"/>
  <c r="AO191" i="16"/>
  <c r="AO194" i="16"/>
  <c r="AN198" i="16"/>
  <c r="BP231" i="16"/>
  <c r="BQ203" i="16"/>
  <c r="AM205" i="16"/>
  <c r="BQ205" i="16" s="1"/>
  <c r="AN199" i="16" l="1"/>
  <c r="AO199" i="16"/>
  <c r="AO203" i="16" s="1"/>
  <c r="AO205" i="16" s="1"/>
  <c r="AJ225" i="16"/>
  <c r="AJ214" i="16"/>
  <c r="AK210" i="16" s="1"/>
  <c r="AJ229" i="16"/>
  <c r="AO185" i="16"/>
  <c r="AP180" i="16" s="1"/>
  <c r="AP195" i="16" l="1"/>
  <c r="AP191" i="16"/>
  <c r="AP194" i="16"/>
  <c r="BR194" i="16" s="1"/>
  <c r="AP183" i="16"/>
  <c r="AP185" i="16" s="1"/>
  <c r="AQ180" i="16" s="1"/>
  <c r="AP196" i="16"/>
  <c r="AN203" i="16"/>
  <c r="AN205" i="16" s="1"/>
  <c r="AJ231" i="16"/>
  <c r="AK220" i="16"/>
  <c r="AK223" i="16"/>
  <c r="AK212" i="16"/>
  <c r="AK214" i="16" s="1"/>
  <c r="AL210" i="16" s="1"/>
  <c r="AK225" i="16" l="1"/>
  <c r="AQ183" i="16"/>
  <c r="AQ198" i="16" s="1"/>
  <c r="AQ195" i="16"/>
  <c r="AQ191" i="16"/>
  <c r="BR191" i="16" s="1"/>
  <c r="AQ196" i="16"/>
  <c r="BR196" i="16" s="1"/>
  <c r="AQ194" i="16"/>
  <c r="AP198" i="16"/>
  <c r="BR183" i="16"/>
  <c r="BR195" i="16"/>
  <c r="AL223" i="16"/>
  <c r="AL225" i="16" s="1"/>
  <c r="AL212" i="16"/>
  <c r="AL220" i="16"/>
  <c r="AK229" i="16"/>
  <c r="AQ199" i="16" l="1"/>
  <c r="AQ203" i="16" s="1"/>
  <c r="AP199" i="16"/>
  <c r="BR198" i="16"/>
  <c r="AL214" i="16"/>
  <c r="AM210" i="16" s="1"/>
  <c r="AL229" i="16"/>
  <c r="AL231" i="16" s="1"/>
  <c r="AQ185" i="16"/>
  <c r="AK231" i="16"/>
  <c r="BR185" i="16" l="1"/>
  <c r="AR180" i="16"/>
  <c r="AM220" i="16"/>
  <c r="BQ220" i="16" s="1"/>
  <c r="AA16" i="47" s="1"/>
  <c r="AM212" i="16"/>
  <c r="AM213" i="16" s="1"/>
  <c r="AM214" i="16" s="1"/>
  <c r="AM223" i="16"/>
  <c r="AP203" i="16"/>
  <c r="AP205" i="16" s="1"/>
  <c r="BR205" i="16" s="1"/>
  <c r="BR199" i="16"/>
  <c r="AQ205" i="16"/>
  <c r="BQ214" i="16" l="1"/>
  <c r="AN210" i="16"/>
  <c r="BR203" i="16"/>
  <c r="BQ213" i="16"/>
  <c r="BX213" i="16" s="1"/>
  <c r="BI213" i="16"/>
  <c r="AM225" i="16"/>
  <c r="BQ225" i="16" s="1"/>
  <c r="BQ223" i="16"/>
  <c r="J31" i="18" s="1"/>
  <c r="K31" i="18" s="1"/>
  <c r="BQ212" i="16"/>
  <c r="W17" i="18" s="1"/>
  <c r="X17" i="18" s="1"/>
  <c r="AR196" i="16"/>
  <c r="AR195" i="16"/>
  <c r="AR194" i="16"/>
  <c r="AR183" i="16"/>
  <c r="AR191" i="16"/>
  <c r="BS180" i="16"/>
  <c r="AR198" i="16" l="1"/>
  <c r="AR199" i="16" s="1"/>
  <c r="AR203" i="16" s="1"/>
  <c r="AR205" i="16" s="1"/>
  <c r="BR210" i="16"/>
  <c r="AN212" i="16"/>
  <c r="AN214" i="16" s="1"/>
  <c r="AO210" i="16" s="1"/>
  <c r="AN223" i="16"/>
  <c r="AN220" i="16"/>
  <c r="AR185" i="16"/>
  <c r="AS180" i="16" s="1"/>
  <c r="AM229" i="16"/>
  <c r="AS195" i="16" l="1"/>
  <c r="AS194" i="16"/>
  <c r="AS183" i="16"/>
  <c r="AS185" i="16" s="1"/>
  <c r="AT180" i="16" s="1"/>
  <c r="AS196" i="16"/>
  <c r="AS191" i="16"/>
  <c r="AO212" i="16"/>
  <c r="AO220" i="16"/>
  <c r="AO223" i="16"/>
  <c r="AO225" i="16" s="1"/>
  <c r="AN225" i="16"/>
  <c r="AN229" i="16" s="1"/>
  <c r="AM231" i="16"/>
  <c r="BQ229" i="16"/>
  <c r="AN231" i="16" l="1"/>
  <c r="AO214" i="16"/>
  <c r="AP210" i="16" s="1"/>
  <c r="AO229" i="16"/>
  <c r="AO231" i="16" s="1"/>
  <c r="BQ231" i="16"/>
  <c r="AT195" i="16"/>
  <c r="AT191" i="16"/>
  <c r="AT183" i="16"/>
  <c r="AT198" i="16" s="1"/>
  <c r="AT199" i="16" s="1"/>
  <c r="AT203" i="16" s="1"/>
  <c r="AT205" i="16" s="1"/>
  <c r="AT196" i="16"/>
  <c r="AT194" i="16"/>
  <c r="BS194" i="16" s="1"/>
  <c r="AS198" i="16"/>
  <c r="AS199" i="16" s="1"/>
  <c r="AS203" i="16" s="1"/>
  <c r="AS205" i="16" s="1"/>
  <c r="AT185" i="16" l="1"/>
  <c r="AU180" i="16" s="1"/>
  <c r="AP212" i="16"/>
  <c r="AP214" i="16" s="1"/>
  <c r="AQ210" i="16" s="1"/>
  <c r="AP223" i="16"/>
  <c r="AP220" i="16"/>
  <c r="AU183" i="16"/>
  <c r="AU191" i="16"/>
  <c r="BS191" i="16" s="1"/>
  <c r="AU196" i="16"/>
  <c r="BS196" i="16" s="1"/>
  <c r="AU194" i="16"/>
  <c r="AU195" i="16"/>
  <c r="BS195" i="16" s="1"/>
  <c r="AU198" i="16" l="1"/>
  <c r="BS198" i="16" s="1"/>
  <c r="BS183" i="16"/>
  <c r="AQ212" i="16"/>
  <c r="AQ214" i="16" s="1"/>
  <c r="AQ220" i="16"/>
  <c r="BR220" i="16" s="1"/>
  <c r="AQ223" i="16"/>
  <c r="AQ225" i="16" s="1"/>
  <c r="BR225" i="16" s="1"/>
  <c r="AU185" i="16"/>
  <c r="AP225" i="16"/>
  <c r="AP229" i="16" s="1"/>
  <c r="BR223" i="16"/>
  <c r="AU199" i="16"/>
  <c r="BR212" i="16" l="1"/>
  <c r="BS185" i="16"/>
  <c r="AV180" i="16"/>
  <c r="AR210" i="16"/>
  <c r="BR214" i="16"/>
  <c r="AQ229" i="16"/>
  <c r="AQ231" i="16" s="1"/>
  <c r="BS199" i="16"/>
  <c r="AU203" i="16"/>
  <c r="AP231" i="16"/>
  <c r="BR231" i="16" s="1"/>
  <c r="BS203" i="16" l="1"/>
  <c r="AU205" i="16"/>
  <c r="AR223" i="16"/>
  <c r="BS210" i="16"/>
  <c r="AR212" i="16"/>
  <c r="AR214" i="16" s="1"/>
  <c r="AS210" i="16" s="1"/>
  <c r="AR220" i="16"/>
  <c r="BR229" i="16"/>
  <c r="AV194" i="16"/>
  <c r="AV183" i="16"/>
  <c r="AV185" i="16" s="1"/>
  <c r="AW180" i="16" s="1"/>
  <c r="AV195" i="16"/>
  <c r="AV196" i="16"/>
  <c r="AV191" i="16"/>
  <c r="BT180" i="16"/>
  <c r="AS223" i="16" l="1"/>
  <c r="AS225" i="16" s="1"/>
  <c r="AS212" i="16"/>
  <c r="AS220" i="16"/>
  <c r="AW194" i="16"/>
  <c r="AW195" i="16"/>
  <c r="AW183" i="16"/>
  <c r="AW198" i="16" s="1"/>
  <c r="AW196" i="16"/>
  <c r="AW191" i="16"/>
  <c r="AR225" i="16"/>
  <c r="AR229" i="16" s="1"/>
  <c r="AV198" i="16"/>
  <c r="BS205" i="16"/>
  <c r="AS229" i="16" l="1"/>
  <c r="AS231" i="16" s="1"/>
  <c r="AW199" i="16"/>
  <c r="AW203" i="16" s="1"/>
  <c r="AW205" i="16" s="1"/>
  <c r="AR231" i="16"/>
  <c r="AS214" i="16"/>
  <c r="AT210" i="16" s="1"/>
  <c r="AV199" i="16"/>
  <c r="AW185" i="16"/>
  <c r="AX180" i="16" s="1"/>
  <c r="AX195" i="16" l="1"/>
  <c r="AX183" i="16"/>
  <c r="AX185" i="16" s="1"/>
  <c r="AY180" i="16" s="1"/>
  <c r="AX194" i="16"/>
  <c r="BT194" i="16" s="1"/>
  <c r="AX196" i="16"/>
  <c r="AX191" i="16"/>
  <c r="AV203" i="16"/>
  <c r="AV205" i="16" s="1"/>
  <c r="AT220" i="16"/>
  <c r="AT223" i="16"/>
  <c r="AT212" i="16"/>
  <c r="AT214" i="16" s="1"/>
  <c r="AU210" i="16" s="1"/>
  <c r="AU220" i="16" l="1"/>
  <c r="AU223" i="16"/>
  <c r="AU225" i="16" s="1"/>
  <c r="AU212" i="16"/>
  <c r="AU214" i="16" s="1"/>
  <c r="AY194" i="16"/>
  <c r="AY195" i="16"/>
  <c r="AY191" i="16"/>
  <c r="BT191" i="16" s="1"/>
  <c r="AY196" i="16"/>
  <c r="BT196" i="16" s="1"/>
  <c r="AY183" i="16"/>
  <c r="AY198" i="16" s="1"/>
  <c r="AY199" i="16" s="1"/>
  <c r="AY203" i="16" s="1"/>
  <c r="BS212" i="16"/>
  <c r="AT225" i="16"/>
  <c r="AX198" i="16"/>
  <c r="BS220" i="16"/>
  <c r="BT195" i="16"/>
  <c r="BS223" i="16" l="1"/>
  <c r="BT183" i="16"/>
  <c r="AV210" i="16"/>
  <c r="BS214" i="16"/>
  <c r="AT229" i="16"/>
  <c r="BS225" i="16"/>
  <c r="AY185" i="16"/>
  <c r="AY205" i="16"/>
  <c r="AU229" i="16"/>
  <c r="AU231" i="16" s="1"/>
  <c r="AX199" i="16"/>
  <c r="BT198" i="16"/>
  <c r="AZ180" i="16" l="1"/>
  <c r="BT185" i="16"/>
  <c r="AT231" i="16"/>
  <c r="BS231" i="16" s="1"/>
  <c r="BS229" i="16"/>
  <c r="AX203" i="16"/>
  <c r="BT199" i="16"/>
  <c r="AV223" i="16"/>
  <c r="BT210" i="16"/>
  <c r="AV220" i="16"/>
  <c r="AV212" i="16"/>
  <c r="AV214" i="16" s="1"/>
  <c r="AW210" i="16" s="1"/>
  <c r="AX205" i="16" l="1"/>
  <c r="BT203" i="16"/>
  <c r="BU180" i="16"/>
  <c r="AZ194" i="16"/>
  <c r="AZ183" i="16"/>
  <c r="AZ191" i="16"/>
  <c r="AZ196" i="16"/>
  <c r="AZ195" i="16"/>
  <c r="AW220" i="16"/>
  <c r="AW223" i="16"/>
  <c r="AW225" i="16" s="1"/>
  <c r="AW212" i="16"/>
  <c r="AW214" i="16" s="1"/>
  <c r="AX210" i="16" s="1"/>
  <c r="AV225" i="16"/>
  <c r="AX220" i="16" l="1"/>
  <c r="AX212" i="16"/>
  <c r="AX223" i="16"/>
  <c r="AX225" i="16" s="1"/>
  <c r="AZ198" i="16"/>
  <c r="AZ199" i="16" s="1"/>
  <c r="AZ203" i="16" s="1"/>
  <c r="AW229" i="16"/>
  <c r="AW231" i="16" s="1"/>
  <c r="AZ185" i="16"/>
  <c r="BA180" i="16" s="1"/>
  <c r="AV229" i="16"/>
  <c r="BT205" i="16"/>
  <c r="AX229" i="16" l="1"/>
  <c r="AX231" i="16" s="1"/>
  <c r="AX214" i="16"/>
  <c r="AY210" i="16" s="1"/>
  <c r="AY223" i="16" s="1"/>
  <c r="AZ205" i="16"/>
  <c r="AV231" i="16"/>
  <c r="BA191" i="16"/>
  <c r="BA196" i="16"/>
  <c r="BA194" i="16"/>
  <c r="BA183" i="16"/>
  <c r="BA185" i="16" s="1"/>
  <c r="BB180" i="16" s="1"/>
  <c r="BA195" i="16"/>
  <c r="AY212" i="16" l="1"/>
  <c r="BT212" i="16" s="1"/>
  <c r="AY220" i="16"/>
  <c r="BT220" i="16" s="1"/>
  <c r="BB183" i="16"/>
  <c r="BB198" i="16" s="1"/>
  <c r="BB191" i="16"/>
  <c r="BB196" i="16"/>
  <c r="BB194" i="16"/>
  <c r="BU194" i="16" s="1"/>
  <c r="BB195" i="16"/>
  <c r="BA198" i="16"/>
  <c r="BA199" i="16" s="1"/>
  <c r="BA203" i="16" s="1"/>
  <c r="AY225" i="16"/>
  <c r="BT223" i="16"/>
  <c r="AY214" i="16" l="1"/>
  <c r="BT214" i="16" s="1"/>
  <c r="BB185" i="16"/>
  <c r="BC180" i="16" s="1"/>
  <c r="BC194" i="16" s="1"/>
  <c r="BA205" i="16"/>
  <c r="AY229" i="16"/>
  <c r="BT225" i="16"/>
  <c r="BC191" i="16"/>
  <c r="BU191" i="16" s="1"/>
  <c r="BC183" i="16"/>
  <c r="BC185" i="16" s="1"/>
  <c r="BC195" i="16"/>
  <c r="BU195" i="16" s="1"/>
  <c r="AZ210" i="16"/>
  <c r="BB199" i="16"/>
  <c r="BB203" i="16" s="1"/>
  <c r="BB205" i="16" s="1"/>
  <c r="BC196" i="16" l="1"/>
  <c r="BU196" i="16" s="1"/>
  <c r="BC198" i="16"/>
  <c r="BU198" i="16" s="1"/>
  <c r="BU183" i="16"/>
  <c r="AZ223" i="16"/>
  <c r="AZ212" i="16"/>
  <c r="AZ220" i="16"/>
  <c r="BU210" i="16"/>
  <c r="AY231" i="16"/>
  <c r="BT231" i="16" s="1"/>
  <c r="BT229" i="16"/>
  <c r="BU185" i="16"/>
  <c r="BD180" i="16"/>
  <c r="BD195" i="16" l="1"/>
  <c r="BD183" i="16"/>
  <c r="BD196" i="16"/>
  <c r="BD191" i="16"/>
  <c r="BD194" i="16"/>
  <c r="BV180" i="16"/>
  <c r="AZ225" i="16"/>
  <c r="AZ214" i="16"/>
  <c r="BA210" i="16" s="1"/>
  <c r="BC199" i="16"/>
  <c r="BU199" i="16" l="1"/>
  <c r="BC203" i="16"/>
  <c r="BA220" i="16"/>
  <c r="BA212" i="16"/>
  <c r="BA214" i="16" s="1"/>
  <c r="BB210" i="16" s="1"/>
  <c r="BA223" i="16"/>
  <c r="BD198" i="16"/>
  <c r="BD185" i="16"/>
  <c r="BE180" i="16" s="1"/>
  <c r="AZ229" i="16"/>
  <c r="AZ231" i="16" l="1"/>
  <c r="BE191" i="16"/>
  <c r="BE183" i="16"/>
  <c r="BE196" i="16"/>
  <c r="BE195" i="16"/>
  <c r="BE194" i="16"/>
  <c r="BA225" i="16"/>
  <c r="BC205" i="16"/>
  <c r="BU203" i="16"/>
  <c r="BD199" i="16"/>
  <c r="BB223" i="16"/>
  <c r="BB225" i="16" s="1"/>
  <c r="BB212" i="16"/>
  <c r="BB214" i="16" s="1"/>
  <c r="BC210" i="16" s="1"/>
  <c r="BB220" i="16"/>
  <c r="BB229" i="16" l="1"/>
  <c r="BB231" i="16" s="1"/>
  <c r="BD203" i="16"/>
  <c r="BU205" i="16"/>
  <c r="BE198" i="16"/>
  <c r="BC223" i="16"/>
  <c r="BC220" i="16"/>
  <c r="BC212" i="16"/>
  <c r="BC214" i="16" s="1"/>
  <c r="BA229" i="16"/>
  <c r="BE185" i="16"/>
  <c r="BF180" i="16" s="1"/>
  <c r="BU212" i="16" l="1"/>
  <c r="BU214" i="16"/>
  <c r="BD210" i="16"/>
  <c r="BE199" i="16"/>
  <c r="BA231" i="16"/>
  <c r="BF196" i="16"/>
  <c r="BF191" i="16"/>
  <c r="BF183" i="16"/>
  <c r="BF185" i="16" s="1"/>
  <c r="BG180" i="16" s="1"/>
  <c r="BF194" i="16"/>
  <c r="BF195" i="16"/>
  <c r="BC225" i="16"/>
  <c r="BU223" i="16"/>
  <c r="BD205" i="16"/>
  <c r="BC229" i="16" l="1"/>
  <c r="BU225" i="16"/>
  <c r="BE203" i="16"/>
  <c r="BV191" i="16"/>
  <c r="BX191" i="16" s="1"/>
  <c r="BG196" i="16"/>
  <c r="BI196" i="16" s="1"/>
  <c r="BG183" i="16"/>
  <c r="BG185" i="16" s="1"/>
  <c r="BV185" i="16" s="1"/>
  <c r="BG194" i="16"/>
  <c r="BG195" i="16"/>
  <c r="BI195" i="16" s="1"/>
  <c r="BG191" i="16"/>
  <c r="BI191" i="16" s="1"/>
  <c r="BV210" i="16"/>
  <c r="BD223" i="16"/>
  <c r="BD220" i="16"/>
  <c r="BD212" i="16"/>
  <c r="BF198" i="16"/>
  <c r="BF199" i="16" s="1"/>
  <c r="BF203" i="16" s="1"/>
  <c r="BF205" i="16" s="1"/>
  <c r="BV183" i="16"/>
  <c r="BX183" i="16" s="1"/>
  <c r="BK191" i="16" l="1"/>
  <c r="BD225" i="16"/>
  <c r="BE205" i="16"/>
  <c r="BV195" i="16"/>
  <c r="BX195" i="16" s="1"/>
  <c r="BD214" i="16"/>
  <c r="BE210" i="16" s="1"/>
  <c r="BI194" i="16"/>
  <c r="BV194" i="16"/>
  <c r="BX194" i="16" s="1"/>
  <c r="BC231" i="16"/>
  <c r="BU231" i="16" s="1"/>
  <c r="BU229" i="16"/>
  <c r="BG198" i="16"/>
  <c r="BI198" i="16" s="1"/>
  <c r="BI183" i="16"/>
  <c r="BV196" i="16"/>
  <c r="BX196" i="16" s="1"/>
  <c r="BV198" i="16" l="1"/>
  <c r="BX198" i="16" s="1"/>
  <c r="BG199" i="16"/>
  <c r="BE220" i="16"/>
  <c r="BE223" i="16"/>
  <c r="BE212" i="16"/>
  <c r="BE214" i="16" s="1"/>
  <c r="BF210" i="16" s="1"/>
  <c r="BD229" i="16"/>
  <c r="BF223" i="16" l="1"/>
  <c r="BF225" i="16" s="1"/>
  <c r="BF220" i="16"/>
  <c r="BF212" i="16"/>
  <c r="BF214" i="16" s="1"/>
  <c r="BG210" i="16" s="1"/>
  <c r="BD231" i="16"/>
  <c r="BE225" i="16"/>
  <c r="BE229" i="16" s="1"/>
  <c r="BE231" i="16" s="1"/>
  <c r="BG203" i="16"/>
  <c r="BI199" i="16"/>
  <c r="BV199" i="16"/>
  <c r="BX199" i="16" s="1"/>
  <c r="BG223" i="16" l="1"/>
  <c r="BG220" i="16"/>
  <c r="BI203" i="16"/>
  <c r="BG205" i="16"/>
  <c r="BV203" i="16"/>
  <c r="BX203" i="16" s="1"/>
  <c r="BF229" i="16"/>
  <c r="BI205" i="16" l="1"/>
  <c r="BV205" i="16"/>
  <c r="BX205" i="16" s="1"/>
  <c r="BI220" i="16"/>
  <c r="S456" i="16" s="1"/>
  <c r="BU220" i="16"/>
  <c r="BV220" i="16"/>
  <c r="BF231" i="16"/>
  <c r="BG225" i="16"/>
  <c r="BI223" i="16"/>
  <c r="BV223" i="16"/>
  <c r="BX223" i="16" s="1"/>
  <c r="BG212" i="16"/>
  <c r="BX220" i="16" l="1"/>
  <c r="BK220" i="16" s="1"/>
  <c r="BG214" i="16"/>
  <c r="BV214" i="16" s="1"/>
  <c r="BI212" i="16"/>
  <c r="S455" i="16" s="1"/>
  <c r="BV212" i="16"/>
  <c r="BX212" i="16" s="1"/>
  <c r="BG229" i="16"/>
  <c r="BP225" i="16"/>
  <c r="BI225" i="16"/>
  <c r="S457" i="16" s="1"/>
  <c r="BV225" i="16"/>
  <c r="BX225" i="16" l="1"/>
  <c r="BI229" i="16"/>
  <c r="BG231" i="16"/>
  <c r="BV229" i="16"/>
  <c r="BX229" i="16" s="1"/>
  <c r="O235" i="16" l="1"/>
  <c r="BI231" i="16"/>
  <c r="Q235" i="16"/>
  <c r="BV231" i="16"/>
  <c r="BX231" i="16" s="1"/>
  <c r="BK231" i="16" s="1"/>
  <c r="S238" i="16" l="1"/>
  <c r="U11" i="37"/>
  <c r="U19" i="37" s="1"/>
  <c r="R11" i="18"/>
  <c r="R19" i="18" s="1"/>
  <c r="T237" i="16" l="1"/>
  <c r="T236" i="16" s="1"/>
  <c r="U335" i="16"/>
  <c r="U336" i="16" s="1"/>
  <c r="S239" i="16"/>
  <c r="T235" i="16" s="1"/>
  <c r="S241" i="16"/>
  <c r="T339" i="16" s="1"/>
  <c r="T342" i="16" s="1"/>
  <c r="U237" i="16" l="1"/>
  <c r="U236" i="16" s="1"/>
  <c r="U339" i="16"/>
  <c r="U340" i="16"/>
  <c r="V237" i="16"/>
  <c r="BD256" i="16"/>
  <c r="AI256" i="16"/>
  <c r="S252" i="16"/>
  <c r="U256" i="16"/>
  <c r="AF256" i="16"/>
  <c r="AM256" i="16"/>
  <c r="AN256" i="16"/>
  <c r="AL256" i="16"/>
  <c r="AZ256" i="16"/>
  <c r="AP256" i="16"/>
  <c r="AV256" i="16"/>
  <c r="V256" i="16"/>
  <c r="S256" i="16"/>
  <c r="X341" i="16" s="1"/>
  <c r="AJ256" i="16"/>
  <c r="AC256" i="16"/>
  <c r="AG256" i="16"/>
  <c r="AW256" i="16"/>
  <c r="AQ256" i="16"/>
  <c r="AE256" i="16"/>
  <c r="AU256" i="16"/>
  <c r="S245" i="16"/>
  <c r="Y256" i="16"/>
  <c r="AX256" i="16"/>
  <c r="T256" i="16"/>
  <c r="AH256" i="16"/>
  <c r="BC256" i="16"/>
  <c r="BF256" i="16"/>
  <c r="X256" i="16"/>
  <c r="BA256" i="16"/>
  <c r="AY256" i="16"/>
  <c r="AT256" i="16"/>
  <c r="AA256" i="16"/>
  <c r="BB256" i="16"/>
  <c r="W256" i="16"/>
  <c r="AR256" i="16"/>
  <c r="BS256" i="16" s="1"/>
  <c r="AO256" i="16"/>
  <c r="Z256" i="16"/>
  <c r="BE256" i="16"/>
  <c r="AD256" i="16"/>
  <c r="AB256" i="16"/>
  <c r="BG256" i="16"/>
  <c r="AS256" i="16"/>
  <c r="AK256" i="16"/>
  <c r="BM235" i="16"/>
  <c r="T238" i="16"/>
  <c r="O39" i="17"/>
  <c r="U342" i="16" l="1"/>
  <c r="BO256" i="16"/>
  <c r="BN256" i="16"/>
  <c r="BU256" i="16"/>
  <c r="S246" i="16"/>
  <c r="S247" i="16" s="1"/>
  <c r="BC279" i="16"/>
  <c r="AC279" i="16"/>
  <c r="Q21" i="47" s="1"/>
  <c r="AK279" i="16"/>
  <c r="X279" i="16"/>
  <c r="L21" i="47" s="1"/>
  <c r="AY279" i="16"/>
  <c r="AM279" i="16"/>
  <c r="AN279" i="16"/>
  <c r="AI279" i="16"/>
  <c r="AV279" i="16"/>
  <c r="AU279" i="16"/>
  <c r="AQ279" i="16"/>
  <c r="U279" i="16"/>
  <c r="I21" i="47" s="1"/>
  <c r="AO279" i="16"/>
  <c r="AL279" i="16"/>
  <c r="AA279" i="16"/>
  <c r="O21" i="47" s="1"/>
  <c r="AF279" i="16"/>
  <c r="AW279" i="16"/>
  <c r="BE279" i="16"/>
  <c r="S262" i="16"/>
  <c r="T255" i="16" s="1"/>
  <c r="T257" i="16" s="1"/>
  <c r="S276" i="16"/>
  <c r="AT279" i="16"/>
  <c r="V279" i="16"/>
  <c r="J21" i="47" s="1"/>
  <c r="Y279" i="16"/>
  <c r="M21" i="47" s="1"/>
  <c r="BD279" i="16"/>
  <c r="AZ279" i="16"/>
  <c r="AR279" i="16"/>
  <c r="W279" i="16"/>
  <c r="K21" i="47" s="1"/>
  <c r="G460" i="4"/>
  <c r="S362" i="16" s="1"/>
  <c r="S365" i="16" s="1"/>
  <c r="T361" i="16" s="1"/>
  <c r="T363" i="16" s="1"/>
  <c r="BF279" i="16"/>
  <c r="BG279" i="16"/>
  <c r="AG279" i="16"/>
  <c r="AH279" i="16"/>
  <c r="AX279" i="16"/>
  <c r="AP279" i="16"/>
  <c r="S268" i="16"/>
  <c r="T268" i="16" s="1"/>
  <c r="AS279" i="16"/>
  <c r="AJ279" i="16"/>
  <c r="AD279" i="16"/>
  <c r="R21" i="47" s="1"/>
  <c r="AE279" i="16"/>
  <c r="S21" i="47" s="1"/>
  <c r="BB279" i="16"/>
  <c r="T279" i="16"/>
  <c r="H21" i="47" s="1"/>
  <c r="AB279" i="16"/>
  <c r="P21" i="47" s="1"/>
  <c r="BA279" i="16"/>
  <c r="Z279" i="16"/>
  <c r="N21" i="47" s="1"/>
  <c r="BI256" i="16"/>
  <c r="BP256" i="16"/>
  <c r="BT256" i="16"/>
  <c r="O43" i="17"/>
  <c r="BV256" i="16"/>
  <c r="BM256" i="16"/>
  <c r="V236" i="16"/>
  <c r="W237" i="16"/>
  <c r="CM243" i="45"/>
  <c r="CW243" i="45" s="1"/>
  <c r="O40" i="17"/>
  <c r="BR256" i="16"/>
  <c r="T239" i="16"/>
  <c r="U235" i="16" s="1"/>
  <c r="F38" i="37"/>
  <c r="BQ256" i="16"/>
  <c r="T241" i="16"/>
  <c r="R25" i="18" l="1"/>
  <c r="Y332" i="16"/>
  <c r="BQ279" i="16"/>
  <c r="AA21" i="47" s="1"/>
  <c r="U25" i="37"/>
  <c r="BS279" i="16"/>
  <c r="BU279" i="16"/>
  <c r="BT279" i="16"/>
  <c r="BX256" i="16"/>
  <c r="BV279" i="16"/>
  <c r="W455" i="16"/>
  <c r="BP279" i="16"/>
  <c r="Z21" i="47" s="1"/>
  <c r="BR279" i="16"/>
  <c r="U238" i="16"/>
  <c r="U239" i="16" s="1"/>
  <c r="V235" i="16" s="1"/>
  <c r="S31" i="40"/>
  <c r="S33" i="40" s="1"/>
  <c r="S34" i="40" s="1"/>
  <c r="T22" i="40" s="1"/>
  <c r="I22" i="40" s="1"/>
  <c r="J9" i="17"/>
  <c r="F29" i="47" s="1"/>
  <c r="F31" i="47" s="1"/>
  <c r="CM244" i="45"/>
  <c r="CW244" i="45" s="1"/>
  <c r="T252" i="16"/>
  <c r="T258" i="16" s="1"/>
  <c r="CM247" i="45"/>
  <c r="CW247" i="45" s="1"/>
  <c r="O46" i="17"/>
  <c r="J11" i="17"/>
  <c r="BE155" i="45" s="1"/>
  <c r="BE175" i="45" s="1"/>
  <c r="T269" i="16"/>
  <c r="T36" i="17"/>
  <c r="S47" i="23" s="1"/>
  <c r="S48" i="23" s="1"/>
  <c r="S280" i="16"/>
  <c r="S285" i="16" s="1"/>
  <c r="S411" i="16"/>
  <c r="S413" i="16" s="1"/>
  <c r="S422" i="16" s="1"/>
  <c r="S424" i="16" s="1"/>
  <c r="S85" i="16"/>
  <c r="H31" i="47" s="1"/>
  <c r="BN279" i="16"/>
  <c r="X21" i="47" s="1"/>
  <c r="BM237" i="16"/>
  <c r="X237" i="16"/>
  <c r="W236" i="16"/>
  <c r="BO279" i="16"/>
  <c r="Y21" i="47" s="1"/>
  <c r="T266" i="16"/>
  <c r="H18" i="47" s="1"/>
  <c r="BM255" i="16"/>
  <c r="T278" i="16"/>
  <c r="H20" i="47" s="1"/>
  <c r="T276" i="16"/>
  <c r="BM279" i="16"/>
  <c r="W21" i="47" s="1"/>
  <c r="G8" i="29"/>
  <c r="H8" i="29" s="1"/>
  <c r="T45" i="17"/>
  <c r="N22" i="40" l="1"/>
  <c r="H27" i="33"/>
  <c r="H33" i="47"/>
  <c r="S45" i="17"/>
  <c r="V238" i="16"/>
  <c r="V239" i="16" s="1"/>
  <c r="W235" i="16" s="1"/>
  <c r="S286" i="16"/>
  <c r="S287" i="16" s="1"/>
  <c r="S292" i="16"/>
  <c r="BM236" i="16"/>
  <c r="T259" i="16"/>
  <c r="X236" i="16"/>
  <c r="Y237" i="16"/>
  <c r="R20" i="17"/>
  <c r="T20" i="17" s="1"/>
  <c r="BE153" i="45"/>
  <c r="BE173" i="45" s="1"/>
  <c r="K27" i="33"/>
  <c r="N14" i="17"/>
  <c r="R21" i="17"/>
  <c r="T21" i="17" s="1"/>
  <c r="N15" i="17"/>
  <c r="H20" i="33"/>
  <c r="K20" i="33" s="1"/>
  <c r="T85" i="16"/>
  <c r="I31" i="47" s="1"/>
  <c r="T280" i="16"/>
  <c r="G38" i="37"/>
  <c r="U241" i="16"/>
  <c r="T270" i="16"/>
  <c r="BX279" i="16"/>
  <c r="V28" i="37"/>
  <c r="S434" i="16"/>
  <c r="S436" i="16"/>
  <c r="S428" i="16"/>
  <c r="S429" i="16"/>
  <c r="S435" i="16" s="1"/>
  <c r="N43" i="17"/>
  <c r="N45" i="17"/>
  <c r="N46" i="17"/>
  <c r="S44" i="17"/>
  <c r="N44" i="17"/>
  <c r="CM250" i="45"/>
  <c r="CW250" i="45" s="1"/>
  <c r="S430" i="16" l="1"/>
  <c r="W238" i="16"/>
  <c r="W239" i="16" s="1"/>
  <c r="BI158" i="45"/>
  <c r="BI178" i="45" s="1"/>
  <c r="O14" i="17"/>
  <c r="BJ158" i="45" s="1"/>
  <c r="BJ178" i="45" s="1"/>
  <c r="Y236" i="16"/>
  <c r="Z237" i="16"/>
  <c r="T260" i="16"/>
  <c r="U252" i="16"/>
  <c r="V32" i="37"/>
  <c r="H38" i="37"/>
  <c r="V241" i="16"/>
  <c r="V252" i="16" s="1"/>
  <c r="O15" i="17"/>
  <c r="BJ159" i="45" s="1"/>
  <c r="BJ179" i="45" s="1"/>
  <c r="BI159" i="45"/>
  <c r="BI179" i="45" s="1"/>
  <c r="S437" i="16"/>
  <c r="S438" i="16" s="1"/>
  <c r="T433" i="16" s="1"/>
  <c r="S296" i="16"/>
  <c r="S301" i="16" s="1"/>
  <c r="S350" i="16"/>
  <c r="S357" i="16" s="1"/>
  <c r="S359" i="16" s="1"/>
  <c r="T261" i="16" l="1"/>
  <c r="T262" i="16" s="1"/>
  <c r="U255" i="16" s="1"/>
  <c r="X235" i="16"/>
  <c r="BM239" i="16"/>
  <c r="I38" i="37"/>
  <c r="BM238" i="16"/>
  <c r="F38" i="18" s="1"/>
  <c r="W241" i="16"/>
  <c r="S440" i="16"/>
  <c r="S442" i="16" s="1"/>
  <c r="Z236" i="16"/>
  <c r="AA237" i="16"/>
  <c r="V30" i="37" l="1"/>
  <c r="U257" i="16"/>
  <c r="U258" i="16" s="1"/>
  <c r="U278" i="16"/>
  <c r="I20" i="47" s="1"/>
  <c r="U268" i="16"/>
  <c r="U266" i="16"/>
  <c r="U276" i="16"/>
  <c r="U85" i="16" s="1"/>
  <c r="J31" i="47" s="1"/>
  <c r="U269" i="16"/>
  <c r="T271" i="16"/>
  <c r="H19" i="47" s="1"/>
  <c r="H23" i="47" s="1"/>
  <c r="W252" i="16"/>
  <c r="BM241" i="16"/>
  <c r="BN237" i="16"/>
  <c r="AA236" i="16"/>
  <c r="AB237" i="16"/>
  <c r="X238" i="16"/>
  <c r="X239" i="16" s="1"/>
  <c r="Y235" i="16" s="1"/>
  <c r="Y238" i="16" s="1"/>
  <c r="BN235" i="16"/>
  <c r="W28" i="37" l="1"/>
  <c r="I18" i="47"/>
  <c r="U280" i="16"/>
  <c r="W32" i="37" s="1"/>
  <c r="U259" i="16"/>
  <c r="U260" i="16" s="1"/>
  <c r="U261" i="16" s="1"/>
  <c r="Y239" i="16"/>
  <c r="Z235" i="16" s="1"/>
  <c r="K38" i="37"/>
  <c r="Y241" i="16"/>
  <c r="Y252" i="16" s="1"/>
  <c r="AC237" i="16"/>
  <c r="AB236" i="16"/>
  <c r="BN236" i="16"/>
  <c r="BM252" i="16"/>
  <c r="J38" i="37"/>
  <c r="X241" i="16"/>
  <c r="V29" i="37"/>
  <c r="T273" i="16"/>
  <c r="U270" i="16"/>
  <c r="T411" i="16" l="1"/>
  <c r="AC236" i="16"/>
  <c r="AD237" i="16"/>
  <c r="Z238" i="16"/>
  <c r="Z239" i="16" s="1"/>
  <c r="AA235" i="16" s="1"/>
  <c r="AA238" i="16" s="1"/>
  <c r="X252" i="16"/>
  <c r="U262" i="16"/>
  <c r="V255" i="16" s="1"/>
  <c r="W30" i="37"/>
  <c r="L38" i="37" l="1"/>
  <c r="Z241" i="16"/>
  <c r="BN238" i="16"/>
  <c r="G38" i="18" s="1"/>
  <c r="AA239" i="16"/>
  <c r="M38" i="37"/>
  <c r="AA241" i="16"/>
  <c r="AA252" i="16" s="1"/>
  <c r="V278" i="16"/>
  <c r="J20" i="47" s="1"/>
  <c r="V276" i="16"/>
  <c r="V266" i="16"/>
  <c r="J18" i="47" s="1"/>
  <c r="V257" i="16"/>
  <c r="V268" i="16"/>
  <c r="AE237" i="16"/>
  <c r="AD236" i="16"/>
  <c r="T412" i="16"/>
  <c r="T413" i="16" s="1"/>
  <c r="T417" i="16" s="1"/>
  <c r="N38" i="37" l="1"/>
  <c r="BO237" i="16"/>
  <c r="AE236" i="16"/>
  <c r="AF237" i="16"/>
  <c r="V269" i="16"/>
  <c r="U271" i="16"/>
  <c r="I19" i="47" s="1"/>
  <c r="I23" i="47" s="1"/>
  <c r="V258" i="16"/>
  <c r="V259" i="16" s="1"/>
  <c r="V85" i="16"/>
  <c r="K31" i="47" s="1"/>
  <c r="V280" i="16"/>
  <c r="AB235" i="16"/>
  <c r="BN239" i="16"/>
  <c r="T418" i="16"/>
  <c r="T422" i="16" s="1"/>
  <c r="T424" i="16" s="1"/>
  <c r="Z252" i="16"/>
  <c r="BN241" i="16"/>
  <c r="X28" i="37"/>
  <c r="T419" i="16" l="1"/>
  <c r="U416" i="16" s="1"/>
  <c r="BN252" i="16"/>
  <c r="X32" i="37"/>
  <c r="V260" i="16"/>
  <c r="V261" i="16" s="1"/>
  <c r="T434" i="16"/>
  <c r="T429" i="16"/>
  <c r="T435" i="16" s="1"/>
  <c r="T428" i="16"/>
  <c r="V270" i="16"/>
  <c r="AB238" i="16"/>
  <c r="AB239" i="16" s="1"/>
  <c r="AC235" i="16" s="1"/>
  <c r="AC238" i="16" s="1"/>
  <c r="BO235" i="16"/>
  <c r="AF236" i="16"/>
  <c r="AG237" i="16"/>
  <c r="BO236" i="16"/>
  <c r="W29" i="37"/>
  <c r="U273" i="16"/>
  <c r="T430" i="16" l="1"/>
  <c r="U427" i="16" s="1"/>
  <c r="V262" i="16"/>
  <c r="W255" i="16" s="1"/>
  <c r="AG236" i="16"/>
  <c r="AH237" i="16"/>
  <c r="AC239" i="16"/>
  <c r="AD235" i="16" s="1"/>
  <c r="AC241" i="16"/>
  <c r="AC252" i="16" s="1"/>
  <c r="T436" i="16"/>
  <c r="T437" i="16" s="1"/>
  <c r="T440" i="16" s="1"/>
  <c r="T442" i="16" s="1"/>
  <c r="X30" i="37"/>
  <c r="AB241" i="16"/>
  <c r="AD238" i="16" l="1"/>
  <c r="AD239" i="16" s="1"/>
  <c r="AE235" i="16" s="1"/>
  <c r="AE238" i="16" s="1"/>
  <c r="AB252" i="16"/>
  <c r="T438" i="16"/>
  <c r="U433" i="16" s="1"/>
  <c r="AH236" i="16"/>
  <c r="AI237" i="16"/>
  <c r="T159" i="16"/>
  <c r="H24" i="47" s="1"/>
  <c r="H25" i="47" s="1"/>
  <c r="T294" i="16"/>
  <c r="T243" i="16"/>
  <c r="W278" i="16"/>
  <c r="K20" i="47" s="1"/>
  <c r="W276" i="16"/>
  <c r="W266" i="16"/>
  <c r="K18" i="47" s="1"/>
  <c r="W257" i="16"/>
  <c r="W268" i="16"/>
  <c r="H35" i="47" l="1"/>
  <c r="H36" i="47"/>
  <c r="AE239" i="16"/>
  <c r="AE241" i="16"/>
  <c r="AE252" i="16" s="1"/>
  <c r="BP237" i="16"/>
  <c r="AJ237" i="16"/>
  <c r="AI236" i="16"/>
  <c r="BP236" i="16" s="1"/>
  <c r="Y28" i="37"/>
  <c r="BM266" i="16"/>
  <c r="W18" i="47" s="1"/>
  <c r="W85" i="16"/>
  <c r="L31" i="47" s="1"/>
  <c r="W280" i="16"/>
  <c r="BM276" i="16"/>
  <c r="BM278" i="16"/>
  <c r="W20" i="47" s="1"/>
  <c r="T245" i="16"/>
  <c r="W269" i="16"/>
  <c r="BM268" i="16"/>
  <c r="V271" i="16"/>
  <c r="J19" i="47" s="1"/>
  <c r="J23" i="47" s="1"/>
  <c r="W258" i="16"/>
  <c r="BM257" i="16"/>
  <c r="V16" i="37"/>
  <c r="T354" i="16"/>
  <c r="T355" i="16" s="1"/>
  <c r="U353" i="16" s="1"/>
  <c r="T161" i="16"/>
  <c r="F33" i="37"/>
  <c r="F34" i="37" s="1"/>
  <c r="F40" i="37" s="1"/>
  <c r="V18" i="37" s="1"/>
  <c r="AD241" i="16"/>
  <c r="BO238" i="16"/>
  <c r="H38" i="18" s="1"/>
  <c r="V19" i="37" l="1"/>
  <c r="W270" i="16"/>
  <c r="BM270" i="16" s="1"/>
  <c r="BM269" i="16"/>
  <c r="Y32" i="37"/>
  <c r="BM280" i="16"/>
  <c r="AJ236" i="16"/>
  <c r="AK237" i="16"/>
  <c r="T169" i="16"/>
  <c r="AD252" i="16"/>
  <c r="BO241" i="16"/>
  <c r="BM258" i="16"/>
  <c r="W259" i="16"/>
  <c r="X29" i="37"/>
  <c r="V273" i="16"/>
  <c r="V52" i="37"/>
  <c r="T246" i="16"/>
  <c r="T247" i="16" s="1"/>
  <c r="T282" i="16"/>
  <c r="S32" i="18"/>
  <c r="S28" i="18"/>
  <c r="BO239" i="16"/>
  <c r="AF235" i="16"/>
  <c r="BM259" i="16" l="1"/>
  <c r="F52" i="37"/>
  <c r="BO252" i="16"/>
  <c r="BP235" i="16"/>
  <c r="AF238" i="16"/>
  <c r="AF239" i="16" s="1"/>
  <c r="AG235" i="16" s="1"/>
  <c r="W260" i="16"/>
  <c r="W261" i="16" s="1"/>
  <c r="T283" i="16"/>
  <c r="T170" i="16"/>
  <c r="T171" i="16" s="1"/>
  <c r="V53" i="37"/>
  <c r="AK236" i="16"/>
  <c r="AL237" i="16"/>
  <c r="AG238" i="16" l="1"/>
  <c r="AG241" i="16" s="1"/>
  <c r="AG252" i="16" s="1"/>
  <c r="AM237" i="16"/>
  <c r="AL236" i="16"/>
  <c r="V31" i="37"/>
  <c r="T285" i="16"/>
  <c r="AF241" i="16"/>
  <c r="BM261" i="16"/>
  <c r="Y30" i="37"/>
  <c r="W262" i="16"/>
  <c r="AG239" i="16" l="1"/>
  <c r="AH235" i="16" s="1"/>
  <c r="AH238" i="16" s="1"/>
  <c r="AH239" i="16" s="1"/>
  <c r="AI235" i="16" s="1"/>
  <c r="BM262" i="16"/>
  <c r="X255" i="16"/>
  <c r="T292" i="16"/>
  <c r="T286" i="16"/>
  <c r="T287" i="16" s="1"/>
  <c r="BQ237" i="16"/>
  <c r="AM236" i="16"/>
  <c r="BQ236" i="16" s="1"/>
  <c r="AN237" i="16"/>
  <c r="AF252" i="16"/>
  <c r="AH241" i="16" l="1"/>
  <c r="AH252" i="16" s="1"/>
  <c r="AN236" i="16"/>
  <c r="AO237" i="16"/>
  <c r="T296" i="16"/>
  <c r="I33" i="47" s="1"/>
  <c r="T350" i="16"/>
  <c r="T357" i="16" s="1"/>
  <c r="X276" i="16"/>
  <c r="BN255" i="16"/>
  <c r="X266" i="16"/>
  <c r="L18" i="47" s="1"/>
  <c r="X278" i="16"/>
  <c r="L20" i="47" s="1"/>
  <c r="X257" i="16"/>
  <c r="X268" i="16"/>
  <c r="AI238" i="16"/>
  <c r="X85" i="16" l="1"/>
  <c r="M31" i="47" s="1"/>
  <c r="X280" i="16"/>
  <c r="Z28" i="37"/>
  <c r="T359" i="16"/>
  <c r="T364" i="16"/>
  <c r="T365" i="16" s="1"/>
  <c r="U361" i="16" s="1"/>
  <c r="U363" i="16" s="1"/>
  <c r="U411" i="16" s="1"/>
  <c r="AI241" i="16"/>
  <c r="BP238" i="16"/>
  <c r="I38" i="18" s="1"/>
  <c r="X258" i="16"/>
  <c r="T301" i="16"/>
  <c r="X269" i="16"/>
  <c r="W271" i="16"/>
  <c r="K19" i="47" s="1"/>
  <c r="K23" i="47" s="1"/>
  <c r="AO236" i="16"/>
  <c r="AP237" i="16"/>
  <c r="AI239" i="16"/>
  <c r="AP236" i="16" l="1"/>
  <c r="AQ237" i="16"/>
  <c r="T300" i="16"/>
  <c r="X259" i="16"/>
  <c r="Y29" i="37"/>
  <c r="W273" i="16"/>
  <c r="BM271" i="16"/>
  <c r="W19" i="47" s="1"/>
  <c r="W23" i="47" s="1"/>
  <c r="X270" i="16"/>
  <c r="AI252" i="16"/>
  <c r="BP252" i="16" s="1"/>
  <c r="BP241" i="16"/>
  <c r="Z32" i="37"/>
  <c r="AJ235" i="16"/>
  <c r="BP239" i="16"/>
  <c r="U412" i="16"/>
  <c r="U413" i="16" s="1"/>
  <c r="U417" i="16" s="1"/>
  <c r="X260" i="16" l="1"/>
  <c r="X261" i="16" s="1"/>
  <c r="U418" i="16"/>
  <c r="U422" i="16" s="1"/>
  <c r="U424" i="16" s="1"/>
  <c r="S29" i="18"/>
  <c r="BR237" i="16"/>
  <c r="AQ236" i="16"/>
  <c r="AR237" i="16"/>
  <c r="BQ235" i="16"/>
  <c r="AJ238" i="16"/>
  <c r="BM273" i="16"/>
  <c r="U429" i="16" l="1"/>
  <c r="U435" i="16" s="1"/>
  <c r="U434" i="16"/>
  <c r="U428" i="16"/>
  <c r="U419" i="16"/>
  <c r="V416" i="16" s="1"/>
  <c r="AJ239" i="16"/>
  <c r="AK235" i="16" s="1"/>
  <c r="AJ241" i="16"/>
  <c r="AR236" i="16"/>
  <c r="AS237" i="16"/>
  <c r="X262" i="16"/>
  <c r="Y255" i="16" s="1"/>
  <c r="BR236" i="16"/>
  <c r="Z30" i="37"/>
  <c r="U430" i="16" l="1"/>
  <c r="V427" i="16" s="1"/>
  <c r="AJ252" i="16"/>
  <c r="AK238" i="16"/>
  <c r="AK239" i="16" s="1"/>
  <c r="AL235" i="16" s="1"/>
  <c r="AL238" i="16" s="1"/>
  <c r="Y276" i="16"/>
  <c r="Y278" i="16"/>
  <c r="M20" i="47" s="1"/>
  <c r="Y266" i="16"/>
  <c r="M18" i="47" s="1"/>
  <c r="Y257" i="16"/>
  <c r="Y268" i="16"/>
  <c r="AT237" i="16"/>
  <c r="AS236" i="16"/>
  <c r="U436" i="16"/>
  <c r="AT236" i="16" l="1"/>
  <c r="AU237" i="16"/>
  <c r="X271" i="16"/>
  <c r="L19" i="47" s="1"/>
  <c r="L23" i="47" s="1"/>
  <c r="Y269" i="16"/>
  <c r="AL239" i="16"/>
  <c r="AM235" i="16" s="1"/>
  <c r="AL241" i="16"/>
  <c r="AL252" i="16" s="1"/>
  <c r="Y258" i="16"/>
  <c r="Y259" i="16" s="1"/>
  <c r="U437" i="16"/>
  <c r="U440" i="16" s="1"/>
  <c r="U442" i="16" s="1"/>
  <c r="AK241" i="16"/>
  <c r="Y85" i="16"/>
  <c r="N31" i="47" s="1"/>
  <c r="Y280" i="16"/>
  <c r="AA28" i="37"/>
  <c r="U159" i="16" l="1"/>
  <c r="I24" i="47" s="1"/>
  <c r="I25" i="47" s="1"/>
  <c r="U243" i="16"/>
  <c r="U294" i="16"/>
  <c r="AA32" i="37"/>
  <c r="Y260" i="16"/>
  <c r="Y270" i="16"/>
  <c r="Z29" i="37"/>
  <c r="X273" i="16"/>
  <c r="BS237" i="16"/>
  <c r="AU236" i="16"/>
  <c r="BS236" i="16" s="1"/>
  <c r="AV237" i="16"/>
  <c r="AK252" i="16"/>
  <c r="AM238" i="16"/>
  <c r="AM239" i="16" s="1"/>
  <c r="U438" i="16"/>
  <c r="V433" i="16" s="1"/>
  <c r="I36" i="47" l="1"/>
  <c r="I35" i="47"/>
  <c r="U245" i="16"/>
  <c r="AN235" i="16"/>
  <c r="BQ239" i="16"/>
  <c r="AM241" i="16"/>
  <c r="BQ238" i="16"/>
  <c r="J38" i="18" s="1"/>
  <c r="K38" i="18" s="1"/>
  <c r="W16" i="37"/>
  <c r="U161" i="16"/>
  <c r="U354" i="16"/>
  <c r="U355" i="16" s="1"/>
  <c r="V353" i="16" s="1"/>
  <c r="G33" i="37"/>
  <c r="G34" i="37" s="1"/>
  <c r="G40" i="37" s="1"/>
  <c r="W18" i="37" s="1"/>
  <c r="Y261" i="16"/>
  <c r="Y262" i="16" s="1"/>
  <c r="Z255" i="16" s="1"/>
  <c r="AW237" i="16"/>
  <c r="AV236" i="16"/>
  <c r="W19" i="37" l="1"/>
  <c r="Z278" i="16"/>
  <c r="N20" i="47" s="1"/>
  <c r="Z266" i="16"/>
  <c r="N18" i="47" s="1"/>
  <c r="Z276" i="16"/>
  <c r="Z257" i="16"/>
  <c r="Z268" i="16"/>
  <c r="BR235" i="16"/>
  <c r="AN238" i="16"/>
  <c r="AN239" i="16" s="1"/>
  <c r="AO235" i="16" s="1"/>
  <c r="AO238" i="16" s="1"/>
  <c r="AA30" i="37"/>
  <c r="AX237" i="16"/>
  <c r="AW236" i="16"/>
  <c r="W52" i="37"/>
  <c r="U246" i="16"/>
  <c r="U247" i="16" s="1"/>
  <c r="U282" i="16"/>
  <c r="U169" i="16"/>
  <c r="AM252" i="16"/>
  <c r="BQ241" i="16"/>
  <c r="AO239" i="16" l="1"/>
  <c r="AP235" i="16" s="1"/>
  <c r="AO241" i="16"/>
  <c r="AO252" i="16" s="1"/>
  <c r="AY237" i="16"/>
  <c r="AX236" i="16"/>
  <c r="Z269" i="16"/>
  <c r="Y271" i="16"/>
  <c r="M19" i="47" s="1"/>
  <c r="M23" i="47" s="1"/>
  <c r="Z258" i="16"/>
  <c r="BQ252" i="16"/>
  <c r="U170" i="16"/>
  <c r="U171" i="16" s="1"/>
  <c r="AN241" i="16"/>
  <c r="Z85" i="16"/>
  <c r="O31" i="47" s="1"/>
  <c r="Z280" i="16"/>
  <c r="AB28" i="37"/>
  <c r="U283" i="16"/>
  <c r="G52" i="37"/>
  <c r="W57" i="37"/>
  <c r="W53" i="37"/>
  <c r="AN252" i="16" l="1"/>
  <c r="W31" i="37"/>
  <c r="U285" i="16"/>
  <c r="Z259" i="16"/>
  <c r="Z270" i="16"/>
  <c r="BT237" i="16"/>
  <c r="AY236" i="16"/>
  <c r="AZ237" i="16"/>
  <c r="AB32" i="37"/>
  <c r="AA29" i="37"/>
  <c r="Y273" i="16"/>
  <c r="AP238" i="16"/>
  <c r="AP239" i="16" s="1"/>
  <c r="AQ235" i="16" s="1"/>
  <c r="AQ238" i="16" s="1"/>
  <c r="AQ239" i="16" l="1"/>
  <c r="AQ241" i="16"/>
  <c r="AQ252" i="16" s="1"/>
  <c r="U292" i="16"/>
  <c r="U286" i="16"/>
  <c r="AP241" i="16"/>
  <c r="BR238" i="16"/>
  <c r="BA237" i="16"/>
  <c r="AZ236" i="16"/>
  <c r="BT236" i="16"/>
  <c r="Z260" i="16"/>
  <c r="Z261" i="16" s="1"/>
  <c r="BB237" i="16" l="1"/>
  <c r="BA236" i="16"/>
  <c r="Z262" i="16"/>
  <c r="AA255" i="16" s="1"/>
  <c r="AB30" i="37"/>
  <c r="U296" i="16"/>
  <c r="J33" i="47" s="1"/>
  <c r="U350" i="16"/>
  <c r="U357" i="16" s="1"/>
  <c r="U287" i="16"/>
  <c r="AP252" i="16"/>
  <c r="BR241" i="16"/>
  <c r="AR235" i="16"/>
  <c r="BR239" i="16"/>
  <c r="BS235" i="16" l="1"/>
  <c r="AR238" i="16"/>
  <c r="U301" i="16"/>
  <c r="BR252" i="16"/>
  <c r="AA266" i="16"/>
  <c r="O18" i="47" s="1"/>
  <c r="AA278" i="16"/>
  <c r="O20" i="47" s="1"/>
  <c r="AA276" i="16"/>
  <c r="AA257" i="16"/>
  <c r="AA258" i="16" s="1"/>
  <c r="AA268" i="16"/>
  <c r="BC237" i="16"/>
  <c r="BB236" i="16"/>
  <c r="U364" i="16"/>
  <c r="U365" i="16" s="1"/>
  <c r="V361" i="16" s="1"/>
  <c r="V363" i="16" s="1"/>
  <c r="V411" i="16" s="1"/>
  <c r="U359" i="16"/>
  <c r="BU237" i="16" l="1"/>
  <c r="BC236" i="16"/>
  <c r="BD237" i="16"/>
  <c r="BN278" i="16"/>
  <c r="X20" i="47" s="1"/>
  <c r="AC28" i="37"/>
  <c r="AD28" i="37" s="1"/>
  <c r="BN266" i="16"/>
  <c r="X18" i="47" s="1"/>
  <c r="AA269" i="16"/>
  <c r="Z271" i="16"/>
  <c r="N19" i="47" s="1"/>
  <c r="N23" i="47" s="1"/>
  <c r="BN268" i="16"/>
  <c r="AA259" i="16"/>
  <c r="AA260" i="16" s="1"/>
  <c r="BN260" i="16" s="1"/>
  <c r="U300" i="16"/>
  <c r="V412" i="16"/>
  <c r="V413" i="16" s="1"/>
  <c r="V417" i="16" s="1"/>
  <c r="V418" i="16" s="1"/>
  <c r="V422" i="16" s="1"/>
  <c r="V424" i="16" s="1"/>
  <c r="AR239" i="16"/>
  <c r="AS235" i="16" s="1"/>
  <c r="AR241" i="16"/>
  <c r="BN257" i="16"/>
  <c r="AA85" i="16"/>
  <c r="P31" i="47" s="1"/>
  <c r="AA280" i="16"/>
  <c r="BN276" i="16"/>
  <c r="V434" i="16" l="1"/>
  <c r="V429" i="16"/>
  <c r="V435" i="16" s="1"/>
  <c r="V428" i="16"/>
  <c r="AR252" i="16"/>
  <c r="AA261" i="16"/>
  <c r="AB29" i="37"/>
  <c r="Z273" i="16"/>
  <c r="T32" i="18"/>
  <c r="AS238" i="16"/>
  <c r="AS239" i="16" s="1"/>
  <c r="AT235" i="16" s="1"/>
  <c r="AT238" i="16" s="1"/>
  <c r="AC32" i="37"/>
  <c r="AD32" i="37" s="1"/>
  <c r="BN280" i="16"/>
  <c r="BD236" i="16"/>
  <c r="BE237" i="16"/>
  <c r="V419" i="16"/>
  <c r="W416" i="16" s="1"/>
  <c r="AA270" i="16"/>
  <c r="BN270" i="16" s="1"/>
  <c r="BN269" i="16"/>
  <c r="BU236" i="16"/>
  <c r="T28" i="18"/>
  <c r="V430" i="16" l="1"/>
  <c r="W427" i="16" s="1"/>
  <c r="AT239" i="16"/>
  <c r="AU235" i="16" s="1"/>
  <c r="AT241" i="16"/>
  <c r="AT252" i="16" s="1"/>
  <c r="AA262" i="16"/>
  <c r="BN261" i="16"/>
  <c r="AC30" i="37"/>
  <c r="AD30" i="37" s="1"/>
  <c r="AS241" i="16"/>
  <c r="BE236" i="16"/>
  <c r="BF237" i="16"/>
  <c r="V436" i="16"/>
  <c r="AS252" i="16" l="1"/>
  <c r="V437" i="16"/>
  <c r="V440" i="16" s="1"/>
  <c r="V442" i="16" s="1"/>
  <c r="BF236" i="16"/>
  <c r="BV236" i="16" s="1"/>
  <c r="BG237" i="16"/>
  <c r="BG236" i="16" s="1"/>
  <c r="BV237" i="16"/>
  <c r="BN262" i="16"/>
  <c r="AB255" i="16"/>
  <c r="AU238" i="16"/>
  <c r="AU239" i="16" s="1"/>
  <c r="V159" i="16" l="1"/>
  <c r="J24" i="47" s="1"/>
  <c r="J25" i="47" s="1"/>
  <c r="V294" i="16"/>
  <c r="V243" i="16"/>
  <c r="BS239" i="16"/>
  <c r="AV235" i="16"/>
  <c r="AU241" i="16"/>
  <c r="BS238" i="16"/>
  <c r="AB278" i="16"/>
  <c r="P20" i="47" s="1"/>
  <c r="AB266" i="16"/>
  <c r="P18" i="47" s="1"/>
  <c r="BO255" i="16"/>
  <c r="AB276" i="16"/>
  <c r="AB257" i="16"/>
  <c r="AB268" i="16"/>
  <c r="V438" i="16"/>
  <c r="W433" i="16" s="1"/>
  <c r="J36" i="47" l="1"/>
  <c r="J35" i="47"/>
  <c r="AB258" i="16"/>
  <c r="AB259" i="16" s="1"/>
  <c r="AB260" i="16" s="1"/>
  <c r="AB261" i="16" s="1"/>
  <c r="AB262" i="16" s="1"/>
  <c r="AC255" i="16" s="1"/>
  <c r="AV238" i="16"/>
  <c r="BT235" i="16"/>
  <c r="AB269" i="16"/>
  <c r="AA271" i="16"/>
  <c r="O19" i="47" s="1"/>
  <c r="O23" i="47" s="1"/>
  <c r="V245" i="16"/>
  <c r="AU252" i="16"/>
  <c r="BS252" i="16" s="1"/>
  <c r="BS241" i="16"/>
  <c r="AB85" i="16"/>
  <c r="Q31" i="47" s="1"/>
  <c r="AB280" i="16"/>
  <c r="H33" i="37"/>
  <c r="H34" i="37" s="1"/>
  <c r="H40" i="37" s="1"/>
  <c r="X18" i="37" s="1"/>
  <c r="V161" i="16"/>
  <c r="X16" i="37"/>
  <c r="V354" i="16"/>
  <c r="V355" i="16" s="1"/>
  <c r="W353" i="16" s="1"/>
  <c r="AC278" i="16" l="1"/>
  <c r="Q20" i="47" s="1"/>
  <c r="AC276" i="16"/>
  <c r="AC266" i="16"/>
  <c r="Q18" i="47" s="1"/>
  <c r="AC257" i="16"/>
  <c r="AC268" i="16"/>
  <c r="V169" i="16"/>
  <c r="AB270" i="16"/>
  <c r="AV239" i="16"/>
  <c r="AW235" i="16" s="1"/>
  <c r="AV241" i="16"/>
  <c r="X52" i="37"/>
  <c r="V246" i="16"/>
  <c r="V247" i="16" s="1"/>
  <c r="V282" i="16"/>
  <c r="X19" i="37"/>
  <c r="X53" i="37" s="1"/>
  <c r="AC29" i="37"/>
  <c r="AD29" i="37" s="1"/>
  <c r="AA273" i="16"/>
  <c r="BN273" i="16" s="1"/>
  <c r="BN271" i="16"/>
  <c r="X19" i="47" s="1"/>
  <c r="X23" i="47" s="1"/>
  <c r="AC269" i="16" l="1"/>
  <c r="AB271" i="16"/>
  <c r="P19" i="47" s="1"/>
  <c r="P23" i="47" s="1"/>
  <c r="V283" i="16"/>
  <c r="H52" i="37"/>
  <c r="AC258" i="16"/>
  <c r="AV252" i="16"/>
  <c r="AC85" i="16"/>
  <c r="R31" i="47" s="1"/>
  <c r="AC280" i="16"/>
  <c r="T29" i="18"/>
  <c r="AW238" i="16"/>
  <c r="AW239" i="16" s="1"/>
  <c r="AX235" i="16" s="1"/>
  <c r="V170" i="16"/>
  <c r="AC259" i="16" l="1"/>
  <c r="AC260" i="16" s="1"/>
  <c r="AB273" i="16"/>
  <c r="V171" i="16"/>
  <c r="AX238" i="16"/>
  <c r="AX241" i="16" s="1"/>
  <c r="AX252" i="16" s="1"/>
  <c r="X31" i="37"/>
  <c r="V285" i="16"/>
  <c r="AC270" i="16"/>
  <c r="AW241" i="16"/>
  <c r="AC261" i="16" l="1"/>
  <c r="AC262" i="16" s="1"/>
  <c r="AD255" i="16" s="1"/>
  <c r="V292" i="16"/>
  <c r="V286" i="16"/>
  <c r="V287" i="16" s="1"/>
  <c r="AW252" i="16"/>
  <c r="AX239" i="16"/>
  <c r="AY235" i="16" s="1"/>
  <c r="AY238" i="16" s="1"/>
  <c r="AD268" i="16" l="1"/>
  <c r="AD278" i="16"/>
  <c r="R20" i="47" s="1"/>
  <c r="AD257" i="16"/>
  <c r="AD258" i="16" s="1"/>
  <c r="AD259" i="16" s="1"/>
  <c r="AD276" i="16"/>
  <c r="AD280" i="16" s="1"/>
  <c r="AD266" i="16"/>
  <c r="R18" i="47" s="1"/>
  <c r="AD269" i="16"/>
  <c r="AC271" i="16"/>
  <c r="Q19" i="47" s="1"/>
  <c r="Q23" i="47" s="1"/>
  <c r="AY239" i="16"/>
  <c r="AY241" i="16"/>
  <c r="BT238" i="16"/>
  <c r="V296" i="16"/>
  <c r="K33" i="47" s="1"/>
  <c r="V350" i="16"/>
  <c r="V357" i="16" s="1"/>
  <c r="W33" i="47" l="1"/>
  <c r="AD85" i="16"/>
  <c r="S31" i="47" s="1"/>
  <c r="AD260" i="16"/>
  <c r="AD261" i="16" s="1"/>
  <c r="AZ235" i="16"/>
  <c r="BT239" i="16"/>
  <c r="AC273" i="16"/>
  <c r="AD270" i="16"/>
  <c r="V364" i="16"/>
  <c r="V365" i="16" s="1"/>
  <c r="W361" i="16" s="1"/>
  <c r="W363" i="16" s="1"/>
  <c r="W411" i="16" s="1"/>
  <c r="W412" i="16" s="1"/>
  <c r="W413" i="16" s="1"/>
  <c r="W417" i="16" s="1"/>
  <c r="V359" i="16"/>
  <c r="V301" i="16"/>
  <c r="AY252" i="16"/>
  <c r="BT252" i="16" s="1"/>
  <c r="BT241" i="16"/>
  <c r="AD262" i="16" l="1"/>
  <c r="AE255" i="16" s="1"/>
  <c r="W418" i="16"/>
  <c r="W422" i="16" s="1"/>
  <c r="W424" i="16" s="1"/>
  <c r="V300" i="16"/>
  <c r="AZ238" i="16"/>
  <c r="AZ239" i="16" s="1"/>
  <c r="BA235" i="16" s="1"/>
  <c r="BA238" i="16" s="1"/>
  <c r="BU235" i="16"/>
  <c r="AE266" i="16" l="1"/>
  <c r="S18" i="47" s="1"/>
  <c r="AE268" i="16"/>
  <c r="AE276" i="16"/>
  <c r="AE278" i="16"/>
  <c r="S20" i="47" s="1"/>
  <c r="AE257" i="16"/>
  <c r="W419" i="16"/>
  <c r="X416" i="16" s="1"/>
  <c r="W429" i="16"/>
  <c r="W435" i="16" s="1"/>
  <c r="W434" i="16"/>
  <c r="W428" i="16"/>
  <c r="BA239" i="16"/>
  <c r="BB235" i="16" s="1"/>
  <c r="BA241" i="16"/>
  <c r="BA252" i="16" s="1"/>
  <c r="AZ241" i="16"/>
  <c r="W430" i="16" l="1"/>
  <c r="AE258" i="16"/>
  <c r="BO257" i="16"/>
  <c r="BO276" i="16"/>
  <c r="AE280" i="16"/>
  <c r="AE85" i="16"/>
  <c r="BO268" i="16"/>
  <c r="AE269" i="16"/>
  <c r="AD271" i="16"/>
  <c r="R19" i="47" s="1"/>
  <c r="R23" i="47" s="1"/>
  <c r="BO278" i="16"/>
  <c r="Y20" i="47" s="1"/>
  <c r="BO266" i="16"/>
  <c r="Y18" i="47" s="1"/>
  <c r="AZ252" i="16"/>
  <c r="W436" i="16"/>
  <c r="W437" i="16" s="1"/>
  <c r="W438" i="16" s="1"/>
  <c r="X433" i="16" s="1"/>
  <c r="BB238" i="16"/>
  <c r="BB239" i="16" s="1"/>
  <c r="BC235" i="16" s="1"/>
  <c r="BC238" i="16" s="1"/>
  <c r="AD273" i="16" l="1"/>
  <c r="BO269" i="16"/>
  <c r="AE270" i="16"/>
  <c r="BO270" i="16" s="1"/>
  <c r="U28" i="18"/>
  <c r="U32" i="18"/>
  <c r="AE259" i="16"/>
  <c r="AE260" i="16" s="1"/>
  <c r="BO260" i="16" s="1"/>
  <c r="BC239" i="16"/>
  <c r="BC241" i="16"/>
  <c r="BC252" i="16" s="1"/>
  <c r="BB241" i="16"/>
  <c r="BU238" i="16"/>
  <c r="W440" i="16"/>
  <c r="W442" i="16" s="1"/>
  <c r="BO259" i="16" l="1"/>
  <c r="AE261" i="16"/>
  <c r="AE262" i="16" s="1"/>
  <c r="BB252" i="16"/>
  <c r="BU252" i="16" s="1"/>
  <c r="BU241" i="16"/>
  <c r="W243" i="16"/>
  <c r="W294" i="16"/>
  <c r="BM294" i="16" s="1"/>
  <c r="W159" i="16"/>
  <c r="K24" i="47" s="1"/>
  <c r="K25" i="47" s="1"/>
  <c r="BD235" i="16"/>
  <c r="BU239" i="16"/>
  <c r="K36" i="47" l="1"/>
  <c r="K35" i="47"/>
  <c r="BO262" i="16"/>
  <c r="AF255" i="16"/>
  <c r="BD238" i="16"/>
  <c r="BD239" i="16" s="1"/>
  <c r="BE235" i="16" s="1"/>
  <c r="BE238" i="16" s="1"/>
  <c r="BV235" i="16"/>
  <c r="W245" i="16"/>
  <c r="BM243" i="16"/>
  <c r="BM159" i="16"/>
  <c r="W24" i="47" s="1"/>
  <c r="W25" i="47" s="1"/>
  <c r="I33" i="37"/>
  <c r="I34" i="37" s="1"/>
  <c r="I40" i="37" s="1"/>
  <c r="Y18" i="37" s="1"/>
  <c r="W354" i="16"/>
  <c r="W355" i="16" s="1"/>
  <c r="X353" i="16" s="1"/>
  <c r="W161" i="16"/>
  <c r="Y16" i="37"/>
  <c r="W36" i="47" l="1"/>
  <c r="W35" i="47"/>
  <c r="Y19" i="37"/>
  <c r="AF268" i="16"/>
  <c r="AF276" i="16"/>
  <c r="AF266" i="16"/>
  <c r="AF278" i="16"/>
  <c r="BP255" i="16"/>
  <c r="AF257" i="16"/>
  <c r="Y52" i="37"/>
  <c r="W246" i="16"/>
  <c r="W247" i="16" s="1"/>
  <c r="W282" i="16"/>
  <c r="BM245" i="16"/>
  <c r="S52" i="18" s="1"/>
  <c r="W169" i="16"/>
  <c r="BM161" i="16"/>
  <c r="BE239" i="16"/>
  <c r="BF235" i="16" s="1"/>
  <c r="BE241" i="16"/>
  <c r="BE252" i="16" s="1"/>
  <c r="S16" i="18"/>
  <c r="F33" i="18"/>
  <c r="F34" i="18" s="1"/>
  <c r="F40" i="18" s="1"/>
  <c r="S18" i="18" s="1"/>
  <c r="BD241" i="16"/>
  <c r="I52" i="37" l="1"/>
  <c r="Y53" i="37"/>
  <c r="AF258" i="16"/>
  <c r="AF259" i="16" s="1"/>
  <c r="S19" i="18"/>
  <c r="S53" i="18" s="1"/>
  <c r="AF280" i="16"/>
  <c r="AF85" i="16"/>
  <c r="AE271" i="16"/>
  <c r="S19" i="47" s="1"/>
  <c r="S23" i="47" s="1"/>
  <c r="AF269" i="16"/>
  <c r="W170" i="16"/>
  <c r="BM170" i="16" s="1"/>
  <c r="BM169" i="16"/>
  <c r="W171" i="16"/>
  <c r="BF238" i="16"/>
  <c r="W283" i="16"/>
  <c r="BM282" i="16"/>
  <c r="BD252" i="16"/>
  <c r="F52" i="18" l="1"/>
  <c r="AF270" i="16"/>
  <c r="AE273" i="16"/>
  <c r="BO273" i="16" s="1"/>
  <c r="BO271" i="16"/>
  <c r="Y19" i="47" s="1"/>
  <c r="Y23" i="47" s="1"/>
  <c r="AF260" i="16"/>
  <c r="AF261" i="16" s="1"/>
  <c r="AF262" i="16" s="1"/>
  <c r="AG255" i="16" s="1"/>
  <c r="BF241" i="16"/>
  <c r="Y31" i="37"/>
  <c r="W285" i="16"/>
  <c r="BM283" i="16"/>
  <c r="S31" i="18" s="1"/>
  <c r="BF239" i="16"/>
  <c r="BG235" i="16" s="1"/>
  <c r="BG238" i="16" s="1"/>
  <c r="U29" i="18" l="1"/>
  <c r="AG278" i="16"/>
  <c r="AG266" i="16"/>
  <c r="AG257" i="16"/>
  <c r="AG276" i="16"/>
  <c r="AG268" i="16"/>
  <c r="BG239" i="16"/>
  <c r="BV239" i="16" s="1"/>
  <c r="BI238" i="16"/>
  <c r="BG241" i="16"/>
  <c r="BV238" i="16"/>
  <c r="BX238" i="16" s="1"/>
  <c r="W292" i="16"/>
  <c r="BM285" i="16"/>
  <c r="W286" i="16"/>
  <c r="W287" i="16" s="1"/>
  <c r="BF252" i="16"/>
  <c r="BV241" i="16"/>
  <c r="BX241" i="16" s="1"/>
  <c r="AG269" i="16" l="1"/>
  <c r="AF271" i="16"/>
  <c r="AF273" i="16" s="1"/>
  <c r="AG85" i="16"/>
  <c r="AG280" i="16"/>
  <c r="AG258" i="16"/>
  <c r="BV252" i="16"/>
  <c r="BX252" i="16" s="1"/>
  <c r="BK252" i="16" s="1"/>
  <c r="W296" i="16"/>
  <c r="L33" i="47" s="1"/>
  <c r="W350" i="16"/>
  <c r="W357" i="16" s="1"/>
  <c r="BM292" i="16"/>
  <c r="BG252" i="16"/>
  <c r="BI252" i="16" s="1"/>
  <c r="BI241" i="16"/>
  <c r="AG259" i="16" l="1"/>
  <c r="AG260" i="16" s="1"/>
  <c r="AG261" i="16" s="1"/>
  <c r="AG270" i="16"/>
  <c r="W364" i="16"/>
  <c r="W365" i="16" s="1"/>
  <c r="X361" i="16" s="1"/>
  <c r="X363" i="16" s="1"/>
  <c r="X411" i="16" s="1"/>
  <c r="W359" i="16"/>
  <c r="W301" i="16"/>
  <c r="BM296" i="16"/>
  <c r="AG262" i="16" l="1"/>
  <c r="AH255" i="16" s="1"/>
  <c r="W300" i="16"/>
  <c r="BM301" i="16"/>
  <c r="X412" i="16"/>
  <c r="X413" i="16" s="1"/>
  <c r="X417" i="16" s="1"/>
  <c r="AH266" i="16" l="1"/>
  <c r="AH257" i="16"/>
  <c r="AH258" i="16" s="1"/>
  <c r="AH259" i="16" s="1"/>
  <c r="AH276" i="16"/>
  <c r="AH278" i="16"/>
  <c r="AH268" i="16"/>
  <c r="X418" i="16"/>
  <c r="X422" i="16" s="1"/>
  <c r="X424" i="16" s="1"/>
  <c r="AH280" i="16" l="1"/>
  <c r="AH85" i="16"/>
  <c r="AG271" i="16"/>
  <c r="AG273" i="16" s="1"/>
  <c r="AH269" i="16"/>
  <c r="AH260" i="16"/>
  <c r="AH261" i="16" s="1"/>
  <c r="AH262" i="16" s="1"/>
  <c r="AI255" i="16" s="1"/>
  <c r="X419" i="16"/>
  <c r="Y416" i="16" s="1"/>
  <c r="X429" i="16"/>
  <c r="X435" i="16" s="1"/>
  <c r="X434" i="16"/>
  <c r="X428" i="16"/>
  <c r="X430" i="16" l="1"/>
  <c r="Y427" i="16" s="1"/>
  <c r="AI257" i="16"/>
  <c r="AI258" i="16" s="1"/>
  <c r="AI278" i="16"/>
  <c r="AI266" i="16"/>
  <c r="AI276" i="16"/>
  <c r="AI268" i="16"/>
  <c r="AH270" i="16"/>
  <c r="X436" i="16"/>
  <c r="BP258" i="16" l="1"/>
  <c r="AI259" i="16"/>
  <c r="BP259" i="16" s="1"/>
  <c r="AI85" i="16"/>
  <c r="BP276" i="16"/>
  <c r="AI280" i="16"/>
  <c r="BP268" i="16"/>
  <c r="AI269" i="16"/>
  <c r="AH271" i="16"/>
  <c r="AH273" i="16" s="1"/>
  <c r="BP257" i="16"/>
  <c r="X437" i="16"/>
  <c r="X440" i="16" s="1"/>
  <c r="X442" i="16" s="1"/>
  <c r="AI260" i="16" l="1"/>
  <c r="BP260" i="16" s="1"/>
  <c r="BP269" i="16"/>
  <c r="AI270" i="16"/>
  <c r="BP270" i="16" s="1"/>
  <c r="AI261" i="16"/>
  <c r="AI262" i="16" s="1"/>
  <c r="X159" i="16"/>
  <c r="L24" i="47" s="1"/>
  <c r="L25" i="47" s="1"/>
  <c r="X243" i="16"/>
  <c r="X294" i="16"/>
  <c r="X438" i="16"/>
  <c r="Y433" i="16" s="1"/>
  <c r="L36" i="47" l="1"/>
  <c r="L35" i="47"/>
  <c r="AJ255" i="16"/>
  <c r="BP262" i="16"/>
  <c r="X245" i="16"/>
  <c r="Z16" i="37"/>
  <c r="X161" i="16"/>
  <c r="J33" i="37"/>
  <c r="X354" i="16"/>
  <c r="X355" i="16" s="1"/>
  <c r="Y353" i="16" s="1"/>
  <c r="AJ278" i="16" l="1"/>
  <c r="AJ257" i="16"/>
  <c r="AJ258" i="16" s="1"/>
  <c r="AJ276" i="16"/>
  <c r="AJ268" i="16"/>
  <c r="AJ266" i="16"/>
  <c r="BQ255" i="16"/>
  <c r="J34" i="37"/>
  <c r="X169" i="16"/>
  <c r="Z52" i="37"/>
  <c r="X282" i="16"/>
  <c r="X246" i="16"/>
  <c r="X247" i="16" s="1"/>
  <c r="AJ259" i="16" l="1"/>
  <c r="AI271" i="16"/>
  <c r="AJ269" i="16"/>
  <c r="AJ85" i="16"/>
  <c r="AJ280" i="16"/>
  <c r="AJ260" i="16"/>
  <c r="X170" i="16"/>
  <c r="X171" i="16" s="1"/>
  <c r="X283" i="16"/>
  <c r="J40" i="37"/>
  <c r="AJ270" i="16" l="1"/>
  <c r="AJ261" i="16"/>
  <c r="AJ262" i="16" s="1"/>
  <c r="AK255" i="16" s="1"/>
  <c r="AI273" i="16"/>
  <c r="BP271" i="16"/>
  <c r="Z19" i="47" s="1"/>
  <c r="Z18" i="37"/>
  <c r="Z31" i="37"/>
  <c r="X285" i="16"/>
  <c r="AK276" i="16" l="1"/>
  <c r="AK85" i="16" s="1"/>
  <c r="AK266" i="16"/>
  <c r="AK268" i="16"/>
  <c r="AK269" i="16" s="1"/>
  <c r="AK278" i="16"/>
  <c r="AK257" i="16"/>
  <c r="AK258" i="16" s="1"/>
  <c r="V29" i="18"/>
  <c r="X292" i="16"/>
  <c r="X286" i="16"/>
  <c r="X287" i="16" s="1"/>
  <c r="Z19" i="37"/>
  <c r="AK280" i="16" l="1"/>
  <c r="AJ271" i="16"/>
  <c r="AK270" i="16" s="1"/>
  <c r="AK259" i="16"/>
  <c r="AK260" i="16" s="1"/>
  <c r="AK261" i="16" s="1"/>
  <c r="Z53" i="37"/>
  <c r="J52" i="37"/>
  <c r="X350" i="16"/>
  <c r="X357" i="16" s="1"/>
  <c r="X296" i="16"/>
  <c r="M33" i="47" s="1"/>
  <c r="AJ273" i="16" l="1"/>
  <c r="AK262" i="16"/>
  <c r="AL255" i="16" s="1"/>
  <c r="X301" i="16"/>
  <c r="X364" i="16"/>
  <c r="X365" i="16" s="1"/>
  <c r="Y361" i="16" s="1"/>
  <c r="Y363" i="16" s="1"/>
  <c r="Y411" i="16" s="1"/>
  <c r="X359" i="16"/>
  <c r="Y412" i="16" l="1"/>
  <c r="Y413" i="16" s="1"/>
  <c r="Y417" i="16" s="1"/>
  <c r="X300" i="16"/>
  <c r="AL278" i="16"/>
  <c r="AL257" i="16"/>
  <c r="AL276" i="16"/>
  <c r="AL266" i="16"/>
  <c r="AL268" i="16"/>
  <c r="AL258" i="16" l="1"/>
  <c r="AL259" i="16" s="1"/>
  <c r="AL269" i="16"/>
  <c r="AK271" i="16"/>
  <c r="AL85" i="16"/>
  <c r="AL280" i="16"/>
  <c r="Y418" i="16"/>
  <c r="Y422" i="16" s="1"/>
  <c r="Y424" i="16" s="1"/>
  <c r="AK273" i="16" l="1"/>
  <c r="Y434" i="16"/>
  <c r="Y429" i="16"/>
  <c r="Y435" i="16" s="1"/>
  <c r="Y428" i="16"/>
  <c r="AL270" i="16"/>
  <c r="AL260" i="16"/>
  <c r="AL261" i="16" s="1"/>
  <c r="Y419" i="16"/>
  <c r="Z416" i="16" s="1"/>
  <c r="AL262" i="16" l="1"/>
  <c r="AM255" i="16" s="1"/>
  <c r="Y430" i="16"/>
  <c r="Z427" i="16" s="1"/>
  <c r="Y436" i="16"/>
  <c r="Y437" i="16" s="1"/>
  <c r="Y440" i="16" l="1"/>
  <c r="Y442" i="16" s="1"/>
  <c r="Y438" i="16"/>
  <c r="Z433" i="16" s="1"/>
  <c r="AM257" i="16"/>
  <c r="AM278" i="16"/>
  <c r="AM276" i="16"/>
  <c r="AM266" i="16"/>
  <c r="AM268" i="16"/>
  <c r="AM85" i="16" l="1"/>
  <c r="AM280" i="16"/>
  <c r="BQ276" i="16"/>
  <c r="AM258" i="16"/>
  <c r="AM259" i="16" s="1"/>
  <c r="BQ257" i="16"/>
  <c r="AM269" i="16"/>
  <c r="AL271" i="16"/>
  <c r="BQ268" i="16"/>
  <c r="Y294" i="16"/>
  <c r="Y243" i="16"/>
  <c r="Y159" i="16"/>
  <c r="M24" i="47" s="1"/>
  <c r="M25" i="47" s="1"/>
  <c r="M36" i="47" l="1"/>
  <c r="M35" i="47"/>
  <c r="AM270" i="16"/>
  <c r="BQ270" i="16" s="1"/>
  <c r="BQ269" i="16"/>
  <c r="AM260" i="16"/>
  <c r="AM261" i="16" s="1"/>
  <c r="BQ261" i="16" s="1"/>
  <c r="AL273" i="16"/>
  <c r="K33" i="37"/>
  <c r="AA16" i="37"/>
  <c r="Y161" i="16"/>
  <c r="Y354" i="16"/>
  <c r="Y355" i="16" s="1"/>
  <c r="Z353" i="16" s="1"/>
  <c r="Y245" i="16"/>
  <c r="Y169" i="16" l="1"/>
  <c r="K34" i="37"/>
  <c r="AA52" i="37"/>
  <c r="Y246" i="16"/>
  <c r="Y247" i="16" s="1"/>
  <c r="Y282" i="16"/>
  <c r="AM262" i="16"/>
  <c r="Y283" i="16" l="1"/>
  <c r="K40" i="37"/>
  <c r="BQ262" i="16"/>
  <c r="AN255" i="16"/>
  <c r="Y170" i="16"/>
  <c r="Y171" i="16" s="1"/>
  <c r="AN266" i="16" l="1"/>
  <c r="AN276" i="16"/>
  <c r="BR255" i="16"/>
  <c r="AN257" i="16"/>
  <c r="AN258" i="16" s="1"/>
  <c r="AN278" i="16"/>
  <c r="AN268" i="16"/>
  <c r="AA31" i="37"/>
  <c r="Y285" i="16"/>
  <c r="AA18" i="37"/>
  <c r="AN259" i="16" l="1"/>
  <c r="AN260" i="16" s="1"/>
  <c r="AA19" i="37"/>
  <c r="AN85" i="16"/>
  <c r="AN280" i="16"/>
  <c r="Y292" i="16"/>
  <c r="Y286" i="16"/>
  <c r="Y287" i="16" s="1"/>
  <c r="AN269" i="16"/>
  <c r="AM271" i="16"/>
  <c r="Y350" i="16" l="1"/>
  <c r="Y357" i="16" s="1"/>
  <c r="Y296" i="16"/>
  <c r="N33" i="47" s="1"/>
  <c r="AA53" i="37"/>
  <c r="K52" i="37"/>
  <c r="AM273" i="16"/>
  <c r="BQ271" i="16"/>
  <c r="AA19" i="47" s="1"/>
  <c r="AN270" i="16"/>
  <c r="AN261" i="16"/>
  <c r="AN262" i="16" s="1"/>
  <c r="AO255" i="16" s="1"/>
  <c r="AO276" i="16" l="1"/>
  <c r="AO257" i="16"/>
  <c r="AO258" i="16" s="1"/>
  <c r="AO266" i="16"/>
  <c r="AO278" i="16"/>
  <c r="AO268" i="16"/>
  <c r="Y301" i="16"/>
  <c r="Y359" i="16"/>
  <c r="Y364" i="16"/>
  <c r="Y365" i="16" s="1"/>
  <c r="Z361" i="16" s="1"/>
  <c r="Z363" i="16" s="1"/>
  <c r="Z411" i="16" s="1"/>
  <c r="W29" i="18"/>
  <c r="X29" i="18" s="1"/>
  <c r="Y300" i="16" l="1"/>
  <c r="AO269" i="16"/>
  <c r="AN271" i="16"/>
  <c r="AO259" i="16"/>
  <c r="Z412" i="16"/>
  <c r="Z413" i="16" s="1"/>
  <c r="Z417" i="16" s="1"/>
  <c r="AO85" i="16"/>
  <c r="AO280" i="16"/>
  <c r="AN273" i="16" l="1"/>
  <c r="AO260" i="16"/>
  <c r="Z418" i="16"/>
  <c r="Z422" i="16" s="1"/>
  <c r="Z424" i="16" s="1"/>
  <c r="AO270" i="16"/>
  <c r="Z429" i="16" l="1"/>
  <c r="Z435" i="16" s="1"/>
  <c r="Z428" i="16"/>
  <c r="Z434" i="16"/>
  <c r="Z419" i="16"/>
  <c r="AA416" i="16" s="1"/>
  <c r="AO261" i="16"/>
  <c r="Z430" i="16" l="1"/>
  <c r="AA427" i="16" s="1"/>
  <c r="AO262" i="16"/>
  <c r="AP255" i="16" s="1"/>
  <c r="Z436" i="16"/>
  <c r="Z437" i="16" l="1"/>
  <c r="Z440" i="16" s="1"/>
  <c r="Z442" i="16" s="1"/>
  <c r="AP266" i="16"/>
  <c r="AP278" i="16"/>
  <c r="AP276" i="16"/>
  <c r="AP257" i="16"/>
  <c r="AP268" i="16"/>
  <c r="AP85" i="16" l="1"/>
  <c r="AP280" i="16"/>
  <c r="AP258" i="16"/>
  <c r="Z294" i="16"/>
  <c r="Z159" i="16"/>
  <c r="N24" i="47" s="1"/>
  <c r="N25" i="47" s="1"/>
  <c r="Z243" i="16"/>
  <c r="AP269" i="16"/>
  <c r="AO271" i="16"/>
  <c r="Z438" i="16"/>
  <c r="AA433" i="16" s="1"/>
  <c r="N36" i="47" l="1"/>
  <c r="N35" i="47"/>
  <c r="AP259" i="16"/>
  <c r="AP260" i="16" s="1"/>
  <c r="AO273" i="16"/>
  <c r="AP270" i="16"/>
  <c r="Z245" i="16"/>
  <c r="Z354" i="16"/>
  <c r="Z355" i="16" s="1"/>
  <c r="AA353" i="16" s="1"/>
  <c r="Z161" i="16"/>
  <c r="AB16" i="37"/>
  <c r="L33" i="37"/>
  <c r="Z169" i="16" l="1"/>
  <c r="AP261" i="16"/>
  <c r="AB52" i="37"/>
  <c r="Z246" i="16"/>
  <c r="Z247" i="16" s="1"/>
  <c r="Z282" i="16"/>
  <c r="L34" i="37"/>
  <c r="AP262" i="16" l="1"/>
  <c r="AQ255" i="16" s="1"/>
  <c r="Z283" i="16"/>
  <c r="L40" i="37"/>
  <c r="Z170" i="16"/>
  <c r="AB31" i="37" l="1"/>
  <c r="Z285" i="16"/>
  <c r="Z171" i="16"/>
  <c r="AQ278" i="16"/>
  <c r="AQ266" i="16"/>
  <c r="AQ276" i="16"/>
  <c r="AQ257" i="16"/>
  <c r="AQ258" i="16" s="1"/>
  <c r="BR258" i="16" s="1"/>
  <c r="AQ268" i="16"/>
  <c r="AB18" i="37"/>
  <c r="AB19" i="37" l="1"/>
  <c r="BR266" i="16"/>
  <c r="AQ269" i="16"/>
  <c r="BR268" i="16"/>
  <c r="AP271" i="16"/>
  <c r="AQ259" i="16"/>
  <c r="BR259" i="16" s="1"/>
  <c r="Z292" i="16"/>
  <c r="Z286" i="16"/>
  <c r="Z287" i="16" s="1"/>
  <c r="AQ85" i="16"/>
  <c r="AQ280" i="16"/>
  <c r="BR276" i="16"/>
  <c r="BR257" i="16"/>
  <c r="AQ260" i="16" l="1"/>
  <c r="AQ261" i="16" s="1"/>
  <c r="AQ262" i="16" s="1"/>
  <c r="Z296" i="16"/>
  <c r="O33" i="47" s="1"/>
  <c r="Z350" i="16"/>
  <c r="Z357" i="16" s="1"/>
  <c r="AQ270" i="16"/>
  <c r="BR270" i="16" s="1"/>
  <c r="BR269" i="16"/>
  <c r="AB53" i="37"/>
  <c r="L52" i="37"/>
  <c r="AP273" i="16"/>
  <c r="X33" i="47" l="1"/>
  <c r="AR255" i="16"/>
  <c r="BR262" i="16"/>
  <c r="Z364" i="16"/>
  <c r="Z365" i="16" s="1"/>
  <c r="AA361" i="16" s="1"/>
  <c r="AA363" i="16" s="1"/>
  <c r="AA411" i="16" s="1"/>
  <c r="Z359" i="16"/>
  <c r="Z301" i="16"/>
  <c r="Z300" i="16" l="1"/>
  <c r="AA412" i="16"/>
  <c r="AA413" i="16" s="1"/>
  <c r="AA417" i="16" s="1"/>
  <c r="AR278" i="16"/>
  <c r="AR276" i="16"/>
  <c r="BS255" i="16"/>
  <c r="AR257" i="16"/>
  <c r="AR266" i="16"/>
  <c r="AR268" i="16"/>
  <c r="AR85" i="16" l="1"/>
  <c r="AR280" i="16"/>
  <c r="AR269" i="16"/>
  <c r="AQ271" i="16"/>
  <c r="AA418" i="16"/>
  <c r="AA422" i="16" s="1"/>
  <c r="AA424" i="16" s="1"/>
  <c r="AR258" i="16"/>
  <c r="AR270" i="16" l="1"/>
  <c r="AA428" i="16"/>
  <c r="AA429" i="16"/>
  <c r="AA435" i="16" s="1"/>
  <c r="AA434" i="16"/>
  <c r="AA419" i="16"/>
  <c r="AB416" i="16" s="1"/>
  <c r="AR259" i="16"/>
  <c r="AQ273" i="16"/>
  <c r="BR271" i="16"/>
  <c r="AA436" i="16" l="1"/>
  <c r="AA430" i="16"/>
  <c r="AR260" i="16"/>
  <c r="AR261" i="16" s="1"/>
  <c r="AR262" i="16" s="1"/>
  <c r="AS255" i="16" s="1"/>
  <c r="AS257" i="16" l="1"/>
  <c r="AS276" i="16"/>
  <c r="AS278" i="16"/>
  <c r="AS266" i="16"/>
  <c r="AS268" i="16"/>
  <c r="AA437" i="16"/>
  <c r="AA438" i="16" s="1"/>
  <c r="AB433" i="16" s="1"/>
  <c r="AS269" i="16" l="1"/>
  <c r="AR271" i="16"/>
  <c r="AS85" i="16"/>
  <c r="AS280" i="16"/>
  <c r="AA440" i="16"/>
  <c r="AA442" i="16" s="1"/>
  <c r="AS258" i="16"/>
  <c r="AR273" i="16" l="1"/>
  <c r="AS259" i="16"/>
  <c r="AA294" i="16"/>
  <c r="BN294" i="16" s="1"/>
  <c r="AA243" i="16"/>
  <c r="AA159" i="16"/>
  <c r="O24" i="47" s="1"/>
  <c r="O25" i="47" s="1"/>
  <c r="AS270" i="16"/>
  <c r="O35" i="47" l="1"/>
  <c r="O36" i="47"/>
  <c r="AA354" i="16"/>
  <c r="AA355" i="16" s="1"/>
  <c r="AB353" i="16" s="1"/>
  <c r="M33" i="37"/>
  <c r="AA161" i="16"/>
  <c r="AC16" i="37"/>
  <c r="BN159" i="16"/>
  <c r="X24" i="47" s="1"/>
  <c r="X25" i="47" s="1"/>
  <c r="AA245" i="16"/>
  <c r="BN243" i="16"/>
  <c r="AS260" i="16"/>
  <c r="AS261" i="16" s="1"/>
  <c r="X36" i="47" l="1"/>
  <c r="X35" i="47"/>
  <c r="AA169" i="16"/>
  <c r="BN161" i="16"/>
  <c r="M34" i="37"/>
  <c r="N33" i="37"/>
  <c r="AC52" i="37"/>
  <c r="AA282" i="16"/>
  <c r="BN245" i="16"/>
  <c r="T52" i="18" s="1"/>
  <c r="AA246" i="16"/>
  <c r="AA247" i="16" s="1"/>
  <c r="AS262" i="16"/>
  <c r="AT255" i="16" s="1"/>
  <c r="T16" i="18"/>
  <c r="G33" i="18"/>
  <c r="G34" i="18" s="1"/>
  <c r="G40" i="18" s="1"/>
  <c r="T18" i="18" s="1"/>
  <c r="AD16" i="37"/>
  <c r="BN282" i="16" l="1"/>
  <c r="AA283" i="16"/>
  <c r="M40" i="37"/>
  <c r="N34" i="37"/>
  <c r="T19" i="18"/>
  <c r="T53" i="18" s="1"/>
  <c r="AT266" i="16"/>
  <c r="AT257" i="16"/>
  <c r="AT276" i="16"/>
  <c r="AT278" i="16"/>
  <c r="AT268" i="16"/>
  <c r="BN169" i="16"/>
  <c r="AA170" i="16"/>
  <c r="BN170" i="16" s="1"/>
  <c r="AA171" i="16"/>
  <c r="T57" i="18" l="1"/>
  <c r="AT85" i="16"/>
  <c r="AT280" i="16"/>
  <c r="AT269" i="16"/>
  <c r="AS271" i="16"/>
  <c r="AC31" i="37"/>
  <c r="AD31" i="37" s="1"/>
  <c r="AA285" i="16"/>
  <c r="BN283" i="16"/>
  <c r="T31" i="18" s="1"/>
  <c r="AC18" i="37"/>
  <c r="N40" i="37"/>
  <c r="U23" i="37"/>
  <c r="AT258" i="16"/>
  <c r="AT259" i="16" s="1"/>
  <c r="G52" i="18"/>
  <c r="AT270" i="16" l="1"/>
  <c r="AA292" i="16"/>
  <c r="BN285" i="16"/>
  <c r="AA286" i="16"/>
  <c r="AT260" i="16"/>
  <c r="AT261" i="16" s="1"/>
  <c r="AS273" i="16"/>
  <c r="AD18" i="37"/>
  <c r="AC19" i="37"/>
  <c r="AC53" i="37" l="1"/>
  <c r="AD19" i="37"/>
  <c r="M52" i="37"/>
  <c r="E52" i="37" s="1"/>
  <c r="AA287" i="16"/>
  <c r="AA350" i="16"/>
  <c r="AA357" i="16" s="1"/>
  <c r="AA296" i="16"/>
  <c r="P33" i="47" s="1"/>
  <c r="BN292" i="16"/>
  <c r="AT262" i="16"/>
  <c r="AU255" i="16" s="1"/>
  <c r="AA301" i="16" l="1"/>
  <c r="BN296" i="16"/>
  <c r="AA359" i="16"/>
  <c r="AA364" i="16"/>
  <c r="AA365" i="16" s="1"/>
  <c r="AB361" i="16" s="1"/>
  <c r="AB363" i="16" s="1"/>
  <c r="AB411" i="16" s="1"/>
  <c r="AU266" i="16"/>
  <c r="AU257" i="16"/>
  <c r="AU278" i="16"/>
  <c r="AU276" i="16"/>
  <c r="AU268" i="16"/>
  <c r="AU258" i="16" l="1"/>
  <c r="BS258" i="16" s="1"/>
  <c r="BS257" i="16"/>
  <c r="AB412" i="16"/>
  <c r="AB413" i="16" s="1"/>
  <c r="AB417" i="16" s="1"/>
  <c r="AU85" i="16"/>
  <c r="AU280" i="16"/>
  <c r="BS276" i="16"/>
  <c r="AU269" i="16"/>
  <c r="AT271" i="16"/>
  <c r="BS268" i="16"/>
  <c r="AU259" i="16"/>
  <c r="AU260" i="16" s="1"/>
  <c r="AA300" i="16"/>
  <c r="BN300" i="16" s="1"/>
  <c r="BN301" i="16"/>
  <c r="AU261" i="16" l="1"/>
  <c r="AU262" i="16" s="1"/>
  <c r="AT273" i="16"/>
  <c r="AB418" i="16"/>
  <c r="AB422" i="16" s="1"/>
  <c r="AB424" i="16" s="1"/>
  <c r="BS269" i="16"/>
  <c r="AU270" i="16"/>
  <c r="BS270" i="16" s="1"/>
  <c r="BS262" i="16" l="1"/>
  <c r="AV255" i="16"/>
  <c r="AB419" i="16"/>
  <c r="AC416" i="16" s="1"/>
  <c r="AB428" i="16"/>
  <c r="AB429" i="16"/>
  <c r="AB435" i="16" s="1"/>
  <c r="AB434" i="16"/>
  <c r="AB430" i="16" l="1"/>
  <c r="AC427" i="16" s="1"/>
  <c r="AB436" i="16"/>
  <c r="AV278" i="16"/>
  <c r="AV276" i="16"/>
  <c r="BT255" i="16"/>
  <c r="AV257" i="16"/>
  <c r="AV258" i="16" s="1"/>
  <c r="AV266" i="16"/>
  <c r="AV268" i="16"/>
  <c r="AV259" i="16" l="1"/>
  <c r="AV85" i="16"/>
  <c r="AV280" i="16"/>
  <c r="AB437" i="16"/>
  <c r="AB440" i="16" s="1"/>
  <c r="AB442" i="16" s="1"/>
  <c r="AV269" i="16"/>
  <c r="AU271" i="16"/>
  <c r="AU273" i="16" l="1"/>
  <c r="BS271" i="16"/>
  <c r="AB438" i="16"/>
  <c r="AC433" i="16" s="1"/>
  <c r="AV260" i="16"/>
  <c r="AV270" i="16"/>
  <c r="AB294" i="16"/>
  <c r="AB243" i="16"/>
  <c r="AB159" i="16"/>
  <c r="P24" i="47" s="1"/>
  <c r="P25" i="47" s="1"/>
  <c r="P35" i="47" l="1"/>
  <c r="P36" i="47"/>
  <c r="AV261" i="16"/>
  <c r="AV262" i="16" s="1"/>
  <c r="AW255" i="16" s="1"/>
  <c r="AB354" i="16"/>
  <c r="AB355" i="16" s="1"/>
  <c r="AC353" i="16" s="1"/>
  <c r="AB161" i="16"/>
  <c r="AB245" i="16"/>
  <c r="AW278" i="16" l="1"/>
  <c r="AW266" i="16"/>
  <c r="AW276" i="16"/>
  <c r="AW257" i="16"/>
  <c r="AW258" i="16" s="1"/>
  <c r="AW259" i="16" s="1"/>
  <c r="AW268" i="16"/>
  <c r="AB169" i="16"/>
  <c r="AB282" i="16"/>
  <c r="AB246" i="16"/>
  <c r="AB247" i="16" s="1"/>
  <c r="AW260" i="16" l="1"/>
  <c r="AW85" i="16"/>
  <c r="AW280" i="16"/>
  <c r="AB170" i="16"/>
  <c r="AB171" i="16" s="1"/>
  <c r="AB283" i="16"/>
  <c r="AW269" i="16"/>
  <c r="AV271" i="16"/>
  <c r="AB285" i="16" l="1"/>
  <c r="AW261" i="16"/>
  <c r="AW262" i="16" s="1"/>
  <c r="AX255" i="16" s="1"/>
  <c r="AV273" i="16"/>
  <c r="AW270" i="16"/>
  <c r="AX278" i="16" l="1"/>
  <c r="AX266" i="16"/>
  <c r="AX276" i="16"/>
  <c r="AX257" i="16"/>
  <c r="AX268" i="16"/>
  <c r="AB292" i="16"/>
  <c r="AB286" i="16"/>
  <c r="AB287" i="16" s="1"/>
  <c r="AX258" i="16" l="1"/>
  <c r="AX269" i="16"/>
  <c r="AW271" i="16"/>
  <c r="AB296" i="16"/>
  <c r="Q33" i="47" s="1"/>
  <c r="AB350" i="16"/>
  <c r="AB357" i="16" s="1"/>
  <c r="AX85" i="16"/>
  <c r="AX280" i="16"/>
  <c r="AW273" i="16" l="1"/>
  <c r="AX270" i="16"/>
  <c r="AB359" i="16"/>
  <c r="AB364" i="16"/>
  <c r="AB365" i="16" s="1"/>
  <c r="AC361" i="16" s="1"/>
  <c r="AC363" i="16" s="1"/>
  <c r="AC411" i="16" s="1"/>
  <c r="AB301" i="16"/>
  <c r="AX259" i="16"/>
  <c r="AX260" i="16" l="1"/>
  <c r="AB300" i="16"/>
  <c r="AC412" i="16"/>
  <c r="AC413" i="16" s="1"/>
  <c r="AC417" i="16" s="1"/>
  <c r="AC418" i="16" s="1"/>
  <c r="AC422" i="16" s="1"/>
  <c r="AC424" i="16" s="1"/>
  <c r="AC429" i="16" l="1"/>
  <c r="AC435" i="16" s="1"/>
  <c r="AC428" i="16"/>
  <c r="AC434" i="16"/>
  <c r="AC419" i="16"/>
  <c r="AD416" i="16" s="1"/>
  <c r="AX261" i="16"/>
  <c r="AX262" i="16" s="1"/>
  <c r="AY255" i="16" s="1"/>
  <c r="AC430" i="16" l="1"/>
  <c r="AD427" i="16" s="1"/>
  <c r="AY266" i="16"/>
  <c r="AY278" i="16"/>
  <c r="AY257" i="16"/>
  <c r="AY258" i="16" s="1"/>
  <c r="BT258" i="16" s="1"/>
  <c r="AY276" i="16"/>
  <c r="AY268" i="16"/>
  <c r="AC436" i="16"/>
  <c r="AC437" i="16" s="1"/>
  <c r="AC440" i="16" s="1"/>
  <c r="AC442" i="16" s="1"/>
  <c r="AC294" i="16" l="1"/>
  <c r="AC243" i="16"/>
  <c r="AC159" i="16"/>
  <c r="Q24" i="47" s="1"/>
  <c r="Q25" i="47" s="1"/>
  <c r="AY259" i="16"/>
  <c r="BT259" i="16" s="1"/>
  <c r="AY85" i="16"/>
  <c r="AY280" i="16"/>
  <c r="BT276" i="16"/>
  <c r="AC438" i="16"/>
  <c r="AD433" i="16" s="1"/>
  <c r="BT257" i="16"/>
  <c r="AY269" i="16"/>
  <c r="AX271" i="16"/>
  <c r="BT268" i="16"/>
  <c r="Q35" i="47" l="1"/>
  <c r="Q36" i="47"/>
  <c r="AX273" i="16"/>
  <c r="AY270" i="16"/>
  <c r="BT270" i="16" s="1"/>
  <c r="BT269" i="16"/>
  <c r="AY260" i="16"/>
  <c r="AC161" i="16"/>
  <c r="AC354" i="16"/>
  <c r="AC355" i="16" s="1"/>
  <c r="AD353" i="16" s="1"/>
  <c r="AC245" i="16"/>
  <c r="AC282" i="16" l="1"/>
  <c r="AC246" i="16"/>
  <c r="AC247" i="16" s="1"/>
  <c r="AY261" i="16"/>
  <c r="AY262" i="16" s="1"/>
  <c r="AC169" i="16"/>
  <c r="BT262" i="16" l="1"/>
  <c r="AZ255" i="16"/>
  <c r="AC170" i="16"/>
  <c r="AC171" i="16" s="1"/>
  <c r="AC283" i="16"/>
  <c r="AC285" i="16" l="1"/>
  <c r="AZ276" i="16"/>
  <c r="AZ278" i="16"/>
  <c r="AZ266" i="16"/>
  <c r="BU255" i="16"/>
  <c r="AZ257" i="16"/>
  <c r="AZ258" i="16" s="1"/>
  <c r="AZ268" i="16"/>
  <c r="AZ269" i="16" l="1"/>
  <c r="AY271" i="16"/>
  <c r="AZ85" i="16"/>
  <c r="AZ280" i="16"/>
  <c r="AZ259" i="16"/>
  <c r="AZ260" i="16" s="1"/>
  <c r="AC292" i="16"/>
  <c r="AC286" i="16"/>
  <c r="AC287" i="16" s="1"/>
  <c r="AC350" i="16" l="1"/>
  <c r="AC357" i="16" s="1"/>
  <c r="AC296" i="16"/>
  <c r="R33" i="47" s="1"/>
  <c r="AY273" i="16"/>
  <c r="BT271" i="16"/>
  <c r="AZ261" i="16"/>
  <c r="AZ270" i="16"/>
  <c r="AC301" i="16" l="1"/>
  <c r="AC359" i="16"/>
  <c r="AC364" i="16"/>
  <c r="AC365" i="16" s="1"/>
  <c r="AD361" i="16" s="1"/>
  <c r="AD363" i="16" s="1"/>
  <c r="AD411" i="16" s="1"/>
  <c r="AZ262" i="16"/>
  <c r="BA255" i="16" s="1"/>
  <c r="BA257" i="16" l="1"/>
  <c r="BA276" i="16"/>
  <c r="BA266" i="16"/>
  <c r="BA278" i="16"/>
  <c r="BA268" i="16"/>
  <c r="AD412" i="16"/>
  <c r="AD413" i="16" s="1"/>
  <c r="AD417" i="16" s="1"/>
  <c r="AC300" i="16"/>
  <c r="BA85" i="16" l="1"/>
  <c r="BA280" i="16"/>
  <c r="BA269" i="16"/>
  <c r="AZ271" i="16"/>
  <c r="AZ273" i="16" s="1"/>
  <c r="AD418" i="16"/>
  <c r="AD422" i="16" s="1"/>
  <c r="AD424" i="16" s="1"/>
  <c r="BA258" i="16"/>
  <c r="BA270" i="16" l="1"/>
  <c r="BA259" i="16"/>
  <c r="BA260" i="16" s="1"/>
  <c r="BA261" i="16" s="1"/>
  <c r="AD429" i="16"/>
  <c r="AD435" i="16" s="1"/>
  <c r="AD428" i="16"/>
  <c r="AD434" i="16"/>
  <c r="AD419" i="16"/>
  <c r="AE416" i="16" s="1"/>
  <c r="AD430" i="16" l="1"/>
  <c r="AE427" i="16" s="1"/>
  <c r="BA262" i="16"/>
  <c r="BB255" i="16" s="1"/>
  <c r="AD436" i="16"/>
  <c r="AD437" i="16" l="1"/>
  <c r="AD440" i="16" s="1"/>
  <c r="AD442" i="16" s="1"/>
  <c r="BB276" i="16"/>
  <c r="BB266" i="16"/>
  <c r="BB278" i="16"/>
  <c r="BB257" i="16"/>
  <c r="BB258" i="16" s="1"/>
  <c r="BB268" i="16"/>
  <c r="BB259" i="16" l="1"/>
  <c r="BB260" i="16" s="1"/>
  <c r="BB269" i="16"/>
  <c r="BA271" i="16"/>
  <c r="BB85" i="16"/>
  <c r="BB280" i="16"/>
  <c r="AD243" i="16"/>
  <c r="AD294" i="16"/>
  <c r="AD159" i="16"/>
  <c r="R24" i="47" s="1"/>
  <c r="R25" i="47" s="1"/>
  <c r="AD438" i="16"/>
  <c r="AE433" i="16" s="1"/>
  <c r="R36" i="47" l="1"/>
  <c r="R35" i="47"/>
  <c r="BB261" i="16"/>
  <c r="BB262" i="16" s="1"/>
  <c r="BC255" i="16" s="1"/>
  <c r="AD245" i="16"/>
  <c r="AD161" i="16"/>
  <c r="AD354" i="16"/>
  <c r="AD355" i="16" s="1"/>
  <c r="AE353" i="16" s="1"/>
  <c r="BB270" i="16"/>
  <c r="BA273" i="16"/>
  <c r="BC266" i="16" l="1"/>
  <c r="BC257" i="16"/>
  <c r="BU257" i="16" s="1"/>
  <c r="BC276" i="16"/>
  <c r="BC278" i="16"/>
  <c r="BC268" i="16"/>
  <c r="AD169" i="16"/>
  <c r="AD246" i="16"/>
  <c r="AD247" i="16" s="1"/>
  <c r="AD282" i="16"/>
  <c r="BC258" i="16" l="1"/>
  <c r="BU258" i="16" s="1"/>
  <c r="AD283" i="16"/>
  <c r="BC85" i="16"/>
  <c r="BC280" i="16"/>
  <c r="BU276" i="16"/>
  <c r="AD170" i="16"/>
  <c r="BC269" i="16"/>
  <c r="BU268" i="16"/>
  <c r="BB271" i="16"/>
  <c r="BC259" i="16" l="1"/>
  <c r="BC260" i="16" s="1"/>
  <c r="BC261" i="16" s="1"/>
  <c r="BC262" i="16" s="1"/>
  <c r="BB273" i="16"/>
  <c r="AD285" i="16"/>
  <c r="BU269" i="16"/>
  <c r="BC270" i="16"/>
  <c r="BU270" i="16" s="1"/>
  <c r="AD171" i="16"/>
  <c r="BU262" i="16" l="1"/>
  <c r="BD255" i="16"/>
  <c r="AD292" i="16"/>
  <c r="AD286" i="16"/>
  <c r="AD287" i="16" s="1"/>
  <c r="AD350" i="16" l="1"/>
  <c r="AD357" i="16" s="1"/>
  <c r="AD296" i="16"/>
  <c r="S33" i="47" s="1"/>
  <c r="Y33" i="47" s="1"/>
  <c r="BD266" i="16"/>
  <c r="BD276" i="16"/>
  <c r="BD278" i="16"/>
  <c r="BD257" i="16"/>
  <c r="BD258" i="16" s="1"/>
  <c r="BV255" i="16"/>
  <c r="BD268" i="16"/>
  <c r="BD85" i="16" l="1"/>
  <c r="BD280" i="16"/>
  <c r="BD269" i="16"/>
  <c r="BC271" i="16"/>
  <c r="BD259" i="16"/>
  <c r="BD260" i="16" s="1"/>
  <c r="BD261" i="16" s="1"/>
  <c r="BD262" i="16" s="1"/>
  <c r="BE255" i="16" s="1"/>
  <c r="AD301" i="16"/>
  <c r="AD359" i="16"/>
  <c r="AD364" i="16"/>
  <c r="AD365" i="16" s="1"/>
  <c r="AE361" i="16" s="1"/>
  <c r="AE363" i="16" s="1"/>
  <c r="AE411" i="16" s="1"/>
  <c r="AE412" i="16" s="1"/>
  <c r="AE413" i="16" s="1"/>
  <c r="AE417" i="16" s="1"/>
  <c r="BE266" i="16" l="1"/>
  <c r="BE278" i="16"/>
  <c r="BE276" i="16"/>
  <c r="BE257" i="16"/>
  <c r="BE258" i="16" s="1"/>
  <c r="BE259" i="16" s="1"/>
  <c r="BE268" i="16"/>
  <c r="BC273" i="16"/>
  <c r="BU273" i="16" s="1"/>
  <c r="BU271" i="16"/>
  <c r="BD270" i="16"/>
  <c r="AE418" i="16"/>
  <c r="AE422" i="16" s="1"/>
  <c r="AE424" i="16" s="1"/>
  <c r="AD300" i="16"/>
  <c r="AE419" i="16" l="1"/>
  <c r="AF416" i="16" s="1"/>
  <c r="AE434" i="16"/>
  <c r="AE428" i="16"/>
  <c r="AE429" i="16"/>
  <c r="AE435" i="16" s="1"/>
  <c r="BE260" i="16"/>
  <c r="BE261" i="16" s="1"/>
  <c r="BE262" i="16" s="1"/>
  <c r="BF255" i="16" s="1"/>
  <c r="BE269" i="16"/>
  <c r="BD271" i="16"/>
  <c r="BD273" i="16" s="1"/>
  <c r="BE85" i="16"/>
  <c r="BE280" i="16"/>
  <c r="BF257" i="16" l="1"/>
  <c r="BF276" i="16"/>
  <c r="BF266" i="16"/>
  <c r="BF278" i="16"/>
  <c r="BF258" i="16"/>
  <c r="AE436" i="16"/>
  <c r="AE430" i="16"/>
  <c r="BE270" i="16"/>
  <c r="BF268" i="16"/>
  <c r="BF259" i="16" l="1"/>
  <c r="BF269" i="16"/>
  <c r="BE271" i="16"/>
  <c r="BE273" i="16" s="1"/>
  <c r="AE437" i="16"/>
  <c r="AE438" i="16" s="1"/>
  <c r="AF433" i="16" s="1"/>
  <c r="BF85" i="16"/>
  <c r="BF280" i="16"/>
  <c r="BP278" i="16"/>
  <c r="Z20" i="47" s="1"/>
  <c r="BQ278" i="16"/>
  <c r="AA20" i="47" s="1"/>
  <c r="BR278" i="16"/>
  <c r="BS278" i="16"/>
  <c r="BT278" i="16"/>
  <c r="BU278" i="16"/>
  <c r="BP266" i="16"/>
  <c r="Z18" i="47" s="1"/>
  <c r="BQ266" i="16"/>
  <c r="AA18" i="47" s="1"/>
  <c r="BS266" i="16"/>
  <c r="BT266" i="16"/>
  <c r="BU266" i="16"/>
  <c r="AA23" i="47" l="1"/>
  <c r="Z23" i="47"/>
  <c r="BF270" i="16"/>
  <c r="BF260" i="16"/>
  <c r="BF261" i="16" s="1"/>
  <c r="AE440" i="16"/>
  <c r="AE442" i="16" s="1"/>
  <c r="V32" i="18"/>
  <c r="W32" i="18"/>
  <c r="V28" i="18"/>
  <c r="BO280" i="16"/>
  <c r="BP280" i="16"/>
  <c r="BQ280" i="16"/>
  <c r="BR280" i="16"/>
  <c r="BS280" i="16"/>
  <c r="BT280" i="16"/>
  <c r="BU280" i="16"/>
  <c r="W28" i="18"/>
  <c r="BN258" i="16"/>
  <c r="AE159" i="16" l="1"/>
  <c r="S24" i="47" s="1"/>
  <c r="S25" i="47" s="1"/>
  <c r="AE243" i="16"/>
  <c r="AE294" i="16"/>
  <c r="BO294" i="16" s="1"/>
  <c r="BF262" i="16"/>
  <c r="BG255" i="16" s="1"/>
  <c r="X32" i="18"/>
  <c r="BU259" i="16"/>
  <c r="X28" i="18"/>
  <c r="S35" i="47" l="1"/>
  <c r="F35" i="47" s="1"/>
  <c r="S36" i="47"/>
  <c r="F36" i="47" s="1"/>
  <c r="E24" i="17" s="1"/>
  <c r="BG266" i="16"/>
  <c r="BG257" i="16"/>
  <c r="BG258" i="16" s="1"/>
  <c r="BG259" i="16" s="1"/>
  <c r="BG278" i="16"/>
  <c r="BG276" i="16"/>
  <c r="BG268" i="16"/>
  <c r="AE245" i="16"/>
  <c r="BO243" i="16"/>
  <c r="AE354" i="16"/>
  <c r="AE355" i="16" s="1"/>
  <c r="AF353" i="16" s="1"/>
  <c r="AE161" i="16"/>
  <c r="T24" i="40"/>
  <c r="I24" i="40" s="1"/>
  <c r="BO159" i="16"/>
  <c r="Y24" i="47" s="1"/>
  <c r="Y25" i="47" s="1"/>
  <c r="BS260" i="16"/>
  <c r="Y35" i="47" l="1"/>
  <c r="Y36" i="47"/>
  <c r="BN259" i="16"/>
  <c r="BQ259" i="16"/>
  <c r="BS259" i="16"/>
  <c r="BV259" i="16"/>
  <c r="BI259" i="16"/>
  <c r="BO258" i="16"/>
  <c r="BQ258" i="16"/>
  <c r="BI258" i="16"/>
  <c r="BV258" i="16"/>
  <c r="U16" i="18"/>
  <c r="H33" i="18"/>
  <c r="H34" i="18" s="1"/>
  <c r="H40" i="18" s="1"/>
  <c r="U18" i="18" s="1"/>
  <c r="BF271" i="16"/>
  <c r="BG269" i="16"/>
  <c r="BV268" i="16"/>
  <c r="BG85" i="16"/>
  <c r="BI276" i="16"/>
  <c r="BV276" i="16"/>
  <c r="BX276" i="16" s="1"/>
  <c r="BG280" i="16"/>
  <c r="AE169" i="16"/>
  <c r="BO161" i="16"/>
  <c r="BV278" i="16"/>
  <c r="BX278" i="16" s="1"/>
  <c r="BI278" i="16"/>
  <c r="K24" i="40"/>
  <c r="M24" i="40" s="1"/>
  <c r="N24" i="40"/>
  <c r="BI257" i="16"/>
  <c r="BV257" i="16"/>
  <c r="BX257" i="16" s="1"/>
  <c r="BG260" i="16"/>
  <c r="BV266" i="16"/>
  <c r="BX266" i="16" s="1"/>
  <c r="BI266" i="16"/>
  <c r="BO245" i="16"/>
  <c r="U52" i="18" s="1"/>
  <c r="AE246" i="16"/>
  <c r="AE247" i="16" s="1"/>
  <c r="AE282" i="16"/>
  <c r="BO261" i="16"/>
  <c r="BP261" i="16"/>
  <c r="V30" i="18" s="1"/>
  <c r="BS261" i="16"/>
  <c r="U19" i="18" l="1"/>
  <c r="H52" i="18" s="1"/>
  <c r="BM260" i="16"/>
  <c r="BQ260" i="16"/>
  <c r="W30" i="18" s="1"/>
  <c r="BR260" i="16"/>
  <c r="BT260" i="16"/>
  <c r="BU260" i="16"/>
  <c r="BI260" i="16"/>
  <c r="BV260" i="16"/>
  <c r="AE170" i="16"/>
  <c r="BO170" i="16" s="1"/>
  <c r="BO169" i="16"/>
  <c r="BI269" i="16"/>
  <c r="BG270" i="16"/>
  <c r="BV269" i="16"/>
  <c r="BX269" i="16" s="1"/>
  <c r="BX258" i="16"/>
  <c r="BI280" i="16"/>
  <c r="BV280" i="16"/>
  <c r="BX280" i="16" s="1"/>
  <c r="BF273" i="16"/>
  <c r="U53" i="18"/>
  <c r="BO282" i="16"/>
  <c r="AE283" i="16"/>
  <c r="BG261" i="16"/>
  <c r="T30" i="18"/>
  <c r="BX259" i="16"/>
  <c r="U30" i="18"/>
  <c r="AE171" i="16" l="1"/>
  <c r="AE285" i="16"/>
  <c r="BO283" i="16"/>
  <c r="U31" i="18" s="1"/>
  <c r="BR261" i="16"/>
  <c r="BT261" i="16"/>
  <c r="BU261" i="16"/>
  <c r="BV261" i="16"/>
  <c r="BG262" i="16"/>
  <c r="BV262" i="16" s="1"/>
  <c r="BI261" i="16"/>
  <c r="S458" i="16" s="1"/>
  <c r="BV270" i="16"/>
  <c r="BG271" i="16"/>
  <c r="S30" i="18"/>
  <c r="X30" i="18" s="1"/>
  <c r="BX260" i="16"/>
  <c r="BX261" i="16" l="1"/>
  <c r="AE292" i="16"/>
  <c r="BO285" i="16"/>
  <c r="AE286" i="16"/>
  <c r="AE287" i="16" s="1"/>
  <c r="BG273" i="16"/>
  <c r="BI271" i="16"/>
  <c r="BV271" i="16"/>
  <c r="BX271" i="16" s="1"/>
  <c r="BP273" i="16" l="1"/>
  <c r="BQ273" i="16"/>
  <c r="BR273" i="16"/>
  <c r="BS273" i="16"/>
  <c r="BT273" i="16"/>
  <c r="BV273" i="16"/>
  <c r="BI273" i="16"/>
  <c r="S459" i="16" s="1"/>
  <c r="AE296" i="16"/>
  <c r="AE350" i="16"/>
  <c r="AE357" i="16" s="1"/>
  <c r="BO292" i="16"/>
  <c r="AE301" i="16" l="1"/>
  <c r="BO296" i="16"/>
  <c r="BX273" i="16"/>
  <c r="AE364" i="16"/>
  <c r="AE365" i="16" s="1"/>
  <c r="AF361" i="16" s="1"/>
  <c r="AF363" i="16" s="1"/>
  <c r="AF411" i="16" s="1"/>
  <c r="AE359" i="16"/>
  <c r="AF412" i="16" l="1"/>
  <c r="AF413" i="16" s="1"/>
  <c r="AF417" i="16" s="1"/>
  <c r="AE300" i="16"/>
  <c r="BO301" i="16"/>
  <c r="AF418" i="16" l="1"/>
  <c r="AF422" i="16" s="1"/>
  <c r="AF424" i="16" s="1"/>
  <c r="AF419" i="16" l="1"/>
  <c r="AG416" i="16" s="1"/>
  <c r="AF429" i="16"/>
  <c r="AF435" i="16" s="1"/>
  <c r="AF428" i="16"/>
  <c r="AF434" i="16"/>
  <c r="AF436" i="16"/>
  <c r="AF430" i="16" l="1"/>
  <c r="AG427" i="16" s="1"/>
  <c r="AF437" i="16"/>
  <c r="AF440" i="16" s="1"/>
  <c r="AF442" i="16" s="1"/>
  <c r="AF294" i="16" l="1"/>
  <c r="AF243" i="16"/>
  <c r="AF159" i="16"/>
  <c r="AF438" i="16"/>
  <c r="AG433" i="16" s="1"/>
  <c r="AF354" i="16" l="1"/>
  <c r="AF355" i="16" s="1"/>
  <c r="AG353" i="16" s="1"/>
  <c r="AF161" i="16"/>
  <c r="AF245" i="16"/>
  <c r="AF246" i="16" l="1"/>
  <c r="AF247" i="16" s="1"/>
  <c r="AF282" i="16"/>
  <c r="AF169" i="16"/>
  <c r="AF283" i="16" l="1"/>
  <c r="AF170" i="16"/>
  <c r="AF171" i="16" s="1"/>
  <c r="AF285" i="16" l="1"/>
  <c r="AF292" i="16" l="1"/>
  <c r="AF286" i="16"/>
  <c r="AF287" i="16" s="1"/>
  <c r="AF350" i="16" l="1"/>
  <c r="AF357" i="16" s="1"/>
  <c r="AF296" i="16"/>
  <c r="AF301" i="16" l="1"/>
  <c r="AF364" i="16"/>
  <c r="AF365" i="16" s="1"/>
  <c r="AG361" i="16" s="1"/>
  <c r="AG363" i="16" s="1"/>
  <c r="AG411" i="16" s="1"/>
  <c r="AF359" i="16"/>
  <c r="AG412" i="16" l="1"/>
  <c r="AG413" i="16" s="1"/>
  <c r="AG417" i="16" s="1"/>
  <c r="AF300" i="16"/>
  <c r="AG418" i="16" l="1"/>
  <c r="AG422" i="16" s="1"/>
  <c r="AG424" i="16" s="1"/>
  <c r="AG428" i="16" l="1"/>
  <c r="AG429" i="16"/>
  <c r="AG435" i="16" s="1"/>
  <c r="AG436" i="16"/>
  <c r="AG434" i="16"/>
  <c r="AG419" i="16"/>
  <c r="AH416" i="16" s="1"/>
  <c r="AG437" i="16" l="1"/>
  <c r="AG440" i="16" s="1"/>
  <c r="AG442" i="16" s="1"/>
  <c r="AG243" i="16" s="1"/>
  <c r="AG430" i="16"/>
  <c r="AH427" i="16" s="1"/>
  <c r="AG438" i="16" l="1"/>
  <c r="AH433" i="16" s="1"/>
  <c r="AG159" i="16"/>
  <c r="AG161" i="16" s="1"/>
  <c r="AG294" i="16"/>
  <c r="AG245" i="16"/>
  <c r="AG354" i="16" l="1"/>
  <c r="AG355" i="16" s="1"/>
  <c r="AH353" i="16" s="1"/>
  <c r="AG169" i="16"/>
  <c r="AG282" i="16"/>
  <c r="AG246" i="16"/>
  <c r="AG247" i="16" s="1"/>
  <c r="AG283" i="16" l="1"/>
  <c r="AG170" i="16"/>
  <c r="AG171" i="16" s="1"/>
  <c r="AG285" i="16" l="1"/>
  <c r="AG292" i="16" l="1"/>
  <c r="AG286" i="16"/>
  <c r="AG287" i="16" l="1"/>
  <c r="AG350" i="16"/>
  <c r="AG357" i="16" s="1"/>
  <c r="AG296" i="16"/>
  <c r="AG364" i="16" l="1"/>
  <c r="AG365" i="16" s="1"/>
  <c r="AH361" i="16" s="1"/>
  <c r="AH363" i="16" s="1"/>
  <c r="AH411" i="16" s="1"/>
  <c r="AG359" i="16"/>
  <c r="AG301" i="16"/>
  <c r="AG300" i="16" l="1"/>
  <c r="AH412" i="16"/>
  <c r="AH413" i="16" s="1"/>
  <c r="AH417" i="16" s="1"/>
  <c r="AH418" i="16" l="1"/>
  <c r="AH422" i="16" s="1"/>
  <c r="AH424" i="16" s="1"/>
  <c r="AH436" i="16" l="1"/>
  <c r="AH428" i="16"/>
  <c r="AH434" i="16"/>
  <c r="AH429" i="16"/>
  <c r="AH435" i="16" s="1"/>
  <c r="AH437" i="16" s="1"/>
  <c r="AH440" i="16" s="1"/>
  <c r="AH442" i="16" s="1"/>
  <c r="AH419" i="16"/>
  <c r="AI416" i="16" s="1"/>
  <c r="AH243" i="16" l="1"/>
  <c r="AH294" i="16"/>
  <c r="AH159" i="16"/>
  <c r="AH438" i="16"/>
  <c r="AI433" i="16" s="1"/>
  <c r="AH430" i="16"/>
  <c r="AI427" i="16" s="1"/>
  <c r="AH161" i="16" l="1"/>
  <c r="AH354" i="16"/>
  <c r="AH355" i="16" s="1"/>
  <c r="AI353" i="16" s="1"/>
  <c r="AH245" i="16"/>
  <c r="AH246" i="16" l="1"/>
  <c r="AH282" i="16"/>
  <c r="AH169" i="16"/>
  <c r="AH247" i="16" l="1"/>
  <c r="AH170" i="16"/>
  <c r="AH283" i="16"/>
  <c r="AH285" i="16" l="1"/>
  <c r="AH171" i="16"/>
  <c r="AH292" i="16" l="1"/>
  <c r="AH286" i="16"/>
  <c r="AH287" i="16" s="1"/>
  <c r="AH296" i="16" l="1"/>
  <c r="AH350" i="16"/>
  <c r="AH357" i="16" s="1"/>
  <c r="AH359" i="16" l="1"/>
  <c r="AH364" i="16"/>
  <c r="AH365" i="16" s="1"/>
  <c r="AI361" i="16" s="1"/>
  <c r="AI363" i="16" s="1"/>
  <c r="AI411" i="16" s="1"/>
  <c r="AH301" i="16"/>
  <c r="AH300" i="16" l="1"/>
  <c r="AI412" i="16"/>
  <c r="AI413" i="16" s="1"/>
  <c r="AI417" i="16" s="1"/>
  <c r="AI418" i="16" s="1"/>
  <c r="AI422" i="16" s="1"/>
  <c r="AI424" i="16" s="1"/>
  <c r="AI428" i="16" l="1"/>
  <c r="AI436" i="16"/>
  <c r="AI434" i="16"/>
  <c r="AI429" i="16"/>
  <c r="AI435" i="16" s="1"/>
  <c r="AI419" i="16"/>
  <c r="AJ416" i="16" s="1"/>
  <c r="AI437" i="16" l="1"/>
  <c r="AI440" i="16" s="1"/>
  <c r="AI442" i="16" s="1"/>
  <c r="AI159" i="16" s="1"/>
  <c r="AI430" i="16"/>
  <c r="AI243" i="16" l="1"/>
  <c r="AI245" i="16" s="1"/>
  <c r="AI294" i="16"/>
  <c r="AI438" i="16"/>
  <c r="AJ433" i="16" s="1"/>
  <c r="AI161" i="16"/>
  <c r="AI354" i="16"/>
  <c r="AI355" i="16" s="1"/>
  <c r="AJ353" i="16" s="1"/>
  <c r="BP159" i="16"/>
  <c r="Z24" i="47" s="1"/>
  <c r="Z25" i="47" s="1"/>
  <c r="Z35" i="47" s="1"/>
  <c r="BP243" i="16"/>
  <c r="BP245" i="16" l="1"/>
  <c r="V52" i="18" s="1"/>
  <c r="AI282" i="16"/>
  <c r="AI246" i="16"/>
  <c r="AI247" i="16" s="1"/>
  <c r="V16" i="18"/>
  <c r="I33" i="18"/>
  <c r="AI169" i="16"/>
  <c r="BP161" i="16"/>
  <c r="BP169" i="16" l="1"/>
  <c r="AI170" i="16"/>
  <c r="BP170" i="16" s="1"/>
  <c r="BP282" i="16"/>
  <c r="AI283" i="16"/>
  <c r="I34" i="18"/>
  <c r="AI285" i="16" l="1"/>
  <c r="BP283" i="16"/>
  <c r="V31" i="18" s="1"/>
  <c r="I40" i="18"/>
  <c r="AI171" i="16"/>
  <c r="V18" i="18" l="1"/>
  <c r="AI292" i="16"/>
  <c r="AI286" i="16"/>
  <c r="AI287" i="16" s="1"/>
  <c r="BP285" i="16"/>
  <c r="AI350" i="16" l="1"/>
  <c r="AI357" i="16" s="1"/>
  <c r="AI296" i="16"/>
  <c r="BP292" i="16"/>
  <c r="V19" i="18"/>
  <c r="V53" i="18" l="1"/>
  <c r="I52" i="18"/>
  <c r="AI301" i="16"/>
  <c r="BP296" i="16"/>
  <c r="AI359" i="16"/>
  <c r="AI364" i="16"/>
  <c r="AI365" i="16" s="1"/>
  <c r="AJ361" i="16" s="1"/>
  <c r="AJ363" i="16" s="1"/>
  <c r="AJ411" i="16" s="1"/>
  <c r="AJ412" i="16" l="1"/>
  <c r="AJ413" i="16" s="1"/>
  <c r="AJ417" i="16" s="1"/>
  <c r="AJ418" i="16" s="1"/>
  <c r="AJ422" i="16" s="1"/>
  <c r="AJ424" i="16" s="1"/>
  <c r="AI300" i="16"/>
  <c r="BP301" i="16"/>
  <c r="AJ428" i="16" l="1"/>
  <c r="AJ436" i="16"/>
  <c r="AJ429" i="16"/>
  <c r="AJ435" i="16" s="1"/>
  <c r="AJ437" i="16" s="1"/>
  <c r="AJ440" i="16" s="1"/>
  <c r="AJ442" i="16" s="1"/>
  <c r="AJ434" i="16"/>
  <c r="AJ419" i="16"/>
  <c r="AK416" i="16" s="1"/>
  <c r="AJ243" i="16" l="1"/>
  <c r="AJ159" i="16"/>
  <c r="AJ294" i="16"/>
  <c r="AJ438" i="16"/>
  <c r="AK433" i="16" s="1"/>
  <c r="AJ430" i="16"/>
  <c r="AK427" i="16" s="1"/>
  <c r="AJ354" i="16" l="1"/>
  <c r="AJ355" i="16" s="1"/>
  <c r="AK353" i="16" s="1"/>
  <c r="AJ161" i="16"/>
  <c r="AJ245" i="16"/>
  <c r="AJ246" i="16" l="1"/>
  <c r="AJ247" i="16" s="1"/>
  <c r="AJ282" i="16"/>
  <c r="AJ169" i="16"/>
  <c r="AJ283" i="16" l="1"/>
  <c r="AJ170" i="16"/>
  <c r="AJ171" i="16" s="1"/>
  <c r="AJ285" i="16" l="1"/>
  <c r="AJ292" i="16" l="1"/>
  <c r="AJ286" i="16"/>
  <c r="AJ287" i="16" s="1"/>
  <c r="AJ296" i="16" l="1"/>
  <c r="AJ350" i="16"/>
  <c r="AJ357" i="16" s="1"/>
  <c r="AJ359" i="16" l="1"/>
  <c r="AJ364" i="16"/>
  <c r="AJ365" i="16" s="1"/>
  <c r="AK361" i="16" s="1"/>
  <c r="AK363" i="16" s="1"/>
  <c r="AK411" i="16" s="1"/>
  <c r="AJ301" i="16"/>
  <c r="AJ300" i="16" l="1"/>
  <c r="AK412" i="16"/>
  <c r="AK413" i="16" s="1"/>
  <c r="AK417" i="16" s="1"/>
  <c r="AK418" i="16" l="1"/>
  <c r="AK422" i="16" s="1"/>
  <c r="AK424" i="16" s="1"/>
  <c r="AK434" i="16" l="1"/>
  <c r="AK436" i="16"/>
  <c r="AK428" i="16"/>
  <c r="AK429" i="16"/>
  <c r="AK435" i="16" s="1"/>
  <c r="AK437" i="16" s="1"/>
  <c r="AK440" i="16" s="1"/>
  <c r="AK442" i="16" s="1"/>
  <c r="AK419" i="16"/>
  <c r="AL416" i="16" s="1"/>
  <c r="AK159" i="16" l="1"/>
  <c r="AK294" i="16"/>
  <c r="AK243" i="16"/>
  <c r="AK430" i="16"/>
  <c r="AL427" i="16" s="1"/>
  <c r="AK438" i="16"/>
  <c r="AL433" i="16" s="1"/>
  <c r="AK245" i="16" l="1"/>
  <c r="AK354" i="16"/>
  <c r="AK355" i="16" s="1"/>
  <c r="AL353" i="16" s="1"/>
  <c r="AK161" i="16"/>
  <c r="AK169" i="16" l="1"/>
  <c r="AK246" i="16"/>
  <c r="AK247" i="16" s="1"/>
  <c r="AK282" i="16"/>
  <c r="AK283" i="16" l="1"/>
  <c r="AK170" i="16"/>
  <c r="AK171" i="16" s="1"/>
  <c r="AK285" i="16" l="1"/>
  <c r="AK292" i="16" l="1"/>
  <c r="AK286" i="16"/>
  <c r="AK287" i="16" l="1"/>
  <c r="AK350" i="16"/>
  <c r="AK357" i="16" s="1"/>
  <c r="AK296" i="16"/>
  <c r="AK364" i="16" l="1"/>
  <c r="AK365" i="16" s="1"/>
  <c r="AL361" i="16" s="1"/>
  <c r="AL363" i="16" s="1"/>
  <c r="AL411" i="16" s="1"/>
  <c r="AK359" i="16"/>
  <c r="AK301" i="16"/>
  <c r="AK300" i="16" l="1"/>
  <c r="AL412" i="16"/>
  <c r="AL413" i="16" s="1"/>
  <c r="AL417" i="16" s="1"/>
  <c r="AL418" i="16" l="1"/>
  <c r="AL422" i="16" s="1"/>
  <c r="AL424" i="16" s="1"/>
  <c r="AL429" i="16" l="1"/>
  <c r="AL435" i="16" s="1"/>
  <c r="AL436" i="16"/>
  <c r="AL434" i="16"/>
  <c r="AL428" i="16"/>
  <c r="AL419" i="16"/>
  <c r="AM416" i="16" s="1"/>
  <c r="AL430" i="16" l="1"/>
  <c r="AM427" i="16" s="1"/>
  <c r="AL437" i="16"/>
  <c r="AL438" i="16" s="1"/>
  <c r="AM433" i="16" s="1"/>
  <c r="AL440" i="16" l="1"/>
  <c r="AL442" i="16" s="1"/>
  <c r="AL243" i="16" l="1"/>
  <c r="AL245" i="16" s="1"/>
  <c r="AL282" i="16" s="1"/>
  <c r="AL159" i="16"/>
  <c r="AL294" i="16"/>
  <c r="AL246" i="16" l="1"/>
  <c r="AL247" i="16" s="1"/>
  <c r="AL161" i="16"/>
  <c r="AL169" i="16" s="1"/>
  <c r="AL170" i="16" s="1"/>
  <c r="AL354" i="16"/>
  <c r="AL355" i="16" s="1"/>
  <c r="AM353" i="16" s="1"/>
  <c r="AL283" i="16"/>
  <c r="AL285" i="16" l="1"/>
  <c r="AL171" i="16"/>
  <c r="AL292" i="16" l="1"/>
  <c r="AL286" i="16"/>
  <c r="AL287" i="16" s="1"/>
  <c r="AL350" i="16" l="1"/>
  <c r="AL357" i="16" s="1"/>
  <c r="AL296" i="16"/>
  <c r="AL301" i="16" l="1"/>
  <c r="AL364" i="16"/>
  <c r="AL365" i="16" s="1"/>
  <c r="AM361" i="16" s="1"/>
  <c r="AM363" i="16" s="1"/>
  <c r="AM411" i="16" s="1"/>
  <c r="AL359" i="16"/>
  <c r="AM412" i="16" l="1"/>
  <c r="AM413" i="16" s="1"/>
  <c r="AM417" i="16" s="1"/>
  <c r="AL300" i="16"/>
  <c r="AM418" i="16" l="1"/>
  <c r="AM422" i="16" s="1"/>
  <c r="AM424" i="16" s="1"/>
  <c r="AM436" i="16" l="1"/>
  <c r="AM428" i="16"/>
  <c r="AM434" i="16"/>
  <c r="AM429" i="16"/>
  <c r="AM435" i="16" s="1"/>
  <c r="AM437" i="16" s="1"/>
  <c r="AM440" i="16" s="1"/>
  <c r="AM442" i="16" s="1"/>
  <c r="AM419" i="16"/>
  <c r="AN416" i="16" s="1"/>
  <c r="AM159" i="16" l="1"/>
  <c r="AM243" i="16"/>
  <c r="AM294" i="16"/>
  <c r="AM438" i="16"/>
  <c r="AN433" i="16" s="1"/>
  <c r="AM430" i="16"/>
  <c r="AM245" i="16" l="1"/>
  <c r="BQ243" i="16"/>
  <c r="AM161" i="16"/>
  <c r="AM354" i="16"/>
  <c r="AM355" i="16" s="1"/>
  <c r="AN353" i="16" s="1"/>
  <c r="BQ159" i="16"/>
  <c r="AA24" i="47" s="1"/>
  <c r="AA25" i="47" s="1"/>
  <c r="AA35" i="47" s="1"/>
  <c r="W16" i="18" l="1"/>
  <c r="J33" i="18"/>
  <c r="AM169" i="16"/>
  <c r="BQ161" i="16"/>
  <c r="BQ245" i="16"/>
  <c r="W52" i="18" s="1"/>
  <c r="AM246" i="16"/>
  <c r="AM247" i="16" s="1"/>
  <c r="AM282" i="16"/>
  <c r="AM283" i="16" l="1"/>
  <c r="BQ282" i="16"/>
  <c r="BQ169" i="16"/>
  <c r="AM170" i="16"/>
  <c r="BQ170" i="16" s="1"/>
  <c r="J34" i="18"/>
  <c r="K33" i="18"/>
  <c r="X16" i="18"/>
  <c r="AM171" i="16" l="1"/>
  <c r="J40" i="18"/>
  <c r="K34" i="18"/>
  <c r="AM285" i="16"/>
  <c r="BQ283" i="16"/>
  <c r="W31" i="18" s="1"/>
  <c r="X31" i="18" s="1"/>
  <c r="AM292" i="16" l="1"/>
  <c r="BQ285" i="16"/>
  <c r="AM286" i="16"/>
  <c r="AM287" i="16" s="1"/>
  <c r="W18" i="18"/>
  <c r="R23" i="18"/>
  <c r="K40" i="18"/>
  <c r="X18" i="18" l="1"/>
  <c r="W19" i="18"/>
  <c r="AM350" i="16"/>
  <c r="AM357" i="16" s="1"/>
  <c r="AM296" i="16"/>
  <c r="BQ292" i="16"/>
  <c r="AM301" i="16" l="1"/>
  <c r="BQ296" i="16"/>
  <c r="W53" i="18"/>
  <c r="X19" i="18"/>
  <c r="J52" i="18"/>
  <c r="E52" i="18" s="1"/>
  <c r="AM359" i="16"/>
  <c r="AM364" i="16"/>
  <c r="AM365" i="16" s="1"/>
  <c r="AN361" i="16" s="1"/>
  <c r="AN363" i="16" s="1"/>
  <c r="AN411" i="16" s="1"/>
  <c r="AN412" i="16" l="1"/>
  <c r="AN413" i="16" s="1"/>
  <c r="AN417" i="16" s="1"/>
  <c r="AN418" i="16" s="1"/>
  <c r="AN422" i="16" s="1"/>
  <c r="AN424" i="16" s="1"/>
  <c r="AM300" i="16"/>
  <c r="BQ301" i="16"/>
  <c r="AN434" i="16" l="1"/>
  <c r="AN429" i="16"/>
  <c r="AN435" i="16" s="1"/>
  <c r="AN436" i="16"/>
  <c r="AN428" i="16"/>
  <c r="AN419" i="16"/>
  <c r="AO416" i="16" s="1"/>
  <c r="AN430" i="16" l="1"/>
  <c r="AO427" i="16" s="1"/>
  <c r="AN437" i="16"/>
  <c r="AN440" i="16" s="1"/>
  <c r="AN442" i="16" s="1"/>
  <c r="AN159" i="16" s="1"/>
  <c r="AN438" i="16" l="1"/>
  <c r="AO433" i="16" s="1"/>
  <c r="AN243" i="16"/>
  <c r="AN294" i="16"/>
  <c r="AN161" i="16"/>
  <c r="AN354" i="16"/>
  <c r="AN355" i="16" s="1"/>
  <c r="AO353" i="16" s="1"/>
  <c r="AN245" i="16"/>
  <c r="AN246" i="16" l="1"/>
  <c r="AN247" i="16" s="1"/>
  <c r="AN282" i="16"/>
  <c r="AN169" i="16"/>
  <c r="AN283" i="16" l="1"/>
  <c r="AN170" i="16"/>
  <c r="AN171" i="16" s="1"/>
  <c r="AN285" i="16" l="1"/>
  <c r="AN292" i="16" l="1"/>
  <c r="AN286" i="16"/>
  <c r="AN287" i="16" s="1"/>
  <c r="AN350" i="16" l="1"/>
  <c r="AN357" i="16" s="1"/>
  <c r="AN296" i="16"/>
  <c r="AN301" i="16" l="1"/>
  <c r="AN364" i="16"/>
  <c r="AN365" i="16" s="1"/>
  <c r="AO361" i="16" s="1"/>
  <c r="AO363" i="16" s="1"/>
  <c r="AO411" i="16" s="1"/>
  <c r="AN359" i="16"/>
  <c r="AO412" i="16" l="1"/>
  <c r="AO413" i="16" s="1"/>
  <c r="AO417" i="16" s="1"/>
  <c r="AN300" i="16"/>
  <c r="AO418" i="16" l="1"/>
  <c r="AO422" i="16" s="1"/>
  <c r="AO424" i="16" s="1"/>
  <c r="AO436" i="16" l="1"/>
  <c r="AO428" i="16"/>
  <c r="AO434" i="16"/>
  <c r="AO429" i="16"/>
  <c r="AO435" i="16" s="1"/>
  <c r="AO419" i="16"/>
  <c r="AP416" i="16" s="1"/>
  <c r="AO437" i="16" l="1"/>
  <c r="AO438" i="16" s="1"/>
  <c r="AP433" i="16" s="1"/>
  <c r="AO430" i="16"/>
  <c r="AP427" i="16" s="1"/>
  <c r="AO440" i="16" l="1"/>
  <c r="AO442" i="16" s="1"/>
  <c r="AO243" i="16" s="1"/>
  <c r="AO159" i="16" l="1"/>
  <c r="AO161" i="16" s="1"/>
  <c r="AO294" i="16"/>
  <c r="AO245" i="16"/>
  <c r="AO354" i="16" l="1"/>
  <c r="AO355" i="16" s="1"/>
  <c r="AP353" i="16" s="1"/>
  <c r="AO169" i="16"/>
  <c r="AO246" i="16"/>
  <c r="AO247" i="16" s="1"/>
  <c r="AO282" i="16"/>
  <c r="AO283" i="16" l="1"/>
  <c r="AO170" i="16"/>
  <c r="AO171" i="16" s="1"/>
  <c r="AO285" i="16" l="1"/>
  <c r="AO292" i="16" l="1"/>
  <c r="AO286" i="16"/>
  <c r="AO287" i="16" s="1"/>
  <c r="AO350" i="16" l="1"/>
  <c r="AO357" i="16" s="1"/>
  <c r="AO296" i="16"/>
  <c r="AO301" i="16" l="1"/>
  <c r="AO359" i="16"/>
  <c r="AO364" i="16"/>
  <c r="AO365" i="16" s="1"/>
  <c r="AP361" i="16" s="1"/>
  <c r="AP363" i="16" s="1"/>
  <c r="AP411" i="16" s="1"/>
  <c r="AP412" i="16" l="1"/>
  <c r="AP413" i="16" s="1"/>
  <c r="AP417" i="16" s="1"/>
  <c r="AO300" i="16"/>
  <c r="AP418" i="16" l="1"/>
  <c r="AP422" i="16" s="1"/>
  <c r="AP424" i="16" s="1"/>
  <c r="AP434" i="16" l="1"/>
  <c r="AP428" i="16"/>
  <c r="AP436" i="16"/>
  <c r="AP429" i="16"/>
  <c r="AP435" i="16" s="1"/>
  <c r="AP437" i="16" s="1"/>
  <c r="AP438" i="16" s="1"/>
  <c r="AQ433" i="16" s="1"/>
  <c r="AP419" i="16"/>
  <c r="AQ416" i="16" s="1"/>
  <c r="AP440" i="16" l="1"/>
  <c r="AP442" i="16" s="1"/>
  <c r="AP430" i="16"/>
  <c r="AQ427" i="16" s="1"/>
  <c r="AP159" i="16" l="1"/>
  <c r="AP294" i="16"/>
  <c r="AP243" i="16"/>
  <c r="AP245" i="16" l="1"/>
  <c r="AP161" i="16"/>
  <c r="AP354" i="16"/>
  <c r="AP355" i="16" s="1"/>
  <c r="AQ353" i="16" s="1"/>
  <c r="AP169" i="16" l="1"/>
  <c r="AP246" i="16"/>
  <c r="AP247" i="16" s="1"/>
  <c r="AP282" i="16"/>
  <c r="AP283" i="16" l="1"/>
  <c r="AP170" i="16"/>
  <c r="AP285" i="16" l="1"/>
  <c r="AP171" i="16"/>
  <c r="AP292" i="16" l="1"/>
  <c r="AP286" i="16"/>
  <c r="AP287" i="16" s="1"/>
  <c r="AP350" i="16" l="1"/>
  <c r="AP357" i="16" s="1"/>
  <c r="AP296" i="16"/>
  <c r="AP301" i="16" l="1"/>
  <c r="AP359" i="16"/>
  <c r="AP364" i="16"/>
  <c r="AP365" i="16" s="1"/>
  <c r="AQ361" i="16" s="1"/>
  <c r="AQ363" i="16" s="1"/>
  <c r="AQ411" i="16" s="1"/>
  <c r="AQ412" i="16" l="1"/>
  <c r="AQ413" i="16" s="1"/>
  <c r="AQ417" i="16" s="1"/>
  <c r="AP300" i="16"/>
  <c r="AQ418" i="16" l="1"/>
  <c r="AQ422" i="16" s="1"/>
  <c r="AQ424" i="16" s="1"/>
  <c r="AQ434" i="16" l="1"/>
  <c r="AQ429" i="16"/>
  <c r="AQ435" i="16" s="1"/>
  <c r="AQ436" i="16"/>
  <c r="AQ428" i="16"/>
  <c r="AQ419" i="16"/>
  <c r="AR416" i="16" s="1"/>
  <c r="AQ430" i="16" l="1"/>
  <c r="AQ437" i="16"/>
  <c r="AQ440" i="16" s="1"/>
  <c r="AQ442" i="16" s="1"/>
  <c r="AQ159" i="16" s="1"/>
  <c r="AQ438" i="16" l="1"/>
  <c r="AR433" i="16" s="1"/>
  <c r="AQ294" i="16"/>
  <c r="BR294" i="16" s="1"/>
  <c r="AQ243" i="16"/>
  <c r="AQ245" i="16" s="1"/>
  <c r="BR243" i="16"/>
  <c r="AQ161" i="16"/>
  <c r="AQ354" i="16"/>
  <c r="AQ355" i="16" s="1"/>
  <c r="AR353" i="16" s="1"/>
  <c r="BR159" i="16"/>
  <c r="AQ169" i="16" l="1"/>
  <c r="BR161" i="16"/>
  <c r="AQ246" i="16"/>
  <c r="AQ247" i="16" s="1"/>
  <c r="BR245" i="16"/>
  <c r="AQ282" i="16"/>
  <c r="BR282" i="16" l="1"/>
  <c r="AQ283" i="16"/>
  <c r="BR169" i="16"/>
  <c r="AQ170" i="16"/>
  <c r="BR170" i="16" s="1"/>
  <c r="AQ171" i="16" l="1"/>
  <c r="AQ285" i="16"/>
  <c r="BR283" i="16"/>
  <c r="AQ292" i="16" l="1"/>
  <c r="AQ286" i="16"/>
  <c r="AQ287" i="16" s="1"/>
  <c r="BR285" i="16"/>
  <c r="AQ296" i="16" l="1"/>
  <c r="AQ350" i="16"/>
  <c r="AQ357" i="16" s="1"/>
  <c r="BR292" i="16"/>
  <c r="AQ364" i="16" l="1"/>
  <c r="AQ365" i="16" s="1"/>
  <c r="AR361" i="16" s="1"/>
  <c r="AR363" i="16" s="1"/>
  <c r="AR411" i="16" s="1"/>
  <c r="AQ359" i="16"/>
  <c r="AQ301" i="16"/>
  <c r="BR296" i="16"/>
  <c r="AQ300" i="16" l="1"/>
  <c r="BR301" i="16"/>
  <c r="AR412" i="16"/>
  <c r="AR413" i="16" s="1"/>
  <c r="AR417" i="16" s="1"/>
  <c r="AR418" i="16" l="1"/>
  <c r="AR422" i="16" s="1"/>
  <c r="AR424" i="16" s="1"/>
  <c r="AR419" i="16" l="1"/>
  <c r="AS416" i="16" s="1"/>
  <c r="AR429" i="16"/>
  <c r="AR435" i="16" s="1"/>
  <c r="AR428" i="16"/>
  <c r="AR434" i="16"/>
  <c r="AR436" i="16"/>
  <c r="AR430" i="16" l="1"/>
  <c r="AS427" i="16" s="1"/>
  <c r="AR437" i="16"/>
  <c r="AR440" i="16" s="1"/>
  <c r="AR442" i="16" s="1"/>
  <c r="AR159" i="16" l="1"/>
  <c r="AR243" i="16"/>
  <c r="AR294" i="16"/>
  <c r="AR438" i="16"/>
  <c r="AS433" i="16" s="1"/>
  <c r="AR245" i="16" l="1"/>
  <c r="AR354" i="16"/>
  <c r="AR355" i="16" s="1"/>
  <c r="AS353" i="16" s="1"/>
  <c r="AR161" i="16"/>
  <c r="AR169" i="16" l="1"/>
  <c r="AR282" i="16"/>
  <c r="AR246" i="16"/>
  <c r="AR247" i="16" s="1"/>
  <c r="AR283" i="16" l="1"/>
  <c r="AR170" i="16"/>
  <c r="AR171" i="16" s="1"/>
  <c r="AR285" i="16" l="1"/>
  <c r="AR292" i="16" l="1"/>
  <c r="AR286" i="16"/>
  <c r="AR287" i="16" s="1"/>
  <c r="AR296" i="16" l="1"/>
  <c r="AR350" i="16"/>
  <c r="AR357" i="16" s="1"/>
  <c r="AR364" i="16" l="1"/>
  <c r="AR365" i="16" s="1"/>
  <c r="AS361" i="16" s="1"/>
  <c r="AS363" i="16" s="1"/>
  <c r="AS411" i="16" s="1"/>
  <c r="AR359" i="16"/>
  <c r="AR301" i="16"/>
  <c r="AR300" i="16" l="1"/>
  <c r="AS412" i="16"/>
  <c r="AS413" i="16" s="1"/>
  <c r="AS417" i="16" s="1"/>
  <c r="AS418" i="16" l="1"/>
  <c r="AS422" i="16" s="1"/>
  <c r="AS424" i="16" s="1"/>
  <c r="AS436" i="16" l="1"/>
  <c r="AS429" i="16"/>
  <c r="AS435" i="16" s="1"/>
  <c r="AS437" i="16" s="1"/>
  <c r="AS440" i="16" s="1"/>
  <c r="AS442" i="16" s="1"/>
  <c r="AS434" i="16"/>
  <c r="AS428" i="16"/>
  <c r="AS430" i="16" s="1"/>
  <c r="AT427" i="16" s="1"/>
  <c r="AS419" i="16"/>
  <c r="AT416" i="16" s="1"/>
  <c r="AS159" i="16" l="1"/>
  <c r="AS294" i="16"/>
  <c r="AS243" i="16"/>
  <c r="AS438" i="16"/>
  <c r="AT433" i="16" s="1"/>
  <c r="AS245" i="16" l="1"/>
  <c r="AS161" i="16"/>
  <c r="AS354" i="16"/>
  <c r="AS355" i="16" s="1"/>
  <c r="AT353" i="16" s="1"/>
  <c r="AS169" i="16" l="1"/>
  <c r="AS246" i="16"/>
  <c r="AS247" i="16" s="1"/>
  <c r="AS282" i="16"/>
  <c r="AS283" i="16" l="1"/>
  <c r="AS170" i="16"/>
  <c r="AS171" i="16" s="1"/>
  <c r="AS285" i="16" l="1"/>
  <c r="AS292" i="16" l="1"/>
  <c r="AS286" i="16"/>
  <c r="AS287" i="16" s="1"/>
  <c r="AS350" i="16" l="1"/>
  <c r="AS357" i="16" s="1"/>
  <c r="AS296" i="16"/>
  <c r="AS301" i="16" l="1"/>
  <c r="AS364" i="16"/>
  <c r="AS365" i="16" s="1"/>
  <c r="AT361" i="16" s="1"/>
  <c r="AT363" i="16" s="1"/>
  <c r="AT411" i="16" s="1"/>
  <c r="AS359" i="16"/>
  <c r="AT412" i="16" l="1"/>
  <c r="AT413" i="16" s="1"/>
  <c r="AT417" i="16" s="1"/>
  <c r="AS300" i="16"/>
  <c r="AT418" i="16" l="1"/>
  <c r="AT422" i="16" s="1"/>
  <c r="AT424" i="16" s="1"/>
  <c r="AT429" i="16" l="1"/>
  <c r="AT435" i="16" s="1"/>
  <c r="AT436" i="16"/>
  <c r="AT434" i="16"/>
  <c r="AT428" i="16"/>
  <c r="AT419" i="16"/>
  <c r="AU416" i="16" s="1"/>
  <c r="AT430" i="16" l="1"/>
  <c r="AU427" i="16" s="1"/>
  <c r="AT437" i="16"/>
  <c r="AT440" i="16" s="1"/>
  <c r="AT442" i="16" s="1"/>
  <c r="AT438" i="16" l="1"/>
  <c r="AU433" i="16" s="1"/>
  <c r="AT243" i="16"/>
  <c r="AT294" i="16"/>
  <c r="AT159" i="16"/>
  <c r="AT161" i="16" l="1"/>
  <c r="AT354" i="16"/>
  <c r="AT355" i="16" s="1"/>
  <c r="AU353" i="16" s="1"/>
  <c r="AT245" i="16"/>
  <c r="AT246" i="16" l="1"/>
  <c r="AT247" i="16" s="1"/>
  <c r="AT282" i="16"/>
  <c r="AT169" i="16"/>
  <c r="AT283" i="16" l="1"/>
  <c r="AT170" i="16"/>
  <c r="AT171" i="16" l="1"/>
  <c r="AT285" i="16"/>
  <c r="AT292" i="16" l="1"/>
  <c r="AT286" i="16"/>
  <c r="AT287" i="16" s="1"/>
  <c r="AT350" i="16" l="1"/>
  <c r="AT357" i="16" s="1"/>
  <c r="AT296" i="16"/>
  <c r="AT301" i="16" l="1"/>
  <c r="AT359" i="16"/>
  <c r="AT364" i="16"/>
  <c r="AT365" i="16" s="1"/>
  <c r="AU361" i="16" s="1"/>
  <c r="AU363" i="16" s="1"/>
  <c r="AU411" i="16" s="1"/>
  <c r="AU412" i="16" l="1"/>
  <c r="AU413" i="16" s="1"/>
  <c r="AU417" i="16" s="1"/>
  <c r="AT300" i="16"/>
  <c r="AU418" i="16" l="1"/>
  <c r="AU422" i="16" s="1"/>
  <c r="AU424" i="16" s="1"/>
  <c r="AU428" i="16" l="1"/>
  <c r="AU436" i="16"/>
  <c r="AU429" i="16"/>
  <c r="AU435" i="16" s="1"/>
  <c r="AU434" i="16"/>
  <c r="AU419" i="16"/>
  <c r="AV416" i="16" s="1"/>
  <c r="AU437" i="16" l="1"/>
  <c r="AU440" i="16" s="1"/>
  <c r="AU442" i="16" s="1"/>
  <c r="AU243" i="16" s="1"/>
  <c r="AU430" i="16"/>
  <c r="AU438" i="16" l="1"/>
  <c r="AV433" i="16" s="1"/>
  <c r="AU294" i="16"/>
  <c r="AU159" i="16"/>
  <c r="AU354" i="16"/>
  <c r="AU355" i="16" s="1"/>
  <c r="AV353" i="16" s="1"/>
  <c r="AU161" i="16"/>
  <c r="BS159" i="16"/>
  <c r="AU245" i="16"/>
  <c r="BS243" i="16"/>
  <c r="AU246" i="16" l="1"/>
  <c r="AU247" i="16" s="1"/>
  <c r="AU282" i="16"/>
  <c r="BS245" i="16"/>
  <c r="AU169" i="16"/>
  <c r="BS161" i="16"/>
  <c r="AU170" i="16" l="1"/>
  <c r="BS170" i="16" s="1"/>
  <c r="BS169" i="16"/>
  <c r="AU171" i="16"/>
  <c r="BS282" i="16"/>
  <c r="AU283" i="16"/>
  <c r="AU285" i="16" l="1"/>
  <c r="BS283" i="16"/>
  <c r="AU292" i="16" l="1"/>
  <c r="AU286" i="16"/>
  <c r="AU287" i="16" s="1"/>
  <c r="BS285" i="16"/>
  <c r="AU350" i="16" l="1"/>
  <c r="AU357" i="16" s="1"/>
  <c r="AU296" i="16"/>
  <c r="BS292" i="16"/>
  <c r="AU301" i="16" l="1"/>
  <c r="BS296" i="16"/>
  <c r="AU359" i="16"/>
  <c r="AU364" i="16"/>
  <c r="AU365" i="16" s="1"/>
  <c r="AV361" i="16" s="1"/>
  <c r="AV363" i="16" s="1"/>
  <c r="AV411" i="16" s="1"/>
  <c r="AV412" i="16" l="1"/>
  <c r="AV413" i="16" s="1"/>
  <c r="AV417" i="16" s="1"/>
  <c r="AV418" i="16" s="1"/>
  <c r="AV422" i="16" s="1"/>
  <c r="AV424" i="16" s="1"/>
  <c r="AU300" i="16"/>
  <c r="BS301" i="16"/>
  <c r="AV436" i="16" l="1"/>
  <c r="AV429" i="16"/>
  <c r="AV435" i="16" s="1"/>
  <c r="AV437" i="16" s="1"/>
  <c r="AV440" i="16" s="1"/>
  <c r="AV442" i="16" s="1"/>
  <c r="AV428" i="16"/>
  <c r="AV434" i="16"/>
  <c r="AV419" i="16"/>
  <c r="AW416" i="16" s="1"/>
  <c r="AV430" i="16" l="1"/>
  <c r="AW427" i="16" s="1"/>
  <c r="AV438" i="16"/>
  <c r="AW433" i="16" s="1"/>
  <c r="AV243" i="16"/>
  <c r="AV294" i="16"/>
  <c r="AV159" i="16"/>
  <c r="AV245" i="16" l="1"/>
  <c r="AV161" i="16"/>
  <c r="AV354" i="16"/>
  <c r="AV355" i="16" s="1"/>
  <c r="AW353" i="16" s="1"/>
  <c r="AV169" i="16" l="1"/>
  <c r="AV246" i="16"/>
  <c r="AV247" i="16" s="1"/>
  <c r="AV282" i="16"/>
  <c r="AV283" i="16" l="1"/>
  <c r="AV170" i="16"/>
  <c r="AV171" i="16" s="1"/>
  <c r="AV285" i="16" l="1"/>
  <c r="AV292" i="16" l="1"/>
  <c r="AV286" i="16"/>
  <c r="AV287" i="16" s="1"/>
  <c r="AV350" i="16" l="1"/>
  <c r="AV357" i="16" s="1"/>
  <c r="AV296" i="16"/>
  <c r="AV301" i="16" l="1"/>
  <c r="AV359" i="16"/>
  <c r="AV364" i="16"/>
  <c r="AV365" i="16" s="1"/>
  <c r="AW361" i="16" s="1"/>
  <c r="AW363" i="16" s="1"/>
  <c r="AW411" i="16" s="1"/>
  <c r="AW412" i="16" l="1"/>
  <c r="AW413" i="16" s="1"/>
  <c r="AW417" i="16" s="1"/>
  <c r="AV300" i="16"/>
  <c r="AW418" i="16" l="1"/>
  <c r="AW422" i="16" s="1"/>
  <c r="AW424" i="16" s="1"/>
  <c r="AW434" i="16" l="1"/>
  <c r="AW436" i="16"/>
  <c r="AW428" i="16"/>
  <c r="AW429" i="16"/>
  <c r="AW435" i="16" s="1"/>
  <c r="AW437" i="16" s="1"/>
  <c r="AW440" i="16" s="1"/>
  <c r="AW442" i="16" s="1"/>
  <c r="AW419" i="16"/>
  <c r="AX416" i="16" s="1"/>
  <c r="AW430" i="16" l="1"/>
  <c r="AX427" i="16" s="1"/>
  <c r="AW243" i="16"/>
  <c r="AW159" i="16"/>
  <c r="AW294" i="16"/>
  <c r="AW438" i="16"/>
  <c r="AX433" i="16" s="1"/>
  <c r="AW161" i="16" l="1"/>
  <c r="AW354" i="16"/>
  <c r="AW355" i="16" s="1"/>
  <c r="AX353" i="16" s="1"/>
  <c r="AW245" i="16"/>
  <c r="AW246" i="16" l="1"/>
  <c r="AW247" i="16" s="1"/>
  <c r="AW282" i="16"/>
  <c r="AW169" i="16"/>
  <c r="AW170" i="16" l="1"/>
  <c r="AW171" i="16" s="1"/>
  <c r="AW283" i="16"/>
  <c r="AW285" i="16" l="1"/>
  <c r="AW292" i="16" l="1"/>
  <c r="AW286" i="16"/>
  <c r="AW287" i="16" s="1"/>
  <c r="AW296" i="16" l="1"/>
  <c r="AW350" i="16"/>
  <c r="AW357" i="16" s="1"/>
  <c r="AW359" i="16" l="1"/>
  <c r="AW364" i="16"/>
  <c r="AW365" i="16" s="1"/>
  <c r="AX361" i="16" s="1"/>
  <c r="AX363" i="16" s="1"/>
  <c r="AX411" i="16" s="1"/>
  <c r="AW301" i="16"/>
  <c r="AW300" i="16" l="1"/>
  <c r="AX412" i="16"/>
  <c r="AX413" i="16" s="1"/>
  <c r="AX417" i="16" s="1"/>
  <c r="AX418" i="16" l="1"/>
  <c r="AX422" i="16" s="1"/>
  <c r="AX424" i="16" s="1"/>
  <c r="AX436" i="16" l="1"/>
  <c r="AX434" i="16"/>
  <c r="AX428" i="16"/>
  <c r="AX429" i="16"/>
  <c r="AX435" i="16" s="1"/>
  <c r="AX437" i="16" s="1"/>
  <c r="AX440" i="16" s="1"/>
  <c r="AX442" i="16" s="1"/>
  <c r="AX419" i="16"/>
  <c r="AY416" i="16" s="1"/>
  <c r="AX430" i="16" l="1"/>
  <c r="AY427" i="16" s="1"/>
  <c r="AX294" i="16"/>
  <c r="AX159" i="16"/>
  <c r="AX243" i="16"/>
  <c r="AX438" i="16"/>
  <c r="AY433" i="16" s="1"/>
  <c r="AX161" i="16" l="1"/>
  <c r="AX354" i="16"/>
  <c r="AX355" i="16" s="1"/>
  <c r="AY353" i="16" s="1"/>
  <c r="AX245" i="16"/>
  <c r="AX282" i="16" l="1"/>
  <c r="AX246" i="16"/>
  <c r="AX247" i="16" s="1"/>
  <c r="AX169" i="16"/>
  <c r="AX170" i="16" l="1"/>
  <c r="AX283" i="16"/>
  <c r="AX285" i="16" l="1"/>
  <c r="AX171" i="16"/>
  <c r="AX292" i="16" l="1"/>
  <c r="AX286" i="16"/>
  <c r="AX287" i="16" s="1"/>
  <c r="AX296" i="16" l="1"/>
  <c r="AX350" i="16"/>
  <c r="AX357" i="16" s="1"/>
  <c r="AX359" i="16" l="1"/>
  <c r="AX364" i="16"/>
  <c r="AX365" i="16" s="1"/>
  <c r="AY361" i="16" s="1"/>
  <c r="AY363" i="16" s="1"/>
  <c r="AY411" i="16" s="1"/>
  <c r="AX301" i="16"/>
  <c r="AY412" i="16" l="1"/>
  <c r="AY413" i="16" s="1"/>
  <c r="AY417" i="16" s="1"/>
  <c r="AX300" i="16"/>
  <c r="AY418" i="16" l="1"/>
  <c r="AY422" i="16" s="1"/>
  <c r="AY424" i="16" s="1"/>
  <c r="AY428" i="16" l="1"/>
  <c r="AY429" i="16"/>
  <c r="AY435" i="16" s="1"/>
  <c r="AY436" i="16"/>
  <c r="AY434" i="16"/>
  <c r="AY419" i="16"/>
  <c r="AZ416" i="16" s="1"/>
  <c r="AY437" i="16" l="1"/>
  <c r="AY440" i="16" s="1"/>
  <c r="AY442" i="16" s="1"/>
  <c r="AY159" i="16" s="1"/>
  <c r="AY430" i="16"/>
  <c r="AY243" i="16" l="1"/>
  <c r="AY294" i="16"/>
  <c r="AY438" i="16"/>
  <c r="AZ433" i="16" s="1"/>
  <c r="AY245" i="16"/>
  <c r="BT243" i="16"/>
  <c r="AY354" i="16"/>
  <c r="AY355" i="16" s="1"/>
  <c r="AZ353" i="16" s="1"/>
  <c r="AY161" i="16"/>
  <c r="BT159" i="16"/>
  <c r="AY169" i="16" l="1"/>
  <c r="BT161" i="16"/>
  <c r="AY282" i="16"/>
  <c r="AY246" i="16"/>
  <c r="AY247" i="16" s="1"/>
  <c r="BT245" i="16"/>
  <c r="AY283" i="16" l="1"/>
  <c r="BT282" i="16"/>
  <c r="AY170" i="16"/>
  <c r="BT170" i="16" s="1"/>
  <c r="BT169" i="16"/>
  <c r="AY171" i="16" l="1"/>
  <c r="AY285" i="16"/>
  <c r="BT283" i="16"/>
  <c r="AY292" i="16" l="1"/>
  <c r="BT285" i="16"/>
  <c r="AY286" i="16"/>
  <c r="AY287" i="16" s="1"/>
  <c r="AY296" i="16" l="1"/>
  <c r="AY350" i="16"/>
  <c r="AY357" i="16" s="1"/>
  <c r="BT292" i="16"/>
  <c r="AY359" i="16" l="1"/>
  <c r="AY364" i="16"/>
  <c r="AY365" i="16" s="1"/>
  <c r="AZ361" i="16" s="1"/>
  <c r="AZ363" i="16" s="1"/>
  <c r="AZ411" i="16" s="1"/>
  <c r="AY301" i="16"/>
  <c r="BT296" i="16"/>
  <c r="AY300" i="16" l="1"/>
  <c r="BT301" i="16"/>
  <c r="AZ412" i="16"/>
  <c r="AZ413" i="16" s="1"/>
  <c r="AZ417" i="16" s="1"/>
  <c r="AZ418" i="16" s="1"/>
  <c r="AZ422" i="16" s="1"/>
  <c r="AZ424" i="16" s="1"/>
  <c r="AZ428" i="16" l="1"/>
  <c r="AZ429" i="16"/>
  <c r="AZ435" i="16" s="1"/>
  <c r="AZ434" i="16"/>
  <c r="AZ436" i="16"/>
  <c r="AZ419" i="16"/>
  <c r="BA416" i="16" s="1"/>
  <c r="AZ437" i="16" l="1"/>
  <c r="AZ440" i="16" s="1"/>
  <c r="AZ442" i="16" s="1"/>
  <c r="AZ243" i="16" s="1"/>
  <c r="AZ430" i="16"/>
  <c r="BA427" i="16" s="1"/>
  <c r="AZ438" i="16" l="1"/>
  <c r="BA433" i="16" s="1"/>
  <c r="AZ294" i="16"/>
  <c r="AZ159" i="16"/>
  <c r="AZ161" i="16" s="1"/>
  <c r="AZ245" i="16"/>
  <c r="AZ354" i="16" l="1"/>
  <c r="AZ355" i="16" s="1"/>
  <c r="BA353" i="16" s="1"/>
  <c r="AZ282" i="16"/>
  <c r="AZ246" i="16"/>
  <c r="AZ247" i="16" s="1"/>
  <c r="AZ169" i="16"/>
  <c r="AZ170" i="16" l="1"/>
  <c r="AZ171" i="16" s="1"/>
  <c r="AZ283" i="16"/>
  <c r="AZ285" i="16" l="1"/>
  <c r="AZ292" i="16" l="1"/>
  <c r="AZ286" i="16"/>
  <c r="AZ287" i="16" s="1"/>
  <c r="AZ296" i="16" l="1"/>
  <c r="AZ350" i="16"/>
  <c r="AZ357" i="16" s="1"/>
  <c r="AZ359" i="16" l="1"/>
  <c r="AZ364" i="16"/>
  <c r="AZ365" i="16" s="1"/>
  <c r="BA361" i="16" s="1"/>
  <c r="BA363" i="16" s="1"/>
  <c r="BA411" i="16" s="1"/>
  <c r="AZ301" i="16"/>
  <c r="AZ300" i="16" l="1"/>
  <c r="BA412" i="16"/>
  <c r="BA413" i="16" s="1"/>
  <c r="BA417" i="16" s="1"/>
  <c r="BA418" i="16" s="1"/>
  <c r="BA422" i="16" s="1"/>
  <c r="BA424" i="16" s="1"/>
  <c r="BA429" i="16" l="1"/>
  <c r="BA435" i="16" s="1"/>
  <c r="BA436" i="16"/>
  <c r="BA434" i="16"/>
  <c r="BA428" i="16"/>
  <c r="BA419" i="16"/>
  <c r="BB416" i="16" s="1"/>
  <c r="BA430" i="16" l="1"/>
  <c r="BB427" i="16" s="1"/>
  <c r="BA437" i="16"/>
  <c r="BA440" i="16" s="1"/>
  <c r="BA442" i="16" s="1"/>
  <c r="BA438" i="16" l="1"/>
  <c r="BB433" i="16" s="1"/>
  <c r="BA243" i="16"/>
  <c r="BA159" i="16"/>
  <c r="BA294" i="16"/>
  <c r="BA245" i="16" l="1"/>
  <c r="BA161" i="16"/>
  <c r="BA354" i="16"/>
  <c r="BA355" i="16" s="1"/>
  <c r="BB353" i="16" s="1"/>
  <c r="BA169" i="16" l="1"/>
  <c r="BA246" i="16"/>
  <c r="BA247" i="16" s="1"/>
  <c r="BA282" i="16"/>
  <c r="BA283" i="16" l="1"/>
  <c r="BA170" i="16"/>
  <c r="BA171" i="16" s="1"/>
  <c r="BA285" i="16" l="1"/>
  <c r="BA292" i="16" l="1"/>
  <c r="BA286" i="16"/>
  <c r="BA287" i="16" s="1"/>
  <c r="BA296" i="16" l="1"/>
  <c r="BA350" i="16"/>
  <c r="BA357" i="16" s="1"/>
  <c r="BA364" i="16" l="1"/>
  <c r="BA365" i="16" s="1"/>
  <c r="BB361" i="16" s="1"/>
  <c r="BB363" i="16" s="1"/>
  <c r="BB411" i="16" s="1"/>
  <c r="BA359" i="16"/>
  <c r="BA301" i="16"/>
  <c r="BA300" i="16" l="1"/>
  <c r="BB412" i="16"/>
  <c r="BB413" i="16" s="1"/>
  <c r="BB417" i="16" s="1"/>
  <c r="BB418" i="16" l="1"/>
  <c r="BB422" i="16" s="1"/>
  <c r="BB424" i="16" s="1"/>
  <c r="BB428" i="16" l="1"/>
  <c r="BB436" i="16"/>
  <c r="BB429" i="16"/>
  <c r="BB435" i="16" s="1"/>
  <c r="BB434" i="16"/>
  <c r="BB419" i="16"/>
  <c r="BC416" i="16" s="1"/>
  <c r="BB437" i="16" l="1"/>
  <c r="BB440" i="16" s="1"/>
  <c r="BB442" i="16" s="1"/>
  <c r="BB243" i="16" s="1"/>
  <c r="BB430" i="16"/>
  <c r="BC427" i="16" s="1"/>
  <c r="BB159" i="16" l="1"/>
  <c r="BB438" i="16"/>
  <c r="BC433" i="16" s="1"/>
  <c r="BB294" i="16"/>
  <c r="BB245" i="16"/>
  <c r="BB161" i="16"/>
  <c r="BB354" i="16"/>
  <c r="BB355" i="16" s="1"/>
  <c r="BC353" i="16" s="1"/>
  <c r="BB169" i="16" l="1"/>
  <c r="BB246" i="16"/>
  <c r="BB247" i="16" s="1"/>
  <c r="BB282" i="16"/>
  <c r="BB283" i="16" l="1"/>
  <c r="BB170" i="16"/>
  <c r="BB171" i="16" l="1"/>
  <c r="BB285" i="16"/>
  <c r="BB292" i="16" l="1"/>
  <c r="BB286" i="16"/>
  <c r="BB287" i="16" s="1"/>
  <c r="BB350" i="16" l="1"/>
  <c r="BB357" i="16" s="1"/>
  <c r="BB296" i="16"/>
  <c r="BB301" i="16" l="1"/>
  <c r="BB364" i="16"/>
  <c r="BB365" i="16" s="1"/>
  <c r="BC361" i="16" s="1"/>
  <c r="BC363" i="16" s="1"/>
  <c r="BC411" i="16" s="1"/>
  <c r="BB359" i="16"/>
  <c r="BC412" i="16" l="1"/>
  <c r="BC413" i="16" s="1"/>
  <c r="BC417" i="16" s="1"/>
  <c r="BB300" i="16"/>
  <c r="BS294" i="16"/>
  <c r="BT294" i="16"/>
  <c r="BC418" i="16" l="1"/>
  <c r="BC422" i="16" s="1"/>
  <c r="BC424" i="16" s="1"/>
  <c r="BC428" i="16" l="1"/>
  <c r="BC436" i="16"/>
  <c r="BC434" i="16"/>
  <c r="BC429" i="16"/>
  <c r="BC435" i="16" s="1"/>
  <c r="BC437" i="16" s="1"/>
  <c r="BC440" i="16" s="1"/>
  <c r="BC442" i="16" s="1"/>
  <c r="BC419" i="16"/>
  <c r="BD416" i="16" s="1"/>
  <c r="BC159" i="16" l="1"/>
  <c r="BC294" i="16"/>
  <c r="BC243" i="16"/>
  <c r="BC438" i="16"/>
  <c r="BD433" i="16" s="1"/>
  <c r="BC430" i="16"/>
  <c r="BC245" i="16" l="1"/>
  <c r="BU243" i="16"/>
  <c r="BU294" i="16"/>
  <c r="BC161" i="16"/>
  <c r="BC354" i="16"/>
  <c r="BC355" i="16" s="1"/>
  <c r="BD353" i="16" s="1"/>
  <c r="BU159" i="16"/>
  <c r="BC169" i="16" l="1"/>
  <c r="BU161" i="16"/>
  <c r="BC246" i="16"/>
  <c r="BC247" i="16" s="1"/>
  <c r="BC282" i="16"/>
  <c r="BU245" i="16"/>
  <c r="BC283" i="16" l="1"/>
  <c r="BU282" i="16"/>
  <c r="BC170" i="16"/>
  <c r="BU170" i="16" s="1"/>
  <c r="BU169" i="16"/>
  <c r="BC171" i="16" l="1"/>
  <c r="BC285" i="16"/>
  <c r="BU283" i="16"/>
  <c r="BC292" i="16" l="1"/>
  <c r="BC286" i="16"/>
  <c r="BC287" i="16" s="1"/>
  <c r="BU285" i="16"/>
  <c r="BO300" i="16"/>
  <c r="BP300" i="16"/>
  <c r="BQ300" i="16"/>
  <c r="BR300" i="16"/>
  <c r="BS300" i="16"/>
  <c r="BT300" i="16"/>
  <c r="BC350" i="16" l="1"/>
  <c r="BC357" i="16" s="1"/>
  <c r="BC296" i="16"/>
  <c r="BU292" i="16"/>
  <c r="BC301" i="16" l="1"/>
  <c r="BU296" i="16"/>
  <c r="BC364" i="16"/>
  <c r="BC365" i="16" s="1"/>
  <c r="BD361" i="16" s="1"/>
  <c r="BD363" i="16" s="1"/>
  <c r="BD411" i="16" s="1"/>
  <c r="BC359" i="16"/>
  <c r="BD412" i="16" l="1"/>
  <c r="BD413" i="16" s="1"/>
  <c r="BD417" i="16" s="1"/>
  <c r="BD418" i="16" s="1"/>
  <c r="BD422" i="16" s="1"/>
  <c r="BD424" i="16" s="1"/>
  <c r="BC300" i="16"/>
  <c r="BU301" i="16"/>
  <c r="BD429" i="16" l="1"/>
  <c r="BD435" i="16" s="1"/>
  <c r="BD428" i="16"/>
  <c r="BD434" i="16"/>
  <c r="BD436" i="16"/>
  <c r="BU300" i="16"/>
  <c r="BD419" i="16"/>
  <c r="BE416" i="16" s="1"/>
  <c r="BD430" i="16" l="1"/>
  <c r="BE427" i="16" s="1"/>
  <c r="BD437" i="16"/>
  <c r="BD440" i="16" s="1"/>
  <c r="BD442" i="16" s="1"/>
  <c r="BD438" i="16" l="1"/>
  <c r="BE433" i="16" s="1"/>
  <c r="BD243" i="16"/>
  <c r="BD159" i="16"/>
  <c r="BD294" i="16"/>
  <c r="BD245" i="16" l="1"/>
  <c r="BD161" i="16"/>
  <c r="BD354" i="16"/>
  <c r="BD355" i="16" s="1"/>
  <c r="BE353" i="16" s="1"/>
  <c r="BD169" i="16" l="1"/>
  <c r="BD246" i="16"/>
  <c r="BD247" i="16" s="1"/>
  <c r="BD282" i="16"/>
  <c r="BD283" i="16" l="1"/>
  <c r="BD170" i="16"/>
  <c r="BD171" i="16" s="1"/>
  <c r="BD285" i="16" l="1"/>
  <c r="BD292" i="16" l="1"/>
  <c r="BD286" i="16"/>
  <c r="BD287" i="16" s="1"/>
  <c r="BD296" i="16" l="1"/>
  <c r="BD350" i="16"/>
  <c r="BD357" i="16" s="1"/>
  <c r="BD359" i="16" l="1"/>
  <c r="BD364" i="16"/>
  <c r="BD365" i="16" s="1"/>
  <c r="BE361" i="16" s="1"/>
  <c r="BE363" i="16" s="1"/>
  <c r="BE411" i="16" s="1"/>
  <c r="BD301" i="16"/>
  <c r="BD300" i="16" l="1"/>
  <c r="BE412" i="16"/>
  <c r="BE413" i="16" s="1"/>
  <c r="BE417" i="16" s="1"/>
  <c r="BE418" i="16" l="1"/>
  <c r="BE422" i="16" s="1"/>
  <c r="BE424" i="16" s="1"/>
  <c r="BE436" i="16" l="1"/>
  <c r="BE429" i="16"/>
  <c r="BE435" i="16" s="1"/>
  <c r="BE437" i="16" s="1"/>
  <c r="BE440" i="16" s="1"/>
  <c r="BE442" i="16" s="1"/>
  <c r="BE428" i="16"/>
  <c r="BE434" i="16"/>
  <c r="BE419" i="16"/>
  <c r="BF416" i="16" s="1"/>
  <c r="BE430" i="16" l="1"/>
  <c r="BF427" i="16" s="1"/>
  <c r="BE243" i="16"/>
  <c r="BE294" i="16"/>
  <c r="BE159" i="16"/>
  <c r="BE438" i="16"/>
  <c r="BF433" i="16" s="1"/>
  <c r="BE354" i="16" l="1"/>
  <c r="BE355" i="16" s="1"/>
  <c r="BF353" i="16" s="1"/>
  <c r="BE161" i="16"/>
  <c r="BE245" i="16"/>
  <c r="BE169" i="16" l="1"/>
  <c r="BE246" i="16"/>
  <c r="BE247" i="16" s="1"/>
  <c r="BE282" i="16"/>
  <c r="BE283" i="16" l="1"/>
  <c r="BE170" i="16"/>
  <c r="BE285" i="16" l="1"/>
  <c r="BE171" i="16"/>
  <c r="BE292" i="16" l="1"/>
  <c r="BE286" i="16"/>
  <c r="BE287" i="16" s="1"/>
  <c r="BE350" i="16" l="1"/>
  <c r="BE357" i="16" s="1"/>
  <c r="BE296" i="16"/>
  <c r="BE301" i="16" l="1"/>
  <c r="BE364" i="16"/>
  <c r="BE365" i="16" s="1"/>
  <c r="BF361" i="16" s="1"/>
  <c r="BF363" i="16" s="1"/>
  <c r="BF411" i="16" s="1"/>
  <c r="BE359" i="16"/>
  <c r="BF412" i="16" l="1"/>
  <c r="BF413" i="16" s="1"/>
  <c r="BF417" i="16" s="1"/>
  <c r="BE300" i="16"/>
  <c r="BF418" i="16" l="1"/>
  <c r="BF422" i="16" s="1"/>
  <c r="BF424" i="16" s="1"/>
  <c r="BF419" i="16" l="1"/>
  <c r="BG416" i="16" s="1"/>
  <c r="BF429" i="16"/>
  <c r="BF435" i="16" s="1"/>
  <c r="BF434" i="16"/>
  <c r="BF428" i="16"/>
  <c r="BF436" i="16"/>
  <c r="BF430" i="16" l="1"/>
  <c r="BG427" i="16" s="1"/>
  <c r="BF437" i="16"/>
  <c r="BF440" i="16" s="1"/>
  <c r="BF442" i="16" s="1"/>
  <c r="BF438" i="16" l="1"/>
  <c r="BG433" i="16" s="1"/>
  <c r="BF294" i="16"/>
  <c r="BF243" i="16"/>
  <c r="BF159" i="16"/>
  <c r="BF245" i="16" l="1"/>
  <c r="BF161" i="16"/>
  <c r="BF354" i="16"/>
  <c r="BF355" i="16" s="1"/>
  <c r="BG353" i="16" s="1"/>
  <c r="BF169" i="16" l="1"/>
  <c r="BF246" i="16"/>
  <c r="BF247" i="16" s="1"/>
  <c r="BF282" i="16"/>
  <c r="BF283" i="16" l="1"/>
  <c r="BF170" i="16"/>
  <c r="BF171" i="16" s="1"/>
  <c r="BF285" i="16" l="1"/>
  <c r="BF292" i="16" l="1"/>
  <c r="BF286" i="16"/>
  <c r="BF287" i="16" s="1"/>
  <c r="BF296" i="16" l="1"/>
  <c r="BF350" i="16"/>
  <c r="BF357" i="16" s="1"/>
  <c r="BF359" i="16" l="1"/>
  <c r="BF364" i="16"/>
  <c r="BF365" i="16" s="1"/>
  <c r="BG361" i="16" s="1"/>
  <c r="BG363" i="16" s="1"/>
  <c r="BG411" i="16" s="1"/>
  <c r="BF301" i="16"/>
  <c r="BF300" i="16" l="1"/>
  <c r="BG412" i="16"/>
  <c r="BG413" i="16" s="1"/>
  <c r="BG417" i="16" s="1"/>
  <c r="BG418" i="16" l="1"/>
  <c r="BG422" i="16" s="1"/>
  <c r="BG424" i="16" s="1"/>
  <c r="BG428" i="16" l="1"/>
  <c r="BG436" i="16"/>
  <c r="BG429" i="16"/>
  <c r="BG435" i="16" s="1"/>
  <c r="BG437" i="16" s="1"/>
  <c r="BG434" i="16"/>
  <c r="BG419" i="16"/>
  <c r="BG438" i="16" l="1"/>
  <c r="BG440" i="16"/>
  <c r="BG442" i="16" s="1"/>
  <c r="BG430" i="16"/>
  <c r="BG294" i="16" l="1"/>
  <c r="BG243" i="16"/>
  <c r="BG159" i="16"/>
  <c r="BG161" i="16" l="1"/>
  <c r="BG354" i="16"/>
  <c r="BG355" i="16" s="1"/>
  <c r="BI159" i="16"/>
  <c r="BV159" i="16"/>
  <c r="BX159" i="16" s="1"/>
  <c r="BG245" i="16"/>
  <c r="BI243" i="16"/>
  <c r="BV243" i="16"/>
  <c r="BX243" i="16" s="1"/>
  <c r="BP294" i="16"/>
  <c r="BQ294" i="16"/>
  <c r="BV294" i="16"/>
  <c r="BI294" i="16"/>
  <c r="S461" i="16" s="1"/>
  <c r="BX294" i="16" l="1"/>
  <c r="U321" i="16"/>
  <c r="U326" i="16" s="1"/>
  <c r="O30" i="17" s="1"/>
  <c r="CM234" i="45" s="1"/>
  <c r="CW234" i="45" s="1"/>
  <c r="U324" i="16"/>
  <c r="U322" i="16"/>
  <c r="U323" i="16" s="1"/>
  <c r="BI245" i="16"/>
  <c r="BG246" i="16"/>
  <c r="BG247" i="16" s="1"/>
  <c r="U325" i="16" s="1"/>
  <c r="BV245" i="16"/>
  <c r="BX245" i="16" s="1"/>
  <c r="BG282" i="16"/>
  <c r="BG169" i="16"/>
  <c r="BV161" i="16"/>
  <c r="BX161" i="16" s="1"/>
  <c r="BI161" i="16"/>
  <c r="AF324" i="16" l="1"/>
  <c r="P322" i="16"/>
  <c r="P323" i="16" s="1"/>
  <c r="P324" i="16"/>
  <c r="P321" i="16"/>
  <c r="P326" i="16" s="1"/>
  <c r="J30" i="17" s="1"/>
  <c r="BX210" i="45" s="1"/>
  <c r="CH210" i="45" s="1"/>
  <c r="O26" i="17"/>
  <c r="CM230" i="45" s="1"/>
  <c r="CW230" i="45" s="1"/>
  <c r="U22" i="37"/>
  <c r="R22" i="18"/>
  <c r="R20" i="18"/>
  <c r="O28" i="17"/>
  <c r="U20" i="37"/>
  <c r="O25" i="17"/>
  <c r="CM229" i="45" s="1"/>
  <c r="CW229" i="45" s="1"/>
  <c r="BV282" i="16"/>
  <c r="BX282" i="16" s="1"/>
  <c r="BG283" i="16"/>
  <c r="BI282" i="16"/>
  <c r="O29" i="17"/>
  <c r="CM233" i="45" s="1"/>
  <c r="CW233" i="45" s="1"/>
  <c r="BI247" i="16"/>
  <c r="BI169" i="16"/>
  <c r="BV169" i="16"/>
  <c r="BX169" i="16" s="1"/>
  <c r="BG170" i="16"/>
  <c r="BV170" i="16" s="1"/>
  <c r="AE324" i="16" l="1"/>
  <c r="J26" i="17"/>
  <c r="BX206" i="45" s="1"/>
  <c r="CH206" i="45" s="1"/>
  <c r="BK169" i="16"/>
  <c r="U21" i="37"/>
  <c r="R21" i="18"/>
  <c r="O27" i="17"/>
  <c r="CM231" i="45" s="1"/>
  <c r="CW231" i="45" s="1"/>
  <c r="BG171" i="16"/>
  <c r="P325" i="16" s="1"/>
  <c r="CM232" i="45"/>
  <c r="CW232" i="45" s="1"/>
  <c r="J28" i="17"/>
  <c r="BX208" i="45" s="1"/>
  <c r="CH208" i="45" s="1"/>
  <c r="BG285" i="16"/>
  <c r="BV283" i="16"/>
  <c r="BX283" i="16" s="1"/>
  <c r="BI283" i="16"/>
  <c r="S460" i="16" s="1"/>
  <c r="J27" i="17"/>
  <c r="BX207" i="45" s="1"/>
  <c r="CH207" i="45" s="1"/>
  <c r="J25" i="17"/>
  <c r="BX205" i="45" s="1"/>
  <c r="CH205" i="45" s="1"/>
  <c r="AB742" i="4" l="1"/>
  <c r="R753" i="4"/>
  <c r="AB753" i="4"/>
  <c r="R763" i="4"/>
  <c r="AB763" i="4"/>
  <c r="R742" i="4"/>
  <c r="AB731" i="4"/>
  <c r="R731" i="4"/>
  <c r="AB774" i="4"/>
  <c r="R774" i="4"/>
  <c r="R786" i="4"/>
  <c r="AC321" i="16"/>
  <c r="AC324" i="16"/>
  <c r="AC322" i="16"/>
  <c r="H731" i="4"/>
  <c r="H774" i="4"/>
  <c r="H742" i="4"/>
  <c r="H753" i="4"/>
  <c r="BG292" i="16"/>
  <c r="BI285" i="16"/>
  <c r="BG286" i="16"/>
  <c r="BG287" i="16" s="1"/>
  <c r="AC325" i="16" s="1"/>
  <c r="BV285" i="16"/>
  <c r="BX285" i="16" s="1"/>
  <c r="BI171" i="16"/>
  <c r="J29" i="17"/>
  <c r="BX209" i="45" s="1"/>
  <c r="CH209" i="45" s="1"/>
  <c r="H786" i="4"/>
  <c r="AC323" i="16" l="1"/>
  <c r="AC326" i="16"/>
  <c r="BI287" i="16"/>
  <c r="BK285" i="16"/>
  <c r="BK26" i="16" s="1"/>
  <c r="D41" i="2" s="1"/>
  <c r="BG296" i="16"/>
  <c r="BG350" i="16"/>
  <c r="BG357" i="16" s="1"/>
  <c r="BI292" i="16"/>
  <c r="BV292" i="16"/>
  <c r="BX292" i="16" s="1"/>
  <c r="BG301" i="16" l="1"/>
  <c r="O299" i="16"/>
  <c r="BV296" i="16"/>
  <c r="BX296" i="16" s="1"/>
  <c r="Q299" i="16"/>
  <c r="BI296" i="16"/>
  <c r="BG364" i="16"/>
  <c r="BG365" i="16" s="1"/>
  <c r="BG359" i="16"/>
  <c r="J20" i="29" l="1"/>
  <c r="R27" i="18"/>
  <c r="R34" i="18" s="1"/>
  <c r="U27" i="37"/>
  <c r="U34" i="37" s="1"/>
  <c r="S302" i="16"/>
  <c r="Y335" i="16" s="1"/>
  <c r="Y336" i="16" s="1"/>
  <c r="O456" i="16"/>
  <c r="O463" i="16" s="1"/>
  <c r="BG300" i="16"/>
  <c r="BV301" i="16"/>
  <c r="S303" i="16" l="1"/>
  <c r="T299" i="16" s="1"/>
  <c r="S305" i="16"/>
  <c r="G41" i="37"/>
  <c r="H41" i="37"/>
  <c r="J41" i="37"/>
  <c r="I41" i="37"/>
  <c r="K41" i="37"/>
  <c r="M41" i="37"/>
  <c r="L41" i="37"/>
  <c r="F41" i="37"/>
  <c r="G41" i="18"/>
  <c r="AT127" i="45" s="1"/>
  <c r="I41" i="18"/>
  <c r="H41" i="18"/>
  <c r="F41" i="18"/>
  <c r="J41" i="18"/>
  <c r="BM300" i="16"/>
  <c r="BV300" i="16"/>
  <c r="BI300" i="16"/>
  <c r="K20" i="29"/>
  <c r="J21" i="29"/>
  <c r="K21" i="29" s="1"/>
  <c r="X339" i="16" l="1"/>
  <c r="T39" i="17"/>
  <c r="T40" i="17" s="1"/>
  <c r="I30" i="40" s="1"/>
  <c r="I31" i="40" s="1"/>
  <c r="K31" i="40" s="1"/>
  <c r="S306" i="16"/>
  <c r="S307" i="16" s="1"/>
  <c r="S308" i="16"/>
  <c r="BM299" i="16"/>
  <c r="T302" i="16"/>
  <c r="X342" i="16" l="1"/>
  <c r="W456" i="16" s="1"/>
  <c r="W453" i="16" s="1"/>
  <c r="D51" i="2" s="1"/>
  <c r="S311" i="16"/>
  <c r="S314" i="16"/>
  <c r="G9" i="29"/>
  <c r="T43" i="17"/>
  <c r="T303" i="16"/>
  <c r="U299" i="16" s="1"/>
  <c r="T305" i="16"/>
  <c r="V33" i="37"/>
  <c r="K30" i="40"/>
  <c r="K13" i="40" s="1"/>
  <c r="M13" i="40" s="1"/>
  <c r="Y341" i="16" l="1"/>
  <c r="Y340" i="16"/>
  <c r="Y339" i="16"/>
  <c r="K22" i="40"/>
  <c r="M22" i="40" s="1"/>
  <c r="T307" i="16"/>
  <c r="T308" i="16"/>
  <c r="T306" i="16"/>
  <c r="U302" i="16"/>
  <c r="U303" i="16" s="1"/>
  <c r="V299" i="16" s="1"/>
  <c r="S43" i="17"/>
  <c r="T46" i="17"/>
  <c r="S46" i="17" s="1"/>
  <c r="V34" i="37"/>
  <c r="F53" i="37" s="1"/>
  <c r="H9" i="29"/>
  <c r="G21" i="29"/>
  <c r="E9" i="29" s="1"/>
  <c r="S315" i="16"/>
  <c r="S316" i="16" s="1"/>
  <c r="S312" i="16"/>
  <c r="Y342" i="16" l="1"/>
  <c r="H21" i="29"/>
  <c r="E7" i="29"/>
  <c r="E8" i="29"/>
  <c r="S313" i="16"/>
  <c r="T313" i="16"/>
  <c r="V302" i="16"/>
  <c r="U305" i="16"/>
  <c r="W33" i="37"/>
  <c r="T314" i="16"/>
  <c r="T311" i="16"/>
  <c r="X33" i="37" l="1"/>
  <c r="X34" i="37" s="1"/>
  <c r="V305" i="16"/>
  <c r="V306" i="16" s="1"/>
  <c r="T312" i="16"/>
  <c r="T316" i="16"/>
  <c r="T315" i="16"/>
  <c r="W34" i="37"/>
  <c r="G53" i="37" s="1"/>
  <c r="U308" i="16"/>
  <c r="U306" i="16"/>
  <c r="V307" i="16" s="1"/>
  <c r="V303" i="16"/>
  <c r="W299" i="16" s="1"/>
  <c r="W302" i="16" s="1"/>
  <c r="U307" i="16"/>
  <c r="W303" i="16" l="1"/>
  <c r="W305" i="16"/>
  <c r="Y33" i="37"/>
  <c r="U314" i="16"/>
  <c r="U316" i="16" s="1"/>
  <c r="U311" i="16"/>
  <c r="V308" i="16"/>
  <c r="H53" i="37"/>
  <c r="BM302" i="16"/>
  <c r="S33" i="18" s="1"/>
  <c r="U315" i="16" l="1"/>
  <c r="U312" i="16"/>
  <c r="Y34" i="37"/>
  <c r="I53" i="37" s="1"/>
  <c r="W307" i="16"/>
  <c r="W308" i="16"/>
  <c r="BM305" i="16"/>
  <c r="W306" i="16"/>
  <c r="S34" i="18"/>
  <c r="V314" i="16"/>
  <c r="V316" i="16" s="1"/>
  <c r="V311" i="16"/>
  <c r="X299" i="16"/>
  <c r="BM303" i="16"/>
  <c r="U313" i="16"/>
  <c r="V313" i="16" l="1"/>
  <c r="V315" i="16"/>
  <c r="X302" i="16"/>
  <c r="X303" i="16" s="1"/>
  <c r="Y299" i="16" s="1"/>
  <c r="BN299" i="16"/>
  <c r="W314" i="16"/>
  <c r="W311" i="16"/>
  <c r="BM308" i="16"/>
  <c r="F53" i="18"/>
  <c r="V312" i="16"/>
  <c r="BM311" i="16" l="1"/>
  <c r="W312" i="16"/>
  <c r="W313" i="16"/>
  <c r="Y302" i="16"/>
  <c r="Y303" i="16" s="1"/>
  <c r="Z299" i="16" s="1"/>
  <c r="Z302" i="16" s="1"/>
  <c r="W316" i="16"/>
  <c r="W315" i="16"/>
  <c r="BM314" i="16"/>
  <c r="Z33" i="37"/>
  <c r="X305" i="16"/>
  <c r="Z303" i="16" l="1"/>
  <c r="AA299" i="16" s="1"/>
  <c r="AB33" i="37"/>
  <c r="AB34" i="37" s="1"/>
  <c r="Z305" i="16"/>
  <c r="X307" i="16"/>
  <c r="X308" i="16"/>
  <c r="X306" i="16"/>
  <c r="Y307" i="16" s="1"/>
  <c r="Z34" i="37"/>
  <c r="J53" i="37" s="1"/>
  <c r="AA33" i="37"/>
  <c r="AA34" i="37" s="1"/>
  <c r="Y305" i="16"/>
  <c r="Z306" i="16" l="1"/>
  <c r="Y306" i="16"/>
  <c r="Z307" i="16" s="1"/>
  <c r="X311" i="16"/>
  <c r="X314" i="16"/>
  <c r="L53" i="37"/>
  <c r="Z308" i="16"/>
  <c r="K53" i="37"/>
  <c r="Y308" i="16"/>
  <c r="AA302" i="16"/>
  <c r="AA303" i="16" s="1"/>
  <c r="AB299" i="16" l="1"/>
  <c r="BN303" i="16"/>
  <c r="AC33" i="37"/>
  <c r="AA305" i="16"/>
  <c r="BN302" i="16"/>
  <c r="T33" i="18" s="1"/>
  <c r="X316" i="16"/>
  <c r="X315" i="16"/>
  <c r="Z311" i="16"/>
  <c r="Z314" i="16"/>
  <c r="X312" i="16"/>
  <c r="X313" i="16"/>
  <c r="Y314" i="16"/>
  <c r="Y315" i="16" s="1"/>
  <c r="Y311" i="16"/>
  <c r="Z316" i="16" l="1"/>
  <c r="T34" i="18"/>
  <c r="Z315" i="16"/>
  <c r="AA308" i="16"/>
  <c r="AA306" i="16"/>
  <c r="BN305" i="16"/>
  <c r="AA307" i="16"/>
  <c r="Y312" i="16"/>
  <c r="Z313" i="16" s="1"/>
  <c r="Z312" i="16"/>
  <c r="AC34" i="37"/>
  <c r="AD34" i="37" s="1"/>
  <c r="AD33" i="37"/>
  <c r="Y316" i="16"/>
  <c r="Y313" i="16"/>
  <c r="BO299" i="16"/>
  <c r="AB302" i="16"/>
  <c r="M53" i="37" l="1"/>
  <c r="E53" i="37" s="1"/>
  <c r="E48" i="37" s="1"/>
  <c r="AA311" i="16"/>
  <c r="AA313" i="16" s="1"/>
  <c r="AA314" i="16"/>
  <c r="BN308" i="16"/>
  <c r="AB305" i="16"/>
  <c r="G53" i="18"/>
  <c r="AB303" i="16"/>
  <c r="AC299" i="16" s="1"/>
  <c r="AC302" i="16" s="1"/>
  <c r="AA315" i="16" l="1"/>
  <c r="BN314" i="16"/>
  <c r="AA312" i="16"/>
  <c r="BN311" i="16"/>
  <c r="AC303" i="16"/>
  <c r="AD299" i="16" s="1"/>
  <c r="AC305" i="16"/>
  <c r="AB308" i="16"/>
  <c r="AB306" i="16"/>
  <c r="AA316" i="16"/>
  <c r="AB307" i="16"/>
  <c r="AC307" i="16" l="1"/>
  <c r="AB311" i="16"/>
  <c r="AB314" i="16"/>
  <c r="AC308" i="16"/>
  <c r="AC306" i="16"/>
  <c r="AB313" i="16"/>
  <c r="AD302" i="16"/>
  <c r="AD303" i="16" s="1"/>
  <c r="AE299" i="16" s="1"/>
  <c r="AE302" i="16" s="1"/>
  <c r="AB316" i="16"/>
  <c r="AE303" i="16" l="1"/>
  <c r="AE305" i="16"/>
  <c r="AC311" i="16"/>
  <c r="AC314" i="16"/>
  <c r="AC315" i="16" s="1"/>
  <c r="AB315" i="16"/>
  <c r="AC316" i="16" s="1"/>
  <c r="AD305" i="16"/>
  <c r="AD307" i="16" s="1"/>
  <c r="BO302" i="16"/>
  <c r="U33" i="18" s="1"/>
  <c r="AB312" i="16"/>
  <c r="AC312" i="16" l="1"/>
  <c r="U34" i="18"/>
  <c r="AD308" i="16"/>
  <c r="AD306" i="16"/>
  <c r="AE307" i="16" s="1"/>
  <c r="BO305" i="16"/>
  <c r="AC313" i="16"/>
  <c r="AE308" i="16"/>
  <c r="AE306" i="16"/>
  <c r="AF299" i="16"/>
  <c r="BO303" i="16"/>
  <c r="AD314" i="16" l="1"/>
  <c r="AD311" i="16"/>
  <c r="BO308" i="16"/>
  <c r="H53" i="18"/>
  <c r="AE311" i="16"/>
  <c r="AE314" i="16"/>
  <c r="AD313" i="16"/>
  <c r="BP299" i="16"/>
  <c r="AF302" i="16"/>
  <c r="AF303" i="16" s="1"/>
  <c r="AG299" i="16" s="1"/>
  <c r="AE315" i="16" l="1"/>
  <c r="AE312" i="16"/>
  <c r="AG302" i="16"/>
  <c r="AG305" i="16" s="1"/>
  <c r="AF305" i="16"/>
  <c r="AD312" i="16"/>
  <c r="AE313" i="16" s="1"/>
  <c r="BO311" i="16"/>
  <c r="AD315" i="16"/>
  <c r="AE316" i="16" s="1"/>
  <c r="BO314" i="16"/>
  <c r="AD316" i="16"/>
  <c r="AG303" i="16" l="1"/>
  <c r="AH299" i="16" s="1"/>
  <c r="AF308" i="16"/>
  <c r="AF306" i="16"/>
  <c r="AF307" i="16"/>
  <c r="AH302" i="16"/>
  <c r="AH303" i="16" s="1"/>
  <c r="AI299" i="16" s="1"/>
  <c r="AG307" i="16"/>
  <c r="AG308" i="16"/>
  <c r="AG306" i="16"/>
  <c r="M108" i="24"/>
  <c r="M57" i="24"/>
  <c r="M43" i="24"/>
  <c r="M106" i="24"/>
  <c r="M103" i="24"/>
  <c r="M39" i="24"/>
  <c r="M23" i="24"/>
  <c r="M93" i="24"/>
  <c r="M19" i="24"/>
  <c r="M94" i="24"/>
  <c r="M62" i="24"/>
  <c r="M46" i="24"/>
  <c r="M14" i="24"/>
  <c r="M85" i="24"/>
  <c r="M21" i="24"/>
  <c r="M83" i="24"/>
  <c r="M55" i="24"/>
  <c r="M91" i="24"/>
  <c r="M78" i="24"/>
  <c r="M30" i="24"/>
  <c r="M73" i="24"/>
  <c r="M48" i="24"/>
  <c r="M37" i="24"/>
  <c r="M96" i="24"/>
  <c r="M71" i="24"/>
  <c r="M58" i="24"/>
  <c r="M89" i="24"/>
  <c r="M80" i="24"/>
  <c r="M28" i="24"/>
  <c r="M53" i="24"/>
  <c r="M9" i="24"/>
  <c r="M68" i="24"/>
  <c r="M87" i="24"/>
  <c r="M10" i="24"/>
  <c r="M105" i="24"/>
  <c r="M25" i="24"/>
  <c r="M64" i="24"/>
  <c r="M16" i="24"/>
  <c r="M69" i="24"/>
  <c r="M45" i="24"/>
  <c r="M100" i="24"/>
  <c r="M41" i="24"/>
  <c r="M32" i="24"/>
  <c r="M42" i="24"/>
  <c r="M52" i="24"/>
  <c r="M97" i="24"/>
  <c r="M81" i="24"/>
  <c r="M65" i="24"/>
  <c r="M49" i="24"/>
  <c r="M33" i="24"/>
  <c r="M17" i="24"/>
  <c r="M104" i="24"/>
  <c r="M88" i="24"/>
  <c r="M72" i="24"/>
  <c r="M56" i="24"/>
  <c r="M40" i="24"/>
  <c r="M24" i="24"/>
  <c r="M84" i="24"/>
  <c r="M44" i="24"/>
  <c r="M107" i="24"/>
  <c r="M67" i="24"/>
  <c r="M27" i="24"/>
  <c r="M74" i="24"/>
  <c r="M26" i="24"/>
  <c r="M95" i="24"/>
  <c r="M79" i="24"/>
  <c r="M63" i="24"/>
  <c r="M47" i="24"/>
  <c r="M31" i="24"/>
  <c r="M15" i="24"/>
  <c r="M77" i="24"/>
  <c r="M20" i="24"/>
  <c r="M51" i="24"/>
  <c r="M98" i="24"/>
  <c r="M34" i="24"/>
  <c r="M102" i="24"/>
  <c r="M86" i="24"/>
  <c r="M70" i="24"/>
  <c r="M54" i="24"/>
  <c r="M38" i="24"/>
  <c r="M22" i="24"/>
  <c r="M101" i="24"/>
  <c r="M61" i="24"/>
  <c r="M29" i="24"/>
  <c r="M13" i="24"/>
  <c r="M92" i="24"/>
  <c r="M60" i="24"/>
  <c r="M76" i="24"/>
  <c r="M36" i="24"/>
  <c r="M12" i="24"/>
  <c r="M75" i="24"/>
  <c r="M35" i="24"/>
  <c r="M90" i="24"/>
  <c r="M66" i="24"/>
  <c r="M18" i="24"/>
  <c r="M99" i="24"/>
  <c r="M59" i="24"/>
  <c r="M11" i="24"/>
  <c r="M82" i="24"/>
  <c r="M50" i="24"/>
  <c r="C27" i="24"/>
  <c r="C26" i="24"/>
  <c r="C67" i="24"/>
  <c r="C71" i="24"/>
  <c r="C72" i="24"/>
  <c r="C69" i="24"/>
  <c r="C43" i="24"/>
  <c r="C90" i="24"/>
  <c r="C50" i="24"/>
  <c r="C76" i="24"/>
  <c r="C42" i="24"/>
  <c r="C41" i="24"/>
  <c r="C92" i="24"/>
  <c r="C56" i="24"/>
  <c r="V56" i="24" s="1"/>
  <c r="C82" i="24"/>
  <c r="C77" i="24"/>
  <c r="C63" i="24"/>
  <c r="C40" i="24"/>
  <c r="C88" i="24"/>
  <c r="C81" i="24"/>
  <c r="C33" i="24"/>
  <c r="C104" i="24"/>
  <c r="C103" i="24"/>
  <c r="C100" i="24"/>
  <c r="C34" i="24"/>
  <c r="C91" i="24"/>
  <c r="C35" i="24"/>
  <c r="C36" i="24"/>
  <c r="C49" i="24"/>
  <c r="C37" i="24"/>
  <c r="C51" i="24"/>
  <c r="C58" i="24"/>
  <c r="C75" i="24"/>
  <c r="C11" i="24"/>
  <c r="C16" i="24"/>
  <c r="C17" i="24"/>
  <c r="C19" i="24"/>
  <c r="C20" i="24"/>
  <c r="C25" i="24"/>
  <c r="C108" i="24"/>
  <c r="C107" i="24"/>
  <c r="C31" i="24"/>
  <c r="C23" i="24"/>
  <c r="C93" i="24"/>
  <c r="C86" i="24"/>
  <c r="C44" i="24"/>
  <c r="C78" i="24"/>
  <c r="C62" i="24"/>
  <c r="C54" i="24"/>
  <c r="C14" i="24"/>
  <c r="C101" i="24"/>
  <c r="C89" i="24"/>
  <c r="C79" i="24"/>
  <c r="C64" i="24"/>
  <c r="C85" i="24"/>
  <c r="C105" i="24"/>
  <c r="C52" i="24"/>
  <c r="C95" i="24"/>
  <c r="C32" i="24"/>
  <c r="C99" i="24"/>
  <c r="C65" i="24"/>
  <c r="C47" i="24"/>
  <c r="C55" i="24"/>
  <c r="C59" i="24"/>
  <c r="C57" i="24"/>
  <c r="C38" i="24"/>
  <c r="C30" i="24"/>
  <c r="C84" i="24"/>
  <c r="C87" i="24"/>
  <c r="C106" i="24"/>
  <c r="C46" i="24"/>
  <c r="C102" i="24"/>
  <c r="C61" i="24"/>
  <c r="C45" i="24"/>
  <c r="C98" i="24"/>
  <c r="C48" i="24"/>
  <c r="C53" i="24"/>
  <c r="C80" i="24"/>
  <c r="C29" i="24"/>
  <c r="C96" i="24"/>
  <c r="C39" i="24"/>
  <c r="C94" i="24"/>
  <c r="C97" i="24"/>
  <c r="C83" i="24"/>
  <c r="C28" i="24"/>
  <c r="C12" i="24"/>
  <c r="C13" i="24"/>
  <c r="C15" i="24"/>
  <c r="C18" i="24"/>
  <c r="C21" i="24"/>
  <c r="C22" i="24"/>
  <c r="C24" i="24"/>
  <c r="C60" i="24"/>
  <c r="C66" i="24"/>
  <c r="C73" i="24"/>
  <c r="C68" i="24"/>
  <c r="C74" i="24"/>
  <c r="C70" i="24"/>
  <c r="C10" i="24"/>
  <c r="C9" i="24"/>
  <c r="S10" i="24" l="1"/>
  <c r="U10" i="24"/>
  <c r="T10" i="24"/>
  <c r="T22" i="24"/>
  <c r="S22" i="24"/>
  <c r="U22" i="24"/>
  <c r="S97" i="24"/>
  <c r="U97" i="24"/>
  <c r="T97" i="24"/>
  <c r="S98" i="24"/>
  <c r="U98" i="24"/>
  <c r="T98" i="24"/>
  <c r="T30" i="24"/>
  <c r="S30" i="24"/>
  <c r="U30" i="24"/>
  <c r="U32" i="24"/>
  <c r="T32" i="24"/>
  <c r="S32" i="24"/>
  <c r="U101" i="24"/>
  <c r="T101" i="24"/>
  <c r="S101" i="24"/>
  <c r="E23" i="24"/>
  <c r="T23" i="24"/>
  <c r="S23" i="24"/>
  <c r="U23" i="24"/>
  <c r="U16" i="24"/>
  <c r="T16" i="24"/>
  <c r="S16" i="24"/>
  <c r="U35" i="24"/>
  <c r="T35" i="24"/>
  <c r="S35" i="24"/>
  <c r="E88" i="24"/>
  <c r="U88" i="24"/>
  <c r="T88" i="24"/>
  <c r="S88" i="24"/>
  <c r="S41" i="24"/>
  <c r="U41" i="24"/>
  <c r="T41" i="24"/>
  <c r="S71" i="24"/>
  <c r="T71" i="24"/>
  <c r="U71" i="24"/>
  <c r="T70" i="24"/>
  <c r="S70" i="24"/>
  <c r="U70" i="24"/>
  <c r="U21" i="24"/>
  <c r="T21" i="24"/>
  <c r="S21" i="24"/>
  <c r="T94" i="24"/>
  <c r="S94" i="24"/>
  <c r="U94" i="24"/>
  <c r="U45" i="24"/>
  <c r="T45" i="24"/>
  <c r="S45" i="24"/>
  <c r="T38" i="24"/>
  <c r="S38" i="24"/>
  <c r="U38" i="24"/>
  <c r="T95" i="24"/>
  <c r="S95" i="24"/>
  <c r="U95" i="24"/>
  <c r="T14" i="24"/>
  <c r="S14" i="24"/>
  <c r="U14" i="24"/>
  <c r="S31" i="24"/>
  <c r="U31" i="24"/>
  <c r="T31" i="24"/>
  <c r="U11" i="24"/>
  <c r="T11" i="24"/>
  <c r="S11" i="24"/>
  <c r="U91" i="24"/>
  <c r="T91" i="24"/>
  <c r="S91" i="24"/>
  <c r="U40" i="24"/>
  <c r="T40" i="24"/>
  <c r="S40" i="24"/>
  <c r="S42" i="24"/>
  <c r="U42" i="24"/>
  <c r="T42" i="24"/>
  <c r="E67" i="24"/>
  <c r="U67" i="24"/>
  <c r="T67" i="24"/>
  <c r="S67" i="24"/>
  <c r="E74" i="24"/>
  <c r="U74" i="24"/>
  <c r="T74" i="24"/>
  <c r="S74" i="24"/>
  <c r="V18" i="24"/>
  <c r="X18" i="24" s="1"/>
  <c r="S18" i="24"/>
  <c r="U18" i="24"/>
  <c r="T18" i="24"/>
  <c r="S39" i="24"/>
  <c r="U39" i="24"/>
  <c r="T39" i="24"/>
  <c r="U61" i="24"/>
  <c r="T61" i="24"/>
  <c r="S61" i="24"/>
  <c r="S57" i="24"/>
  <c r="U57" i="24"/>
  <c r="T57" i="24"/>
  <c r="T52" i="24"/>
  <c r="U52" i="24"/>
  <c r="S52" i="24"/>
  <c r="T54" i="24"/>
  <c r="S54" i="24"/>
  <c r="U54" i="24"/>
  <c r="U107" i="24"/>
  <c r="T107" i="24"/>
  <c r="S107" i="24"/>
  <c r="E75" i="24"/>
  <c r="U75" i="24"/>
  <c r="T75" i="24"/>
  <c r="S75" i="24"/>
  <c r="U34" i="24"/>
  <c r="S34" i="24"/>
  <c r="T34" i="24"/>
  <c r="E63" i="24"/>
  <c r="S63" i="24"/>
  <c r="U63" i="24"/>
  <c r="T63" i="24"/>
  <c r="T76" i="24"/>
  <c r="U76" i="24"/>
  <c r="S76" i="24"/>
  <c r="S26" i="24"/>
  <c r="U26" i="24"/>
  <c r="T26" i="24"/>
  <c r="V68" i="24"/>
  <c r="X68" i="24" s="1"/>
  <c r="S68" i="24"/>
  <c r="U68" i="24"/>
  <c r="T68" i="24"/>
  <c r="S15" i="24"/>
  <c r="T15" i="24"/>
  <c r="U15" i="24"/>
  <c r="U96" i="24"/>
  <c r="T96" i="24"/>
  <c r="S96" i="24"/>
  <c r="T102" i="24"/>
  <c r="S102" i="24"/>
  <c r="U102" i="24"/>
  <c r="U59" i="24"/>
  <c r="T59" i="24"/>
  <c r="S59" i="24"/>
  <c r="S105" i="24"/>
  <c r="T105" i="24"/>
  <c r="U105" i="24"/>
  <c r="T62" i="24"/>
  <c r="S62" i="24"/>
  <c r="U62" i="24"/>
  <c r="E108" i="24"/>
  <c r="T108" i="24"/>
  <c r="U108" i="24"/>
  <c r="S108" i="24"/>
  <c r="U58" i="24"/>
  <c r="T58" i="24"/>
  <c r="S58" i="24"/>
  <c r="S100" i="24"/>
  <c r="T100" i="24"/>
  <c r="U100" i="24"/>
  <c r="U77" i="24"/>
  <c r="T77" i="24"/>
  <c r="S77" i="24"/>
  <c r="E50" i="24"/>
  <c r="S50" i="24"/>
  <c r="U50" i="24"/>
  <c r="T50" i="24"/>
  <c r="U27" i="24"/>
  <c r="T27" i="24"/>
  <c r="S27" i="24"/>
  <c r="S73" i="24"/>
  <c r="U73" i="24"/>
  <c r="T73" i="24"/>
  <c r="U13" i="24"/>
  <c r="T13" i="24"/>
  <c r="S13" i="24"/>
  <c r="U29" i="24"/>
  <c r="T29" i="24"/>
  <c r="S29" i="24"/>
  <c r="T46" i="24"/>
  <c r="S46" i="24"/>
  <c r="U46" i="24"/>
  <c r="T55" i="24"/>
  <c r="S55" i="24"/>
  <c r="U55" i="24"/>
  <c r="U85" i="24"/>
  <c r="T85" i="24"/>
  <c r="S85" i="24"/>
  <c r="T78" i="24"/>
  <c r="S78" i="24"/>
  <c r="U78" i="24"/>
  <c r="S25" i="24"/>
  <c r="T25" i="24"/>
  <c r="U25" i="24"/>
  <c r="U51" i="24"/>
  <c r="T51" i="24"/>
  <c r="S51" i="24"/>
  <c r="T103" i="24"/>
  <c r="S103" i="24"/>
  <c r="U103" i="24"/>
  <c r="U82" i="24"/>
  <c r="T82" i="24"/>
  <c r="S82" i="24"/>
  <c r="U90" i="24"/>
  <c r="S90" i="24"/>
  <c r="T90" i="24"/>
  <c r="U66" i="24"/>
  <c r="T66" i="24"/>
  <c r="S66" i="24"/>
  <c r="U12" i="24"/>
  <c r="T12" i="24"/>
  <c r="S12" i="24"/>
  <c r="U80" i="24"/>
  <c r="T80" i="24"/>
  <c r="S80" i="24"/>
  <c r="U106" i="24"/>
  <c r="S106" i="24"/>
  <c r="T106" i="24"/>
  <c r="S47" i="24"/>
  <c r="U47" i="24"/>
  <c r="T47" i="24"/>
  <c r="U64" i="24"/>
  <c r="T64" i="24"/>
  <c r="S64" i="24"/>
  <c r="S44" i="24"/>
  <c r="T44" i="24"/>
  <c r="U44" i="24"/>
  <c r="T20" i="24"/>
  <c r="S20" i="24"/>
  <c r="U20" i="24"/>
  <c r="U37" i="24"/>
  <c r="T37" i="24"/>
  <c r="S37" i="24"/>
  <c r="U104" i="24"/>
  <c r="T104" i="24"/>
  <c r="S104" i="24"/>
  <c r="E43" i="24"/>
  <c r="U43" i="24"/>
  <c r="T43" i="24"/>
  <c r="S43" i="24"/>
  <c r="E60" i="24"/>
  <c r="T60" i="24"/>
  <c r="S60" i="24"/>
  <c r="U60" i="24"/>
  <c r="E28" i="24"/>
  <c r="U28" i="24"/>
  <c r="T28" i="24"/>
  <c r="S28" i="24"/>
  <c r="U53" i="24"/>
  <c r="T53" i="24"/>
  <c r="S53" i="24"/>
  <c r="S87" i="24"/>
  <c r="T87" i="24"/>
  <c r="U87" i="24"/>
  <c r="S65" i="24"/>
  <c r="T65" i="24"/>
  <c r="U65" i="24"/>
  <c r="T79" i="24"/>
  <c r="U79" i="24"/>
  <c r="S79" i="24"/>
  <c r="T86" i="24"/>
  <c r="S86" i="24"/>
  <c r="U86" i="24"/>
  <c r="E19" i="24"/>
  <c r="U19" i="24"/>
  <c r="T19" i="24"/>
  <c r="S19" i="24"/>
  <c r="E49" i="24"/>
  <c r="S49" i="24"/>
  <c r="T49" i="24"/>
  <c r="U49" i="24"/>
  <c r="E33" i="24"/>
  <c r="S33" i="24"/>
  <c r="T33" i="24"/>
  <c r="U33" i="24"/>
  <c r="U56" i="24"/>
  <c r="T56" i="24"/>
  <c r="S56" i="24"/>
  <c r="U69" i="24"/>
  <c r="T69" i="24"/>
  <c r="S69" i="24"/>
  <c r="S9" i="24"/>
  <c r="S109" i="24" s="1"/>
  <c r="U9" i="24"/>
  <c r="U109" i="24" s="1"/>
  <c r="T9" i="24"/>
  <c r="T109" i="24" s="1"/>
  <c r="U24" i="24"/>
  <c r="T24" i="24"/>
  <c r="S24" i="24"/>
  <c r="U83" i="24"/>
  <c r="T83" i="24"/>
  <c r="S83" i="24"/>
  <c r="E48" i="24"/>
  <c r="U48" i="24"/>
  <c r="T48" i="24"/>
  <c r="S48" i="24"/>
  <c r="S84" i="24"/>
  <c r="U84" i="24"/>
  <c r="T84" i="24"/>
  <c r="U99" i="24"/>
  <c r="T99" i="24"/>
  <c r="S99" i="24"/>
  <c r="S89" i="24"/>
  <c r="U89" i="24"/>
  <c r="T89" i="24"/>
  <c r="U93" i="24"/>
  <c r="T93" i="24"/>
  <c r="S93" i="24"/>
  <c r="S17" i="24"/>
  <c r="U17" i="24"/>
  <c r="T17" i="24"/>
  <c r="U36" i="24"/>
  <c r="S36" i="24"/>
  <c r="T36" i="24"/>
  <c r="S81" i="24"/>
  <c r="U81" i="24"/>
  <c r="T81" i="24"/>
  <c r="U92" i="24"/>
  <c r="T92" i="24"/>
  <c r="S92" i="24"/>
  <c r="U72" i="24"/>
  <c r="T72" i="24"/>
  <c r="S72" i="24"/>
  <c r="J21" i="24"/>
  <c r="E21" i="24"/>
  <c r="K97" i="24"/>
  <c r="E97" i="24"/>
  <c r="V98" i="24"/>
  <c r="X98" i="24" s="1"/>
  <c r="E98" i="24"/>
  <c r="G30" i="24"/>
  <c r="E30" i="24"/>
  <c r="L32" i="24"/>
  <c r="E32" i="24"/>
  <c r="K101" i="24"/>
  <c r="E101" i="24"/>
  <c r="D16" i="24"/>
  <c r="E16" i="24"/>
  <c r="R35" i="24"/>
  <c r="E35" i="24"/>
  <c r="N41" i="24"/>
  <c r="E41" i="24"/>
  <c r="P71" i="24"/>
  <c r="E71" i="24"/>
  <c r="H94" i="24"/>
  <c r="E94" i="24"/>
  <c r="F45" i="24"/>
  <c r="E45" i="24"/>
  <c r="R38" i="24"/>
  <c r="E38" i="24"/>
  <c r="R95" i="24"/>
  <c r="E95" i="24"/>
  <c r="G14" i="24"/>
  <c r="E14" i="24"/>
  <c r="Q31" i="24"/>
  <c r="E31" i="24"/>
  <c r="Q11" i="24"/>
  <c r="E11" i="24"/>
  <c r="N91" i="24"/>
  <c r="E91" i="24"/>
  <c r="J40" i="24"/>
  <c r="E40" i="24"/>
  <c r="G42" i="24"/>
  <c r="E42" i="24"/>
  <c r="H10" i="24"/>
  <c r="E10" i="24"/>
  <c r="J18" i="24"/>
  <c r="E18" i="24"/>
  <c r="L39" i="24"/>
  <c r="E39" i="24"/>
  <c r="V61" i="24"/>
  <c r="X61" i="24" s="1"/>
  <c r="E61" i="24"/>
  <c r="L57" i="24"/>
  <c r="E57" i="24"/>
  <c r="N52" i="24"/>
  <c r="E52" i="24"/>
  <c r="F54" i="24"/>
  <c r="E54" i="24"/>
  <c r="V107" i="24"/>
  <c r="E107" i="24"/>
  <c r="Q34" i="24"/>
  <c r="E34" i="24"/>
  <c r="Q76" i="24"/>
  <c r="E76" i="24"/>
  <c r="L26" i="24"/>
  <c r="E26" i="24"/>
  <c r="V73" i="24"/>
  <c r="E73" i="24"/>
  <c r="F15" i="24"/>
  <c r="E15" i="24"/>
  <c r="N96" i="24"/>
  <c r="E96" i="24"/>
  <c r="V102" i="24"/>
  <c r="E102" i="24"/>
  <c r="F59" i="24"/>
  <c r="E59" i="24"/>
  <c r="V105" i="24"/>
  <c r="E105" i="24"/>
  <c r="R62" i="24"/>
  <c r="E62" i="24"/>
  <c r="P58" i="24"/>
  <c r="E58" i="24"/>
  <c r="D100" i="24"/>
  <c r="E100" i="24"/>
  <c r="N77" i="24"/>
  <c r="E77" i="24"/>
  <c r="F27" i="24"/>
  <c r="E27" i="24"/>
  <c r="D68" i="24"/>
  <c r="E68" i="24"/>
  <c r="N66" i="24"/>
  <c r="E66" i="24"/>
  <c r="H13" i="24"/>
  <c r="E13" i="24"/>
  <c r="P29" i="24"/>
  <c r="E29" i="24"/>
  <c r="F46" i="24"/>
  <c r="E46" i="24"/>
  <c r="L55" i="24"/>
  <c r="E55" i="24"/>
  <c r="L85" i="24"/>
  <c r="E85" i="24"/>
  <c r="J78" i="24"/>
  <c r="E78" i="24"/>
  <c r="V25" i="24"/>
  <c r="X25" i="24" s="1"/>
  <c r="E25" i="24"/>
  <c r="V51" i="24"/>
  <c r="E51" i="24"/>
  <c r="D103" i="24"/>
  <c r="E103" i="24"/>
  <c r="R82" i="24"/>
  <c r="E82" i="24"/>
  <c r="N90" i="24"/>
  <c r="E90" i="24"/>
  <c r="V9" i="24"/>
  <c r="X9" i="24" s="1"/>
  <c r="E9" i="24"/>
  <c r="R12" i="24"/>
  <c r="E12" i="24"/>
  <c r="R80" i="24"/>
  <c r="E80" i="24"/>
  <c r="N106" i="24"/>
  <c r="E106" i="24"/>
  <c r="V47" i="24"/>
  <c r="E47" i="24"/>
  <c r="Q64" i="24"/>
  <c r="E64" i="24"/>
  <c r="R44" i="24"/>
  <c r="E44" i="24"/>
  <c r="N20" i="24"/>
  <c r="E20" i="24"/>
  <c r="K37" i="24"/>
  <c r="E37" i="24"/>
  <c r="J104" i="24"/>
  <c r="E104" i="24"/>
  <c r="G24" i="24"/>
  <c r="E24" i="24"/>
  <c r="V53" i="24"/>
  <c r="W53" i="24" s="1"/>
  <c r="E53" i="24"/>
  <c r="V87" i="24"/>
  <c r="Z87" i="24" s="1"/>
  <c r="E87" i="24"/>
  <c r="V65" i="24"/>
  <c r="Z65" i="24" s="1"/>
  <c r="E65" i="24"/>
  <c r="V79" i="24"/>
  <c r="W79" i="24" s="1"/>
  <c r="E79" i="24"/>
  <c r="F86" i="24"/>
  <c r="E86" i="24"/>
  <c r="N56" i="24"/>
  <c r="E56" i="24"/>
  <c r="V69" i="24"/>
  <c r="X69" i="24" s="1"/>
  <c r="E69" i="24"/>
  <c r="N70" i="24"/>
  <c r="E70" i="24"/>
  <c r="V22" i="24"/>
  <c r="X22" i="24" s="1"/>
  <c r="E22" i="24"/>
  <c r="V83" i="24"/>
  <c r="E83" i="24"/>
  <c r="V84" i="24"/>
  <c r="Z84" i="24" s="1"/>
  <c r="E84" i="24"/>
  <c r="V99" i="24"/>
  <c r="E99" i="24"/>
  <c r="V89" i="24"/>
  <c r="E89" i="24"/>
  <c r="V93" i="24"/>
  <c r="E93" i="24"/>
  <c r="L17" i="24"/>
  <c r="E17" i="24"/>
  <c r="V36" i="24"/>
  <c r="E36" i="24"/>
  <c r="L81" i="24"/>
  <c r="E81" i="24"/>
  <c r="L92" i="24"/>
  <c r="E92" i="24"/>
  <c r="H72" i="24"/>
  <c r="E72" i="24"/>
  <c r="V46" i="24"/>
  <c r="W46" i="24" s="1"/>
  <c r="J86" i="24"/>
  <c r="V30" i="24"/>
  <c r="X30" i="24" s="1"/>
  <c r="Q78" i="24"/>
  <c r="V35" i="24"/>
  <c r="Z35" i="24" s="1"/>
  <c r="V32" i="24"/>
  <c r="X32" i="24" s="1"/>
  <c r="F10" i="24"/>
  <c r="V17" i="24"/>
  <c r="V55" i="24"/>
  <c r="W55" i="24" s="1"/>
  <c r="V90" i="24"/>
  <c r="X90" i="24" s="1"/>
  <c r="AG311" i="16"/>
  <c r="AG314" i="16"/>
  <c r="AI302" i="16"/>
  <c r="AI303" i="16" s="1"/>
  <c r="AH305" i="16"/>
  <c r="BP302" i="16"/>
  <c r="V33" i="18" s="1"/>
  <c r="AF311" i="16"/>
  <c r="AF314" i="16"/>
  <c r="V71" i="24"/>
  <c r="X71" i="24" s="1"/>
  <c r="L77" i="24"/>
  <c r="K10" i="24"/>
  <c r="V97" i="24"/>
  <c r="X97" i="24" s="1"/>
  <c r="V100" i="24"/>
  <c r="W100" i="24" s="1"/>
  <c r="L69" i="24"/>
  <c r="N71" i="24"/>
  <c r="R10" i="24"/>
  <c r="G10" i="24"/>
  <c r="K12" i="24"/>
  <c r="V26" i="24"/>
  <c r="Z26" i="24" s="1"/>
  <c r="G71" i="24"/>
  <c r="V70" i="24"/>
  <c r="Y70" i="24" s="1"/>
  <c r="V66" i="24"/>
  <c r="W66" i="24" s="1"/>
  <c r="V39" i="24"/>
  <c r="X39" i="24" s="1"/>
  <c r="J96" i="24"/>
  <c r="V16" i="24"/>
  <c r="V104" i="24"/>
  <c r="X104" i="24" s="1"/>
  <c r="V77" i="24"/>
  <c r="Y77" i="24" s="1"/>
  <c r="V76" i="24"/>
  <c r="Z76" i="24" s="1"/>
  <c r="H27" i="24"/>
  <c r="R89" i="24"/>
  <c r="Q10" i="24"/>
  <c r="D30" i="24"/>
  <c r="V37" i="24"/>
  <c r="V72" i="24"/>
  <c r="Z72" i="24" s="1"/>
  <c r="F34" i="24"/>
  <c r="V29" i="24"/>
  <c r="X29" i="24" s="1"/>
  <c r="V85" i="24"/>
  <c r="Z85" i="24" s="1"/>
  <c r="V11" i="24"/>
  <c r="Z11" i="24" s="1"/>
  <c r="V81" i="24"/>
  <c r="L104" i="24"/>
  <c r="W22" i="24"/>
  <c r="L52" i="24"/>
  <c r="N44" i="24"/>
  <c r="N31" i="24"/>
  <c r="Z71" i="24"/>
  <c r="F35" i="24"/>
  <c r="D104" i="24"/>
  <c r="L56" i="24"/>
  <c r="G27" i="24"/>
  <c r="Z9" i="24"/>
  <c r="V15" i="24"/>
  <c r="Y15" i="24" s="1"/>
  <c r="Y98" i="24"/>
  <c r="X46" i="24"/>
  <c r="V57" i="24"/>
  <c r="X57" i="24" s="1"/>
  <c r="L46" i="24"/>
  <c r="J24" i="24"/>
  <c r="J85" i="24"/>
  <c r="K93" i="24"/>
  <c r="H31" i="24"/>
  <c r="K44" i="24"/>
  <c r="V91" i="24"/>
  <c r="X91" i="24" s="1"/>
  <c r="V40" i="24"/>
  <c r="V82" i="24"/>
  <c r="R11" i="24"/>
  <c r="K41" i="24"/>
  <c r="G13" i="24"/>
  <c r="N22" i="24"/>
  <c r="N53" i="24"/>
  <c r="G44" i="24"/>
  <c r="L40" i="24"/>
  <c r="L42" i="24"/>
  <c r="H103" i="24"/>
  <c r="Y9" i="24"/>
  <c r="P10" i="24"/>
  <c r="Y68" i="24"/>
  <c r="V13" i="24"/>
  <c r="K62" i="24"/>
  <c r="D18" i="24"/>
  <c r="D98" i="24"/>
  <c r="H44" i="24"/>
  <c r="R93" i="24"/>
  <c r="L44" i="24"/>
  <c r="V20" i="24"/>
  <c r="Y20" i="24" s="1"/>
  <c r="V42" i="24"/>
  <c r="R37" i="24"/>
  <c r="G40" i="24"/>
  <c r="H71" i="24"/>
  <c r="Y22" i="24"/>
  <c r="P37" i="24"/>
  <c r="G100" i="24"/>
  <c r="J44" i="24"/>
  <c r="X85" i="24"/>
  <c r="K14" i="24"/>
  <c r="K106" i="24"/>
  <c r="G93" i="24"/>
  <c r="P44" i="24"/>
  <c r="V44" i="24"/>
  <c r="X44" i="24" s="1"/>
  <c r="Q37" i="24"/>
  <c r="J103" i="24"/>
  <c r="Y61" i="24"/>
  <c r="N15" i="24"/>
  <c r="N61" i="24"/>
  <c r="P93" i="24"/>
  <c r="D10" i="24"/>
  <c r="Z55" i="24"/>
  <c r="P14" i="24"/>
  <c r="F70" i="24"/>
  <c r="K83" i="24"/>
  <c r="F84" i="24"/>
  <c r="G86" i="24"/>
  <c r="D93" i="24"/>
  <c r="Q44" i="24"/>
  <c r="D44" i="24"/>
  <c r="P20" i="24"/>
  <c r="F82" i="24"/>
  <c r="N10" i="24"/>
  <c r="V52" i="24"/>
  <c r="X52" i="24" s="1"/>
  <c r="Q30" i="24"/>
  <c r="F97" i="24"/>
  <c r="N47" i="24"/>
  <c r="Q86" i="24"/>
  <c r="F93" i="24"/>
  <c r="F44" i="24"/>
  <c r="V103" i="24"/>
  <c r="Y103" i="24" s="1"/>
  <c r="V41" i="24"/>
  <c r="Z41" i="24" s="1"/>
  <c r="K20" i="24"/>
  <c r="J35" i="24"/>
  <c r="N26" i="24"/>
  <c r="W73" i="24"/>
  <c r="X73" i="24"/>
  <c r="Z73" i="24"/>
  <c r="X47" i="24"/>
  <c r="W47" i="24"/>
  <c r="Z47" i="24"/>
  <c r="Z83" i="24"/>
  <c r="X83" i="24"/>
  <c r="W83" i="24"/>
  <c r="W105" i="24"/>
  <c r="X105" i="24"/>
  <c r="Z105" i="24"/>
  <c r="Z89" i="24"/>
  <c r="X89" i="24"/>
  <c r="W89" i="24"/>
  <c r="Z99" i="24"/>
  <c r="X99" i="24"/>
  <c r="W99" i="24"/>
  <c r="Y99" i="24"/>
  <c r="X102" i="24"/>
  <c r="W102" i="24"/>
  <c r="Z102" i="24"/>
  <c r="X84" i="24"/>
  <c r="W84" i="24"/>
  <c r="H28" i="24"/>
  <c r="J28" i="24"/>
  <c r="G28" i="24"/>
  <c r="R28" i="24"/>
  <c r="D28" i="24"/>
  <c r="K28" i="24"/>
  <c r="V96" i="24"/>
  <c r="Y96" i="24" s="1"/>
  <c r="H53" i="24"/>
  <c r="R53" i="24"/>
  <c r="L53" i="24"/>
  <c r="K53" i="24"/>
  <c r="P53" i="24"/>
  <c r="F53" i="24"/>
  <c r="Y53" i="24"/>
  <c r="D53" i="24"/>
  <c r="Z98" i="24"/>
  <c r="H87" i="24"/>
  <c r="Q87" i="24"/>
  <c r="G87" i="24"/>
  <c r="K87" i="24"/>
  <c r="P87" i="24"/>
  <c r="F87" i="24"/>
  <c r="L87" i="24"/>
  <c r="Y87" i="24"/>
  <c r="R87" i="24"/>
  <c r="V59" i="24"/>
  <c r="H65" i="24"/>
  <c r="F65" i="24"/>
  <c r="P65" i="24"/>
  <c r="J65" i="24"/>
  <c r="N65" i="24"/>
  <c r="Q65" i="24"/>
  <c r="G65" i="24"/>
  <c r="L65" i="24"/>
  <c r="R65" i="24"/>
  <c r="W32" i="24"/>
  <c r="G79" i="24"/>
  <c r="H79" i="24"/>
  <c r="D79" i="24"/>
  <c r="K79" i="24"/>
  <c r="R79" i="24"/>
  <c r="Y79" i="24"/>
  <c r="F79" i="24"/>
  <c r="N79" i="24"/>
  <c r="J79" i="24"/>
  <c r="Q94" i="24"/>
  <c r="R94" i="24"/>
  <c r="Q13" i="24"/>
  <c r="L101" i="24"/>
  <c r="F101" i="24"/>
  <c r="L14" i="24"/>
  <c r="G46" i="24"/>
  <c r="J54" i="24"/>
  <c r="J62" i="24"/>
  <c r="H62" i="24"/>
  <c r="F62" i="24"/>
  <c r="G62" i="24"/>
  <c r="R70" i="24"/>
  <c r="K70" i="24"/>
  <c r="N24" i="24"/>
  <c r="D22" i="24"/>
  <c r="R21" i="24"/>
  <c r="Y18" i="24"/>
  <c r="D15" i="24"/>
  <c r="R83" i="24"/>
  <c r="F29" i="24"/>
  <c r="G53" i="24"/>
  <c r="D61" i="24"/>
  <c r="J106" i="24"/>
  <c r="K84" i="24"/>
  <c r="D65" i="24"/>
  <c r="F99" i="24"/>
  <c r="J52" i="24"/>
  <c r="G64" i="24"/>
  <c r="X17" i="24"/>
  <c r="Z17" i="24"/>
  <c r="W17" i="24"/>
  <c r="V62" i="24"/>
  <c r="H38" i="24"/>
  <c r="N38" i="24"/>
  <c r="F38" i="24"/>
  <c r="P38" i="24"/>
  <c r="H68" i="24"/>
  <c r="P68" i="24"/>
  <c r="N68" i="24"/>
  <c r="J68" i="24"/>
  <c r="Q68" i="24"/>
  <c r="L68" i="24"/>
  <c r="G68" i="24"/>
  <c r="R68" i="24"/>
  <c r="F68" i="24"/>
  <c r="K68" i="24"/>
  <c r="H96" i="24"/>
  <c r="G96" i="24"/>
  <c r="Q96" i="24"/>
  <c r="K96" i="24"/>
  <c r="P96" i="24"/>
  <c r="F96" i="24"/>
  <c r="Z53" i="24"/>
  <c r="H102" i="24"/>
  <c r="K102" i="24"/>
  <c r="P102" i="24"/>
  <c r="F102" i="24"/>
  <c r="L102" i="24"/>
  <c r="Y102" i="24"/>
  <c r="R102" i="24"/>
  <c r="D102" i="24"/>
  <c r="N102" i="24"/>
  <c r="W87" i="24"/>
  <c r="H59" i="24"/>
  <c r="D59" i="24"/>
  <c r="P59" i="24"/>
  <c r="N59" i="24"/>
  <c r="G59" i="24"/>
  <c r="J59" i="24"/>
  <c r="L59" i="24"/>
  <c r="Q59" i="24"/>
  <c r="R59" i="24"/>
  <c r="W65" i="24"/>
  <c r="H105" i="24"/>
  <c r="F105" i="24"/>
  <c r="P105" i="24"/>
  <c r="J105" i="24"/>
  <c r="N105" i="24"/>
  <c r="Q105" i="24"/>
  <c r="G105" i="24"/>
  <c r="L105" i="24"/>
  <c r="R105" i="24"/>
  <c r="Z79" i="24"/>
  <c r="F94" i="24"/>
  <c r="P94" i="24"/>
  <c r="J13" i="24"/>
  <c r="P101" i="24"/>
  <c r="L38" i="24"/>
  <c r="Q46" i="24"/>
  <c r="D54" i="24"/>
  <c r="L70" i="24"/>
  <c r="H78" i="24"/>
  <c r="V78" i="24"/>
  <c r="Y78" i="24" s="1"/>
  <c r="L78" i="24"/>
  <c r="N78" i="24"/>
  <c r="K78" i="24"/>
  <c r="D78" i="24"/>
  <c r="P21" i="24"/>
  <c r="Q18" i="24"/>
  <c r="F28" i="24"/>
  <c r="G83" i="24"/>
  <c r="P39" i="24"/>
  <c r="D96" i="24"/>
  <c r="K29" i="24"/>
  <c r="R48" i="24"/>
  <c r="R45" i="24"/>
  <c r="D106" i="24"/>
  <c r="J84" i="24"/>
  <c r="K59" i="24"/>
  <c r="Y65" i="24"/>
  <c r="L64" i="24"/>
  <c r="D73" i="24"/>
  <c r="Y56" i="24"/>
  <c r="X56" i="24"/>
  <c r="W56" i="24"/>
  <c r="Z56" i="24"/>
  <c r="H101" i="24"/>
  <c r="V101" i="24"/>
  <c r="Y101" i="24" s="1"/>
  <c r="F21" i="24"/>
  <c r="W93" i="24"/>
  <c r="Z93" i="24"/>
  <c r="X93" i="24"/>
  <c r="Y93" i="24"/>
  <c r="G22" i="24"/>
  <c r="F22" i="24"/>
  <c r="L22" i="24"/>
  <c r="W18" i="24"/>
  <c r="V12" i="24"/>
  <c r="Y12" i="24" s="1"/>
  <c r="H97" i="24"/>
  <c r="R97" i="24"/>
  <c r="N97" i="24"/>
  <c r="J97" i="24"/>
  <c r="Q97" i="24"/>
  <c r="V80" i="24"/>
  <c r="Y80" i="24" s="1"/>
  <c r="X53" i="24"/>
  <c r="H98" i="24"/>
  <c r="J98" i="24"/>
  <c r="G98" i="24"/>
  <c r="Q98" i="24"/>
  <c r="R98" i="24"/>
  <c r="L98" i="24"/>
  <c r="K98" i="24"/>
  <c r="P98" i="24"/>
  <c r="F98" i="24"/>
  <c r="Z61" i="24"/>
  <c r="V106" i="24"/>
  <c r="Y106" i="24" s="1"/>
  <c r="X87" i="24"/>
  <c r="H30" i="24"/>
  <c r="I30" i="24" s="1"/>
  <c r="N30" i="24"/>
  <c r="K30" i="24"/>
  <c r="P30" i="24"/>
  <c r="X65" i="24"/>
  <c r="H32" i="24"/>
  <c r="J32" i="24"/>
  <c r="F32" i="24"/>
  <c r="G32" i="24"/>
  <c r="P32" i="24"/>
  <c r="R32" i="24"/>
  <c r="K32" i="24"/>
  <c r="Y32" i="24"/>
  <c r="D32" i="24"/>
  <c r="V64" i="24"/>
  <c r="Y64" i="24" s="1"/>
  <c r="X79" i="24"/>
  <c r="N94" i="24"/>
  <c r="J94" i="24"/>
  <c r="N13" i="24"/>
  <c r="J101" i="24"/>
  <c r="N14" i="24"/>
  <c r="Y30" i="24"/>
  <c r="G38" i="24"/>
  <c r="J46" i="24"/>
  <c r="P62" i="24"/>
  <c r="P70" i="24"/>
  <c r="J9" i="24"/>
  <c r="F24" i="24"/>
  <c r="K22" i="24"/>
  <c r="L21" i="24"/>
  <c r="K18" i="24"/>
  <c r="P28" i="24"/>
  <c r="J83" i="24"/>
  <c r="R96" i="24"/>
  <c r="L48" i="24"/>
  <c r="L45" i="24"/>
  <c r="G102" i="24"/>
  <c r="R57" i="24"/>
  <c r="K55" i="24"/>
  <c r="K65" i="24"/>
  <c r="Q32" i="24"/>
  <c r="D105" i="24"/>
  <c r="X107" i="24"/>
  <c r="Z107" i="24"/>
  <c r="W107" i="24"/>
  <c r="F73" i="24"/>
  <c r="R63" i="24"/>
  <c r="D63" i="24"/>
  <c r="H63" i="24"/>
  <c r="N63" i="24"/>
  <c r="Q63" i="24"/>
  <c r="K63" i="24"/>
  <c r="P63" i="24"/>
  <c r="F63" i="24"/>
  <c r="J63" i="24"/>
  <c r="L63" i="24"/>
  <c r="V63" i="24"/>
  <c r="G63" i="24"/>
  <c r="H74" i="24"/>
  <c r="P74" i="24"/>
  <c r="N74" i="24"/>
  <c r="L74" i="24"/>
  <c r="D74" i="24"/>
  <c r="J74" i="24"/>
  <c r="R74" i="24"/>
  <c r="G74" i="24"/>
  <c r="K74" i="24"/>
  <c r="H12" i="24"/>
  <c r="F12" i="24"/>
  <c r="G12" i="24"/>
  <c r="D12" i="24"/>
  <c r="N12" i="24"/>
  <c r="L12" i="24"/>
  <c r="H80" i="24"/>
  <c r="K80" i="24"/>
  <c r="F80" i="24"/>
  <c r="Q80" i="24"/>
  <c r="J80" i="24"/>
  <c r="D80" i="24"/>
  <c r="G80" i="24"/>
  <c r="N80" i="24"/>
  <c r="W98" i="24"/>
  <c r="H106" i="24"/>
  <c r="Q106" i="24"/>
  <c r="G106" i="24"/>
  <c r="P106" i="24"/>
  <c r="L106" i="24"/>
  <c r="R106" i="24"/>
  <c r="Z30" i="24"/>
  <c r="H47" i="24"/>
  <c r="Y47" i="24"/>
  <c r="L47" i="24"/>
  <c r="Q47" i="24"/>
  <c r="P47" i="24"/>
  <c r="R47" i="24"/>
  <c r="K47" i="24"/>
  <c r="F47" i="24"/>
  <c r="D47" i="24"/>
  <c r="Z32" i="24"/>
  <c r="H64" i="24"/>
  <c r="N64" i="24"/>
  <c r="P64" i="24"/>
  <c r="R64" i="24"/>
  <c r="F64" i="24"/>
  <c r="K64" i="24"/>
  <c r="D64" i="24"/>
  <c r="J64" i="24"/>
  <c r="K13" i="24"/>
  <c r="D13" i="24"/>
  <c r="Q101" i="24"/>
  <c r="H14" i="24"/>
  <c r="I14" i="24" s="1"/>
  <c r="Q14" i="24"/>
  <c r="R14" i="24"/>
  <c r="J14" i="24"/>
  <c r="F30" i="24"/>
  <c r="Q38" i="24"/>
  <c r="D46" i="24"/>
  <c r="L62" i="24"/>
  <c r="Q70" i="24"/>
  <c r="F78" i="24"/>
  <c r="R24" i="24"/>
  <c r="R22" i="24"/>
  <c r="Q21" i="24"/>
  <c r="R18" i="24"/>
  <c r="P12" i="24"/>
  <c r="Q28" i="24"/>
  <c r="L97" i="24"/>
  <c r="R29" i="24"/>
  <c r="L80" i="24"/>
  <c r="D48" i="24"/>
  <c r="P45" i="24"/>
  <c r="Q102" i="24"/>
  <c r="J87" i="24"/>
  <c r="R55" i="24"/>
  <c r="Q9" i="24"/>
  <c r="N32" i="24"/>
  <c r="Y105" i="24"/>
  <c r="L79" i="24"/>
  <c r="H108" i="24"/>
  <c r="J108" i="24"/>
  <c r="G108" i="24"/>
  <c r="P108" i="24"/>
  <c r="K108" i="24"/>
  <c r="D108" i="24"/>
  <c r="F108" i="24"/>
  <c r="Q108" i="24"/>
  <c r="R108" i="24"/>
  <c r="V108" i="24"/>
  <c r="Y108" i="24" s="1"/>
  <c r="N108" i="24"/>
  <c r="W25" i="24"/>
  <c r="Z25" i="24"/>
  <c r="R75" i="24"/>
  <c r="N75" i="24"/>
  <c r="H75" i="24"/>
  <c r="Q75" i="24"/>
  <c r="K75" i="24"/>
  <c r="P75" i="24"/>
  <c r="L75" i="24"/>
  <c r="G75" i="24"/>
  <c r="D75" i="24"/>
  <c r="V75" i="24"/>
  <c r="F75" i="24"/>
  <c r="J75" i="24"/>
  <c r="D94" i="24"/>
  <c r="H54" i="24"/>
  <c r="V54" i="24"/>
  <c r="Y54" i="24" s="1"/>
  <c r="L54" i="24"/>
  <c r="N54" i="24"/>
  <c r="K54" i="24"/>
  <c r="H15" i="24"/>
  <c r="Q15" i="24"/>
  <c r="K15" i="24"/>
  <c r="P15" i="24"/>
  <c r="R15" i="24"/>
  <c r="V74" i="24"/>
  <c r="H66" i="24"/>
  <c r="R66" i="24"/>
  <c r="K66" i="24"/>
  <c r="L66" i="24"/>
  <c r="F66" i="24"/>
  <c r="D66" i="24"/>
  <c r="J66" i="24"/>
  <c r="Q66" i="24"/>
  <c r="P66" i="24"/>
  <c r="G66" i="24"/>
  <c r="W9" i="24"/>
  <c r="H9" i="24"/>
  <c r="Z22" i="24"/>
  <c r="L10" i="24"/>
  <c r="V24" i="24"/>
  <c r="H18" i="24"/>
  <c r="F18" i="24"/>
  <c r="L18" i="24"/>
  <c r="H39" i="24"/>
  <c r="K39" i="24"/>
  <c r="N39" i="24"/>
  <c r="R39" i="24"/>
  <c r="J39" i="24"/>
  <c r="F39" i="24"/>
  <c r="Q39" i="24"/>
  <c r="V48" i="24"/>
  <c r="H61" i="24"/>
  <c r="J61" i="24"/>
  <c r="Q61" i="24"/>
  <c r="L61" i="24"/>
  <c r="K61" i="24"/>
  <c r="P61" i="24"/>
  <c r="F61" i="24"/>
  <c r="G61" i="24"/>
  <c r="H57" i="24"/>
  <c r="N57" i="24"/>
  <c r="J57" i="24"/>
  <c r="Q57" i="24"/>
  <c r="G57" i="24"/>
  <c r="K57" i="24"/>
  <c r="P57" i="24"/>
  <c r="H52" i="24"/>
  <c r="R52" i="24"/>
  <c r="Q52" i="24"/>
  <c r="P52" i="24"/>
  <c r="G52" i="24"/>
  <c r="K52" i="24"/>
  <c r="F52" i="24"/>
  <c r="D52" i="24"/>
  <c r="K94" i="24"/>
  <c r="R13" i="24"/>
  <c r="Y13" i="24"/>
  <c r="G101" i="24"/>
  <c r="D14" i="24"/>
  <c r="R30" i="24"/>
  <c r="J38" i="24"/>
  <c r="Y46" i="24"/>
  <c r="R54" i="24"/>
  <c r="Q62" i="24"/>
  <c r="J70" i="24"/>
  <c r="R78" i="24"/>
  <c r="P22" i="24"/>
  <c r="G18" i="24"/>
  <c r="L15" i="24"/>
  <c r="J12" i="24"/>
  <c r="L28" i="24"/>
  <c r="P97" i="24"/>
  <c r="G39" i="24"/>
  <c r="G29" i="24"/>
  <c r="P80" i="24"/>
  <c r="J102" i="24"/>
  <c r="N87" i="24"/>
  <c r="D57" i="24"/>
  <c r="N9" i="24"/>
  <c r="K95" i="24"/>
  <c r="K105" i="24"/>
  <c r="P79" i="24"/>
  <c r="N88" i="24"/>
  <c r="J88" i="24"/>
  <c r="Q88" i="24"/>
  <c r="K88" i="24"/>
  <c r="P88" i="24"/>
  <c r="H88" i="24"/>
  <c r="R88" i="24"/>
  <c r="V88" i="24"/>
  <c r="F88" i="24"/>
  <c r="D88" i="24"/>
  <c r="L88" i="24"/>
  <c r="G88" i="24"/>
  <c r="H60" i="24"/>
  <c r="P60" i="24"/>
  <c r="N60" i="24"/>
  <c r="K60" i="24"/>
  <c r="F60" i="24"/>
  <c r="D60" i="24"/>
  <c r="J60" i="24"/>
  <c r="Q60" i="24"/>
  <c r="L60" i="24"/>
  <c r="H21" i="24"/>
  <c r="G21" i="24"/>
  <c r="N21" i="24"/>
  <c r="K21" i="24"/>
  <c r="V28" i="24"/>
  <c r="Y28" i="24" s="1"/>
  <c r="H45" i="24"/>
  <c r="D45" i="24"/>
  <c r="K45" i="24"/>
  <c r="N45" i="24"/>
  <c r="G45" i="24"/>
  <c r="Q45" i="24"/>
  <c r="J45" i="24"/>
  <c r="K38" i="24"/>
  <c r="Z68" i="24"/>
  <c r="W68" i="24"/>
  <c r="H73" i="24"/>
  <c r="Y73" i="24"/>
  <c r="R73" i="24"/>
  <c r="Q73" i="24"/>
  <c r="N73" i="24"/>
  <c r="J73" i="24"/>
  <c r="G73" i="24"/>
  <c r="P73" i="24"/>
  <c r="L73" i="24"/>
  <c r="K73" i="24"/>
  <c r="H24" i="24"/>
  <c r="I24" i="24" s="1"/>
  <c r="D24" i="24"/>
  <c r="K24" i="24"/>
  <c r="L24" i="24"/>
  <c r="Z18" i="24"/>
  <c r="H83" i="24"/>
  <c r="F83" i="24"/>
  <c r="Q83" i="24"/>
  <c r="D83" i="24"/>
  <c r="L83" i="24"/>
  <c r="N83" i="24"/>
  <c r="P83" i="24"/>
  <c r="Z39" i="24"/>
  <c r="H48" i="24"/>
  <c r="N48" i="24"/>
  <c r="J48" i="24"/>
  <c r="Q48" i="24"/>
  <c r="G48" i="24"/>
  <c r="K48" i="24"/>
  <c r="P48" i="24"/>
  <c r="W61" i="24"/>
  <c r="H84" i="24"/>
  <c r="Q84" i="24"/>
  <c r="D84" i="24"/>
  <c r="L84" i="24"/>
  <c r="N84" i="24"/>
  <c r="P84" i="24"/>
  <c r="G84" i="24"/>
  <c r="R84" i="24"/>
  <c r="W57" i="24"/>
  <c r="H99" i="24"/>
  <c r="L99" i="24"/>
  <c r="G99" i="24"/>
  <c r="D99" i="24"/>
  <c r="J99" i="24"/>
  <c r="Q99" i="24"/>
  <c r="P99" i="24"/>
  <c r="R99" i="24"/>
  <c r="K99" i="24"/>
  <c r="N89" i="24"/>
  <c r="F89" i="24"/>
  <c r="H89" i="24"/>
  <c r="P89" i="24"/>
  <c r="Y89" i="24"/>
  <c r="D89" i="24"/>
  <c r="J89" i="24"/>
  <c r="Q89" i="24"/>
  <c r="L89" i="24"/>
  <c r="G89" i="24"/>
  <c r="G94" i="24"/>
  <c r="I94" i="24" s="1"/>
  <c r="L13" i="24"/>
  <c r="F13" i="24"/>
  <c r="N101" i="24"/>
  <c r="H22" i="24"/>
  <c r="I22" i="24" s="1"/>
  <c r="L30" i="24"/>
  <c r="D38" i="24"/>
  <c r="G54" i="24"/>
  <c r="N62" i="24"/>
  <c r="G78" i="24"/>
  <c r="P24" i="24"/>
  <c r="J22" i="24"/>
  <c r="D21" i="24"/>
  <c r="P18" i="24"/>
  <c r="G15" i="24"/>
  <c r="Q12" i="24"/>
  <c r="N28" i="24"/>
  <c r="G97" i="24"/>
  <c r="D39" i="24"/>
  <c r="Q53" i="24"/>
  <c r="F48" i="24"/>
  <c r="D87" i="24"/>
  <c r="Y57" i="24"/>
  <c r="G47" i="24"/>
  <c r="Q79" i="24"/>
  <c r="H23" i="24"/>
  <c r="J23" i="24"/>
  <c r="L23" i="24"/>
  <c r="Q23" i="24"/>
  <c r="N23" i="24"/>
  <c r="P23" i="24"/>
  <c r="V23" i="24"/>
  <c r="Y23" i="24" s="1"/>
  <c r="G23" i="24"/>
  <c r="R23" i="24"/>
  <c r="K23" i="24"/>
  <c r="F23" i="24"/>
  <c r="Q74" i="24"/>
  <c r="R60" i="24"/>
  <c r="V14" i="24"/>
  <c r="Y14" i="24" s="1"/>
  <c r="W51" i="24"/>
  <c r="X51" i="24"/>
  <c r="Z51" i="24"/>
  <c r="H95" i="24"/>
  <c r="F95" i="24"/>
  <c r="P95" i="24"/>
  <c r="D95" i="24"/>
  <c r="J95" i="24"/>
  <c r="N95" i="24"/>
  <c r="Q95" i="24"/>
  <c r="G95" i="24"/>
  <c r="G9" i="24"/>
  <c r="K9" i="24"/>
  <c r="P9" i="24"/>
  <c r="L9" i="24"/>
  <c r="R9" i="24"/>
  <c r="F9" i="24"/>
  <c r="D9" i="24"/>
  <c r="I10" i="24"/>
  <c r="J10" i="24"/>
  <c r="H70" i="24"/>
  <c r="G70" i="24"/>
  <c r="D70" i="24"/>
  <c r="V60" i="24"/>
  <c r="Y60" i="24" s="1"/>
  <c r="V21" i="24"/>
  <c r="Y21" i="24" s="1"/>
  <c r="I13" i="24"/>
  <c r="V94" i="24"/>
  <c r="Y94" i="24" s="1"/>
  <c r="H29" i="24"/>
  <c r="D29" i="24"/>
  <c r="L29" i="24"/>
  <c r="Q29" i="24"/>
  <c r="J29" i="24"/>
  <c r="V45" i="24"/>
  <c r="H46" i="24"/>
  <c r="I46" i="24" s="1"/>
  <c r="N46" i="24"/>
  <c r="K46" i="24"/>
  <c r="P46" i="24"/>
  <c r="V38" i="24"/>
  <c r="Y38" i="24" s="1"/>
  <c r="N55" i="24"/>
  <c r="F55" i="24"/>
  <c r="H55" i="24"/>
  <c r="P55" i="24"/>
  <c r="Y55" i="24"/>
  <c r="D55" i="24"/>
  <c r="J55" i="24"/>
  <c r="Q55" i="24"/>
  <c r="G55" i="24"/>
  <c r="V95" i="24"/>
  <c r="Y95" i="24" s="1"/>
  <c r="H85" i="24"/>
  <c r="K85" i="24"/>
  <c r="P85" i="24"/>
  <c r="N85" i="24"/>
  <c r="G85" i="24"/>
  <c r="R85" i="24"/>
  <c r="F85" i="24"/>
  <c r="Y85" i="24"/>
  <c r="D85" i="24"/>
  <c r="L94" i="24"/>
  <c r="P13" i="24"/>
  <c r="R101" i="24"/>
  <c r="D101" i="24"/>
  <c r="F14" i="24"/>
  <c r="J30" i="24"/>
  <c r="R46" i="24"/>
  <c r="Q54" i="24"/>
  <c r="P54" i="24"/>
  <c r="D62" i="24"/>
  <c r="P78" i="24"/>
  <c r="V10" i="24"/>
  <c r="Q24" i="24"/>
  <c r="Q22" i="24"/>
  <c r="N18" i="24"/>
  <c r="J15" i="24"/>
  <c r="Y83" i="24"/>
  <c r="D97" i="24"/>
  <c r="L96" i="24"/>
  <c r="N29" i="24"/>
  <c r="J53" i="24"/>
  <c r="N98" i="24"/>
  <c r="R61" i="24"/>
  <c r="F106" i="24"/>
  <c r="Y84" i="24"/>
  <c r="F57" i="24"/>
  <c r="J47" i="24"/>
  <c r="N99" i="24"/>
  <c r="L95" i="24"/>
  <c r="Q85" i="24"/>
  <c r="K89" i="24"/>
  <c r="D23" i="24"/>
  <c r="F74" i="24"/>
  <c r="G60" i="24"/>
  <c r="L108" i="24"/>
  <c r="R17" i="24"/>
  <c r="J17" i="24"/>
  <c r="F17" i="24"/>
  <c r="D17" i="24"/>
  <c r="G17" i="24"/>
  <c r="N17" i="24"/>
  <c r="Q17" i="24"/>
  <c r="P17" i="24"/>
  <c r="K17" i="24"/>
  <c r="K51" i="24"/>
  <c r="P51" i="24"/>
  <c r="Y51" i="24"/>
  <c r="R51" i="24"/>
  <c r="N51" i="24"/>
  <c r="H51" i="24"/>
  <c r="Q51" i="24"/>
  <c r="F51" i="24"/>
  <c r="D51" i="24"/>
  <c r="J51" i="24"/>
  <c r="L51" i="24"/>
  <c r="J49" i="24"/>
  <c r="H49" i="24"/>
  <c r="F49" i="24"/>
  <c r="L49" i="24"/>
  <c r="D49" i="24"/>
  <c r="K49" i="24"/>
  <c r="G49" i="24"/>
  <c r="N49" i="24"/>
  <c r="Q49" i="24"/>
  <c r="P49" i="24"/>
  <c r="R49" i="24"/>
  <c r="V49" i="24"/>
  <c r="Y49" i="24" s="1"/>
  <c r="Z77" i="24"/>
  <c r="H17" i="24"/>
  <c r="J31" i="24"/>
  <c r="R31" i="24"/>
  <c r="D31" i="24"/>
  <c r="P31" i="24"/>
  <c r="D25" i="24"/>
  <c r="K25" i="24"/>
  <c r="H25" i="24"/>
  <c r="J25" i="24"/>
  <c r="Y25" i="24"/>
  <c r="L25" i="24"/>
  <c r="G25" i="24"/>
  <c r="P25" i="24"/>
  <c r="R25" i="24"/>
  <c r="F25" i="24"/>
  <c r="N25" i="24"/>
  <c r="V31" i="24"/>
  <c r="Y31" i="24" s="1"/>
  <c r="X36" i="24"/>
  <c r="Z36" i="24"/>
  <c r="Y91" i="24"/>
  <c r="W91" i="24"/>
  <c r="D43" i="24"/>
  <c r="K43" i="24"/>
  <c r="H43" i="24"/>
  <c r="N43" i="24"/>
  <c r="F43" i="24"/>
  <c r="J43" i="24"/>
  <c r="Q43" i="24"/>
  <c r="L43" i="24"/>
  <c r="V43" i="24"/>
  <c r="Y43" i="24" s="1"/>
  <c r="P43" i="24"/>
  <c r="G43" i="24"/>
  <c r="R43" i="24"/>
  <c r="Q25" i="24"/>
  <c r="D86" i="24"/>
  <c r="Q93" i="24"/>
  <c r="X16" i="24"/>
  <c r="H36" i="24"/>
  <c r="F36" i="24"/>
  <c r="G36" i="24"/>
  <c r="D36" i="24"/>
  <c r="J36" i="24"/>
  <c r="L36" i="24"/>
  <c r="K36" i="24"/>
  <c r="Y36" i="24"/>
  <c r="N36" i="24"/>
  <c r="Q36" i="24"/>
  <c r="R36" i="24"/>
  <c r="H33" i="24"/>
  <c r="Q33" i="24"/>
  <c r="G33" i="24"/>
  <c r="K33" i="24"/>
  <c r="P33" i="24"/>
  <c r="R33" i="24"/>
  <c r="N33" i="24"/>
  <c r="V33" i="24"/>
  <c r="Y33" i="24" s="1"/>
  <c r="F33" i="24"/>
  <c r="D33" i="24"/>
  <c r="L33" i="24"/>
  <c r="H92" i="24"/>
  <c r="D92" i="24"/>
  <c r="Q92" i="24"/>
  <c r="N92" i="24"/>
  <c r="J92" i="24"/>
  <c r="P92" i="24"/>
  <c r="K92" i="24"/>
  <c r="R92" i="24"/>
  <c r="V92" i="24"/>
  <c r="G92" i="24"/>
  <c r="F92" i="24"/>
  <c r="P50" i="24"/>
  <c r="Q50" i="24"/>
  <c r="L50" i="24"/>
  <c r="R50" i="24"/>
  <c r="F50" i="24"/>
  <c r="H50" i="24"/>
  <c r="J50" i="24"/>
  <c r="D50" i="24"/>
  <c r="K50" i="24"/>
  <c r="V50" i="24"/>
  <c r="Y50" i="24" s="1"/>
  <c r="D107" i="24"/>
  <c r="K107" i="24"/>
  <c r="Y107" i="24"/>
  <c r="J107" i="24"/>
  <c r="P107" i="24"/>
  <c r="H107" i="24"/>
  <c r="G107" i="24"/>
  <c r="R107" i="24"/>
  <c r="F107" i="24"/>
  <c r="N107" i="24"/>
  <c r="K31" i="24"/>
  <c r="W36" i="24"/>
  <c r="Z91" i="24"/>
  <c r="L107" i="24"/>
  <c r="P36" i="24"/>
  <c r="R86" i="24"/>
  <c r="H93" i="24"/>
  <c r="I93" i="24" s="1"/>
  <c r="L31" i="24"/>
  <c r="K19" i="24"/>
  <c r="H19" i="24"/>
  <c r="Q19" i="24"/>
  <c r="L19" i="24"/>
  <c r="N19" i="24"/>
  <c r="G19" i="24"/>
  <c r="J19" i="24"/>
  <c r="P19" i="24"/>
  <c r="F19" i="24"/>
  <c r="V19" i="24"/>
  <c r="Y19" i="24" s="1"/>
  <c r="V58" i="24"/>
  <c r="Y58" i="24" s="1"/>
  <c r="N34" i="24"/>
  <c r="R34" i="24"/>
  <c r="J34" i="24"/>
  <c r="G34" i="24"/>
  <c r="H34" i="24"/>
  <c r="D34" i="24"/>
  <c r="K34" i="24"/>
  <c r="V34" i="24"/>
  <c r="Y34" i="24" s="1"/>
  <c r="L34" i="24"/>
  <c r="P34" i="24"/>
  <c r="Z81" i="24"/>
  <c r="W81" i="24"/>
  <c r="X81" i="24"/>
  <c r="Q107" i="24"/>
  <c r="D19" i="24"/>
  <c r="H86" i="24"/>
  <c r="I86" i="24" s="1"/>
  <c r="V86" i="24"/>
  <c r="N86" i="24"/>
  <c r="K86" i="24"/>
  <c r="P86" i="24"/>
  <c r="F31" i="24"/>
  <c r="L58" i="24"/>
  <c r="D58" i="24"/>
  <c r="F58" i="24"/>
  <c r="H58" i="24"/>
  <c r="R58" i="24"/>
  <c r="J58" i="24"/>
  <c r="G58" i="24"/>
  <c r="K58" i="24"/>
  <c r="N58" i="24"/>
  <c r="Q58" i="24"/>
  <c r="X41" i="24"/>
  <c r="R19" i="24"/>
  <c r="G51" i="24"/>
  <c r="N50" i="24"/>
  <c r="L86" i="24"/>
  <c r="N93" i="24"/>
  <c r="L93" i="24"/>
  <c r="J93" i="24"/>
  <c r="G31" i="24"/>
  <c r="Y17" i="24"/>
  <c r="J33" i="24"/>
  <c r="G50" i="24"/>
  <c r="L91" i="24"/>
  <c r="K91" i="24"/>
  <c r="P91" i="24"/>
  <c r="F91" i="24"/>
  <c r="G91" i="24"/>
  <c r="D91" i="24"/>
  <c r="H91" i="24"/>
  <c r="J91" i="24"/>
  <c r="Q104" i="24"/>
  <c r="G104" i="24"/>
  <c r="P104" i="24"/>
  <c r="H104" i="24"/>
  <c r="R104" i="24"/>
  <c r="N104" i="24"/>
  <c r="F104" i="24"/>
  <c r="R56" i="24"/>
  <c r="K56" i="24"/>
  <c r="F56" i="24"/>
  <c r="D56" i="24"/>
  <c r="H56" i="24"/>
  <c r="P56" i="24"/>
  <c r="J56" i="24"/>
  <c r="H76" i="24"/>
  <c r="G76" i="24"/>
  <c r="K76" i="24"/>
  <c r="P76" i="24"/>
  <c r="F76" i="24"/>
  <c r="L76" i="24"/>
  <c r="D76" i="24"/>
  <c r="N76" i="24"/>
  <c r="J76" i="24"/>
  <c r="W90" i="24"/>
  <c r="W69" i="24"/>
  <c r="W71" i="24"/>
  <c r="R27" i="24"/>
  <c r="D27" i="24"/>
  <c r="N27" i="24"/>
  <c r="V27" i="24"/>
  <c r="Y27" i="24" s="1"/>
  <c r="J27" i="24"/>
  <c r="Q27" i="24"/>
  <c r="L27" i="24"/>
  <c r="K27" i="24"/>
  <c r="P27" i="24"/>
  <c r="P11" i="24"/>
  <c r="N37" i="24"/>
  <c r="D35" i="24"/>
  <c r="L103" i="24"/>
  <c r="G77" i="24"/>
  <c r="G56" i="24"/>
  <c r="L41" i="24"/>
  <c r="J72" i="24"/>
  <c r="R81" i="24"/>
  <c r="G81" i="24"/>
  <c r="K81" i="24"/>
  <c r="P81" i="24"/>
  <c r="F81" i="24"/>
  <c r="D81" i="24"/>
  <c r="H81" i="24"/>
  <c r="J81" i="24"/>
  <c r="J67" i="24"/>
  <c r="Q67" i="24"/>
  <c r="G67" i="24"/>
  <c r="P67" i="24"/>
  <c r="F67" i="24"/>
  <c r="L67" i="24"/>
  <c r="V67" i="24"/>
  <c r="R67" i="24"/>
  <c r="D67" i="24"/>
  <c r="K67" i="24"/>
  <c r="Q20" i="24"/>
  <c r="N11" i="24"/>
  <c r="P90" i="24"/>
  <c r="L16" i="24"/>
  <c r="K16" i="24"/>
  <c r="J16" i="24"/>
  <c r="Y16" i="24"/>
  <c r="H16" i="24"/>
  <c r="G16" i="24"/>
  <c r="N16" i="24"/>
  <c r="Y35" i="24"/>
  <c r="N35" i="24"/>
  <c r="H35" i="24"/>
  <c r="G35" i="24"/>
  <c r="Q35" i="24"/>
  <c r="K35" i="24"/>
  <c r="P35" i="24"/>
  <c r="K103" i="24"/>
  <c r="P103" i="24"/>
  <c r="F103" i="24"/>
  <c r="G103" i="24"/>
  <c r="I103" i="24" s="1"/>
  <c r="R103" i="24"/>
  <c r="N103" i="24"/>
  <c r="Q103" i="24"/>
  <c r="J82" i="24"/>
  <c r="Y82" i="24"/>
  <c r="Q82" i="24"/>
  <c r="D82" i="24"/>
  <c r="G82" i="24"/>
  <c r="N82" i="24"/>
  <c r="H82" i="24"/>
  <c r="L82" i="24"/>
  <c r="K82" i="24"/>
  <c r="Y42" i="24"/>
  <c r="J42" i="24"/>
  <c r="H42" i="24"/>
  <c r="I42" i="24" s="1"/>
  <c r="Q42" i="24"/>
  <c r="N42" i="24"/>
  <c r="P42" i="24"/>
  <c r="D42" i="24"/>
  <c r="K42" i="24"/>
  <c r="R42" i="24"/>
  <c r="Q72" i="24"/>
  <c r="G72" i="24"/>
  <c r="I72" i="24" s="1"/>
  <c r="K72" i="24"/>
  <c r="P72" i="24"/>
  <c r="F72" i="24"/>
  <c r="L72" i="24"/>
  <c r="R72" i="24"/>
  <c r="D72" i="24"/>
  <c r="N72" i="24"/>
  <c r="F16" i="24"/>
  <c r="R91" i="24"/>
  <c r="P100" i="24"/>
  <c r="P82" i="24"/>
  <c r="F42" i="24"/>
  <c r="N67" i="24"/>
  <c r="H20" i="24"/>
  <c r="F20" i="24"/>
  <c r="D20" i="24"/>
  <c r="J20" i="24"/>
  <c r="L20" i="24"/>
  <c r="G20" i="24"/>
  <c r="J11" i="24"/>
  <c r="F11" i="24"/>
  <c r="L11" i="24"/>
  <c r="D11" i="24"/>
  <c r="H11" i="24"/>
  <c r="G11" i="24"/>
  <c r="D37" i="24"/>
  <c r="J37" i="24"/>
  <c r="L37" i="24"/>
  <c r="H37" i="24"/>
  <c r="F37" i="24"/>
  <c r="G37" i="24"/>
  <c r="R40" i="24"/>
  <c r="N40" i="24"/>
  <c r="K40" i="24"/>
  <c r="D40" i="24"/>
  <c r="F40" i="24"/>
  <c r="Q40" i="24"/>
  <c r="H40" i="24"/>
  <c r="I40" i="24" s="1"/>
  <c r="P40" i="24"/>
  <c r="X26" i="24"/>
  <c r="W26" i="24"/>
  <c r="R16" i="24"/>
  <c r="K11" i="24"/>
  <c r="Q91" i="24"/>
  <c r="Q100" i="24"/>
  <c r="K104" i="24"/>
  <c r="Q81" i="24"/>
  <c r="Y40" i="24"/>
  <c r="Q77" i="24"/>
  <c r="Q56" i="24"/>
  <c r="R76" i="24"/>
  <c r="H67" i="24"/>
  <c r="P16" i="24"/>
  <c r="N81" i="24"/>
  <c r="F100" i="24"/>
  <c r="J100" i="24"/>
  <c r="K100" i="24"/>
  <c r="L100" i="24"/>
  <c r="H100" i="24"/>
  <c r="R100" i="24"/>
  <c r="F77" i="24"/>
  <c r="D77" i="24"/>
  <c r="P77" i="24"/>
  <c r="J77" i="24"/>
  <c r="H77" i="24"/>
  <c r="I77" i="24" s="1"/>
  <c r="R77" i="24"/>
  <c r="P41" i="24"/>
  <c r="J41" i="24"/>
  <c r="H41" i="24"/>
  <c r="G41" i="24"/>
  <c r="Q41" i="24"/>
  <c r="R41" i="24"/>
  <c r="F41" i="24"/>
  <c r="D41" i="24"/>
  <c r="J90" i="24"/>
  <c r="H90" i="24"/>
  <c r="Q90" i="24"/>
  <c r="G90" i="24"/>
  <c r="K90" i="24"/>
  <c r="F90" i="24"/>
  <c r="L90" i="24"/>
  <c r="Y90" i="24"/>
  <c r="R90" i="24"/>
  <c r="D90" i="24"/>
  <c r="R69" i="24"/>
  <c r="K69" i="24"/>
  <c r="F69" i="24"/>
  <c r="H69" i="24"/>
  <c r="Y69" i="24"/>
  <c r="D69" i="24"/>
  <c r="P69" i="24"/>
  <c r="N69" i="24"/>
  <c r="G69" i="24"/>
  <c r="J69" i="24"/>
  <c r="R20" i="24"/>
  <c r="Q16" i="24"/>
  <c r="L35" i="24"/>
  <c r="N100" i="24"/>
  <c r="Y81" i="24"/>
  <c r="K77" i="24"/>
  <c r="Q69" i="24"/>
  <c r="D71" i="24"/>
  <c r="D26" i="24"/>
  <c r="Y71" i="24"/>
  <c r="Y26" i="24"/>
  <c r="F71" i="24"/>
  <c r="F26" i="24"/>
  <c r="K71" i="24"/>
  <c r="P26" i="24"/>
  <c r="K26" i="24"/>
  <c r="H26" i="24"/>
  <c r="R71" i="24"/>
  <c r="G26" i="24"/>
  <c r="J26" i="24"/>
  <c r="Q71" i="24"/>
  <c r="L71" i="24"/>
  <c r="Q26" i="24"/>
  <c r="R26" i="24"/>
  <c r="J71" i="24"/>
  <c r="Q109" i="24" l="1"/>
  <c r="R109" i="24"/>
  <c r="P109" i="24"/>
  <c r="W11" i="24"/>
  <c r="W35" i="24"/>
  <c r="X55" i="24"/>
  <c r="Z46" i="24"/>
  <c r="Z69" i="24"/>
  <c r="X35" i="24"/>
  <c r="I17" i="24"/>
  <c r="Z100" i="24"/>
  <c r="W77" i="24"/>
  <c r="X100" i="24"/>
  <c r="W70" i="24"/>
  <c r="Y100" i="24"/>
  <c r="I45" i="24"/>
  <c r="X77" i="24"/>
  <c r="Y72" i="24"/>
  <c r="W104" i="24"/>
  <c r="Y104" i="24"/>
  <c r="Z104" i="24"/>
  <c r="W72" i="24"/>
  <c r="I64" i="24"/>
  <c r="Z52" i="24"/>
  <c r="Y52" i="24"/>
  <c r="Z97" i="24"/>
  <c r="X72" i="24"/>
  <c r="W97" i="24"/>
  <c r="I29" i="24"/>
  <c r="I39" i="24"/>
  <c r="I12" i="24"/>
  <c r="Z57" i="24"/>
  <c r="Y97" i="24"/>
  <c r="Z90" i="24"/>
  <c r="I74" i="24"/>
  <c r="W30" i="24"/>
  <c r="I31" i="24"/>
  <c r="I19" i="24"/>
  <c r="W39" i="24"/>
  <c r="I100" i="24"/>
  <c r="I81" i="24"/>
  <c r="W20" i="24"/>
  <c r="Z20" i="24"/>
  <c r="X20" i="24"/>
  <c r="I49" i="24"/>
  <c r="I27" i="24"/>
  <c r="Y66" i="24"/>
  <c r="W15" i="24"/>
  <c r="Y29" i="24"/>
  <c r="Y44" i="24"/>
  <c r="W76" i="24"/>
  <c r="X76" i="24"/>
  <c r="Y41" i="24"/>
  <c r="Y76" i="24"/>
  <c r="W41" i="24"/>
  <c r="AF312" i="16"/>
  <c r="AG313" i="16" s="1"/>
  <c r="AF313" i="16"/>
  <c r="V34" i="18"/>
  <c r="AF315" i="16"/>
  <c r="AF316" i="16"/>
  <c r="AH307" i="16"/>
  <c r="AH308" i="16"/>
  <c r="AH306" i="16"/>
  <c r="BP303" i="16"/>
  <c r="AJ299" i="16"/>
  <c r="AI305" i="16"/>
  <c r="BP305" i="16" s="1"/>
  <c r="AG316" i="16"/>
  <c r="AG315" i="16"/>
  <c r="AG312" i="16"/>
  <c r="I58" i="24"/>
  <c r="I34" i="24"/>
  <c r="Y39" i="24"/>
  <c r="I105" i="24"/>
  <c r="I44" i="24"/>
  <c r="X70" i="24"/>
  <c r="Z70" i="24"/>
  <c r="I57" i="24"/>
  <c r="I52" i="24"/>
  <c r="W37" i="24"/>
  <c r="X37" i="24"/>
  <c r="Z37" i="24"/>
  <c r="I96" i="24"/>
  <c r="W16" i="24"/>
  <c r="Z16" i="24"/>
  <c r="W52" i="24"/>
  <c r="Y11" i="24"/>
  <c r="X11" i="24"/>
  <c r="I99" i="24"/>
  <c r="I73" i="24"/>
  <c r="I21" i="24"/>
  <c r="Y37" i="24"/>
  <c r="W85" i="24"/>
  <c r="I71" i="24"/>
  <c r="Z29" i="24"/>
  <c r="W29" i="24"/>
  <c r="Z66" i="24"/>
  <c r="X66" i="24"/>
  <c r="I47" i="24"/>
  <c r="W44" i="24"/>
  <c r="Z44" i="24"/>
  <c r="Z42" i="24"/>
  <c r="W42" i="24"/>
  <c r="X42" i="24"/>
  <c r="Z40" i="24"/>
  <c r="W40" i="24"/>
  <c r="X40" i="24"/>
  <c r="I41" i="24"/>
  <c r="I91" i="24"/>
  <c r="I107" i="24"/>
  <c r="I101" i="24"/>
  <c r="Z13" i="24"/>
  <c r="X13" i="24"/>
  <c r="W13" i="24"/>
  <c r="I90" i="24"/>
  <c r="I82" i="24"/>
  <c r="I51" i="24"/>
  <c r="I63" i="24"/>
  <c r="X15" i="24"/>
  <c r="Z15" i="24"/>
  <c r="I20" i="24"/>
  <c r="I35" i="24"/>
  <c r="I43" i="24"/>
  <c r="I25" i="24"/>
  <c r="I75" i="24"/>
  <c r="I26" i="24"/>
  <c r="I69" i="24"/>
  <c r="I37" i="24"/>
  <c r="I85" i="24"/>
  <c r="I55" i="24"/>
  <c r="I66" i="24"/>
  <c r="Z103" i="24"/>
  <c r="X103" i="24"/>
  <c r="W103" i="24"/>
  <c r="Z82" i="24"/>
  <c r="W82" i="24"/>
  <c r="X82" i="24"/>
  <c r="W45" i="24"/>
  <c r="X45" i="24"/>
  <c r="Z45" i="24"/>
  <c r="W21" i="24"/>
  <c r="Z21" i="24"/>
  <c r="X21" i="24"/>
  <c r="W48" i="24"/>
  <c r="X48" i="24"/>
  <c r="Z48" i="24"/>
  <c r="Z86" i="24"/>
  <c r="W86" i="24"/>
  <c r="X86" i="24"/>
  <c r="Z33" i="24"/>
  <c r="X33" i="24"/>
  <c r="W33" i="24"/>
  <c r="I33" i="24"/>
  <c r="W49" i="24"/>
  <c r="Z49" i="24"/>
  <c r="X49" i="24"/>
  <c r="Z95" i="24"/>
  <c r="X95" i="24"/>
  <c r="W95" i="24"/>
  <c r="W60" i="24"/>
  <c r="X60" i="24"/>
  <c r="Z60" i="24"/>
  <c r="Y45" i="24"/>
  <c r="I15" i="24"/>
  <c r="W108" i="24"/>
  <c r="X108" i="24"/>
  <c r="Z108" i="24"/>
  <c r="X64" i="24"/>
  <c r="W64" i="24"/>
  <c r="Z64" i="24"/>
  <c r="I59" i="24"/>
  <c r="I65" i="24"/>
  <c r="W10" i="24"/>
  <c r="Z10" i="24"/>
  <c r="X10" i="24"/>
  <c r="Y10" i="24"/>
  <c r="W14" i="24"/>
  <c r="X14" i="24"/>
  <c r="Z14" i="24"/>
  <c r="W88" i="24"/>
  <c r="X88" i="24"/>
  <c r="Z88" i="24"/>
  <c r="I18" i="24"/>
  <c r="Z63" i="24"/>
  <c r="W63" i="24"/>
  <c r="X63" i="24"/>
  <c r="J109" i="24"/>
  <c r="M109" i="24" s="1"/>
  <c r="Z101" i="24"/>
  <c r="W101" i="24"/>
  <c r="X101" i="24"/>
  <c r="Y59" i="24"/>
  <c r="W59" i="24"/>
  <c r="X59" i="24"/>
  <c r="Z59" i="24"/>
  <c r="I16" i="24"/>
  <c r="W27" i="24"/>
  <c r="X27" i="24"/>
  <c r="Z27" i="24"/>
  <c r="I50" i="24"/>
  <c r="W92" i="24"/>
  <c r="X92" i="24"/>
  <c r="Z92" i="24"/>
  <c r="I23" i="24"/>
  <c r="W24" i="24"/>
  <c r="Z24" i="24"/>
  <c r="X24" i="24"/>
  <c r="X74" i="24"/>
  <c r="W74" i="24"/>
  <c r="Z74" i="24"/>
  <c r="Z75" i="24"/>
  <c r="X75" i="24"/>
  <c r="W75" i="24"/>
  <c r="I108" i="24"/>
  <c r="V109" i="24"/>
  <c r="I32" i="24"/>
  <c r="X106" i="24"/>
  <c r="W106" i="24"/>
  <c r="Z106" i="24"/>
  <c r="I102" i="24"/>
  <c r="W67" i="24"/>
  <c r="Z67" i="24"/>
  <c r="X67" i="24"/>
  <c r="I76" i="24"/>
  <c r="I92" i="24"/>
  <c r="W38" i="24"/>
  <c r="X38" i="24"/>
  <c r="Z38" i="24"/>
  <c r="I11" i="24"/>
  <c r="Y86" i="24"/>
  <c r="Y92" i="24"/>
  <c r="X31" i="24"/>
  <c r="Z31" i="24"/>
  <c r="W31" i="24"/>
  <c r="I70" i="24"/>
  <c r="K109" i="24"/>
  <c r="W23" i="24"/>
  <c r="Z23" i="24"/>
  <c r="X23" i="24"/>
  <c r="I84" i="24"/>
  <c r="I48" i="24"/>
  <c r="I83" i="24"/>
  <c r="Y88" i="24"/>
  <c r="Z78" i="24"/>
  <c r="W78" i="24"/>
  <c r="X78" i="24"/>
  <c r="I38" i="24"/>
  <c r="I87" i="24"/>
  <c r="I67" i="24"/>
  <c r="X34" i="24"/>
  <c r="Z34" i="24"/>
  <c r="W34" i="24"/>
  <c r="I36" i="24"/>
  <c r="G109" i="24"/>
  <c r="I60" i="24"/>
  <c r="I88" i="24"/>
  <c r="Z54" i="24"/>
  <c r="W54" i="24"/>
  <c r="X54" i="24"/>
  <c r="Y75" i="24"/>
  <c r="I106" i="24"/>
  <c r="Y63" i="24"/>
  <c r="I98" i="24"/>
  <c r="I78" i="24"/>
  <c r="I68" i="24"/>
  <c r="W62" i="24"/>
  <c r="Z62" i="24"/>
  <c r="X62" i="24"/>
  <c r="Y62" i="24"/>
  <c r="I62" i="24"/>
  <c r="I53" i="24"/>
  <c r="I28" i="24"/>
  <c r="Y67" i="24"/>
  <c r="I56" i="24"/>
  <c r="I104" i="24"/>
  <c r="W58" i="24"/>
  <c r="Z58" i="24"/>
  <c r="X58" i="24"/>
  <c r="W50" i="24"/>
  <c r="Z50" i="24"/>
  <c r="X50" i="24"/>
  <c r="Z43" i="24"/>
  <c r="W43" i="24"/>
  <c r="X43" i="24"/>
  <c r="W94" i="24"/>
  <c r="X94" i="24"/>
  <c r="Z94" i="24"/>
  <c r="I95" i="24"/>
  <c r="I54" i="24"/>
  <c r="I97" i="24"/>
  <c r="I79" i="24"/>
  <c r="X96" i="24"/>
  <c r="Z96" i="24"/>
  <c r="W96" i="24"/>
  <c r="Y48" i="24"/>
  <c r="Z19" i="24"/>
  <c r="W19" i="24"/>
  <c r="X19" i="24"/>
  <c r="I89" i="24"/>
  <c r="W28" i="24"/>
  <c r="Z28" i="24"/>
  <c r="X28" i="24"/>
  <c r="I61" i="24"/>
  <c r="H109" i="24"/>
  <c r="I9" i="24"/>
  <c r="I80" i="24"/>
  <c r="Y74" i="24"/>
  <c r="X80" i="24"/>
  <c r="W80" i="24"/>
  <c r="Z80" i="24"/>
  <c r="X12" i="24"/>
  <c r="W12" i="24"/>
  <c r="Z12" i="24"/>
  <c r="Y24" i="24"/>
  <c r="I53" i="18" l="1"/>
  <c r="AH314" i="16"/>
  <c r="AH311" i="16"/>
  <c r="AI307" i="16"/>
  <c r="AI308" i="16"/>
  <c r="BP308" i="16" s="1"/>
  <c r="AI306" i="16"/>
  <c r="AJ302" i="16"/>
  <c r="AJ303" i="16" s="1"/>
  <c r="AK299" i="16" s="1"/>
  <c r="AK302" i="16" s="1"/>
  <c r="BQ299" i="16"/>
  <c r="L109" i="24"/>
  <c r="Z109" i="24"/>
  <c r="W109" i="24"/>
  <c r="Y109" i="24"/>
  <c r="X109" i="24"/>
  <c r="I109" i="24"/>
  <c r="AI311" i="16" l="1"/>
  <c r="AI314" i="16"/>
  <c r="AI315" i="16" s="1"/>
  <c r="AK303" i="16"/>
  <c r="AL299" i="16" s="1"/>
  <c r="AK305" i="16"/>
  <c r="AH313" i="16"/>
  <c r="AH312" i="16"/>
  <c r="BP311" i="16"/>
  <c r="AJ305" i="16"/>
  <c r="AJ307" i="16" s="1"/>
  <c r="AH315" i="16"/>
  <c r="BP314" i="16"/>
  <c r="AH316" i="16"/>
  <c r="AI316" i="16" l="1"/>
  <c r="AK308" i="16"/>
  <c r="AK306" i="16"/>
  <c r="AL302" i="16"/>
  <c r="AL303" i="16" s="1"/>
  <c r="AM299" i="16" s="1"/>
  <c r="AM302" i="16" s="1"/>
  <c r="AJ308" i="16"/>
  <c r="AJ306" i="16"/>
  <c r="AK307" i="16" s="1"/>
  <c r="AI313" i="16"/>
  <c r="AI312" i="16"/>
  <c r="AM303" i="16" l="1"/>
  <c r="AM305" i="16"/>
  <c r="AJ314" i="16"/>
  <c r="AJ311" i="16"/>
  <c r="AL305" i="16"/>
  <c r="BQ302" i="16"/>
  <c r="W33" i="18" s="1"/>
  <c r="AJ313" i="16"/>
  <c r="AK314" i="16"/>
  <c r="AK311" i="16"/>
  <c r="AK312" i="16" l="1"/>
  <c r="W34" i="18"/>
  <c r="X33" i="18"/>
  <c r="AL308" i="16"/>
  <c r="AL306" i="16"/>
  <c r="AM307" i="16" s="1"/>
  <c r="BQ305" i="16"/>
  <c r="AK315" i="16"/>
  <c r="AJ312" i="16"/>
  <c r="AK313" i="16" s="1"/>
  <c r="AL307" i="16"/>
  <c r="AJ315" i="16"/>
  <c r="AK316" i="16" s="1"/>
  <c r="AJ316" i="16"/>
  <c r="AM308" i="16"/>
  <c r="AM306" i="16"/>
  <c r="AN299" i="16"/>
  <c r="BQ303" i="16"/>
  <c r="AM311" i="16" l="1"/>
  <c r="AM314" i="16"/>
  <c r="AL311" i="16"/>
  <c r="AL314" i="16"/>
  <c r="BQ308" i="16"/>
  <c r="AN302" i="16"/>
  <c r="AN303" i="16" s="1"/>
  <c r="AO299" i="16" s="1"/>
  <c r="AO302" i="16" s="1"/>
  <c r="BR299" i="16"/>
  <c r="X34" i="18"/>
  <c r="J53" i="18"/>
  <c r="E53" i="18" s="1"/>
  <c r="E48" i="18" s="1"/>
  <c r="D47" i="2" s="1"/>
  <c r="AL315" i="16" l="1"/>
  <c r="AM316" i="16" s="1"/>
  <c r="BQ314" i="16"/>
  <c r="AL312" i="16"/>
  <c r="AM313" i="16" s="1"/>
  <c r="AL313" i="16"/>
  <c r="BQ311" i="16"/>
  <c r="AO303" i="16"/>
  <c r="AP299" i="16" s="1"/>
  <c r="AO305" i="16"/>
  <c r="AL316" i="16"/>
  <c r="AM315" i="16"/>
  <c r="AN305" i="16"/>
  <c r="AM312" i="16"/>
  <c r="AO308" i="16" l="1"/>
  <c r="AO306" i="16"/>
  <c r="AP302" i="16"/>
  <c r="AP303" i="16" s="1"/>
  <c r="AQ299" i="16" s="1"/>
  <c r="AQ302" i="16" s="1"/>
  <c r="AN308" i="16"/>
  <c r="AN306" i="16"/>
  <c r="AO307" i="16" s="1"/>
  <c r="AN307" i="16"/>
  <c r="AN314" i="16" l="1"/>
  <c r="AN311" i="16"/>
  <c r="AQ303" i="16"/>
  <c r="AQ305" i="16"/>
  <c r="AP305" i="16"/>
  <c r="BR302" i="16"/>
  <c r="AP307" i="16"/>
  <c r="AO314" i="16"/>
  <c r="AO311" i="16"/>
  <c r="AP308" i="16" l="1"/>
  <c r="AP306" i="16"/>
  <c r="AQ307" i="16" s="1"/>
  <c r="BR305" i="16"/>
  <c r="AQ308" i="16"/>
  <c r="AQ306" i="16"/>
  <c r="AN312" i="16"/>
  <c r="AO313" i="16" s="1"/>
  <c r="AN313" i="16"/>
  <c r="AR299" i="16"/>
  <c r="BR303" i="16"/>
  <c r="AO312" i="16"/>
  <c r="AO315" i="16"/>
  <c r="AN316" i="16"/>
  <c r="AN315" i="16"/>
  <c r="AO316" i="16" s="1"/>
  <c r="AQ311" i="16" l="1"/>
  <c r="AQ314" i="16"/>
  <c r="AR302" i="16"/>
  <c r="AR303" i="16" s="1"/>
  <c r="AS299" i="16" s="1"/>
  <c r="AS302" i="16" s="1"/>
  <c r="BS299" i="16"/>
  <c r="AP314" i="16"/>
  <c r="AP316" i="16" s="1"/>
  <c r="AP311" i="16"/>
  <c r="AP313" i="16" s="1"/>
  <c r="BR308" i="16"/>
  <c r="AQ315" i="16" l="1"/>
  <c r="AQ312" i="16"/>
  <c r="AS303" i="16"/>
  <c r="AT299" i="16" s="1"/>
  <c r="AS305" i="16"/>
  <c r="AR305" i="16"/>
  <c r="AP312" i="16"/>
  <c r="AQ313" i="16" s="1"/>
  <c r="BR311" i="16"/>
  <c r="AP315" i="16"/>
  <c r="AQ316" i="16" s="1"/>
  <c r="BR314" i="16"/>
  <c r="AR308" i="16" l="1"/>
  <c r="AR306" i="16"/>
  <c r="AS307" i="16" s="1"/>
  <c r="AR307" i="16"/>
  <c r="AS308" i="16"/>
  <c r="AS306" i="16"/>
  <c r="AT302" i="16"/>
  <c r="AS311" i="16" l="1"/>
  <c r="AS314" i="16"/>
  <c r="AT305" i="16"/>
  <c r="AT303" i="16"/>
  <c r="AU299" i="16" s="1"/>
  <c r="AU302" i="16" s="1"/>
  <c r="BS302" i="16" s="1"/>
  <c r="AR311" i="16"/>
  <c r="AR314" i="16"/>
  <c r="AR315" i="16" l="1"/>
  <c r="AS316" i="16" s="1"/>
  <c r="AR316" i="16"/>
  <c r="AR313" i="16"/>
  <c r="AR312" i="16"/>
  <c r="AS313" i="16" s="1"/>
  <c r="AU303" i="16"/>
  <c r="AU305" i="16"/>
  <c r="BS305" i="16" s="1"/>
  <c r="AT308" i="16"/>
  <c r="AT306" i="16"/>
  <c r="AS315" i="16"/>
  <c r="AS312" i="16"/>
  <c r="AT307" i="16"/>
  <c r="BS303" i="16" l="1"/>
  <c r="AV299" i="16"/>
  <c r="AU307" i="16"/>
  <c r="AU308" i="16"/>
  <c r="AU306" i="16"/>
  <c r="AT311" i="16"/>
  <c r="AT313" i="16" s="1"/>
  <c r="AT314" i="16"/>
  <c r="AT316" i="16" s="1"/>
  <c r="BS308" i="16"/>
  <c r="AU314" i="16" l="1"/>
  <c r="AU315" i="16" s="1"/>
  <c r="AU311" i="16"/>
  <c r="AU312" i="16" s="1"/>
  <c r="AT312" i="16"/>
  <c r="AU313" i="16" s="1"/>
  <c r="BS311" i="16"/>
  <c r="BT299" i="16"/>
  <c r="AV302" i="16"/>
  <c r="AT315" i="16"/>
  <c r="AU316" i="16" s="1"/>
  <c r="BS314" i="16"/>
  <c r="AV305" i="16" l="1"/>
  <c r="AV303" i="16"/>
  <c r="AW299" i="16" s="1"/>
  <c r="AW302" i="16" s="1"/>
  <c r="AW303" i="16" l="1"/>
  <c r="AX299" i="16" s="1"/>
  <c r="AW305" i="16"/>
  <c r="AV308" i="16"/>
  <c r="AV306" i="16"/>
  <c r="AV307" i="16"/>
  <c r="AV311" i="16" l="1"/>
  <c r="AV314" i="16"/>
  <c r="AW307" i="16"/>
  <c r="AW308" i="16"/>
  <c r="AW306" i="16"/>
  <c r="AX302" i="16"/>
  <c r="AX303" i="16" s="1"/>
  <c r="AY299" i="16" s="1"/>
  <c r="AY302" i="16" s="1"/>
  <c r="AY303" i="16" l="1"/>
  <c r="AY305" i="16"/>
  <c r="AX305" i="16"/>
  <c r="BT302" i="16"/>
  <c r="AW314" i="16"/>
  <c r="AW315" i="16" s="1"/>
  <c r="AW311" i="16"/>
  <c r="AW312" i="16" s="1"/>
  <c r="AV315" i="16"/>
  <c r="AV316" i="16"/>
  <c r="AV313" i="16"/>
  <c r="AV312" i="16"/>
  <c r="AW313" i="16" l="1"/>
  <c r="AX308" i="16"/>
  <c r="AX306" i="16"/>
  <c r="AY307" i="16" s="1"/>
  <c r="BT305" i="16"/>
  <c r="AX307" i="16"/>
  <c r="AY308" i="16"/>
  <c r="AY306" i="16"/>
  <c r="AW316" i="16"/>
  <c r="BT303" i="16"/>
  <c r="AZ299" i="16"/>
  <c r="AZ302" i="16" l="1"/>
  <c r="AZ303" i="16" s="1"/>
  <c r="BA299" i="16" s="1"/>
  <c r="BA302" i="16" s="1"/>
  <c r="BU299" i="16"/>
  <c r="AX314" i="16"/>
  <c r="AX311" i="16"/>
  <c r="BT308" i="16"/>
  <c r="AY314" i="16"/>
  <c r="AY315" i="16" s="1"/>
  <c r="AY311" i="16"/>
  <c r="AX315" i="16" l="1"/>
  <c r="AY316" i="16" s="1"/>
  <c r="BT314" i="16"/>
  <c r="AX316" i="16"/>
  <c r="BA303" i="16"/>
  <c r="BB299" i="16" s="1"/>
  <c r="BA305" i="16"/>
  <c r="AY312" i="16"/>
  <c r="AX312" i="16"/>
  <c r="AY313" i="16" s="1"/>
  <c r="BT311" i="16"/>
  <c r="AX313" i="16"/>
  <c r="AZ305" i="16"/>
  <c r="BA308" i="16" l="1"/>
  <c r="BA306" i="16"/>
  <c r="BB302" i="16"/>
  <c r="BB303" i="16" s="1"/>
  <c r="BC299" i="16" s="1"/>
  <c r="BC302" i="16" s="1"/>
  <c r="AZ308" i="16"/>
  <c r="AZ306" i="16"/>
  <c r="BA307" i="16" s="1"/>
  <c r="AZ307" i="16"/>
  <c r="BC303" i="16" l="1"/>
  <c r="BC305" i="16"/>
  <c r="AZ311" i="16"/>
  <c r="AZ314" i="16"/>
  <c r="BB305" i="16"/>
  <c r="BU302" i="16"/>
  <c r="BB307" i="16"/>
  <c r="BA311" i="16"/>
  <c r="BA314" i="16"/>
  <c r="BA315" i="16" l="1"/>
  <c r="BB308" i="16"/>
  <c r="BB306" i="16"/>
  <c r="BC307" i="16" s="1"/>
  <c r="BU305" i="16"/>
  <c r="AZ313" i="16"/>
  <c r="AZ312" i="16"/>
  <c r="BA313" i="16" s="1"/>
  <c r="BC308" i="16"/>
  <c r="BC306" i="16"/>
  <c r="AZ316" i="16"/>
  <c r="AZ315" i="16"/>
  <c r="BA316" i="16" s="1"/>
  <c r="BA312" i="16"/>
  <c r="BD299" i="16"/>
  <c r="BU303" i="16"/>
  <c r="BC311" i="16" l="1"/>
  <c r="BC314" i="16"/>
  <c r="BD302" i="16"/>
  <c r="BD303" i="16" s="1"/>
  <c r="BE299" i="16" s="1"/>
  <c r="BE302" i="16" s="1"/>
  <c r="BV299" i="16"/>
  <c r="BB314" i="16"/>
  <c r="BB311" i="16"/>
  <c r="BU308" i="16"/>
  <c r="BC315" i="16" l="1"/>
  <c r="BB312" i="16"/>
  <c r="BC313" i="16" s="1"/>
  <c r="BU311" i="16"/>
  <c r="BB315" i="16"/>
  <c r="BC316" i="16" s="1"/>
  <c r="BU314" i="16"/>
  <c r="BB316" i="16"/>
  <c r="BE303" i="16"/>
  <c r="BF299" i="16" s="1"/>
  <c r="BE305" i="16"/>
  <c r="BB313" i="16"/>
  <c r="BD305" i="16"/>
  <c r="BC312" i="16"/>
  <c r="BE308" i="16" l="1"/>
  <c r="BE306" i="16"/>
  <c r="BF302" i="16"/>
  <c r="BF303" i="16" s="1"/>
  <c r="BG299" i="16" s="1"/>
  <c r="BG302" i="16" s="1"/>
  <c r="BD307" i="16"/>
  <c r="BD308" i="16"/>
  <c r="BD306" i="16"/>
  <c r="BE307" i="16" s="1"/>
  <c r="BG303" i="16" l="1"/>
  <c r="BV303" i="16" s="1"/>
  <c r="BG305" i="16"/>
  <c r="BI302" i="16"/>
  <c r="BD314" i="16"/>
  <c r="BD311" i="16"/>
  <c r="BF305" i="16"/>
  <c r="BV302" i="16"/>
  <c r="BX302" i="16" s="1"/>
  <c r="BF307" i="16"/>
  <c r="BE314" i="16"/>
  <c r="BE311" i="16"/>
  <c r="Y324" i="16" l="1"/>
  <c r="Y322" i="16"/>
  <c r="Y323" i="16" s="1"/>
  <c r="Y321" i="16"/>
  <c r="Y326" i="16" s="1"/>
  <c r="T30" i="17" s="1"/>
  <c r="BD312" i="16"/>
  <c r="BD313" i="16"/>
  <c r="BD315" i="16"/>
  <c r="BE316" i="16" s="1"/>
  <c r="BD316" i="16"/>
  <c r="BF308" i="16"/>
  <c r="BF306" i="16"/>
  <c r="BG307" i="16" s="1"/>
  <c r="BV305" i="16"/>
  <c r="BX305" i="16" s="1"/>
  <c r="BE313" i="16"/>
  <c r="BE312" i="16"/>
  <c r="BE315" i="16"/>
  <c r="BG308" i="16"/>
  <c r="BG306" i="16"/>
  <c r="BI305" i="16"/>
  <c r="S462" i="16" s="1"/>
  <c r="S463" i="16" s="1"/>
  <c r="P464" i="16" s="1"/>
  <c r="D49" i="2" s="1"/>
  <c r="D33" i="2" s="1"/>
  <c r="Y325" i="16" l="1"/>
  <c r="T29" i="17" s="1"/>
  <c r="U37" i="37"/>
  <c r="T26" i="17"/>
  <c r="R37" i="18"/>
  <c r="BF311" i="16"/>
  <c r="BF313" i="16" s="1"/>
  <c r="BF314" i="16"/>
  <c r="BF316" i="16" s="1"/>
  <c r="BV308" i="16"/>
  <c r="BX308" i="16" s="1"/>
  <c r="H8" i="33"/>
  <c r="U35" i="37"/>
  <c r="R35" i="18"/>
  <c r="T28" i="17"/>
  <c r="AB786" i="4"/>
  <c r="BG311" i="16"/>
  <c r="BG314" i="16"/>
  <c r="BI308" i="16"/>
  <c r="T25" i="17"/>
  <c r="AC340" i="16" l="1"/>
  <c r="AC338" i="16"/>
  <c r="AC337" i="16"/>
  <c r="AC330" i="16"/>
  <c r="AC332" i="16"/>
  <c r="AC329" i="16"/>
  <c r="I8" i="33"/>
  <c r="K8" i="33"/>
  <c r="H10" i="33"/>
  <c r="R36" i="18"/>
  <c r="U36" i="37"/>
  <c r="T27" i="17"/>
  <c r="BG315" i="16"/>
  <c r="BI314" i="16"/>
  <c r="BF315" i="16"/>
  <c r="BG316" i="16" s="1"/>
  <c r="AC341" i="16" s="1"/>
  <c r="BV314" i="16"/>
  <c r="BX314" i="16" s="1"/>
  <c r="BI311" i="16"/>
  <c r="BG312" i="16"/>
  <c r="BF312" i="16"/>
  <c r="BG313" i="16" s="1"/>
  <c r="AC333" i="16" s="1"/>
  <c r="BV311" i="16"/>
  <c r="BX311" i="16" s="1"/>
  <c r="AC331" i="16" l="1"/>
  <c r="AC334" i="16"/>
  <c r="AC339" i="16"/>
  <c r="AC342" i="16"/>
  <c r="K10" i="33"/>
  <c r="I10" i="3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<sst xmlns="http://schemas.openxmlformats.org/spreadsheetml/2006/main" count="5072" uniqueCount="1762">
  <si>
    <t>Rent Roll</t>
  </si>
  <si>
    <t>Source:</t>
  </si>
  <si>
    <t>Latest Update:</t>
  </si>
  <si>
    <t>Available Usage Types</t>
  </si>
  <si>
    <t>Asset ID</t>
  </si>
  <si>
    <t>Unique
Unit ID</t>
  </si>
  <si>
    <t>City</t>
  </si>
  <si>
    <t>Address</t>
  </si>
  <si>
    <t>Usage Type</t>
  </si>
  <si>
    <t>Tenant Tranding Name</t>
  </si>
  <si>
    <t>Tenant Legal Name</t>
  </si>
  <si>
    <t>Lease Start Date</t>
  </si>
  <si>
    <t>Earliest Break Date</t>
  </si>
  <si>
    <t>Lease End Date</t>
  </si>
  <si>
    <t>Lettable Area (sqm)</t>
  </si>
  <si>
    <t>NRI
(€ p.a.)</t>
  </si>
  <si>
    <t>Parking</t>
  </si>
  <si>
    <t>VAT Status</t>
  </si>
  <si>
    <t>Extension Options</t>
  </si>
  <si>
    <t>Applied Version</t>
  </si>
  <si>
    <t>Indexation Hurdle (%)</t>
  </si>
  <si>
    <t>Indexation Pass Thru</t>
  </si>
  <si>
    <t>DO NOT HARD CODE ANYTHING BELOW</t>
  </si>
  <si>
    <t>DRAFT FOR DISCUSSION</t>
  </si>
  <si>
    <t>Check</t>
  </si>
  <si>
    <t>Book Value Calculation:</t>
  </si>
  <si>
    <t>Single Asset Cash Flow:</t>
  </si>
  <si>
    <t>Global:</t>
  </si>
  <si>
    <t>TO DOs:</t>
  </si>
  <si>
    <t>Color-coding key</t>
  </si>
  <si>
    <t>Blue</t>
  </si>
  <si>
    <t>Input / Assumption Field - hard coded</t>
  </si>
  <si>
    <t>Black</t>
  </si>
  <si>
    <t>Calculation that occurs on selected sheet / Reference within selected sheet</t>
  </si>
  <si>
    <t>Under Construction</t>
  </si>
  <si>
    <t>Dark Green</t>
  </si>
  <si>
    <t>Reference to other sheets</t>
  </si>
  <si>
    <t>#</t>
  </si>
  <si>
    <t>TO DO</t>
  </si>
  <si>
    <t>Status</t>
  </si>
  <si>
    <t>Notes</t>
  </si>
  <si>
    <t>Red</t>
  </si>
  <si>
    <t>Important Notice</t>
  </si>
  <si>
    <t>Green</t>
  </si>
  <si>
    <t>Information</t>
  </si>
  <si>
    <t>White</t>
  </si>
  <si>
    <t>Header</t>
  </si>
  <si>
    <t>Other</t>
  </si>
  <si>
    <t>Non-food Retail</t>
  </si>
  <si>
    <t>RR Cut-off:</t>
  </si>
  <si>
    <t>Indexation Holiday (months)</t>
  </si>
  <si>
    <t>Manual Overrides</t>
  </si>
  <si>
    <t>Vacant</t>
  </si>
  <si>
    <t>Asset
ID</t>
  </si>
  <si>
    <t>Unit
ID</t>
  </si>
  <si>
    <t>GENERAL ASSUMPTIONS</t>
  </si>
  <si>
    <t>Purchase Price</t>
  </si>
  <si>
    <t>Purchase Price (EUR)</t>
  </si>
  <si>
    <t>thereof Deposit</t>
  </si>
  <si>
    <t>General Assumptions Case</t>
  </si>
  <si>
    <t>Ancillary Purchase Costs</t>
  </si>
  <si>
    <t>Total Purchase Costs</t>
  </si>
  <si>
    <t>Acquisition</t>
  </si>
  <si>
    <t>Model Setup</t>
  </si>
  <si>
    <t>General</t>
  </si>
  <si>
    <t>Closing Date</t>
  </si>
  <si>
    <t>Deposit Date</t>
  </si>
  <si>
    <t>WALT Start Date</t>
  </si>
  <si>
    <t>Case Selection</t>
  </si>
  <si>
    <t>UW Case Selection</t>
  </si>
  <si>
    <t>Asset &amp; Tenant Assumptions Case</t>
  </si>
  <si>
    <t>Sales Scenario</t>
  </si>
  <si>
    <t>Base Case</t>
  </si>
  <si>
    <t>Upside Case</t>
  </si>
  <si>
    <t>Downside Case</t>
  </si>
  <si>
    <t>Financing Assumptions Case</t>
  </si>
  <si>
    <t>Property-level Usage Types</t>
  </si>
  <si>
    <t>Supermarket</t>
  </si>
  <si>
    <t>Retail Park</t>
  </si>
  <si>
    <t>Cash &amp; Carry</t>
  </si>
  <si>
    <t>Office</t>
  </si>
  <si>
    <t>Residential</t>
  </si>
  <si>
    <t>Non-food retail</t>
  </si>
  <si>
    <t>Storage</t>
  </si>
  <si>
    <t>Unit BP Types</t>
  </si>
  <si>
    <t>Existing</t>
  </si>
  <si>
    <t>Lease-Up</t>
  </si>
  <si>
    <t>Expansion</t>
  </si>
  <si>
    <t>Deal Quarter Count</t>
  </si>
  <si>
    <t>Deal Quarter Start</t>
  </si>
  <si>
    <t>Deal Quarter End</t>
  </si>
  <si>
    <t>Calendar Quarter</t>
  </si>
  <si>
    <t>Calendar Year</t>
  </si>
  <si>
    <t>Annual Model Timeline</t>
  </si>
  <si>
    <t>Quarterly Model Timeline</t>
  </si>
  <si>
    <t>Year Start</t>
  </si>
  <si>
    <t>Year End</t>
  </si>
  <si>
    <t>Deal Year</t>
  </si>
  <si>
    <t>OpEx &amp; Leasing Commissions</t>
  </si>
  <si>
    <t>Non-Recoverables (% of NRI)</t>
  </si>
  <si>
    <t>R&amp;M &amp; other Non-Recs (€/sqm per month)</t>
  </si>
  <si>
    <t>Void Costs (€/sqm per month)</t>
  </si>
  <si>
    <t>Property Management Fee (% NRI)</t>
  </si>
  <si>
    <t>Third Party AM Fee (% of NRI)</t>
  </si>
  <si>
    <t>Structure Costs (€ p.a.)</t>
  </si>
  <si>
    <t>ASSET ASSUMPTIONS</t>
  </si>
  <si>
    <t>Include</t>
  </si>
  <si>
    <t>Property Base Data</t>
  </si>
  <si>
    <t>Exit Assumptions</t>
  </si>
  <si>
    <t>Property City</t>
  </si>
  <si>
    <t>ZIP 
Code</t>
  </si>
  <si>
    <t>Property Street</t>
  </si>
  <si>
    <t>Country</t>
  </si>
  <si>
    <t>Federal State</t>
  </si>
  <si>
    <t>RETT</t>
  </si>
  <si>
    <t>Ownership Type</t>
  </si>
  <si>
    <t>Year built</t>
  </si>
  <si>
    <t>Strategy Cluster</t>
  </si>
  <si>
    <t>Anchor tenant</t>
  </si>
  <si>
    <t>Germany</t>
  </si>
  <si>
    <t>Saxony-Anhalt</t>
  </si>
  <si>
    <t>Schleswig-Holstein</t>
  </si>
  <si>
    <t>Lower-Saxony</t>
  </si>
  <si>
    <t>Thuringia</t>
  </si>
  <si>
    <t>Brandenburg</t>
  </si>
  <si>
    <t>Hesse</t>
  </si>
  <si>
    <t>North Rhine-Westphalia</t>
  </si>
  <si>
    <t>Mecklenburg-Western Pomerania</t>
  </si>
  <si>
    <t>Rhineland-Palatinate</t>
  </si>
  <si>
    <t>Saxony</t>
  </si>
  <si>
    <t>Bavaria</t>
  </si>
  <si>
    <t>Saarland</t>
  </si>
  <si>
    <t>Baden-Wuerttemberg</t>
  </si>
  <si>
    <t>PTS</t>
  </si>
  <si>
    <t>LTS</t>
  </si>
  <si>
    <t>Manual APP</t>
  </si>
  <si>
    <t>Multiple Flex</t>
  </si>
  <si>
    <t>Applied Multiple</t>
  </si>
  <si>
    <t>Active Case</t>
  </si>
  <si>
    <t>Exit Rent Multiples</t>
  </si>
  <si>
    <t>Fixed GDPs</t>
  </si>
  <si>
    <t>Fixed GDP Applied</t>
  </si>
  <si>
    <t>Exit Timing (Quarters)</t>
  </si>
  <si>
    <t>Resulting Date</t>
  </si>
  <si>
    <t>Exit Quarter Flex</t>
  </si>
  <si>
    <t>Exit Quarter Applied</t>
  </si>
  <si>
    <t>IN PLACE RE CASH FLOW</t>
  </si>
  <si>
    <t>Holding Flag</t>
  </si>
  <si>
    <t>Unique Unit ID</t>
  </si>
  <si>
    <t>Tenant</t>
  </si>
  <si>
    <t>Line Item ID</t>
  </si>
  <si>
    <t>Exit Quarter</t>
  </si>
  <si>
    <t>Total</t>
  </si>
  <si>
    <t>END</t>
  </si>
  <si>
    <t>Leasing Flag</t>
  </si>
  <si>
    <t>Non-VATable Area</t>
  </si>
  <si>
    <t>Vacancy (sqm)</t>
  </si>
  <si>
    <t>Total Area (sqm)</t>
  </si>
  <si>
    <t>Occupancy (sqm)</t>
  </si>
  <si>
    <t>Vacancy (%)</t>
  </si>
  <si>
    <t>Current VAT Key</t>
  </si>
  <si>
    <t>Global Asset Assumptions</t>
  </si>
  <si>
    <t>General Assumption</t>
  </si>
  <si>
    <t>Manual Override</t>
  </si>
  <si>
    <t>Applied in Model</t>
  </si>
  <si>
    <t>NRI p.a. as per RR</t>
  </si>
  <si>
    <t>Other Income p.a.</t>
  </si>
  <si>
    <t>Total Income</t>
  </si>
  <si>
    <t>Rental Loss</t>
  </si>
  <si>
    <t>R&amp;M  (€/sqm per month)</t>
  </si>
  <si>
    <t>Property Depreciation Rate</t>
  </si>
  <si>
    <t>New Lease Tenor and Leasing Commissions</t>
  </si>
  <si>
    <t>Average Rental Contract Length (years)</t>
  </si>
  <si>
    <t>LC for Renewal &lt;= 5yr lease (% of day1 NRI p.a.)</t>
  </si>
  <si>
    <t>LC for Renewal &gt; 5yr lease (% of day1 NRI p.a.)</t>
  </si>
  <si>
    <t>LC for Re-leasing &lt;= 5yr lease (% of day1 NRI p.a.)</t>
  </si>
  <si>
    <t>LC for Re-leasing &gt; 5yr lease (% of day1 NRI p.a.)</t>
  </si>
  <si>
    <t>LC for Lease-Up &lt;= 5yr lease (% of day1 NRI p.a.)</t>
  </si>
  <si>
    <t>LC for Lease-Up &gt; 5yr lease (% of day1 NRI p.a.)</t>
  </si>
  <si>
    <t>TI Soft Costs (%)</t>
  </si>
  <si>
    <t>Renewal - Global Assumptions</t>
  </si>
  <si>
    <t>Renewal Probability (%) - Out of the Money (OTM) Options</t>
  </si>
  <si>
    <t>Renewal Probability (%) - In of the Money (ITM) Options</t>
  </si>
  <si>
    <t>TI Payment Period (months)</t>
  </si>
  <si>
    <t>Month</t>
  </si>
  <si>
    <t>Months</t>
  </si>
  <si>
    <t>Building Quality</t>
  </si>
  <si>
    <t>Releasing - Global Assumptions</t>
  </si>
  <si>
    <t>Releasing Start Date</t>
  </si>
  <si>
    <t>months</t>
  </si>
  <si>
    <t>Releasing downtime (months)</t>
  </si>
  <si>
    <t>Micro Location Rating</t>
  </si>
  <si>
    <t>Releasing Rent Free Period</t>
  </si>
  <si>
    <t>Renewal Rent Free Period</t>
  </si>
  <si>
    <t>Lease Up Start Date</t>
  </si>
  <si>
    <t>Macro Location Rating</t>
  </si>
  <si>
    <t>Lease-Up Rent Free Period</t>
  </si>
  <si>
    <t>Lease Up - Vacancy to be Leased-Up (% of total vacancy)</t>
  </si>
  <si>
    <t>Lease-Up - Global Assumptions</t>
  </si>
  <si>
    <t>TI Payment Periods (months)</t>
  </si>
  <si>
    <t>Rent Indexation Frequency</t>
  </si>
  <si>
    <t>Quarterly</t>
  </si>
  <si>
    <t>Rent Inflation (% p.a.)</t>
  </si>
  <si>
    <t>Cost Inflation</t>
  </si>
  <si>
    <t>Leasing and Indexation Assumptions</t>
  </si>
  <si>
    <t>Taxation</t>
  </si>
  <si>
    <t>Real Estate Transfer Tax (RETT)</t>
  </si>
  <si>
    <t>Berlin</t>
  </si>
  <si>
    <t>Bremen</t>
  </si>
  <si>
    <t>Hamburg</t>
  </si>
  <si>
    <t>Netherlands</t>
  </si>
  <si>
    <t>Apply RETT (ON/OFF)</t>
  </si>
  <si>
    <t>Corporate Taxation</t>
  </si>
  <si>
    <t>Corporate Income Tax Rate</t>
  </si>
  <si>
    <t>APP Distribution (NPV=1 / MV=2)</t>
  </si>
  <si>
    <t>NPV Discount Rate</t>
  </si>
  <si>
    <t>Building Portion of Book Value</t>
  </si>
  <si>
    <t>Apply Regular Depreciation and Amortization</t>
  </si>
  <si>
    <t>Depreciation Rate Property/CapEx (% p.a.)</t>
  </si>
  <si>
    <t>Depreciation Rate TIs (% p.a.)</t>
  </si>
  <si>
    <t>TI Capitalization</t>
  </si>
  <si>
    <t>Capex Capitalization</t>
  </si>
  <si>
    <t>Expansion Capex Capitalization</t>
  </si>
  <si>
    <t>Tax Losses Carried Forward (TLCF)</t>
  </si>
  <si>
    <t>Yield Compression</t>
  </si>
  <si>
    <t>Portfolio Premium</t>
  </si>
  <si>
    <t>TI Depreciation Rate</t>
  </si>
  <si>
    <t>Market Rent</t>
  </si>
  <si>
    <t>Market Rent Assumptions</t>
  </si>
  <si>
    <t>ERV</t>
  </si>
  <si>
    <t>ERV Applied</t>
  </si>
  <si>
    <t>Active</t>
  </si>
  <si>
    <t>Area Expansion</t>
  </si>
  <si>
    <t>Additional Area (sqm)</t>
  </si>
  <si>
    <t>All in Expansion Costs (€/sqm)</t>
  </si>
  <si>
    <t>Addt'l Area Applied</t>
  </si>
  <si>
    <t>€/sqm applied</t>
  </si>
  <si>
    <t>€ total applied
(nominal)</t>
  </si>
  <si>
    <t>Expansion Start Quarter</t>
  </si>
  <si>
    <t>Start Quarter Applied</t>
  </si>
  <si>
    <t>Quarters Applied</t>
  </si>
  <si>
    <t>Renewal Assumptions</t>
  </si>
  <si>
    <t>Lease Tenor</t>
  </si>
  <si>
    <t>Lease Term Applied</t>
  </si>
  <si>
    <t>Global Assump- tion</t>
  </si>
  <si>
    <t>Renewal Probability</t>
  </si>
  <si>
    <t>Proba- bility Applied</t>
  </si>
  <si>
    <t>Rent Frees (Months)</t>
  </si>
  <si>
    <t>Rent Free Applied</t>
  </si>
  <si>
    <t>TIs (€/sqm excl. Soft costs)</t>
  </si>
  <si>
    <t>TIs Applied</t>
  </si>
  <si>
    <t>Downtime (months)</t>
  </si>
  <si>
    <t>Down- time applied</t>
  </si>
  <si>
    <t>Re-Leasing Assumptions</t>
  </si>
  <si>
    <t>Re-Leasing Probability</t>
  </si>
  <si>
    <t>Lease Up Assumptions</t>
  </si>
  <si>
    <t>Lease Up Probability</t>
  </si>
  <si>
    <t>Asset Ratings and Appraisals</t>
  </si>
  <si>
    <t>Macro</t>
  </si>
  <si>
    <t>Micro</t>
  </si>
  <si>
    <t>Building 
Quality</t>
  </si>
  <si>
    <t>Liquidity</t>
  </si>
  <si>
    <t>Tenant
Demand</t>
  </si>
  <si>
    <t>Asset Ratings</t>
  </si>
  <si>
    <t>Asset Usage Type</t>
  </si>
  <si>
    <t>Vendor Valuation</t>
  </si>
  <si>
    <t>Market Value</t>
  </si>
  <si>
    <t>Appraiser</t>
  </si>
  <si>
    <t>Buyer Valuation</t>
  </si>
  <si>
    <t>Discount/Premium</t>
  </si>
  <si>
    <t>Applied MV</t>
  </si>
  <si>
    <t>TENANT ASSUMPTIONS</t>
  </si>
  <si>
    <t>Asset Included</t>
  </si>
  <si>
    <t>Unit Included</t>
  </si>
  <si>
    <t>Asset Rating</t>
  </si>
  <si>
    <t>Unit Base Data</t>
  </si>
  <si>
    <t>Parking / Other Units</t>
  </si>
  <si>
    <t>Lettable Area</t>
  </si>
  <si>
    <t>FYI Only</t>
  </si>
  <si>
    <t>Unit BP</t>
  </si>
  <si>
    <t>Unit BP Filter</t>
  </si>
  <si>
    <t>Lease Start
(as per RR)</t>
  </si>
  <si>
    <t>Rent Start
(override)</t>
  </si>
  <si>
    <t>Rent Start Date Applied</t>
  </si>
  <si>
    <t>Rent &amp; Lease Start Date</t>
  </si>
  <si>
    <t>Lease Expiry Applied</t>
  </si>
  <si>
    <t>Manual Lease Break Applied</t>
  </si>
  <si>
    <t>Lease Expiry (Earliest break)</t>
  </si>
  <si>
    <t>In Place NRI p.a.</t>
  </si>
  <si>
    <t>In Place NRI p.m. / sqm</t>
  </si>
  <si>
    <t>NRI applied</t>
  </si>
  <si>
    <t>NRI applied /sqm p.m.</t>
  </si>
  <si>
    <t>Start Date</t>
  </si>
  <si>
    <t>End Date</t>
  </si>
  <si>
    <t>Days in Period (Act/360)</t>
  </si>
  <si>
    <t>Days in Period (Act/365)</t>
  </si>
  <si>
    <t>Rent Pmt Flag</t>
  </si>
  <si>
    <t>Rent Pmt Start Date</t>
  </si>
  <si>
    <t>Lease Expiry Dates</t>
  </si>
  <si>
    <t>TI Payment Period</t>
  </si>
  <si>
    <t>WALT</t>
  </si>
  <si>
    <t>Occupancy</t>
  </si>
  <si>
    <t>Physical Occupancy</t>
  </si>
  <si>
    <t>Area</t>
  </si>
  <si>
    <t>Area (sqm)</t>
  </si>
  <si>
    <t>Unit Usage Type</t>
  </si>
  <si>
    <t>Asset</t>
  </si>
  <si>
    <t>Unit</t>
  </si>
  <si>
    <t>In-Place Rental Income</t>
  </si>
  <si>
    <t>NRI</t>
  </si>
  <si>
    <t>NRI p.a. in €</t>
  </si>
  <si>
    <t>Rent Discount Start</t>
  </si>
  <si>
    <t>Rent Discount End</t>
  </si>
  <si>
    <t>Rent Discount</t>
  </si>
  <si>
    <t>Rent Discount Start Date</t>
  </si>
  <si>
    <t>Rent Discount End Date</t>
  </si>
  <si>
    <t>Rent Discount %</t>
  </si>
  <si>
    <t>Rent Free Deductions</t>
  </si>
  <si>
    <t>Rent Free</t>
  </si>
  <si>
    <t>Rent Start Date</t>
  </si>
  <si>
    <t>Rent Free Deduction at Exit</t>
  </si>
  <si>
    <t>SC Prepayments</t>
  </si>
  <si>
    <t>Service Charge Prepayments</t>
  </si>
  <si>
    <t>SCP p.a. In €</t>
  </si>
  <si>
    <t>In Place Rent &amp; Rent Discounts</t>
  </si>
  <si>
    <t>SC Prepay- ment (AA - pro rata)</t>
  </si>
  <si>
    <t>SC applied</t>
  </si>
  <si>
    <t>Occupancy by Usage Type</t>
  </si>
  <si>
    <t>Total Occupied Area</t>
  </si>
  <si>
    <t>--&gt; Check</t>
  </si>
  <si>
    <t>Total Area by Usage Type</t>
  </si>
  <si>
    <t>Total Lettable Area</t>
  </si>
  <si>
    <t>End of Sheet</t>
  </si>
  <si>
    <t>RENEWAL RE CASH FLOW</t>
  </si>
  <si>
    <t>Asset Level</t>
  </si>
  <si>
    <t>ERV/sqm p.m.</t>
  </si>
  <si>
    <t>ERV p.a</t>
  </si>
  <si>
    <t>Flex Inputs</t>
  </si>
  <si>
    <t>ERV Flex</t>
  </si>
  <si>
    <t>of ERV</t>
  </si>
  <si>
    <t># of Options</t>
  </si>
  <si>
    <t>ERV - NRI</t>
  </si>
  <si>
    <t>ITM / OTM</t>
  </si>
  <si>
    <t>Existing Leases and Service Charge Prepayments</t>
  </si>
  <si>
    <t>Lease Tenors</t>
  </si>
  <si>
    <t>Global Assumption</t>
  </si>
  <si>
    <t>Option</t>
  </si>
  <si>
    <t>General Assumption applied</t>
  </si>
  <si>
    <t>Lease Length (Ys)</t>
  </si>
  <si>
    <t>Asset Level Input</t>
  </si>
  <si>
    <t>Unit Level Usage Type</t>
  </si>
  <si>
    <t>Payment Start Date</t>
  </si>
  <si>
    <t>Payment End Date</t>
  </si>
  <si>
    <t>TI Payment Period (in months)</t>
  </si>
  <si>
    <t>Rent Free Period (in months)</t>
  </si>
  <si>
    <t>Total TIs (+ soft costs)</t>
  </si>
  <si>
    <t>Leasing Commission</t>
  </si>
  <si>
    <t>Lease Length &lt;=</t>
  </si>
  <si>
    <t>Lease Length &gt;</t>
  </si>
  <si>
    <t>LC of NRI p.a.</t>
  </si>
  <si>
    <t>Downtime</t>
  </si>
  <si>
    <t>Lease-Up Probability</t>
  </si>
  <si>
    <t>Renewal</t>
  </si>
  <si>
    <t>Lease Timing</t>
  </si>
  <si>
    <t>In-Place Rent</t>
  </si>
  <si>
    <t>Rental Income</t>
  </si>
  <si>
    <t>Rent Free Period at Exit</t>
  </si>
  <si>
    <t>Tenant Incentives (TIs)</t>
  </si>
  <si>
    <t>TIs</t>
  </si>
  <si>
    <t>TI Amounts</t>
  </si>
  <si>
    <t>Expansion Type</t>
  </si>
  <si>
    <t>Re-leasing</t>
  </si>
  <si>
    <t>Total TI Payment Period</t>
  </si>
  <si>
    <t>Leasing Commissions</t>
  </si>
  <si>
    <t>LC Timing</t>
  </si>
  <si>
    <t>Payment Date</t>
  </si>
  <si>
    <t>LC Amount</t>
  </si>
  <si>
    <t>Renewal Rental Income</t>
  </si>
  <si>
    <t>Construction Period/Downtime/RF</t>
  </si>
  <si>
    <t>LCs</t>
  </si>
  <si>
    <t>RELEASING RE CASH FLOW</t>
  </si>
  <si>
    <t>Re-Leasing</t>
  </si>
  <si>
    <t>Releasing Probability</t>
  </si>
  <si>
    <t>Expansion Area</t>
  </si>
  <si>
    <t>Addt'l Area</t>
  </si>
  <si>
    <t>Addt'l Area Rent Start Q</t>
  </si>
  <si>
    <t>Addt'l Rent Start Q</t>
  </si>
  <si>
    <t>SCP on addt'l area</t>
  </si>
  <si>
    <t>ERV addtl Area</t>
  </si>
  <si>
    <t>Rent Start Q</t>
  </si>
  <si>
    <t>ERV New Area</t>
  </si>
  <si>
    <t>** Area Expansion Assumptions need to be in line with leasing assumptions of corresponding unit **</t>
  </si>
  <si>
    <t>Addt'l Area Completion Q</t>
  </si>
  <si>
    <t>Expansion Invest</t>
  </si>
  <si>
    <t>Expansion TIs / CapEx</t>
  </si>
  <si>
    <t>Expansion Start Q</t>
  </si>
  <si>
    <t>Construciton Qs</t>
  </si>
  <si>
    <t>Re-Leasing Rental Income</t>
  </si>
  <si>
    <t>We recommend using the re-leasing assumption for expansion units. Only works with 100% probability.</t>
  </si>
  <si>
    <t>LEASE-UP RE CASH FLOW</t>
  </si>
  <si>
    <t>Inflation</t>
  </si>
  <si>
    <t>Rent Index</t>
  </si>
  <si>
    <t>Rent Indexation</t>
  </si>
  <si>
    <t>Exit Flag</t>
  </si>
  <si>
    <t>Occupancy at Exit</t>
  </si>
  <si>
    <t>Rent at Exit</t>
  </si>
  <si>
    <t>WALT at Exit</t>
  </si>
  <si>
    <t>SC Prepayments at Exit</t>
  </si>
  <si>
    <t>Other Income</t>
  </si>
  <si>
    <t>Other Income at Exit</t>
  </si>
  <si>
    <t>Rental, Service Charge Prepayment and Other Income Loss</t>
  </si>
  <si>
    <t>Void Costs</t>
  </si>
  <si>
    <t>Total Area</t>
  </si>
  <si>
    <t>Original Area</t>
  </si>
  <si>
    <t>Void Costs p.m</t>
  </si>
  <si>
    <t>Non-recoverable OpEx</t>
  </si>
  <si>
    <t>Non-recs</t>
  </si>
  <si>
    <t>Repairs &amp; Maintenance</t>
  </si>
  <si>
    <t>R&amp;M</t>
  </si>
  <si>
    <t>R&amp;M/sqm p.m.</t>
  </si>
  <si>
    <t>PM Fee</t>
  </si>
  <si>
    <t>PM Fee (% NRI+other)</t>
  </si>
  <si>
    <t>Headrent (for Leasehold Properties)</t>
  </si>
  <si>
    <t>Leasehold</t>
  </si>
  <si>
    <t>Headrent</t>
  </si>
  <si>
    <t>Headrent
p.a.</t>
  </si>
  <si>
    <t>Remaining Years</t>
  </si>
  <si>
    <t>Leasehold Expiry Date</t>
  </si>
  <si>
    <t>Capitalization on Index</t>
  </si>
  <si>
    <t>RETT Basis</t>
  </si>
  <si>
    <t>Remaining Leasehold Term</t>
  </si>
  <si>
    <t>Capitalization Index (for RETT on Leasehold)</t>
  </si>
  <si>
    <t>Index</t>
  </si>
  <si>
    <t>Headrent p.a.</t>
  </si>
  <si>
    <t>Headrent at Exit</t>
  </si>
  <si>
    <t>NOI</t>
  </si>
  <si>
    <t>NOI at Exit</t>
  </si>
  <si>
    <t>External AM Fee</t>
  </si>
  <si>
    <t>AM Fee (% NRI+other)</t>
  </si>
  <si>
    <t>AM Fee</t>
  </si>
  <si>
    <t>Platform Costs and Internal AM Costs</t>
  </si>
  <si>
    <t>Platform Costs</t>
  </si>
  <si>
    <t>AIC</t>
  </si>
  <si>
    <t>Loss from Rent Free Period</t>
  </si>
  <si>
    <t>Tenant Incentives</t>
  </si>
  <si>
    <t>CapEx Backlog (Short Term)</t>
  </si>
  <si>
    <t>CapEx Backlog</t>
  </si>
  <si>
    <t>CapEx</t>
  </si>
  <si>
    <t>Capex Spending Period (in Quarters)</t>
  </si>
  <si>
    <t>Capex Spending Start (Quarter + 1)</t>
  </si>
  <si>
    <t>Quarters</t>
  </si>
  <si>
    <t>€/sqm</t>
  </si>
  <si>
    <t>Capex Year 2-5 (per sqm per year)</t>
  </si>
  <si>
    <t>Immediate and Year 1 Capex (per sqm per year)</t>
  </si>
  <si>
    <t>Capex Backlog (Short Term)</t>
  </si>
  <si>
    <t>Incl. Soft Costs</t>
  </si>
  <si>
    <t>Soft Costs</t>
  </si>
  <si>
    <t>Incl. VAT where applicable</t>
  </si>
  <si>
    <t>Spending Period (Qs)</t>
  </si>
  <si>
    <t>Override
(Qs)</t>
  </si>
  <si>
    <t>Spending Period Applied</t>
  </si>
  <si>
    <t>VAT Rate</t>
  </si>
  <si>
    <t>ST Backlog CapEx</t>
  </si>
  <si>
    <t>Spending Period</t>
  </si>
  <si>
    <t>ST CapEx Backlog not spent in CF</t>
  </si>
  <si>
    <t>Capex Backlog (Long Term)</t>
  </si>
  <si>
    <t>Total Backlog Applied</t>
  </si>
  <si>
    <t>LT Backlog CapEx</t>
  </si>
  <si>
    <t>CapEx Backlog (Long Term)</t>
  </si>
  <si>
    <t>Start Quarter</t>
  </si>
  <si>
    <t>** Long Term CapEx includes Short Term CapEx Backlog not spent during ST period **</t>
  </si>
  <si>
    <t>CapEx Backlog (Total)</t>
  </si>
  <si>
    <t>Total CapEx Backlog not spent in CF</t>
  </si>
  <si>
    <t>Gross Disposal Proceeds (GDP)</t>
  </si>
  <si>
    <t>GDP</t>
  </si>
  <si>
    <t>NRI + Other Income - Headrent @ Exit</t>
  </si>
  <si>
    <t>Rent Multiple</t>
  </si>
  <si>
    <t>Fixed GDP</t>
  </si>
  <si>
    <t>GDP Applied</t>
  </si>
  <si>
    <t>GDP Flex</t>
  </si>
  <si>
    <t>of GDP</t>
  </si>
  <si>
    <t>CapEx Backlog Deduction at Exit</t>
  </si>
  <si>
    <t>--&gt; Inflation Applied</t>
  </si>
  <si>
    <t>Backlog Deduction</t>
  </si>
  <si>
    <t>CapEx Backlog @ Exit</t>
  </si>
  <si>
    <t>Rent Free @ Exit</t>
  </si>
  <si>
    <t>Sale</t>
  </si>
  <si>
    <t>Sales Expenses/Brokerage Fee (% of PP)</t>
  </si>
  <si>
    <t>x+bricks Disposal Fee (% of PP)</t>
  </si>
  <si>
    <t>Sales Quarter Flex</t>
  </si>
  <si>
    <t>Discount Rate</t>
  </si>
  <si>
    <t>Discount Rate Override</t>
  </si>
  <si>
    <t>Asset Level DR</t>
  </si>
  <si>
    <t>Discount Rate Applied</t>
  </si>
  <si>
    <t>NPV</t>
  </si>
  <si>
    <t>Adjusted NPV</t>
  </si>
  <si>
    <t>PP Allocator</t>
  </si>
  <si>
    <t>APP</t>
  </si>
  <si>
    <t>Surcharge for Leasehold</t>
  </si>
  <si>
    <t>Acquisition Costs</t>
  </si>
  <si>
    <t>AIC
(Unlevered)</t>
  </si>
  <si>
    <t>Property Cash Flow (Pre Tax)</t>
  </si>
  <si>
    <t>Projected AIC</t>
  </si>
  <si>
    <t>Property CF</t>
  </si>
  <si>
    <t>Consolidated Portfolio Cash Flow</t>
  </si>
  <si>
    <t>Assets BoP</t>
  </si>
  <si>
    <t>Assets EoP</t>
  </si>
  <si>
    <t>Market Value BoP</t>
  </si>
  <si>
    <t>Market Value EoP</t>
  </si>
  <si>
    <t>Portfolio WALT</t>
  </si>
  <si>
    <t>Occupied Area by Usage Type</t>
  </si>
  <si>
    <t>Occupied Area</t>
  </si>
  <si>
    <t>Occupied Area by Leasing Type</t>
  </si>
  <si>
    <t>In Place</t>
  </si>
  <si>
    <t>NRI by Leasing Status</t>
  </si>
  <si>
    <t>SC Prepayments by Leasing Status</t>
  </si>
  <si>
    <t>Actual Income Collected</t>
  </si>
  <si>
    <t>Non-Recoverable Operating Expenses</t>
  </si>
  <si>
    <t>Non-Recoverable PM Fee</t>
  </si>
  <si>
    <t>Non-Recs</t>
  </si>
  <si>
    <t>External Asset Management Fee</t>
  </si>
  <si>
    <t>x+bricks / SCP Asset Management Fee</t>
  </si>
  <si>
    <t>EBITDA</t>
  </si>
  <si>
    <t>LC</t>
  </si>
  <si>
    <t>CapEx Backlog (running)</t>
  </si>
  <si>
    <t>TIs/CapEx in Relation to Area Expansions</t>
  </si>
  <si>
    <t>Property Cash Flow before Sales</t>
  </si>
  <si>
    <t>Rent Free Deduction</t>
  </si>
  <si>
    <t>Gross Disposal Proceeds</t>
  </si>
  <si>
    <t>Deduction for Outstanding Rent Frees</t>
  </si>
  <si>
    <t>Deduction for Outstanding Backlog CapEx</t>
  </si>
  <si>
    <t>Gross Disposal Proceeds (after next Buyer Deductions)</t>
  </si>
  <si>
    <t>Sales Expenses</t>
  </si>
  <si>
    <t>x+bricks Disposal Fees</t>
  </si>
  <si>
    <t>Net Disposal Proceeds</t>
  </si>
  <si>
    <t>Net Property Cash Flow (Pre-Tax)</t>
  </si>
  <si>
    <t>Disposed Assets (annualized figures)</t>
  </si>
  <si>
    <t>Total Income (excl. SC Prepayments)</t>
  </si>
  <si>
    <t>TAX AND DEBT CASH FLOW</t>
  </si>
  <si>
    <t>Regular Depreciation</t>
  </si>
  <si>
    <t>Depreciation</t>
  </si>
  <si>
    <t>Tax Book Values</t>
  </si>
  <si>
    <t>Property Book Value</t>
  </si>
  <si>
    <t>Building Portion</t>
  </si>
  <si>
    <t>Rate</t>
  </si>
  <si>
    <t>Total p.a.</t>
  </si>
  <si>
    <t>--&gt; Cumulative</t>
  </si>
  <si>
    <t>TIs/CapEx/Expansion Investment</t>
  </si>
  <si>
    <t>CapEx/TI Depreciation</t>
  </si>
  <si>
    <t>CapEx / Expansion Invest</t>
  </si>
  <si>
    <t>Cumulative TIs spent</t>
  </si>
  <si>
    <t>Book Value (EoP)</t>
  </si>
  <si>
    <t>Building</t>
  </si>
  <si>
    <t>Land</t>
  </si>
  <si>
    <t>Book Value @ Exit</t>
  </si>
  <si>
    <t>Capital Gains</t>
  </si>
  <si>
    <t>Exit Book Value</t>
  </si>
  <si>
    <t>--&gt; Excludes Structure Costs, which are modeled on deal level</t>
  </si>
  <si>
    <t>EBITDA @ Exit</t>
  </si>
  <si>
    <t>EBIT</t>
  </si>
  <si>
    <t>EBIT @ Exit</t>
  </si>
  <si>
    <t>Senior Loan - Allocated Loan Amount (ALA)</t>
  </si>
  <si>
    <t>Comment</t>
  </si>
  <si>
    <t>Asset Commentary</t>
  </si>
  <si>
    <t>Senior Loan</t>
  </si>
  <si>
    <t>ALA Basis</t>
  </si>
  <si>
    <t>RP Applied</t>
  </si>
  <si>
    <t>Senior Loan Amount</t>
  </si>
  <si>
    <t xml:space="preserve"> Override</t>
  </si>
  <si>
    <t>Release Pricing</t>
  </si>
  <si>
    <t>Senior Financing</t>
  </si>
  <si>
    <t>Advance Rate</t>
  </si>
  <si>
    <t>Loan Amount (in €)</t>
  </si>
  <si>
    <t>LTPP</t>
  </si>
  <si>
    <t>LTC</t>
  </si>
  <si>
    <t>Fees &amp; Financing Costs</t>
  </si>
  <si>
    <t>Up-Front Financing Fee (%)</t>
  </si>
  <si>
    <t>Financing Costs (Valuation, Legal, etc)</t>
  </si>
  <si>
    <t>Committment Fee (%)</t>
  </si>
  <si>
    <t>CapEx Facility</t>
  </si>
  <si>
    <t>Repayment</t>
  </si>
  <si>
    <t>ALA Allocation (MV=1, GDP=2, AIC=3)</t>
  </si>
  <si>
    <t>Release Premium</t>
  </si>
  <si>
    <t>Maturity Quarter</t>
  </si>
  <si>
    <t>Maturity Date</t>
  </si>
  <si>
    <t>Senior Amt</t>
  </si>
  <si>
    <t>Switch</t>
  </si>
  <si>
    <t>Senior Loan Switch</t>
  </si>
  <si>
    <t>Included
in Senior</t>
  </si>
  <si>
    <t>Senior ALA</t>
  </si>
  <si>
    <t>Senior Loan - Release Prices</t>
  </si>
  <si>
    <t>Senior RP</t>
  </si>
  <si>
    <t>CapEx Loan - Allocated Loan Amount (ALA)</t>
  </si>
  <si>
    <t>CapEx ALA</t>
  </si>
  <si>
    <t>CapEx Loan - Release Prices</t>
  </si>
  <si>
    <t>CapEx RP</t>
  </si>
  <si>
    <t>Junior Loan - Allocated Loan Amount (ALA)</t>
  </si>
  <si>
    <t>Junior ALA</t>
  </si>
  <si>
    <t>Junior Loan - Release Prices</t>
  </si>
  <si>
    <t>Consolidated Tax Overview</t>
  </si>
  <si>
    <t>Book Value</t>
  </si>
  <si>
    <t>BoP</t>
  </si>
  <si>
    <t>Sale of Properties</t>
  </si>
  <si>
    <t>EoP</t>
  </si>
  <si>
    <t>Book value @ Exit</t>
  </si>
  <si>
    <t>PROPERTY CF</t>
  </si>
  <si>
    <t>DEAL CASH FLOW</t>
  </si>
  <si>
    <t>Properties and Occupancy</t>
  </si>
  <si>
    <t>Properties</t>
  </si>
  <si>
    <t>Number of Properties (BoP)</t>
  </si>
  <si>
    <t>Number of Properties (EoP)</t>
  </si>
  <si>
    <t># of Properties Sold</t>
  </si>
  <si>
    <t>Market Value (BoP)</t>
  </si>
  <si>
    <t>Market Value (EoP)</t>
  </si>
  <si>
    <t>Thereof Expansion/Added Area</t>
  </si>
  <si>
    <t>Thereof Expanded Area</t>
  </si>
  <si>
    <t>Physical Occupancy by Usage Type</t>
  </si>
  <si>
    <t>Physical Occupancy by Leasing Status</t>
  </si>
  <si>
    <t>In-Place</t>
  </si>
  <si>
    <t>Releasing</t>
  </si>
  <si>
    <t>Unlevered RE Portfolio Cash Flow</t>
  </si>
  <si>
    <t>Net Purchase Price (less deposit)</t>
  </si>
  <si>
    <t>Deposit</t>
  </si>
  <si>
    <t>Purchase Costs</t>
  </si>
  <si>
    <t>Purchase Price and Ancillary Acquisition Costs</t>
  </si>
  <si>
    <t>Total Initial Investment</t>
  </si>
  <si>
    <t>Net Rental Income (NRI)</t>
  </si>
  <si>
    <t>Renewal Rent</t>
  </si>
  <si>
    <t>Re-Leasing Rent</t>
  </si>
  <si>
    <t>Lease-Up Rent</t>
  </si>
  <si>
    <t>Total Net Rental Income</t>
  </si>
  <si>
    <t>Annualized NRI</t>
  </si>
  <si>
    <t>NRI psm p.m.</t>
  </si>
  <si>
    <t>Annualized SC Prepayments</t>
  </si>
  <si>
    <t>SC Prepayments psm p.m.</t>
  </si>
  <si>
    <t>In-Place SC Prepayments</t>
  </si>
  <si>
    <t>Renewal SC Prepayments</t>
  </si>
  <si>
    <t>Re-Leasing SC Prepayments</t>
  </si>
  <si>
    <t>Lease-Up SC Prepayments</t>
  </si>
  <si>
    <t>Total SC Prepayments</t>
  </si>
  <si>
    <t>Total Turnover</t>
  </si>
  <si>
    <t>Operating Expenses</t>
  </si>
  <si>
    <t>Property Management Fees</t>
  </si>
  <si>
    <t>Total OpEx</t>
  </si>
  <si>
    <t>Net Operating Income (NOI)</t>
  </si>
  <si>
    <t>Annualized NOI</t>
  </si>
  <si>
    <t>NOI Margin (%)</t>
  </si>
  <si>
    <t>OpEx Leakage (%)</t>
  </si>
  <si>
    <t>Total Physical Occupancy Rate (%)</t>
  </si>
  <si>
    <t>Occupancy Rate (%)</t>
  </si>
  <si>
    <t>Other Recurring Expenses</t>
  </si>
  <si>
    <t>Third Party AM Fee</t>
  </si>
  <si>
    <t>--&gt; Excludes Structure Costs</t>
  </si>
  <si>
    <t>Platform Costs and SCP AM Fees</t>
  </si>
  <si>
    <t>Structure Costs</t>
  </si>
  <si>
    <t>Total Other Recurring Expenses</t>
  </si>
  <si>
    <t>Annualized EBITDA</t>
  </si>
  <si>
    <t>Non-Recurring Expenses</t>
  </si>
  <si>
    <t>Loss from Rent-free Periods</t>
  </si>
  <si>
    <t>Expansion Investment</t>
  </si>
  <si>
    <t>Total Non-Recurring Expenses</t>
  </si>
  <si>
    <t>in €/sqm</t>
  </si>
  <si>
    <t>Property Cash Flow</t>
  </si>
  <si>
    <t>Sales Proceeds</t>
  </si>
  <si>
    <t>Outstanding Rent Free Deduction</t>
  </si>
  <si>
    <t>GDP after Deductions</t>
  </si>
  <si>
    <t>Sales Expenses / Brokerage Fee</t>
  </si>
  <si>
    <t>x+bricks Exit Fee</t>
  </si>
  <si>
    <t>Net Sales Proceeds</t>
  </si>
  <si>
    <t>Percentage of Total Net Sales Proceeds</t>
  </si>
  <si>
    <t>NRI Multiple (on NSP)</t>
  </si>
  <si>
    <t>NOI Yield (on NSP)</t>
  </si>
  <si>
    <t>EBITDA Multiple (on NSP)</t>
  </si>
  <si>
    <t>Property EBITDA</t>
  </si>
  <si>
    <t>Overall Structure Costs</t>
  </si>
  <si>
    <t>Structure Costs - Allocated to Asset Level by Area</t>
  </si>
  <si>
    <t>Property Cash Flow (Pre x+bricks Fees, Structure Costs and Pre Tax)</t>
  </si>
  <si>
    <t>NRI (less headrent)</t>
  </si>
  <si>
    <t>Unlevered Pre-Tax Cash Flow</t>
  </si>
  <si>
    <t>Taxes (CIT and CGT)</t>
  </si>
  <si>
    <t>Unlevered Cash Flow before Reserve Account</t>
  </si>
  <si>
    <t>Asset-Level Reserve Account</t>
  </si>
  <si>
    <t>Opening Balance</t>
  </si>
  <si>
    <t>Drawdown</t>
  </si>
  <si>
    <t>Closing Balance</t>
  </si>
  <si>
    <t>Unlevered Cash Flow after Taxes</t>
  </si>
  <si>
    <t>Cumulative Equity Cash Flow</t>
  </si>
  <si>
    <t>WAL Break Even Calc</t>
  </si>
  <si>
    <t>Override</t>
  </si>
  <si>
    <t>Unlevered Cash Flow</t>
  </si>
  <si>
    <t>Levered Cash Flow</t>
  </si>
  <si>
    <t>Unlevered Cash Flow Before Taxes</t>
  </si>
  <si>
    <t>BoP Balance</t>
  </si>
  <si>
    <t>Drawdown Senior Loan</t>
  </si>
  <si>
    <t>Consolidated Debt Overview</t>
  </si>
  <si>
    <t>Allocated Loan Amount</t>
  </si>
  <si>
    <t>Release Amount</t>
  </si>
  <si>
    <t>CapEx Loan</t>
  </si>
  <si>
    <t>Mezzanine Loan</t>
  </si>
  <si>
    <t>Mezz ALA</t>
  </si>
  <si>
    <t>Mezz RP</t>
  </si>
  <si>
    <t>CapEX RP</t>
  </si>
  <si>
    <t>--&gt; Deposit always financed 100% Equity</t>
  </si>
  <si>
    <t>Scheduled Amortization</t>
  </si>
  <si>
    <t>Repayment from Sales Proceeds (Release Amount)</t>
  </si>
  <si>
    <t>Repayment at Maturity</t>
  </si>
  <si>
    <t>EoP Balance</t>
  </si>
  <si>
    <t>Drawdown Quarter</t>
  </si>
  <si>
    <t>Switch and Drawdown</t>
  </si>
  <si>
    <t>Interest and Scheduled Amortization</t>
  </si>
  <si>
    <t>Quarter</t>
  </si>
  <si>
    <t>Day Count Convention (360 vs. 365 days)</t>
  </si>
  <si>
    <t>3ME Forward Curve</t>
  </si>
  <si>
    <t>Margin Schedule</t>
  </si>
  <si>
    <t>Sched Am Schedule</t>
  </si>
  <si>
    <t>--&gt; Not active</t>
  </si>
  <si>
    <t>Prepayment Fee Schedule</t>
  </si>
  <si>
    <t>Reference Rate</t>
  </si>
  <si>
    <t>Margin</t>
  </si>
  <si>
    <t>All-in Rate</t>
  </si>
  <si>
    <t>Interest Due</t>
  </si>
  <si>
    <t>Interest Calculation</t>
  </si>
  <si>
    <t>Financing Fees</t>
  </si>
  <si>
    <t>Up-front Fee</t>
  </si>
  <si>
    <t>Security Agent Fee</t>
  </si>
  <si>
    <t>Facility Agent Fee</t>
  </si>
  <si>
    <t>Commitment Fee</t>
  </si>
  <si>
    <t>Prepayment Fee</t>
  </si>
  <si>
    <t>Total Fees</t>
  </si>
  <si>
    <t>Financing Costs</t>
  </si>
  <si>
    <t>Cash Flow after Senior Debt Service</t>
  </si>
  <si>
    <t>CapEx Loan Switch</t>
  </si>
  <si>
    <t>Maximum Loan Amount (in €)</t>
  </si>
  <si>
    <t>Max LTPP</t>
  </si>
  <si>
    <t>Resulting Max LTC</t>
  </si>
  <si>
    <t>LTC Applied to CapEx/TIs financed</t>
  </si>
  <si>
    <t>Resulting LTC</t>
  </si>
  <si>
    <t>Drawdown CapEx Loan</t>
  </si>
  <si>
    <t>Cash Flow after Senior &amp; CapEx Debt Service</t>
  </si>
  <si>
    <t>Deal Metrics</t>
  </si>
  <si>
    <t>Retained Cash Flow</t>
  </si>
  <si>
    <t>Cumulative Retained Cash Flow</t>
  </si>
  <si>
    <t>Loan Level Reserve Account</t>
  </si>
  <si>
    <t>Return</t>
  </si>
  <si>
    <t>Profit</t>
  </si>
  <si>
    <t>Multiple</t>
  </si>
  <si>
    <t>IRR</t>
  </si>
  <si>
    <t>WAL Break Even</t>
  </si>
  <si>
    <t>WAL Total</t>
  </si>
  <si>
    <t>Capital Uses</t>
  </si>
  <si>
    <t>Up-Front Financing Fee</t>
  </si>
  <si>
    <t>Capital Sources</t>
  </si>
  <si>
    <t>Amount</t>
  </si>
  <si>
    <t>x+bricks Equity</t>
  </si>
  <si>
    <t>Senior Debt</t>
  </si>
  <si>
    <t>Mezzanine</t>
  </si>
  <si>
    <t>Reserve Accounts</t>
  </si>
  <si>
    <t>Mezzanine Loan Switch</t>
  </si>
  <si>
    <t>Sensitivities</t>
  </si>
  <si>
    <t>END OF SHEET</t>
  </si>
  <si>
    <t>Asset Level Reserve Account</t>
  </si>
  <si>
    <t>Required Reserve Amount (Override)</t>
  </si>
  <si>
    <t>--&gt; Enter 0 to use automatic reserve amount calculation</t>
  </si>
  <si>
    <t>Senior &amp; CapEx Level Reserve Account</t>
  </si>
  <si>
    <t>Min Amt</t>
  </si>
  <si>
    <t xml:space="preserve">Levered (Senior) Performance Overview </t>
  </si>
  <si>
    <t xml:space="preserve">Levered (Mezz) Performance Overview </t>
  </si>
  <si>
    <t>Loan Reserve Accounts</t>
  </si>
  <si>
    <t>Unlevered Performance Overview (Post Tax)</t>
  </si>
  <si>
    <t>Drawdown Mezz Loan</t>
  </si>
  <si>
    <t>Switch and Advance Rate</t>
  </si>
  <si>
    <t>Maximum Mezzanine Loan Amount</t>
  </si>
  <si>
    <t>--&gt; Enter 0 to use automatic opening amount calculation</t>
  </si>
  <si>
    <t>Mezzanine AM Fee</t>
  </si>
  <si>
    <t>Cash Sweep from Sales</t>
  </si>
  <si>
    <t>Amort Holiday Until after Q</t>
  </si>
  <si>
    <t>Cash Interest (Fixed Rate)</t>
  </si>
  <si>
    <t>PIK Interest</t>
  </si>
  <si>
    <t>Scheduled Amortization p.a. (on initial notional)</t>
  </si>
  <si>
    <t>Equity and Co-Investment</t>
  </si>
  <si>
    <t>Equity Kicker</t>
  </si>
  <si>
    <t>Equity Kicker (after Equity Promote)</t>
  </si>
  <si>
    <t>x+bricks Promote</t>
  </si>
  <si>
    <t>Cash Flow available for Mezz Debt Service</t>
  </si>
  <si>
    <t>Pre-Tax Cash Flow after Loan Level Reserve</t>
  </si>
  <si>
    <t>Taxes</t>
  </si>
  <si>
    <t>Repayment at Maturity or with last Asset</t>
  </si>
  <si>
    <t>Cash Interest</t>
  </si>
  <si>
    <t>PIK Interest in Period</t>
  </si>
  <si>
    <t>OBP for PIK Basis</t>
  </si>
  <si>
    <t>Cumulative PIK Interest</t>
  </si>
  <si>
    <t>PIK Interest Paid</t>
  </si>
  <si>
    <t>Total Interest Paid</t>
  </si>
  <si>
    <t>--&gt; for Equity Kicker Calculation</t>
  </si>
  <si>
    <t>Total Mezzanine Cash Flow</t>
  </si>
  <si>
    <t>--&gt; from Lender Perspective</t>
  </si>
  <si>
    <t xml:space="preserve">Mezzanine Lender Overview </t>
  </si>
  <si>
    <t>Equity Cash Flow</t>
  </si>
  <si>
    <t>Mezzanine Financing Fees and Costs</t>
  </si>
  <si>
    <t>Total Mezzanine Fees and Costs</t>
  </si>
  <si>
    <t>Pre-Tax Equity Cash Flow after Mezz</t>
  </si>
  <si>
    <t>Tax Calculation</t>
  </si>
  <si>
    <t>Equity Level Reserve Account</t>
  </si>
  <si>
    <t>Apply Loss Account</t>
  </si>
  <si>
    <t>Loss Carried Forward Deducible (€)</t>
  </si>
  <si>
    <t>Loss Carried Forward Deducible (%)</t>
  </si>
  <si>
    <t>Interest Barrier</t>
  </si>
  <si>
    <t>Apply Interest Barrier</t>
  </si>
  <si>
    <t>Interest Deductibility (% of EBITDA)</t>
  </si>
  <si>
    <t>Interest Barrier Amount (EUR)</t>
  </si>
  <si>
    <t>Loss Carry Forward Deductible Amount (EUR)</t>
  </si>
  <si>
    <t>Loss Carry Forward Deductibility (%)</t>
  </si>
  <si>
    <t>Shareholder Loan</t>
  </si>
  <si>
    <t>Loan Amount (EUR)</t>
  </si>
  <si>
    <t>Loan Amount in Percent of PP</t>
  </si>
  <si>
    <t>Capital Gains Taxes</t>
  </si>
  <si>
    <t>CGT Switch</t>
  </si>
  <si>
    <t>SHL Interest Rate (Fixed Rate)</t>
  </si>
  <si>
    <t>SHL BoP Balance</t>
  </si>
  <si>
    <t>Interest PIK</t>
  </si>
  <si>
    <t>Repayment from Cash Sweep</t>
  </si>
  <si>
    <t>Cash Available for Cash Sweep</t>
  </si>
  <si>
    <t>Pre-Tax Free Cash Flow</t>
  </si>
  <si>
    <t>Tax Reserve Account</t>
  </si>
  <si>
    <t>Cash paid in/out</t>
  </si>
  <si>
    <t>FCF (available for Cash Sweep)</t>
  </si>
  <si>
    <t>FCF After Tax</t>
  </si>
  <si>
    <t>P&amp;L Calculation</t>
  </si>
  <si>
    <t>Recurring EBITDA</t>
  </si>
  <si>
    <t>Total Turnover (incl. SC Prepayments)</t>
  </si>
  <si>
    <t>--&gt; only for line items that are not capitalized</t>
  </si>
  <si>
    <t>Non-recurring Property Expenses</t>
  </si>
  <si>
    <t>Non-recurring Financing Costs</t>
  </si>
  <si>
    <t>Senior Financing Costs</t>
  </si>
  <si>
    <t>CapEx Financing Costs</t>
  </si>
  <si>
    <t>Other Financing Costs</t>
  </si>
  <si>
    <t>Mezzanine Financing Costs</t>
  </si>
  <si>
    <t>Capital Gains from Asset Sales</t>
  </si>
  <si>
    <t>Net Sales Proceeds (after Sales Costs)</t>
  </si>
  <si>
    <t>Portfolio - Interest Barrier Check</t>
  </si>
  <si>
    <t>Interest Expenses</t>
  </si>
  <si>
    <t>Interest Barrier Check</t>
  </si>
  <si>
    <t>Deductiable Interst I</t>
  </si>
  <si>
    <t>Portfolio - Interest Account</t>
  </si>
  <si>
    <t>Interest Carried Forward (BoP)</t>
  </si>
  <si>
    <t>Withdrawal (Deductable Interest II)</t>
  </si>
  <si>
    <t>Interest Carried Forward (EoP)</t>
  </si>
  <si>
    <t>EBT</t>
  </si>
  <si>
    <t>Deductable Interest</t>
  </si>
  <si>
    <t>Tax Loss Reserve Acct (Intra Year)</t>
  </si>
  <si>
    <t>Loss</t>
  </si>
  <si>
    <t>Withdrawal</t>
  </si>
  <si>
    <t>Tax Loss Reserve Acct (Total)</t>
  </si>
  <si>
    <t>Withdrawal Intra Year</t>
  </si>
  <si>
    <t>Withdrawal I</t>
  </si>
  <si>
    <t>Withdrawal II</t>
  </si>
  <si>
    <t>Taxable Income</t>
  </si>
  <si>
    <t>thereof from capital gains (disregarding capital losses)</t>
  </si>
  <si>
    <t>--&gt; turned off in IPO Case</t>
  </si>
  <si>
    <t>--&gt; Reserve Account is for pre-tax CF to avoid circular reference</t>
  </si>
  <si>
    <t>Equity Cash Flow (pre-promote)</t>
  </si>
  <si>
    <t>x+bricks Equity Cash Flow (incl. Promote)</t>
  </si>
  <si>
    <t>Foreign Co-Investment %</t>
  </si>
  <si>
    <t>Co Investor Equity Cash Flow (post promote)</t>
  </si>
  <si>
    <t>Equity Cash Flow (post-promote)</t>
  </si>
  <si>
    <t xml:space="preserve">Co-Investor Overview </t>
  </si>
  <si>
    <t>x+bricks Overview  (exl. Fees)</t>
  </si>
  <si>
    <t>ASSET OVERVIEW</t>
  </si>
  <si>
    <t>Asset Overview</t>
  </si>
  <si>
    <t>Cash Collection</t>
  </si>
  <si>
    <t>Cash Collection over Business Plan</t>
  </si>
  <si>
    <t>Performance Metrics (Going-In)</t>
  </si>
  <si>
    <t>X+Bricks Pricing</t>
  </si>
  <si>
    <t>Performance Metrics (Q1)</t>
  </si>
  <si>
    <t>Largest Tenants per Property</t>
  </si>
  <si>
    <t>Performance Metrics: Exit</t>
  </si>
  <si>
    <t>Performance Metrics: Capex/TI, Rent-Free Period and LC</t>
  </si>
  <si>
    <t>X+Bricks Exit Pricing</t>
  </si>
  <si>
    <t>Ground Rent</t>
  </si>
  <si>
    <t>Maintenance</t>
  </si>
  <si>
    <t>Target NOI</t>
  </si>
  <si>
    <t>TI</t>
  </si>
  <si>
    <t>Capex Backlog</t>
  </si>
  <si>
    <t>Refurbishment Capex</t>
  </si>
  <si>
    <t>Capex Backlog Deduction</t>
  </si>
  <si>
    <t>CES AM Fee</t>
  </si>
  <si>
    <t>Rent Free Period</t>
  </si>
  <si>
    <t>Included</t>
  </si>
  <si>
    <t>Property ID</t>
  </si>
  <si>
    <t>Year built / refurbished</t>
  </si>
  <si>
    <t>Asset Type</t>
  </si>
  <si>
    <t>Anchor Tenant</t>
  </si>
  <si>
    <t>Macro 
Location</t>
  </si>
  <si>
    <t>Micro
Location</t>
  </si>
  <si>
    <t>Vacancy</t>
  </si>
  <si>
    <t>Potential Rent</t>
  </si>
  <si>
    <t>Economic Occupancy</t>
  </si>
  <si>
    <t>Net Rental Income</t>
  </si>
  <si>
    <t>Head Rent</t>
  </si>
  <si>
    <t>Total Income less Ground Rent</t>
  </si>
  <si>
    <t>Platform and internal AM</t>
  </si>
  <si>
    <t>WALT**</t>
  </si>
  <si>
    <t>Allocated 
PP</t>
  </si>
  <si>
    <t>Going in 
Rent Yield</t>
  </si>
  <si>
    <t>Going in 
NOI Yield</t>
  </si>
  <si>
    <t>Leakage Buffer</t>
  </si>
  <si>
    <t>Calc</t>
  </si>
  <si>
    <t>Rent</t>
  </si>
  <si>
    <t>WALT*</t>
  </si>
  <si>
    <t>Occupancy Rate</t>
  </si>
  <si>
    <t>Total Income less Head Rent</t>
  </si>
  <si>
    <t>Exit WALT</t>
  </si>
  <si>
    <t xml:space="preserve">Total TIs </t>
  </si>
  <si>
    <t>Capex Backlog deducted from GDP</t>
  </si>
  <si>
    <t>Total Capex Backlog</t>
  </si>
  <si>
    <t>Total TIs &amp; Capex</t>
  </si>
  <si>
    <t>Rent-Free Period</t>
  </si>
  <si>
    <t>Rent-Free Period Deduction at Exit</t>
  </si>
  <si>
    <t>Total TIs, Capex &amp; Rent-Free</t>
  </si>
  <si>
    <t>Total TIs, Capex, Rent-Free Period &amp; LCs</t>
  </si>
  <si>
    <t>GDP before Capex Backlog</t>
  </si>
  <si>
    <t>GDP net of Capex/TI</t>
  </si>
  <si>
    <t>Exit Rent Cap Rate</t>
  </si>
  <si>
    <t>Exit NOI Cap Rate</t>
  </si>
  <si>
    <t>Capex Backlog
Deduction</t>
  </si>
  <si>
    <t>Rent Free Period
Deduction</t>
  </si>
  <si>
    <t>GDP after Capex Backlog</t>
  </si>
  <si>
    <t>Disposal 
Date</t>
  </si>
  <si>
    <t>Disposal 
Quarter</t>
  </si>
  <si>
    <t>Holding Time</t>
  </si>
  <si>
    <t>Ranking</t>
  </si>
  <si>
    <t>Non-Recoverable Costs</t>
  </si>
  <si>
    <t>Operative Property Cash Flow</t>
  </si>
  <si>
    <t>GDP
after Deductions</t>
  </si>
  <si>
    <t>Sales Expense</t>
  </si>
  <si>
    <t>Disposal Fee</t>
  </si>
  <si>
    <t>NDP</t>
  </si>
  <si>
    <t>Total Property Cash Flow</t>
  </si>
  <si>
    <t>TOTAL</t>
  </si>
  <si>
    <t>WALT Calculation</t>
  </si>
  <si>
    <t>Rent for remaining Lease Term</t>
  </si>
  <si>
    <t>Rent until Break</t>
  </si>
  <si>
    <t>Capex Backlog (Total incl. inflation)</t>
  </si>
  <si>
    <t>Expansion Tis/CapEx</t>
  </si>
  <si>
    <t>Key Characteristics</t>
  </si>
  <si>
    <t>Entry Metrics</t>
  </si>
  <si>
    <t>Number of Properties</t>
  </si>
  <si>
    <t>Total Debt</t>
  </si>
  <si>
    <t>Total Equity</t>
  </si>
  <si>
    <t>In Place Income</t>
  </si>
  <si>
    <t xml:space="preserve">PP </t>
  </si>
  <si>
    <t>All-In</t>
  </si>
  <si>
    <t>In Place NOI</t>
  </si>
  <si>
    <t>Cap Rate</t>
  </si>
  <si>
    <t>In Place Physical Occupancy</t>
  </si>
  <si>
    <t>Exit Metrics</t>
  </si>
  <si>
    <t>Exit Income</t>
  </si>
  <si>
    <t>Exit NOI</t>
  </si>
  <si>
    <t>Exit Physical Occupancy</t>
  </si>
  <si>
    <t>Unlevered Performance Overview</t>
  </si>
  <si>
    <t>GDP per sqm</t>
  </si>
  <si>
    <t>x+bricks Purchase Price</t>
  </si>
  <si>
    <t>Purchase Price per sqm</t>
  </si>
  <si>
    <t>Total Backlog Capex</t>
  </si>
  <si>
    <t>Total TIs</t>
  </si>
  <si>
    <t>Total Rent-Free Period</t>
  </si>
  <si>
    <t>Total Capex, TIs &amp; Rent-Free</t>
  </si>
  <si>
    <t xml:space="preserve">Impact of Change in GDP and ERV </t>
  </si>
  <si>
    <t>IRR / Multiple</t>
  </si>
  <si>
    <t>∆ in GDP</t>
  </si>
  <si>
    <t>∆ ERV</t>
  </si>
  <si>
    <t>Unlevered Return</t>
  </si>
  <si>
    <t>Levered Return</t>
  </si>
  <si>
    <t>Exit Multiple</t>
  </si>
  <si>
    <t>Impact of Change in Pricing and GDP</t>
  </si>
  <si>
    <t>∆ in Purchase Price</t>
  </si>
  <si>
    <t>Entry Multiple</t>
  </si>
  <si>
    <t>PP</t>
  </si>
  <si>
    <t>Impact of Change in Pricing and ERV</t>
  </si>
  <si>
    <t>∆ in ERV</t>
  </si>
  <si>
    <t>Impact of Change in Pricing and Timing</t>
  </si>
  <si>
    <t>∆ in Exit Quarter</t>
  </si>
  <si>
    <t>Total Expansion TIs/CapEx</t>
  </si>
  <si>
    <t>Levered (Senior) Performance Overview</t>
  </si>
  <si>
    <t>Levered (Mezz) Performance Overview</t>
  </si>
  <si>
    <t>Unlevered</t>
  </si>
  <si>
    <t>Levered</t>
  </si>
  <si>
    <t>Resulting Multiple</t>
  </si>
  <si>
    <t>Net Purchase Price</t>
  </si>
  <si>
    <t>Going In Multiple</t>
  </si>
  <si>
    <t>FIX GDPs for Timing Sensis!!!</t>
  </si>
  <si>
    <t>Levered (Senior)</t>
  </si>
  <si>
    <t>Levered (Mezz)</t>
  </si>
  <si>
    <t>Price steps:</t>
  </si>
  <si>
    <t>Capex Backlog Deduction at Exit</t>
  </si>
  <si>
    <t>ECONOMIC SUMMARY</t>
  </si>
  <si>
    <t>Economic Summary</t>
  </si>
  <si>
    <t>Sensitivity Analyses</t>
  </si>
  <si>
    <t>Exit Income (Inflation adj.)</t>
  </si>
  <si>
    <t>Exit NOI (Inflation adj.)</t>
  </si>
  <si>
    <t>In Place Net Rental Income</t>
  </si>
  <si>
    <t>In Place Net Operating Income</t>
  </si>
  <si>
    <t>ERV (pre expansion)</t>
  </si>
  <si>
    <t>Service Charge Prepayment</t>
  </si>
  <si>
    <t>Key Facts</t>
  </si>
  <si>
    <t>Entry Valuation</t>
  </si>
  <si>
    <t>Exit Valuation</t>
  </si>
  <si>
    <t>x</t>
  </si>
  <si>
    <t>Inplace</t>
  </si>
  <si>
    <t>Exit</t>
  </si>
  <si>
    <t>ZIP Code</t>
  </si>
  <si>
    <t>Street</t>
  </si>
  <si>
    <t>Population</t>
  </si>
  <si>
    <t>Purchase Power Index</t>
  </si>
  <si>
    <t>Centrality Index</t>
  </si>
  <si>
    <t>NOI Leakage</t>
  </si>
  <si>
    <t>Value per sqm</t>
  </si>
  <si>
    <t>Location Type</t>
  </si>
  <si>
    <t>NOI Cap Rate</t>
  </si>
  <si>
    <t>Allocated PP</t>
  </si>
  <si>
    <t>Capex Backlog Deduction at sale</t>
  </si>
  <si>
    <t>Macro Location</t>
  </si>
  <si>
    <t>Micro Location</t>
  </si>
  <si>
    <t>Allocated AIC</t>
  </si>
  <si>
    <t>Rent Analysis: Entry</t>
  </si>
  <si>
    <t>Business Plan</t>
  </si>
  <si>
    <t>Type of Use</t>
  </si>
  <si>
    <t>Let</t>
  </si>
  <si>
    <t>Physical
Vacancy</t>
  </si>
  <si>
    <t>Rent p.a.</t>
  </si>
  <si>
    <t>Rent p.m.</t>
  </si>
  <si>
    <t>Structural 
Vacancy</t>
  </si>
  <si>
    <t>ERV p.a.</t>
  </si>
  <si>
    <t>ERV p.m.</t>
  </si>
  <si>
    <t>Top 10 Tenants</t>
  </si>
  <si>
    <t>Releasing/</t>
  </si>
  <si>
    <t>Type of</t>
  </si>
  <si>
    <t>Model Break</t>
  </si>
  <si>
    <t>Lease-up</t>
  </si>
  <si>
    <t>Use</t>
  </si>
  <si>
    <t>Unit Size</t>
  </si>
  <si>
    <t>Date</t>
  </si>
  <si>
    <t>Probability</t>
  </si>
  <si>
    <t>Tis</t>
  </si>
  <si>
    <t>* For tenants without lease expiry date, we assume a WALT of three years.</t>
  </si>
  <si>
    <t>EBITDA Multiple</t>
  </si>
  <si>
    <t>Renewal + 
Re-Leasing Probability</t>
  </si>
  <si>
    <t>Quarter Start</t>
  </si>
  <si>
    <t>Quarter End</t>
  </si>
  <si>
    <t>CHECK</t>
  </si>
  <si>
    <t>Year</t>
  </si>
  <si>
    <t>Property</t>
  </si>
  <si>
    <t>Occupancy Rate (Quarterly Average)</t>
  </si>
  <si>
    <t>Total (%)</t>
  </si>
  <si>
    <t>Gross Rental Income</t>
  </si>
  <si>
    <t>thereof Inplace Rent</t>
  </si>
  <si>
    <t>thereof Renewal Rent</t>
  </si>
  <si>
    <t>thereof Releasing Rent</t>
  </si>
  <si>
    <t>thereof Lease-up Rent</t>
  </si>
  <si>
    <t>thereof Other Income</t>
  </si>
  <si>
    <t>Other Non-Recoverable Opex</t>
  </si>
  <si>
    <t>Ongoing Maintenance</t>
  </si>
  <si>
    <t>Non-recoverable PM Fee</t>
  </si>
  <si>
    <t>Other-recurring Expenses</t>
  </si>
  <si>
    <t>Non-recurring Expenses</t>
  </si>
  <si>
    <t>Loss from Rent-free Period</t>
  </si>
  <si>
    <t>Cash Flow before Sales Proceeds</t>
  </si>
  <si>
    <t>Unlevered Cash Flow before Taxes</t>
  </si>
  <si>
    <t>Net Present Value:</t>
  </si>
  <si>
    <t>Capex/Tis for expansion</t>
  </si>
  <si>
    <t>Capex/TI spent in CF Model</t>
  </si>
  <si>
    <t>Analytics</t>
  </si>
  <si>
    <t>Sales Area per Capita</t>
  </si>
  <si>
    <t>Rental Income after Head Rent</t>
  </si>
  <si>
    <t>Rent Multiple (GDP, after Head Rent)</t>
  </si>
  <si>
    <t>SC Prepayment</t>
  </si>
  <si>
    <t>Total Income (incl. other income)</t>
  </si>
  <si>
    <t>EBITDA at Exit</t>
  </si>
  <si>
    <t>Investment</t>
  </si>
  <si>
    <t>psm</t>
  </si>
  <si>
    <t>Occupancy by Leasing Status (Quarterly Average)</t>
  </si>
  <si>
    <t>Releasing/Lease-up</t>
  </si>
  <si>
    <t>Business Plan (as is area)</t>
  </si>
  <si>
    <t>Business Plan (future area)</t>
  </si>
  <si>
    <t>Additional Area</t>
  </si>
  <si>
    <t>ERV (inflation adj.)</t>
  </si>
  <si>
    <t>thereof additional area</t>
  </si>
  <si>
    <t>I-Chart</t>
  </si>
  <si>
    <t>ID Input</t>
  </si>
  <si>
    <t>ID</t>
  </si>
  <si>
    <t>Federal Strate</t>
  </si>
  <si>
    <t>Exit Occupancy</t>
  </si>
  <si>
    <t>Exit Rent</t>
  </si>
  <si>
    <t>Exit EBITDA</t>
  </si>
  <si>
    <t>NOI Yield</t>
  </si>
  <si>
    <t>psm Value</t>
  </si>
  <si>
    <t>In Place (Rent Roll)</t>
  </si>
  <si>
    <t>Occ.</t>
  </si>
  <si>
    <t>TIs, Capex &amp; LC</t>
  </si>
  <si>
    <t>Total Development Capex</t>
  </si>
  <si>
    <t>Capex Backlog Deductions</t>
  </si>
  <si>
    <t>Rent-Free Deductions</t>
  </si>
  <si>
    <t>GDP net of Capex/TIs</t>
  </si>
  <si>
    <t>Going in NOI Yield</t>
  </si>
  <si>
    <t>Muncipality Population</t>
  </si>
  <si>
    <t>Assumed</t>
  </si>
  <si>
    <t>Lease</t>
  </si>
  <si>
    <t>FMCG</t>
  </si>
  <si>
    <t>Service Charge Prepayments (psm)</t>
  </si>
  <si>
    <t>Expansion Investments</t>
  </si>
  <si>
    <t>Total Portfolio</t>
  </si>
  <si>
    <t>BP Assumptions</t>
  </si>
  <si>
    <t>Deal Life</t>
  </si>
  <si>
    <t>Transaction Economics</t>
  </si>
  <si>
    <t># of Properties (BoY)</t>
  </si>
  <si>
    <t># of Properties (EoY)</t>
  </si>
  <si>
    <t>DD &amp; Closing Costs</t>
  </si>
  <si>
    <t>Lettablea Area (annual average)</t>
  </si>
  <si>
    <t>Reserve Account Funding</t>
  </si>
  <si>
    <t>Senior Loan (net of u/f)</t>
  </si>
  <si>
    <t>Occupancy (annual average)</t>
  </si>
  <si>
    <t>CapEx Loan Drawdown</t>
  </si>
  <si>
    <t>Rent (€ / sqm, annual average)</t>
  </si>
  <si>
    <t>Sales Proceeds (post backlog deduct)</t>
  </si>
  <si>
    <t>Sales Costs</t>
  </si>
  <si>
    <t>Tax (disposal)</t>
  </si>
  <si>
    <t>NRI Yield (on PP)</t>
  </si>
  <si>
    <t>Debt Repayment</t>
  </si>
  <si>
    <t>NRI Yield (on levered AIC*)</t>
  </si>
  <si>
    <t>Distributions</t>
  </si>
  <si>
    <t>Net Cash Flow to Equity</t>
  </si>
  <si>
    <t>Non-Recoverables (% NRI)</t>
  </si>
  <si>
    <t>Net Operating Income</t>
  </si>
  <si>
    <t>Cash Multiple</t>
  </si>
  <si>
    <t>NOI Yield (on levered AIC*)</t>
  </si>
  <si>
    <t>Average Cash Distribution</t>
  </si>
  <si>
    <t>Management Fee (% AIC**, p.a.)</t>
  </si>
  <si>
    <t>x+bricks Structure (% AIC**, p.a.)</t>
  </si>
  <si>
    <t>Structure Costs p.a.</t>
  </si>
  <si>
    <t>Agency Fee p.a.</t>
  </si>
  <si>
    <t>Mezz Cash Flow</t>
  </si>
  <si>
    <t>Funds from Operation</t>
  </si>
  <si>
    <t>Sched. Amort. (% Senior Loan)</t>
  </si>
  <si>
    <t>Principal Repayment</t>
  </si>
  <si>
    <t>CapEx / Rent Free / TIs / LCs</t>
  </si>
  <si>
    <t>Mezz AM Fee</t>
  </si>
  <si>
    <t>Free Cash Flow from Operations</t>
  </si>
  <si>
    <t>* assumes AIC is constant, not amortized</t>
  </si>
  <si>
    <t>** AIC adjusted for sold assets</t>
  </si>
  <si>
    <t>End</t>
  </si>
  <si>
    <t>Thereof Platform</t>
  </si>
  <si>
    <t>Thereof SCP</t>
  </si>
  <si>
    <t>RETT Paid At</t>
  </si>
  <si>
    <t>Yield compression</t>
  </si>
  <si>
    <t>Change in Margin</t>
  </si>
  <si>
    <t>Margin Flex</t>
  </si>
  <si>
    <t>Signing</t>
  </si>
  <si>
    <t>One-Off Effects</t>
  </si>
  <si>
    <t>Costs as negative number, incomes positive</t>
  </si>
  <si>
    <t>One-Off</t>
  </si>
  <si>
    <t>Additional Other Income</t>
  </si>
  <si>
    <t>Monthly income</t>
  </si>
  <si>
    <t>Quarterly Income</t>
  </si>
  <si>
    <t>Start Date addtl. Income</t>
  </si>
  <si>
    <t>Additional Income</t>
  </si>
  <si>
    <t>Capex Loan</t>
  </si>
  <si>
    <t>LTC applied</t>
  </si>
  <si>
    <t>Junior Loan</t>
  </si>
  <si>
    <t>Junior Amt</t>
  </si>
  <si>
    <t>Included in Junior Loan</t>
  </si>
  <si>
    <t>Junior Loan Amount</t>
  </si>
  <si>
    <t>∆ in LTPP</t>
  </si>
  <si>
    <t>Impact of Change in Pricing and Exit Multiples</t>
  </si>
  <si>
    <t>∆ in Exit Multiple</t>
  </si>
  <si>
    <t>Return after Mezz</t>
  </si>
  <si>
    <t>GDPflex,ERVflex</t>
  </si>
  <si>
    <t>PP,GDPflex</t>
  </si>
  <si>
    <t>PP, ERVflex</t>
  </si>
  <si>
    <t>PP, Multipleflex</t>
  </si>
  <si>
    <t>PP, Quarterflex</t>
  </si>
  <si>
    <t>FMCG-F</t>
  </si>
  <si>
    <t>FMCG-N</t>
  </si>
  <si>
    <t xml:space="preserve">FMCG </t>
  </si>
  <si>
    <t>(Share of total NRI)</t>
  </si>
  <si>
    <t>Project Name</t>
  </si>
  <si>
    <t>Occupancy in %</t>
  </si>
  <si>
    <t>NRI EUR</t>
  </si>
  <si>
    <t>Leakage % of NRI (incl. PM Fee)</t>
  </si>
  <si>
    <t>NOI EUR</t>
  </si>
  <si>
    <t>WALT years</t>
  </si>
  <si>
    <t>WALT FMCG years</t>
  </si>
  <si>
    <t>Anchor Tenants (% of NRI)</t>
  </si>
  <si>
    <t>Purchase Price EUR</t>
  </si>
  <si>
    <t>AIC EUR*</t>
  </si>
  <si>
    <t>NIY % =NOI / AIC</t>
  </si>
  <si>
    <t>Exit Price EUR**</t>
  </si>
  <si>
    <t>KPI as of BP start</t>
  </si>
  <si>
    <t>Acquisition + Exit</t>
  </si>
  <si>
    <t>*Levered AIC, i.e. including financing upfront fee, financing costs, and excluding cash reserve funding</t>
  </si>
  <si>
    <t>Year built /</t>
  </si>
  <si>
    <t>refurbished</t>
  </si>
  <si>
    <t>%</t>
  </si>
  <si>
    <t>Net Rental</t>
  </si>
  <si>
    <t>Income</t>
  </si>
  <si>
    <t>Anchor</t>
  </si>
  <si>
    <t>&amp; Capex</t>
  </si>
  <si>
    <t>GDP before</t>
  </si>
  <si>
    <t>Price psm</t>
  </si>
  <si>
    <t>Subtotal/WALTS</t>
  </si>
  <si>
    <t>I. Portfolio Assumptions</t>
  </si>
  <si>
    <t>Acquisition Date</t>
  </si>
  <si>
    <t>Non-Recoverable Expenses % of NRI</t>
  </si>
  <si>
    <t>Structure Costs EUR p. a.</t>
  </si>
  <si>
    <t>Leasing Assumptions</t>
  </si>
  <si>
    <t>Corporate Income Tax %</t>
  </si>
  <si>
    <t>Tax losses carried forward</t>
  </si>
  <si>
    <t>LTPP %</t>
  </si>
  <si>
    <t>Scheduled Amortization %</t>
  </si>
  <si>
    <t>Up-Front Bank Fee %</t>
  </si>
  <si>
    <t>Financing Costs EUR</t>
  </si>
  <si>
    <t>Release Premium %</t>
  </si>
  <si>
    <t>Arrangement Fee</t>
  </si>
  <si>
    <t>Individual</t>
  </si>
  <si>
    <t>CPI % - Costs p.a.</t>
  </si>
  <si>
    <t>Latest expiry incl. options</t>
  </si>
  <si>
    <t>NRI+Options</t>
  </si>
  <si>
    <t>ERV psm applied</t>
  </si>
  <si>
    <t>ALA Repayment Switch</t>
  </si>
  <si>
    <t>Cash Sweep from Collections</t>
  </si>
  <si>
    <t>ALA Repayment from Sales</t>
  </si>
  <si>
    <t>Cost Position</t>
  </si>
  <si>
    <t>External Advisor</t>
  </si>
  <si>
    <t>Budget EUR</t>
  </si>
  <si>
    <t>Discount Dead Deal</t>
  </si>
  <si>
    <t>Dead Deal Costs in EUR</t>
  </si>
  <si>
    <t>Broker</t>
  </si>
  <si>
    <t>Acquisition Fee</t>
  </si>
  <si>
    <t>Legal DD incl. SPA &amp; Loan Documentation</t>
  </si>
  <si>
    <t>Technical DD</t>
  </si>
  <si>
    <t>Structure Set Up</t>
  </si>
  <si>
    <t>Initial Valuation</t>
  </si>
  <si>
    <t>Contingency</t>
  </si>
  <si>
    <t>Mezz Arranger Fee</t>
  </si>
  <si>
    <t>Notary</t>
  </si>
  <si>
    <t>Subtotal</t>
  </si>
  <si>
    <t>Geographical Distribution of NRI</t>
  </si>
  <si>
    <t>West</t>
  </si>
  <si>
    <t>East</t>
  </si>
  <si>
    <t>Geographical Cluster</t>
  </si>
  <si>
    <t>NRI per FMCG/Non-FMCG</t>
  </si>
  <si>
    <t>Non-FMCG</t>
  </si>
  <si>
    <t>Overview</t>
  </si>
  <si>
    <t>Asset List</t>
  </si>
  <si>
    <t>Expiry Schedule</t>
  </si>
  <si>
    <t>Model Assumptions</t>
  </si>
  <si>
    <t>Closing &amp; Due Diligence Costs</t>
  </si>
  <si>
    <t>Portfolio Distribution</t>
  </si>
  <si>
    <t>Sources &amp; Uses</t>
  </si>
  <si>
    <t>Sources</t>
  </si>
  <si>
    <t>LTV (AIC)</t>
  </si>
  <si>
    <t>€</t>
  </si>
  <si>
    <t>NRI Multiple</t>
  </si>
  <si>
    <t>Uses</t>
  </si>
  <si>
    <t>Financing Fee</t>
  </si>
  <si>
    <t>Internal/External Broker</t>
  </si>
  <si>
    <t>Equity</t>
  </si>
  <si>
    <t>Typical Deal</t>
  </si>
  <si>
    <t>Performance KPIs</t>
  </si>
  <si>
    <t>CoC</t>
  </si>
  <si>
    <t>Discounter</t>
  </si>
  <si>
    <t>Indexation</t>
  </si>
  <si>
    <t>Indexation Start Date</t>
  </si>
  <si>
    <t>Indexation Start Date applied</t>
  </si>
  <si>
    <t>Indexation Hurdle</t>
  </si>
  <si>
    <t>Indexation Pass Through</t>
  </si>
  <si>
    <t>First Hurdle</t>
  </si>
  <si>
    <t>Second Hurdle</t>
  </si>
  <si>
    <t>Third Hurdle</t>
  </si>
  <si>
    <t>Fourth Hurdle</t>
  </si>
  <si>
    <t>Hurdle</t>
  </si>
  <si>
    <t>Pass Through</t>
  </si>
  <si>
    <t>One-of effects</t>
  </si>
  <si>
    <t>One-off Effects</t>
  </si>
  <si>
    <t>Input Sheet</t>
  </si>
  <si>
    <t>Conformity Analysis</t>
  </si>
  <si>
    <t>MM</t>
  </si>
  <si>
    <t>Amortization</t>
  </si>
  <si>
    <t>Delta</t>
  </si>
  <si>
    <t>Comments</t>
  </si>
  <si>
    <t>Value Creation</t>
  </si>
  <si>
    <t>Tenant Improvements</t>
  </si>
  <si>
    <t>Multiple (on AIC)</t>
  </si>
  <si>
    <t>Check:</t>
  </si>
  <si>
    <t>Renewal/Releasing</t>
  </si>
  <si>
    <t>Broker Fee</t>
  </si>
  <si>
    <t>Legal DD incl. SPA</t>
  </si>
  <si>
    <t>Structure Set up</t>
  </si>
  <si>
    <t>Advisor</t>
  </si>
  <si>
    <t>Internal</t>
  </si>
  <si>
    <t>Closing</t>
  </si>
  <si>
    <t>FIX PCF GDPs for Timing Sensis!!!</t>
  </si>
  <si>
    <t>Earliest possible Exit Quarter</t>
  </si>
  <si>
    <t>Tax DD</t>
  </si>
  <si>
    <t>years</t>
  </si>
  <si>
    <t>Top Lease Expiries within</t>
  </si>
  <si>
    <t>Rank</t>
  </si>
  <si>
    <t>Lease Expiries</t>
  </si>
  <si>
    <t>Expiry</t>
  </si>
  <si>
    <t>Top Tenants</t>
  </si>
  <si>
    <t>Total NRI</t>
  </si>
  <si>
    <t>€/sqm/month</t>
  </si>
  <si>
    <t>Erasing duplicates</t>
  </si>
  <si>
    <t>LTC Flex</t>
  </si>
  <si>
    <t>Impact of Change in LTC and Interest Margin</t>
  </si>
  <si>
    <t>Margin Change</t>
  </si>
  <si>
    <t>Checks</t>
  </si>
  <si>
    <t>Net CF</t>
  </si>
  <si>
    <t>Mezz CF</t>
  </si>
  <si>
    <t>ICF</t>
  </si>
  <si>
    <t>CAPEX Loan (Margin % + 3ME) + Fees</t>
  </si>
  <si>
    <t>Sr. Interest (Margin % + 3ME) + Fees</t>
  </si>
  <si>
    <t>TI psm</t>
  </si>
  <si>
    <t>Tis psm</t>
  </si>
  <si>
    <t>PP Price psm</t>
  </si>
  <si>
    <t>AIC Price psm</t>
  </si>
  <si>
    <t>Lease-up Rental Income</t>
  </si>
  <si>
    <t>Asset Cash Flow:</t>
  </si>
  <si>
    <t>Deal Cash Flow</t>
  </si>
  <si>
    <t>Days in Period (30/360)</t>
  </si>
  <si>
    <t>Days in Period (Act/Act)</t>
  </si>
  <si>
    <t>Pre-Tax Levered (Senior) Performance</t>
  </si>
  <si>
    <t xml:space="preserve">Pre-Tax Unlevered Performance </t>
  </si>
  <si>
    <t>Market Multiple</t>
  </si>
  <si>
    <t>Agency Fees</t>
  </si>
  <si>
    <t>Assets</t>
  </si>
  <si>
    <t>Units</t>
  </si>
  <si>
    <t>Area %</t>
  </si>
  <si>
    <t>NRI p.a.</t>
  </si>
  <si>
    <t>Vacant %</t>
  </si>
  <si>
    <t>State ranking</t>
  </si>
  <si>
    <t>NRI psm
per p.m.</t>
  </si>
  <si>
    <t>NRI %</t>
  </si>
  <si>
    <t>No. of Units</t>
  </si>
  <si>
    <t>Complete Portfolio</t>
  </si>
  <si>
    <t>Portfolio
 NRI %</t>
  </si>
  <si>
    <t>Total Top 10</t>
  </si>
  <si>
    <t>Total NRI at entry</t>
  </si>
  <si>
    <t>Total #
of units</t>
  </si>
  <si>
    <t>Thereof #
 expiring</t>
  </si>
  <si>
    <t>Expiring within 5 years</t>
  </si>
  <si>
    <t>Not Expiring</t>
  </si>
  <si>
    <t>Comparison of Valuations</t>
  </si>
  <si>
    <t>Going in NRI Multiple</t>
  </si>
  <si>
    <t>Appraiser Valuation</t>
  </si>
  <si>
    <t>Accounts Check</t>
  </si>
  <si>
    <t>Incoming</t>
  </si>
  <si>
    <t>Outgoing</t>
  </si>
  <si>
    <t>Opex</t>
  </si>
  <si>
    <t>Recurring Expenses</t>
  </si>
  <si>
    <t>Reserve Funding</t>
  </si>
  <si>
    <t>Interest</t>
  </si>
  <si>
    <t>Mezz repayments</t>
  </si>
  <si>
    <t>Mezz interest</t>
  </si>
  <si>
    <t>Mezz Fees</t>
  </si>
  <si>
    <t>Equity Leakage</t>
  </si>
  <si>
    <t>Financing Cost</t>
  </si>
  <si>
    <t>Construction Qs</t>
  </si>
  <si>
    <t>Accounts</t>
  </si>
  <si>
    <t>thereof paid from/into Reserve Account</t>
  </si>
  <si>
    <t>Capex Backlog deduction</t>
  </si>
  <si>
    <t>Facility Agent Fee (€ p.a.)</t>
  </si>
  <si>
    <t>Security Agent Fee (€ p.a.)</t>
  </si>
  <si>
    <t>NRI p.m./sqmOverride</t>
  </si>
  <si>
    <t>SC Tenant-level Assumption p.m./sqm</t>
  </si>
  <si>
    <t>TIs (entered w/o soft costs) per sqm</t>
  </si>
  <si>
    <t>Renewal Tenant Incentives (TIs) per sqm</t>
  </si>
  <si>
    <t>Releasing Tenant Incentives (TIs) per sqm</t>
  </si>
  <si>
    <t>Lease-Up - Tenant Incentives (TIs) per sqm</t>
  </si>
  <si>
    <t>WALT (as per RR)</t>
  </si>
  <si>
    <t>WALB (as per RR)</t>
  </si>
  <si>
    <t>Other Categories</t>
  </si>
  <si>
    <t>Sources &amp; Uses Check</t>
  </si>
  <si>
    <t>Mezz</t>
  </si>
  <si>
    <t>Reserve Account Tolerance</t>
  </si>
  <si>
    <t>Flags</t>
  </si>
  <si>
    <t>Holding flag</t>
  </si>
  <si>
    <t>Cumulative Retained Cashflow</t>
  </si>
  <si>
    <t>decimals</t>
  </si>
  <si>
    <t>Tolerances</t>
  </si>
  <si>
    <t>Total Debt CF and Senior Financing Costs</t>
  </si>
  <si>
    <t>Post-Tax Cash Flow after Loan Level Reserve</t>
  </si>
  <si>
    <t>Post-Tax Equity Cash Flow after Mezz</t>
  </si>
  <si>
    <t>ERV p.m. psm</t>
  </si>
  <si>
    <t>Rent p.m. psm</t>
  </si>
  <si>
    <t>Cash Flow after Senior &amp; CapEx Debt CF</t>
  </si>
  <si>
    <t>Cash Flow after Senior Debt CF</t>
  </si>
  <si>
    <t>Cumulative Expansion Investment Spent</t>
  </si>
  <si>
    <t>Cumulative CapEx Spent</t>
  </si>
  <si>
    <t>Operating Expenses &amp; Service Charge Prepayments</t>
  </si>
  <si>
    <t>x+bricks Platform Costs + SCP AM Fee (% AIC p.a.)</t>
  </si>
  <si>
    <t>General Advice</t>
  </si>
  <si>
    <t>Unless other stated otherwise in the model, all inputs should be made as positive numbers.</t>
  </si>
  <si>
    <t>--&gt; Always needs to be a first day of a month.</t>
  </si>
  <si>
    <t>Non-recs in % NRI and other income</t>
  </si>
  <si>
    <t>Rent Inflation</t>
  </si>
  <si>
    <t>Cluster</t>
  </si>
  <si>
    <t>Strategy</t>
  </si>
  <si>
    <t>Property Management Fee % of NRI</t>
  </si>
  <si>
    <t>Rent inflation expectation</t>
  </si>
  <si>
    <t>LTPPflex, Marginflex</t>
  </si>
  <si>
    <t>Last Property Sale Flag</t>
  </si>
  <si>
    <t>Porfolio WALT</t>
  </si>
  <si>
    <t>Value Creation Overview</t>
  </si>
  <si>
    <t>Value Creation by</t>
  </si>
  <si>
    <t>Rent indexation</t>
  </si>
  <si>
    <t>Lettable Area sqm</t>
  </si>
  <si>
    <t>Expansion Tis</t>
  </si>
  <si>
    <t>Deal Life NOI</t>
  </si>
  <si>
    <t>x+bricks Exit fee</t>
  </si>
  <si>
    <t>Lease - up of vacant areas</t>
  </si>
  <si>
    <t>Deposit Amount</t>
  </si>
  <si>
    <t>Rent-Free months</t>
  </si>
  <si>
    <t>Length (Years)</t>
  </si>
  <si>
    <t xml:space="preserve"> months</t>
  </si>
  <si>
    <t>Rent-free</t>
  </si>
  <si>
    <t>Downtime months</t>
  </si>
  <si>
    <t>NDP / sqm</t>
  </si>
  <si>
    <t>Total Senior Debt CF and Senior Financing Costs/Fees</t>
  </si>
  <si>
    <t>Total CapEx Debt CF and Senior Financing Costs/Fees</t>
  </si>
  <si>
    <t>Mezz Fees and costs</t>
  </si>
  <si>
    <t>Purchase Price (incl. RETT)</t>
  </si>
  <si>
    <t>Mezzanine Loan (net of u/f)</t>
  </si>
  <si>
    <t>Loan amount</t>
  </si>
  <si>
    <t>LTC %</t>
  </si>
  <si>
    <t>LTV %</t>
  </si>
  <si>
    <t>Unit ID</t>
  </si>
  <si>
    <t>Exit multiple</t>
  </si>
  <si>
    <t>Annual Lease-up
 income at exit</t>
  </si>
  <si>
    <t>Annual Area Expansion income at exit</t>
  </si>
  <si>
    <t>Annual in-place income at acquisition</t>
  </si>
  <si>
    <t>Annual income at Exit without expansion and lease-up</t>
  </si>
  <si>
    <t>Difference Entry - Exit</t>
  </si>
  <si>
    <t>Disposal costs/deductions</t>
  </si>
  <si>
    <t>Deal Level</t>
  </si>
  <si>
    <t>--&gt; Assumes Actual/360 Day count convention</t>
  </si>
  <si>
    <t>AIC Over</t>
  </si>
  <si>
    <t>Lifetime Multiple</t>
  </si>
  <si>
    <t>In-Place Multiple</t>
  </si>
  <si>
    <t>at Exit</t>
  </si>
  <si>
    <t>Exit Multiple Comparison</t>
  </si>
  <si>
    <t>Multiple/WALT improvement</t>
  </si>
  <si>
    <t>Share</t>
  </si>
  <si>
    <t>Exit EBITDA (Inflation adj.)</t>
  </si>
  <si>
    <t>NRI Multiplier</t>
  </si>
  <si>
    <t>Exit EBITDA Cap Rate</t>
  </si>
  <si>
    <t>NOI Multiplier</t>
  </si>
  <si>
    <t>EBITDA Multiplier</t>
  </si>
  <si>
    <t>TIs/CApEx</t>
  </si>
  <si>
    <t>FMCG Share</t>
  </si>
  <si>
    <t>East Share</t>
  </si>
  <si>
    <t>n/a</t>
  </si>
  <si>
    <t>Rent inflation</t>
  </si>
  <si>
    <t>Transaction Costs</t>
  </si>
  <si>
    <t>CapEx/AIC</t>
  </si>
  <si>
    <t>Total debt service</t>
  </si>
  <si>
    <t>Entry NOI Yield</t>
  </si>
  <si>
    <t>GAV Growth</t>
  </si>
  <si>
    <t>Lettablea Area (average)</t>
  </si>
  <si>
    <t>Future Portfolio</t>
  </si>
  <si>
    <t>Hypermarket</t>
  </si>
  <si>
    <t>DIY</t>
  </si>
  <si>
    <t>Gastronomy</t>
  </si>
  <si>
    <t>Bank</t>
  </si>
  <si>
    <t>FMCG Quota</t>
  </si>
  <si>
    <t>Co-investment Calculator</t>
  </si>
  <si>
    <t>--&gt; Turn off the assets that are acquired by a co-investor in the AA Sheet</t>
  </si>
  <si>
    <t>All-in Costs excluding capital reserve</t>
  </si>
  <si>
    <t>Going in Rent Multiple</t>
  </si>
  <si>
    <t>Cash-on-cash-yield</t>
  </si>
  <si>
    <t>Team Member assigned</t>
  </si>
  <si>
    <t>Team Member Responsible</t>
  </si>
  <si>
    <t>AVC1</t>
  </si>
  <si>
    <t>AVC2</t>
  </si>
  <si>
    <t>up to</t>
  </si>
  <si>
    <t>area</t>
  </si>
  <si>
    <t>cost</t>
  </si>
  <si>
    <t>count</t>
  </si>
  <si>
    <t>Total costs</t>
  </si>
  <si>
    <t>Investment Multiple Calculation</t>
  </si>
  <si>
    <t>Investment Case</t>
  </si>
  <si>
    <t>Non-Investment Case</t>
  </si>
  <si>
    <t>Deal life EBITDA</t>
  </si>
  <si>
    <t>Non-recurring (excl. Tis/CapEx)</t>
  </si>
  <si>
    <t>Stabilized rent p.a.</t>
  </si>
  <si>
    <t>Total CF</t>
  </si>
  <si>
    <t>CF Delta</t>
  </si>
  <si>
    <t>Investment Multiple</t>
  </si>
  <si>
    <t>Multiple on Investment</t>
  </si>
  <si>
    <t>IPO Case</t>
  </si>
  <si>
    <t>3y Case</t>
  </si>
  <si>
    <t>II. Financing Assumptions</t>
  </si>
  <si>
    <t>III. Capex Facility</t>
  </si>
  <si>
    <t>Max. loan amount</t>
  </si>
  <si>
    <t>R&amp;M and other non-recs (€/sqm p.a.)</t>
  </si>
  <si>
    <t>Rent Roll-Level Usage Types</t>
  </si>
  <si>
    <t>AM Fees</t>
  </si>
  <si>
    <t>GAV</t>
  </si>
  <si>
    <t>Debt</t>
  </si>
  <si>
    <t>NAV</t>
  </si>
  <si>
    <t>Sched Am</t>
  </si>
  <si>
    <t>CIT</t>
  </si>
  <si>
    <t>FFO</t>
  </si>
  <si>
    <t>FFO Yield</t>
  </si>
  <si>
    <t>FFO Calculation</t>
  </si>
  <si>
    <t>Side Calculation</t>
  </si>
  <si>
    <t>BP Costs</t>
  </si>
  <si>
    <t>In-place rent</t>
  </si>
  <si>
    <t>Exit rent</t>
  </si>
  <si>
    <t>unlevered profit</t>
  </si>
  <si>
    <t>thereof Net CF</t>
  </si>
  <si>
    <t>thereof value increase</t>
  </si>
  <si>
    <t>Portfolio Threshold</t>
  </si>
  <si>
    <t>Underwriting Differences Input Sheet</t>
  </si>
  <si>
    <t>Exit Q</t>
  </si>
  <si>
    <t>Total Capex, Tis &amp; RF</t>
  </si>
  <si>
    <t>Profit before taxes</t>
  </si>
  <si>
    <t>Deviation</t>
  </si>
  <si>
    <t>Total Debt Service</t>
  </si>
  <si>
    <t>Total Senior all-in Margin</t>
  </si>
  <si>
    <t>Total Senior Amortisation</t>
  </si>
  <si>
    <t>Total bank arrangement fee</t>
  </si>
  <si>
    <t>Total GAV Growth</t>
  </si>
  <si>
    <t>Total Exit NOI Yield</t>
  </si>
  <si>
    <t>Total FFO2 Yield at Exit on invested Equity</t>
  </si>
  <si>
    <t>I Asset Criteria</t>
  </si>
  <si>
    <t>II Financing Criteria</t>
  </si>
  <si>
    <t>Senior LTPP</t>
  </si>
  <si>
    <t>III Valuation &amp; Distribution Criteria</t>
  </si>
  <si>
    <t>Exit Area</t>
  </si>
  <si>
    <t>Area
Share</t>
  </si>
  <si>
    <t>ERV 
(excl. vacant area)</t>
  </si>
  <si>
    <t>Total Area occupied</t>
  </si>
  <si>
    <t>Portfolio
Area %</t>
  </si>
  <si>
    <t>Current UW</t>
  </si>
  <si>
    <t>IC X Underwriting</t>
  </si>
  <si>
    <t>Key Characteristics Delta</t>
  </si>
  <si>
    <t>Stabilized CoC</t>
  </si>
  <si>
    <t>* WALT (excluding leases with unlimited term) as of 01-Okt-20.</t>
  </si>
  <si>
    <t>Entry Metrics Delta</t>
  </si>
  <si>
    <t>Exit Metrics Delta</t>
  </si>
  <si>
    <t>Unlevered Performance Overview Delta</t>
  </si>
  <si>
    <t>Capital Uses  Delta</t>
  </si>
  <si>
    <t>Capital Sources  Delta</t>
  </si>
  <si>
    <t>Levered Performance Overview Delta</t>
  </si>
  <si>
    <t>Key Characteristics Current UW</t>
  </si>
  <si>
    <t>Key Characteristics IC x</t>
  </si>
  <si>
    <t>Entry Metrics Current UW</t>
  </si>
  <si>
    <t>Entry Metrics IC x</t>
  </si>
  <si>
    <t>Exit Metrics Current UW</t>
  </si>
  <si>
    <t>Exit Metrics IC x</t>
  </si>
  <si>
    <t>Unlevered Performance Overview Unlevered UW</t>
  </si>
  <si>
    <t>Unlevered Performance Overview IC x</t>
  </si>
  <si>
    <t>Levered  Performance Overview Current UW</t>
  </si>
  <si>
    <t>Capital Uses IC x</t>
  </si>
  <si>
    <t>Capital Sources IC x</t>
  </si>
  <si>
    <t>Capital Uses Current UW</t>
  </si>
  <si>
    <t>Capital Sources Current UW</t>
  </si>
  <si>
    <t>Levered  Performance Overview IC x</t>
  </si>
  <si>
    <t>A</t>
  </si>
  <si>
    <t>V</t>
  </si>
  <si>
    <t>O</t>
  </si>
  <si>
    <t>€ p.a.</t>
  </si>
  <si>
    <t>€ p.m.</t>
  </si>
  <si>
    <t>Language</t>
  </si>
  <si>
    <t>DE</t>
  </si>
  <si>
    <t>EN</t>
  </si>
  <si>
    <t>Pricing</t>
  </si>
  <si>
    <t>./. Non recoverable expenses</t>
  </si>
  <si>
    <t>NOI p.a.</t>
  </si>
  <si>
    <t>./. Platform &amp; Structure Costs</t>
  </si>
  <si>
    <t>EBITDA p.a.</t>
  </si>
  <si>
    <t>./. Senior Interest</t>
  </si>
  <si>
    <t>./. Senior Facility Agent Fee</t>
  </si>
  <si>
    <t>./. Senior Securtiy Agent Fee</t>
  </si>
  <si>
    <t>./. Senior Commitment Fee</t>
  </si>
  <si>
    <t>./. CapEx Loan Interest</t>
  </si>
  <si>
    <t>./. CapEx Loan Commitment Fee</t>
  </si>
  <si>
    <t>./. Mezz Cash Interest</t>
  </si>
  <si>
    <t>./. Mezz PIK Interst Paid</t>
  </si>
  <si>
    <t>./. Mezz AM Fee</t>
  </si>
  <si>
    <t>./. Mezz Commitment Fee</t>
  </si>
  <si>
    <t>./. Financing Expenses Paid</t>
  </si>
  <si>
    <t>./. Taxes</t>
  </si>
  <si>
    <t>Funds from Operations (FFO)</t>
  </si>
  <si>
    <t>AIC (Unlevered)</t>
  </si>
  <si>
    <t>AIC (Levered)</t>
  </si>
  <si>
    <t>Debt Drawdown</t>
  </si>
  <si>
    <t>Deal Year End</t>
  </si>
  <si>
    <t>Deal Year Count</t>
  </si>
  <si>
    <t>pre-funding</t>
  </si>
  <si>
    <t>Anualizing</t>
  </si>
  <si>
    <t>&lt;--</t>
  </si>
  <si>
    <t>Switches</t>
  </si>
  <si>
    <t>backup</t>
  </si>
  <si>
    <t>VATable</t>
  </si>
  <si>
    <t>FFO Yield (Levered)</t>
  </si>
  <si>
    <t xml:space="preserve">Equity Invested </t>
  </si>
  <si>
    <t>Equity Cashflow</t>
  </si>
  <si>
    <t>WAULT 
Entry</t>
  </si>
  <si>
    <t>WAULT 
Exit</t>
  </si>
  <si>
    <t>Entry 
Rent</t>
  </si>
  <si>
    <t>Exit
Rent</t>
  </si>
  <si>
    <t>Existing x+b PF</t>
  </si>
  <si>
    <t>CapEx spent</t>
  </si>
  <si>
    <t>Total Invest</t>
  </si>
  <si>
    <t>Retail Warehose</t>
  </si>
  <si>
    <t>Center mit Mall</t>
  </si>
  <si>
    <t xml:space="preserve">Einfaches FMZ </t>
  </si>
  <si>
    <t>Netto</t>
  </si>
  <si>
    <t>Retail Warehouse</t>
  </si>
  <si>
    <t>Shopping Center</t>
  </si>
  <si>
    <t>Hypermarkt</t>
  </si>
  <si>
    <t xml:space="preserve">included in R&amp;M </t>
  </si>
  <si>
    <t>Strategy by NRI</t>
  </si>
  <si>
    <t>TEST</t>
  </si>
  <si>
    <t>15.7% / 1.49x</t>
  </si>
  <si>
    <t>26.6% / 14.2% / 1.89x</t>
  </si>
  <si>
    <t>1.9% / 1.05x</t>
  </si>
  <si>
    <t>0.5% / 10.2% / 1.01x</t>
  </si>
  <si>
    <t>0.0% / 0.81x</t>
  </si>
  <si>
    <t>0.0% / 7.8% / 0.49x</t>
  </si>
  <si>
    <t>0.0% / 0.66x</t>
  </si>
  <si>
    <t>0.0% / 6.1% / 0.13x</t>
  </si>
  <si>
    <t>0.0% / 0.56x</t>
  </si>
  <si>
    <t>0.0% / 4.8% / 0.05x</t>
  </si>
  <si>
    <t>0.0% / 0.48x</t>
  </si>
  <si>
    <t>0.0% / 3.7% / 0.02x</t>
  </si>
  <si>
    <t>0.0% / 0.42x</t>
  </si>
  <si>
    <t>0.0% / 2.9% / 0.00x</t>
  </si>
  <si>
    <t>17.7% / 1.57x</t>
  </si>
  <si>
    <t>30.0% / 14.2% / 2.03x</t>
  </si>
  <si>
    <t>3.7% / 1.11x</t>
  </si>
  <si>
    <t>4.4% / 10.2% / 1.12x</t>
  </si>
  <si>
    <t>0.0% / 0.85x</t>
  </si>
  <si>
    <t>0.0% / 7.8% / 0.58x</t>
  </si>
  <si>
    <t>0.0% / 0.70x</t>
  </si>
  <si>
    <t>0.0% / 6.1% / 0.21x</t>
  </si>
  <si>
    <t>0.0% / 0.59x</t>
  </si>
  <si>
    <t>0.0% / 4.8% / 0.06x</t>
  </si>
  <si>
    <t>0.0% / 0.50x</t>
  </si>
  <si>
    <t>0.0% / 0.44x</t>
  </si>
  <si>
    <t>19.6% / 1.64x</t>
  </si>
  <si>
    <t>33.2% / 14.2% / 2.18x</t>
  </si>
  <si>
    <t>5.4% / 1.16x</t>
  </si>
  <si>
    <t>8.0% / 10.2% / 1.24x</t>
  </si>
  <si>
    <t>0.0% / 0.89x</t>
  </si>
  <si>
    <t>0.0% / 7.8% / 0.67x</t>
  </si>
  <si>
    <t>0.0% / 0.73x</t>
  </si>
  <si>
    <t>0.0% / 6.1% / 0.28x</t>
  </si>
  <si>
    <t>0.0% / 0.61x</t>
  </si>
  <si>
    <t>0.0% / 0.53x</t>
  </si>
  <si>
    <t>0.0% / 0.46x</t>
  </si>
  <si>
    <t>21.4% / 1.72x</t>
  </si>
  <si>
    <t>36.2% / 14.2% / 2.33x</t>
  </si>
  <si>
    <t>7.0% / 1.21x</t>
  </si>
  <si>
    <t>11.4% / 10.2% / 1.35x</t>
  </si>
  <si>
    <t>0.0% / 0.93x</t>
  </si>
  <si>
    <t>0.0% / 7.8% / 0.75x</t>
  </si>
  <si>
    <t>0.0% / 0.76x</t>
  </si>
  <si>
    <t>0.0% / 6.1% / 0.36x</t>
  </si>
  <si>
    <t>0.0% / 0.64x</t>
  </si>
  <si>
    <t>0.0% / 4.8% / 0.07x</t>
  </si>
  <si>
    <t>0.0% / 0.55x</t>
  </si>
  <si>
    <t>0.0% / 3.7% / 0.03x</t>
  </si>
  <si>
    <t>23.2% / 1.79x</t>
  </si>
  <si>
    <t>39.2% / 14.2% / 2.47x</t>
  </si>
  <si>
    <t>8.6% / 1.26x</t>
  </si>
  <si>
    <t>14.6% / 10.2% / 1.46x</t>
  </si>
  <si>
    <t>-0.9% / 0.97x</t>
  </si>
  <si>
    <t>0.0% / 7.8% / 0.84x</t>
  </si>
  <si>
    <t>0.0% / 0.79x</t>
  </si>
  <si>
    <t>0.0% / 6.1% / 0.43x</t>
  </si>
  <si>
    <t>0.0% / 0.67x</t>
  </si>
  <si>
    <t>0.0% / 4.8% / 0.13x</t>
  </si>
  <si>
    <t>0.0% / 0.58x</t>
  </si>
  <si>
    <t>0.0% / 0.51x</t>
  </si>
  <si>
    <t>25.0% / 1.86x</t>
  </si>
  <si>
    <t>41.9% / 14.2% / 2.62x</t>
  </si>
  <si>
    <t>10.2% / 1.31x</t>
  </si>
  <si>
    <t>17.6% / 10.2% / 1.57x</t>
  </si>
  <si>
    <t>0.5% / 1.01x</t>
  </si>
  <si>
    <t>-2.5% / 7.8% / 0.93x</t>
  </si>
  <si>
    <t>0.0% / 0.83x</t>
  </si>
  <si>
    <t>0.0% / 6.1% / 0.50x</t>
  </si>
  <si>
    <t>0.0% / 0.69x</t>
  </si>
  <si>
    <t>0.0% / 4.8% / 0.19x</t>
  </si>
  <si>
    <t>0.0% / 0.60x</t>
  </si>
  <si>
    <t>26.7% / 1.94x</t>
  </si>
  <si>
    <t>44.6% / 14.2% / 2.77x</t>
  </si>
  <si>
    <t>11.7% / 1.36x</t>
  </si>
  <si>
    <t>20.4% / 10.2% / 1.68x</t>
  </si>
  <si>
    <t>0.7% / 7.8% / 1.02x</t>
  </si>
  <si>
    <t>0.0% / 0.86x</t>
  </si>
  <si>
    <t>0.0% / 6.1% / 0.58x</t>
  </si>
  <si>
    <t>0.0% / 0.72x</t>
  </si>
  <si>
    <t>0.0% / 4.8% / 0.26x</t>
  </si>
  <si>
    <t>0.0% / 0.62x</t>
  </si>
  <si>
    <t xml:space="preserve">Entry NRI Rank </t>
  </si>
  <si>
    <t>Entry NRI Rank (help)</t>
  </si>
  <si>
    <t>Entry Timing (Quarters)</t>
  </si>
  <si>
    <t>Entry Quarter Applied</t>
  </si>
  <si>
    <t xml:space="preserve">Entry Quarter </t>
  </si>
  <si>
    <t>PP Payment Quarter</t>
  </si>
  <si>
    <t>Thereof Deposit</t>
  </si>
  <si>
    <t>Remaining PP</t>
  </si>
  <si>
    <t>Total Initial Investment plus Reserve Funding</t>
  </si>
  <si>
    <t>Purchase Price / AIC Funding Waterfall</t>
  </si>
  <si>
    <t>AIC (unlevered)</t>
  </si>
  <si>
    <t>Total Equity and Equity Drawdowns</t>
  </si>
  <si>
    <t>Total Mezzanine Debt and Drawdowns</t>
  </si>
  <si>
    <t>Total Senior Debt and Drawdowns</t>
  </si>
  <si>
    <t>Equity investment incl. Financing Costs</t>
  </si>
  <si>
    <t>=SUM($S$181:$BG$181)*-INDEX(GA!$Q$525:$Q$564;MATCH(AG$5;GA!$E$525:$E$564;0))/4*(AG180&gt;0)</t>
  </si>
  <si>
    <t>=SUM($S$181:$BG$181)*-INDEX(GA!$Q$525:$Q$564;MATCH(AH$5;GA!$E$525:$E$564;0))/4*(AH180&gt;0)</t>
  </si>
  <si>
    <t>=SUM($S$181:$BG$181)*-INDEX(GA!$Q$525:$Q$564;MATCH(AI$5;GA!$E$525:$E$564;0))/4*(AI180&gt;0)</t>
  </si>
  <si>
    <t>=SUM($S$181:$BG$181)*-INDEX(GA!$Q$525:$Q$564;MATCH(AJ$5;GA!$E$525:$E$564;0))/4*(AJ180&gt;0)</t>
  </si>
  <si>
    <t>=SUM($S$181:$BG$181)*-INDEX(GA!$Q$525:$Q$564;MATCH(AK$5;GA!$E$525:$E$564;0))/4*(AK180&gt;0)</t>
  </si>
  <si>
    <t>=SUM($S$181:$BG$181)*-INDEX(GA!$Q$525:$Q$564;MATCH(AL$5;GA!$E$525:$E$564;0))/4*(AL180&gt;0)</t>
  </si>
  <si>
    <t>=SUM($S$181:$BG$181)*-INDEX(GA!$Q$525:$Q$564;MATCH(AM$5;GA!$E$525:$E$564;0))/4*(AM180&gt;0)</t>
  </si>
  <si>
    <t>=SUM($S$181:$BG$181)*-INDEX(GA!$Q$525:$Q$564;MATCH(AN$5;GA!$E$525:$E$564;0))/4*(AN180&gt;0)</t>
  </si>
  <si>
    <t>=SUM($S$181:$BG$181)*-INDEX(GA!$Q$525:$Q$564;MATCH(AO$5;GA!$E$525:$E$564;0))/4*(AO180&gt;0)</t>
  </si>
  <si>
    <t>=SUM($S$181:$BG$181)*-INDEX(GA!$Q$525:$Q$564;MATCH(AP$5;GA!$E$525:$E$564;0))/4*(AP180&gt;0)</t>
  </si>
  <si>
    <t>=SUM($S$181:$BG$181)*-INDEX(GA!$Q$525:$Q$564;MATCH(AQ$5;GA!$E$525:$E$564;0))/4*(AQ180&gt;0)</t>
  </si>
  <si>
    <t>=SUM($S$181:$BG$181)*-INDEX(GA!$Q$525:$Q$564;MATCH(AR$5;GA!$E$525:$E$564;0))/4*(AR180&gt;0)</t>
  </si>
  <si>
    <t>=SUM($S$181:$BG$181)*-INDEX(GA!$Q$525:$Q$564;MATCH(AS$5;GA!$E$525:$E$564;0))/4*(AS180&gt;0)</t>
  </si>
  <si>
    <t>=SUM($S$181:$BG$181)*-INDEX(GA!$Q$525:$Q$564;MATCH(AT$5;GA!$E$525:$E$564;0))/4*(AT180&gt;0)</t>
  </si>
  <si>
    <t>=SUM($S$181:$BG$181)*-INDEX(GA!$Q$525:$Q$564;MATCH(AU$5;GA!$E$525:$E$564;0))/4*(AU180&gt;0)</t>
  </si>
  <si>
    <t>=SUM($S$181:$BG$181)*-INDEX(GA!$Q$525:$Q$564;MATCH(AV$5;GA!$E$525:$E$564;0))/4*(AV180&gt;0)</t>
  </si>
  <si>
    <t>=SUM($S$181:$BG$181)*-INDEX(GA!$Q$525:$Q$564;MATCH(AW$5;GA!$E$525:$E$564;0))/4*(AW180&gt;0)</t>
  </si>
  <si>
    <t>=SUM($S$181:$BG$181)*-INDEX(GA!$Q$525:$Q$564;MATCH(AX$5;GA!$E$525:$E$564;0))/4*(AX180&gt;0)</t>
  </si>
  <si>
    <t>=SUM($S$181:$BG$181)*-INDEX(GA!$Q$525:$Q$564;MATCH(AY$5;GA!$E$525:$E$564;0))/4*(AY180&gt;0)</t>
  </si>
  <si>
    <t>=SUM($S$181:$BG$181)*-INDEX(GA!$Q$525:$Q$564;MATCH(AZ$5;GA!$E$525:$E$564;0))/4*(AZ180&gt;0)</t>
  </si>
  <si>
    <t>=SUM($S$181:$BG$181)*-INDEX(GA!$Q$525:$Q$564;MATCH(BA$5;GA!$E$525:$E$564;0))/4*(BA180&gt;0)</t>
  </si>
  <si>
    <t>=SUM($S$181:$BG$181)*-INDEX(GA!$Q$525:$Q$564;MATCH(BB$5;GA!$E$525:$E$564;0))/4*(BB180&gt;0)</t>
  </si>
  <si>
    <t>=SUM($S$181:$BG$181)*-INDEX(GA!$Q$525:$Q$564;MATCH(BC$5;GA!$E$525:$E$564;0))/4*(BC180&gt;0)</t>
  </si>
  <si>
    <t>=SUM($S$181:$BG$181)*-INDEX(GA!$Q$525:$Q$564;MATCH(BD$5;GA!$E$525:$E$564;0))/4*(BD180&gt;0)</t>
  </si>
  <si>
    <t>=SUM($S$181:$BG$181)*-INDEX(GA!$Q$525:$Q$564;MATCH(BE$5;GA!$E$525:$E$564;0))/4*(BE180&gt;0)</t>
  </si>
  <si>
    <t>=SUM($S$181:$BG$181)*-INDEX(GA!$Q$525:$Q$564;MATCH(BF$5;GA!$E$525:$E$564;0))/4*(BF180&gt;0)</t>
  </si>
  <si>
    <t>=SUM($S$181:$BG$181)*-INDEX(GA!$Q$525:$Q$564;MATCH(BG$5;GA!$E$525:$E$564;0))/4*(BG180&gt;0)</t>
  </si>
  <si>
    <t>Entry Quarter</t>
  </si>
  <si>
    <t>Acquisition of Properties</t>
  </si>
  <si>
    <t>Acquisition Flag Flag</t>
  </si>
  <si>
    <t>Acquisition Flag</t>
  </si>
  <si>
    <t>Amortized Equity (Annual Average)</t>
  </si>
  <si>
    <t>FFO Yield (Static)</t>
  </si>
  <si>
    <t>FFO Yield (Amortized Equity)</t>
  </si>
  <si>
    <t xml:space="preserve">Total Portfolio </t>
  </si>
  <si>
    <t>Existing x+b PF+Barca</t>
  </si>
  <si>
    <t>Structure &amp; Platform</t>
  </si>
  <si>
    <t xml:space="preserve">Änderungen an Sensi Tabellen nicht möglich. </t>
  </si>
  <si>
    <t xml:space="preserve">Entry </t>
  </si>
  <si>
    <t>Committment Fee Holiday (Quarter)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</si>
</sst>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7">
    <numFmt numFmtId="164" formatCode="_(* #,##0.00_);_(* \(#,##0.00\);_(* &quot;-&quot;??_);_(@_)"/>
    <numFmt numFmtId="165" formatCode="[$-409]d\-mmm\-yy;@"/>
    <numFmt numFmtId="166" formatCode="[$]d\ mmm\ yyyy;@" x16r2:formatCode16="[$-en-DE,1]d\ mmm\ yyyy;@"/>
    <numFmt numFmtId="167" formatCode="#,##0_);[Red]\(#,##0\);\-_)"/>
    <numFmt numFmtId="168" formatCode="#,##0.0%_);[Red]\(#,##0.0%\);\-_)"/>
    <numFmt numFmtId="169" formatCode="0.00\x"/>
    <numFmt numFmtId="170" formatCode="#,##0_);[Red]\(#,##0\);\-_);@_)"/>
    <numFmt numFmtId="171" formatCode="0.0%"/>
    <numFmt numFmtId="172" formatCode="#,##0.0"/>
    <numFmt numFmtId="173" formatCode="#,##0.00_);\(#,##0.00\);\-_);@_)"/>
    <numFmt numFmtId="174" formatCode="#,##0_);\(#,##0\);\-_);@_)"/>
    <numFmt numFmtId="175" formatCode="#,##0%_);[Red]\(#,##0%\);\-_)"/>
    <numFmt numFmtId="176" formatCode="dd\-mmm\-yy;;\-_);@_)"/>
    <numFmt numFmtId="177" formatCode="#,##0.00_);[Red]\(#,##0.00\);\-_);@_)"/>
    <numFmt numFmtId="178" formatCode="#,##0.00000;[Red]#,##0.00000"/>
    <numFmt numFmtId="179" formatCode="#,##0.0000"/>
    <numFmt numFmtId="180" formatCode="#,##0.0_);\(#,##0.0\);\-_);@_)"/>
    <numFmt numFmtId="181" formatCode="#,###_);\(#,###_);\-_);@_)"/>
    <numFmt numFmtId="182" formatCode="0.0\x"/>
    <numFmt numFmtId="183" formatCode="0.0&quot;x&quot;_)"/>
    <numFmt numFmtId="184" formatCode="0.00&quot;x&quot;_)"/>
    <numFmt numFmtId="185" formatCode="#,##0.00_);[Red]\(#,##0.00\);\-_)"/>
    <numFmt numFmtId="186" formatCode="#,##0.0%_);[Red]\(#,##0.0%\);\-_);@_)"/>
    <numFmt numFmtId="187" formatCode="#,##0.0_);\ \(#,##0.0\);\-_)"/>
    <numFmt numFmtId="188" formatCode="#,##0.000_);[Red]\(#,##0.000\);\-_)"/>
    <numFmt numFmtId="189" formatCode="#,##0.0_);[Red]\(#,##0.0\);\-_);@_)"/>
    <numFmt numFmtId="190" formatCode="[$-409]d\-mmm\-yy;;\-_)"/>
    <numFmt numFmtId="191" formatCode="#,##0.0_);[Red]\(#,##0.0\);\-_)"/>
    <numFmt numFmtId="192" formatCode="[$-C09]dd\-mmm\-yy;@"/>
    <numFmt numFmtId="193" formatCode="#,##0_);\ \(#,##0\);\-_)"/>
    <numFmt numFmtId="194" formatCode="#,##0\ &quot;sqm&quot;;;&quot;-&quot;"/>
    <numFmt numFmtId="195" formatCode="0.0%;;&quot;-&quot;"/>
    <numFmt numFmtId="196" formatCode="0.0%_);\(0.0%\);\-_)"/>
    <numFmt numFmtId="197" formatCode="0.0&quot;x&quot;_);;"/>
    <numFmt numFmtId="198" formatCode="#,##0.0_);\(#,##0.0\);\-_)"/>
    <numFmt numFmtId="199" formatCode="#,##0\ &quot;€&quot;;;&quot;-&quot;"/>
    <numFmt numFmtId="200" formatCode="#,##0\ &quot;€/sqm&quot;;;&quot;-&quot;"/>
    <numFmt numFmtId="201" formatCode="0.0%;&quot;n/a&quot;;&quot;-&quot;"/>
    <numFmt numFmtId="202" formatCode="0.0\ &quot;x&quot;;&quot;n/a&quot;;&quot;-&quot;"/>
    <numFmt numFmtId="203" formatCode="#,##0_);\(#,##0\);\-_)"/>
    <numFmt numFmtId="204" formatCode="dd\-mmm\-yyyy"/>
    <numFmt numFmtId="205" formatCode="0\ &quot;Qtr&quot;;\-0\ &quot;Qtr&quot;;\-_)"/>
    <numFmt numFmtId="206" formatCode="#,##0.0%_);\(#,##0.0%\);\-_);@_)"/>
    <numFmt numFmtId="207" formatCode="0.00\x_);\(0.00\x\);\-_);@_)"/>
    <numFmt numFmtId="208" formatCode="0.0\x_);\(0.0\x\);\-_);@_)"/>
    <numFmt numFmtId="209" formatCode="0&quot;Q&quot;;;\-_)"/>
    <numFmt numFmtId="210" formatCode="0.0%_);[Red]\(0.0%\)"/>
    <numFmt numFmtId="211" formatCode="#,##0.0_)\ ;[Red]\(#,##0.0\);\-_);@_)"/>
    <numFmt numFmtId="212" formatCode="dd\-mmm\-yy;;\-_)"/>
    <numFmt numFmtId="213" formatCode="0&quot;Q&quot;"/>
    <numFmt numFmtId="214" formatCode="0&quot;Y&quot;"/>
    <numFmt numFmtId="215" formatCode="&quot;thereof&quot;\ @"/>
    <numFmt numFmtId="216" formatCode="#,##0.00\ &quot;€/sqm p.a.&quot;;;&quot;-&quot;"/>
    <numFmt numFmtId="217" formatCode="#,##0.0%_);[Red]\(#,##0.0%\);\-"/>
    <numFmt numFmtId="218" formatCode="#,##0;;&quot;-&quot;"/>
    <numFmt numFmtId="219" formatCode="#,##0.00;;&quot;-&quot;"/>
    <numFmt numFmtId="220" formatCode="#,##0.0&quot;x&quot;"/>
    <numFmt numFmtId="221" formatCode="#,##0_);[Red]\(#,##0\);&quot;-&quot;"/>
    <numFmt numFmtId="222" formatCode="0;;&quot;-&quot;"/>
    <numFmt numFmtId="223" formatCode="0.00;;&quot;-&quot;"/>
    <numFmt numFmtId="224" formatCode="0%;;&quot;-&quot;"/>
    <numFmt numFmtId="225" formatCode="&quot;Y &quot;0"/>
    <numFmt numFmtId="226" formatCode="&quot;Q&quot;#,##0"/>
    <numFmt numFmtId="227" formatCode="&quot;Y&quot;#,##0"/>
    <numFmt numFmtId="228" formatCode="#,##0.0;;&quot;-&quot;"/>
    <numFmt numFmtId="229" formatCode="#,##0.00&quot;x&quot;;;&quot;-&quot;"/>
    <numFmt numFmtId="230" formatCode="&quot;+&quot;0.00%"/>
    <numFmt numFmtId="231" formatCode="&quot;Q&quot;0"/>
    <numFmt numFmtId="232" formatCode="[$-409]dd\-mmm\-yy;@"/>
    <numFmt numFmtId="233" formatCode="0.0\x;;&quot;-&quot;"/>
    <numFmt numFmtId="234" formatCode="\+0.0&quot;x&quot;;\-0.0&quot;x&quot;;\-_)"/>
    <numFmt numFmtId="235" formatCode="&quot;+&quot;0.0&quot;x&quot;;&quot;-&quot;0.0&quot;x&quot;;\-_)"/>
    <numFmt numFmtId="236" formatCode="&quot;+&quot;0.00%;&quot;-&quot;0.00%;\-_)"/>
    <numFmt numFmtId="237" formatCode="&quot;thereof&quot;\ #,##0.00"/>
    <numFmt numFmtId="238" formatCode="#,##0.0&quot;m&quot;"/>
    <numFmt numFmtId="239" formatCode="#,##0;;\-_)"/>
    <numFmt numFmtId="240" formatCode="0.0%;;\-_)"/>
    <numFmt numFmtId="241" formatCode="#,##0.0;;\-_)"/>
    <numFmt numFmtId="242" formatCode="0.0&quot;x&quot;"/>
    <numFmt numFmtId="243" formatCode="dd\.mm\.yyyy;@"/>
    <numFmt numFmtId="244" formatCode="&quot;Enabled&quot;;;&quot;Disabled&quot;"/>
    <numFmt numFmtId="245" formatCode="#,##0\ &quot;Quarters&quot;"/>
    <numFmt numFmtId="246" formatCode="#,##0.0&quot;x&quot;;;\-_)"/>
    <numFmt numFmtId="247" formatCode="0.0"/>
    <numFmt numFmtId="248" formatCode="0.00&quot;x&quot;"/>
    <numFmt numFmtId="249" formatCode="0%;;\-_)"/>
    <numFmt numFmtId="250" formatCode=";;;"/>
    <numFmt numFmtId="251" formatCode="0;;&quot;&quot;"/>
    <numFmt numFmtId="252" formatCode="[$-409]mmm\-yy;@"/>
    <numFmt numFmtId="253" formatCode="0%;0%;\-_)"/>
    <numFmt numFmtId="254" formatCode="\+0&quot;bps&quot;;\-0&quot;bps&quot;;\-_)"/>
    <numFmt numFmtId="255" formatCode="&quot;Q &quot;0"/>
    <numFmt numFmtId="256" formatCode="0.00_);[Red]\(0.00\);\-_)"/>
    <numFmt numFmtId="257" formatCode="0.00&quot;x&quot;;[Red]\(0.00\)&quot;x&quot;;\-_)"/>
    <numFmt numFmtId="258" formatCode="0_);[Red]\(0\);\-_)"/>
    <numFmt numFmtId="259" formatCode="0.0%;0.0%;\-_)"/>
    <numFmt numFmtId="260" formatCode="#,##0.0&quot;x&quot;;###0.0&quot;x&quot;;\-_)"/>
    <numFmt numFmtId="261" formatCode="0;0;\-_)"/>
    <numFmt numFmtId="262" formatCode="#,##0.00;#,##0.00;\-_)"/>
    <numFmt numFmtId="263" formatCode="#,##0.0&quot;x&quot;;#,##0.0&quot;x&quot;;\-_)"/>
    <numFmt numFmtId="264" formatCode="0.00;0.00;\-_)"/>
    <numFmt numFmtId="265" formatCode="0.00%;0.00%;\-_)"/>
    <numFmt numFmtId="266" formatCode="0%;0%;&quot;-&quot;"/>
    <numFmt numFmtId="267" formatCode="0;0;&quot;-&quot;"/>
    <numFmt numFmtId="268" formatCode="0%;0%\,\-_)"/>
    <numFmt numFmtId="269" formatCode="#,##0.00&quot;x&quot;"/>
    <numFmt numFmtId="270" formatCode="#,##0%_);\(#,##0%\);\-_);@_)"/>
    <numFmt numFmtId="271" formatCode="#,##0.0&quot;x&quot;_);[Red]\(#,##0.0&quot;x&quot;\);\-_)"/>
    <numFmt numFmtId="272" formatCode="0%;\-0%;\-_)"/>
    <numFmt numFmtId="273" formatCode="0.0;;&quot;-&quot;"/>
    <numFmt numFmtId="274" formatCode="0.00%;;\-_)"/>
    <numFmt numFmtId="275" formatCode="0.00&quot;x&quot;;\-0.00&quot;x&quot;;\-_)"/>
    <numFmt numFmtId="276" formatCode="###0_);[Red]\(###0\);\-_)"/>
    <numFmt numFmtId="277" formatCode="#,##0.00&quot;x&quot;_);[Red]\(#,##0.00&quot;x&quot;\);\-_)"/>
    <numFmt numFmtId="278" formatCode="#,##0_ ;[Red]\-#,##0\ ;\-_)"/>
    <numFmt numFmtId="279" formatCode="0_ ;[Red]\-0\ ;\-_)"/>
    <numFmt numFmtId="280" formatCode="0;\-0;\-_)"/>
    <numFmt numFmtId="281" formatCode="#,##0;[Red]\(#,##0\);\-_)"/>
    <numFmt numFmtId="282" formatCode="0.0%;\-0.0%;\-_)"/>
    <numFmt numFmtId="283" formatCode="#,##0.0;\-#,##0.0;\-_)"/>
    <numFmt numFmtId="284" formatCode="#,##0;\-#,##0;\-_)"/>
    <numFmt numFmtId="285" formatCode="#,##0.00;\-#,##0.00;\-_)"/>
    <numFmt numFmtId="286" formatCode="#,##0;[Red]\-#,##0;\-_)"/>
    <numFmt numFmtId="287" formatCode="#,##0.0;[Red]\-#,##0.0;\-_)"/>
    <numFmt numFmtId="288" formatCode="0.0%;[Red]\-0.0%;\-_)"/>
    <numFmt numFmtId="289" formatCode="0.0&quot;x&quot;;[Red]\-0.0&quot;x&quot;;\-_)"/>
    <numFmt numFmtId="290" formatCode="#,##0.00;[Red]\(#,##0\);\-_);\-_)"/>
    <numFmt numFmtId="291" formatCode="0.00&quot;x&quot;;[Red]0.00&quot;x&quot;;\-_)"/>
    <numFmt numFmtId="292" formatCode="0;\(0\);\-;@"/>
    <numFmt numFmtId="293" formatCode="#,##0,_);[Red]\(#,##0,\);\-_);@_)"/>
    <numFmt numFmtId="294" formatCode="_-* #,##0.00\ _€_-;\-* #,##0.00\ _€_-;_-* &quot;-&quot;??\ _€_-;_-@_-"/>
    <numFmt numFmtId="295" formatCode="#,##0.0\x_);[Red]\(#,##0.0\x\);\-_);@_)"/>
    <numFmt numFmtId="296" formatCode="&quot;ON&quot;"/>
    <numFmt numFmtId="297" formatCode="#,##0.0;\-#,##0.0;\-"/>
    <numFmt numFmtId="298" formatCode="#,##0.0&quot;x&quot;;#,##0.0&quot;x&quot;;\-"/>
    <numFmt numFmtId="299" formatCode="_-* #,##0_-;\-* #,##0_-;_-* &quot;-&quot;??_-;_-@_-"/>
    <numFmt numFmtId="300" formatCode="0.00;\(0.00\);\-;@"/>
  </numFmts>
  <fonts count="74">
    <font>
      <sz val="11"/>
      <color theme="1"/>
      <name val="Calibri"/>
      <family val="2"/>
      <scheme val="minor"/>
    </font>
    <font>
      <b/>
      <sz val="11"/>
      <color theme="0"/>
      <name val="Calibri"/>
      <family val="2"/>
      <scheme val="minor"/>
    </font>
    <font>
      <b/>
      <sz val="11"/>
      <color theme="1"/>
      <name val="Calibri"/>
      <family val="2"/>
      <scheme val="minor"/>
    </font>
    <font>
      <sz val="11"/>
      <color rgb="FF0000FF"/>
      <name val="Calibri"/>
      <family val="2"/>
      <scheme val="minor"/>
    </font>
    <font>
      <b/>
      <sz val="10"/>
      <color rgb="FFC00000"/>
      <name val="Arial"/>
      <family val="2"/>
    </font>
    <font>
      <sz val="10"/>
      <color theme="1"/>
      <name val="ARial"/>
      <family val="2"/>
    </font>
    <font>
      <b/>
      <sz val="10"/>
      <color rgb="FFFF0000"/>
      <name val="ARial"/>
      <family val="2"/>
    </font>
    <font>
      <sz val="10"/>
      <color rgb="FFFF0000"/>
      <name val="ARial"/>
      <family val="2"/>
    </font>
    <font>
      <b/>
      <sz val="11"/>
      <color rgb="FFFF0000"/>
      <name val="Arial"/>
      <family val="2"/>
    </font>
    <font>
      <b/>
      <sz val="14"/>
      <color rgb="FF000000"/>
      <name val="Arial"/>
      <family val="2"/>
    </font>
    <font>
      <sz val="11"/>
      <color rgb="FF435D1D"/>
      <name val="Calibri"/>
      <family val="2"/>
      <scheme val="minor"/>
    </font>
    <font>
      <b/>
      <sz val="11"/>
      <color rgb="FFFF0000"/>
      <name val="Calibri"/>
      <family val="2"/>
      <scheme val="minor"/>
    </font>
    <font>
      <sz val="11"/>
      <color rgb="FF00B050"/>
      <name val="Calibri"/>
      <family val="2"/>
      <scheme val="minor"/>
    </font>
    <font>
      <sz val="11"/>
      <name val="Calibri"/>
      <family val="2"/>
      <scheme val="minor"/>
    </font>
    <font>
      <b/>
      <u val="singleAccounting"/>
      <sz val="10"/>
      <color theme="0"/>
      <name val="Arial"/>
      <family val="2"/>
    </font>
    <font>
      <b/>
      <sz val="10"/>
      <color theme="0"/>
      <name val="Arial"/>
      <family val="2"/>
    </font>
    <font>
      <b/>
      <sz val="11"/>
      <color rgb="FF0000FF"/>
      <name val="Calibri"/>
      <family val="2"/>
      <scheme val="minor"/>
    </font>
    <font>
      <b/>
      <sz val="11"/>
      <color rgb="FF435D1D"/>
      <name val="Calibri"/>
      <family val="2"/>
      <scheme val="minor"/>
    </font>
    <font>
      <b/>
      <u val="singleAccounting"/>
      <sz val="11"/>
      <color theme="1"/>
      <name val="Calibri"/>
      <family val="2"/>
      <scheme val="minor"/>
    </font>
    <font>
      <b/>
      <sz val="10"/>
      <color theme="1"/>
      <name val="Arial"/>
      <family val="2"/>
    </font>
    <font>
      <u val="singleAccounting"/>
      <sz val="11"/>
      <color theme="1"/>
      <name val="Calibri"/>
      <family val="2"/>
      <scheme val="minor"/>
    </font>
    <font>
      <b/>
      <u val="singleAccounting"/>
      <sz val="11"/>
      <color theme="0"/>
      <name val="Calibri"/>
      <family val="2"/>
      <scheme val="minor"/>
    </font>
    <font>
      <b/>
      <sz val="11"/>
      <name val="Calibri"/>
      <family val="2"/>
      <scheme val="minor"/>
    </font>
    <font>
      <b/>
      <u val="singleAccounting"/>
      <sz val="11"/>
      <color rgb="FF435D1D"/>
      <name val="Calibri"/>
      <family val="2"/>
      <scheme val="minor"/>
    </font>
    <font>
      <sz val="11"/>
      <color rgb="FFFF0000"/>
      <name val="Calibri"/>
      <family val="2"/>
      <scheme val="minor"/>
    </font>
    <font>
      <b/>
      <sz val="11"/>
      <color theme="1"/>
      <name val="Arial"/>
      <family val="2"/>
    </font>
    <font>
      <sz val="10"/>
      <name val="Arial"/>
      <family val="2"/>
    </font>
    <font>
      <sz val="11"/>
      <color theme="1"/>
      <name val="Calibri"/>
      <family val="2"/>
      <scheme val="minor"/>
    </font>
    <font>
      <i/>
      <sz val="11"/>
      <color theme="1"/>
      <name val="Calibri"/>
      <family val="2"/>
      <scheme val="minor"/>
    </font>
    <font>
      <b/>
      <i/>
      <sz val="11"/>
      <color theme="1"/>
      <name val="Calibri"/>
      <family val="2"/>
      <scheme val="minor"/>
    </font>
    <font>
      <i/>
      <sz val="11"/>
      <color rgb="FF435D1D"/>
      <name val="Calibri"/>
      <family val="2"/>
      <scheme val="minor"/>
    </font>
    <font>
      <sz val="11"/>
      <color theme="0" tint="-0.499984740745262"/>
      <name val="Calibri"/>
      <family val="2"/>
      <scheme val="minor"/>
    </font>
    <font>
      <sz val="11"/>
      <color rgb="FF000000"/>
      <name val="Calibri"/>
      <family val="2"/>
      <scheme val="minor"/>
    </font>
    <font>
      <b/>
      <sz val="11"/>
      <color rgb="FF000000"/>
      <name val="Calibri"/>
      <family val="2"/>
      <scheme val="minor"/>
    </font>
    <font>
      <sz val="11"/>
      <color theme="0"/>
      <name val="Calibri"/>
      <family val="2"/>
      <scheme val="minor"/>
    </font>
    <font>
      <b/>
      <sz val="11"/>
      <color indexed="8"/>
      <name val="Calibri"/>
      <family val="2"/>
      <scheme val="minor"/>
    </font>
    <font>
      <sz val="11"/>
      <color indexed="8"/>
      <name val="Calibri"/>
      <family val="2"/>
      <scheme val="minor"/>
    </font>
    <font>
      <i/>
      <sz val="11"/>
      <color indexed="8"/>
      <name val="Calibri"/>
      <family val="2"/>
      <scheme val="minor"/>
    </font>
    <font>
      <b/>
      <i/>
      <sz val="11"/>
      <name val="Calibri"/>
      <family val="2"/>
      <scheme val="minor"/>
    </font>
    <font>
      <i/>
      <sz val="11"/>
      <color theme="1" tint="0.499984740745262"/>
      <name val="Calibri"/>
      <family val="2"/>
      <scheme val="minor"/>
    </font>
    <font>
      <i/>
      <sz val="11"/>
      <color rgb="FF0000FF"/>
      <name val="Calibri"/>
      <family val="2"/>
      <scheme val="minor"/>
    </font>
    <font>
      <i/>
      <sz val="11"/>
      <name val="Calibri"/>
      <family val="2"/>
      <scheme val="minor"/>
    </font>
    <font>
      <i/>
      <sz val="11"/>
      <color rgb="FF00B050"/>
      <name val="Calibri"/>
      <family val="2"/>
      <scheme val="minor"/>
    </font>
    <font>
      <sz val="11"/>
      <color rgb="FF32678E"/>
      <name val="Calibri"/>
      <family val="2"/>
      <scheme val="minor"/>
    </font>
    <font>
      <b/>
      <u val="singleAccounting"/>
      <sz val="11"/>
      <color rgb="FF32678E"/>
      <name val="Calibri"/>
      <family val="2"/>
      <scheme val="minor"/>
    </font>
    <font>
      <i/>
      <u/>
      <sz val="11"/>
      <color theme="1"/>
      <name val="Calibri"/>
      <family val="2"/>
      <scheme val="minor"/>
    </font>
    <font>
      <u val="singleAccounting"/>
      <sz val="11"/>
      <color rgb="FF435D1D"/>
      <name val="Calibri"/>
      <family val="2"/>
      <scheme val="minor"/>
    </font>
    <font>
      <u val="singleAccounting"/>
      <sz val="11"/>
      <color indexed="8"/>
      <name val="Calibri"/>
      <family val="2"/>
      <scheme val="minor"/>
    </font>
    <font>
      <u val="singleAccounting"/>
      <sz val="11"/>
      <name val="Calibri"/>
      <family val="2"/>
      <scheme val="minor"/>
    </font>
    <font>
      <b/>
      <sz val="11"/>
      <color rgb="FFFFFFFF"/>
      <name val="Calibri"/>
      <family val="2"/>
      <scheme val="minor"/>
    </font>
    <font>
      <b/>
      <u val="singleAccounting"/>
      <sz val="11"/>
      <color indexed="8"/>
      <name val="Calibri"/>
      <family val="2"/>
      <scheme val="minor"/>
    </font>
    <font>
      <b/>
      <u val="singleAccounting"/>
      <sz val="11"/>
      <name val="Calibri"/>
      <family val="2"/>
      <scheme val="minor"/>
    </font>
    <font>
      <sz val="11"/>
      <color rgb="FF4F6228"/>
      <name val="Calibri"/>
      <family val="2"/>
      <scheme val="minor"/>
    </font>
    <font>
      <b/>
      <sz val="14"/>
      <color theme="0"/>
      <name val="Calibri"/>
      <family val="2"/>
      <scheme val="minor"/>
    </font>
    <font>
      <b/>
      <sz val="16"/>
      <color theme="0"/>
      <name val="Calibri"/>
      <family val="2"/>
      <scheme val="minor"/>
    </font>
    <font>
      <sz val="14"/>
      <color theme="1"/>
      <name val="Calibri"/>
      <family val="2"/>
      <scheme val="minor"/>
    </font>
    <font>
      <b/>
      <sz val="14"/>
      <color theme="1"/>
      <name val="Calibri"/>
      <family val="2"/>
      <scheme val="minor"/>
    </font>
    <font>
      <sz val="14"/>
      <color theme="0"/>
      <name val="Calibri"/>
      <family val="2"/>
      <scheme val="minor"/>
    </font>
    <font>
      <sz val="22"/>
      <color theme="1"/>
      <name val="Wingdings"/>
      <charset val="2"/>
    </font>
    <font>
      <sz val="8"/>
      <name val="Calibri"/>
      <family val="2"/>
      <scheme val="minor"/>
    </font>
    <font>
      <sz val="9"/>
      <name val="Calibri"/>
      <family val="2"/>
      <scheme val="minor"/>
    </font>
    <font>
      <sz val="10"/>
      <name val="Calibri"/>
      <family val="2"/>
      <scheme val="minor"/>
    </font>
    <font>
      <b/>
      <i/>
      <sz val="11"/>
      <color rgb="FF435D1D"/>
      <name val="Calibri"/>
      <family val="2"/>
      <scheme val="minor"/>
    </font>
    <font>
      <i/>
      <sz val="11"/>
      <color rgb="FFFF0000"/>
      <name val="Calibri"/>
      <family val="2"/>
      <scheme val="minor"/>
    </font>
    <font>
      <b/>
      <u val="singleAccounting"/>
      <sz val="10"/>
      <name val="Arial"/>
      <family val="2"/>
    </font>
    <font>
      <sz val="10"/>
      <color theme="0" tint="-0.499984740745262"/>
      <name val="Arial"/>
      <family val="2"/>
    </font>
    <font>
      <sz val="1"/>
      <color theme="1"/>
      <name val="Arial"/>
      <family val="2"/>
    </font>
    <font>
      <i/>
      <sz val="10"/>
      <color theme="1"/>
      <name val="Arial"/>
      <family val="2"/>
    </font>
    <font>
      <sz val="10"/>
      <color rgb="FF0000FF"/>
      <name val="Arial"/>
      <family val="2"/>
    </font>
    <font>
      <b/>
      <u val="singleAccounting"/>
      <sz val="10"/>
      <color theme="1"/>
      <name val="Arial"/>
      <family val="2"/>
    </font>
    <font>
      <sz val="10"/>
      <color rgb="FF00B050"/>
      <name val="ARial"/>
      <family val="2"/>
    </font>
    <font>
      <sz val="10"/>
      <color theme="0" tint="-0.14999847407452621"/>
      <name val="ARial"/>
      <family val="2"/>
    </font>
    <font>
      <b/>
      <u val="singleAccounting"/>
      <sz val="10"/>
      <color indexed="18"/>
      <name val="Arial"/>
      <family val="2"/>
    </font>
    <font>
      <sz val="10.5"/>
      <color rgb="FF000000"/>
      <name val="Calibri"/>
      <family val="2"/>
      <scheme val="minor"/>
    </font>
  </fonts>
  <fills count="25">
    <fill>
      <patternFill patternType="none"/>
    </fill>
    <fill>
      <patternFill patternType="gray125"/>
    </fill>
    <fill>
      <patternFill patternType="solid">
        <fgColor rgb="FF89BD3A"/>
        <bgColor indexed="64"/>
      </patternFill>
    </fill>
    <fill>
      <patternFill patternType="solid">
        <fgColor rgb="FFB9BDBE"/>
        <bgColor indexed="64"/>
      </patternFill>
    </fill>
    <fill>
      <patternFill patternType="solid">
        <fgColor rgb="FFCCECFF"/>
        <bgColor indexed="64"/>
      </patternFill>
    </fill>
    <fill>
      <patternFill patternType="solid">
        <fgColor rgb="FFFF0000"/>
        <bgColor indexed="64"/>
      </patternFill>
    </fill>
    <fill>
      <patternFill patternType="solid">
        <fgColor rgb="FFFFFF00"/>
        <bgColor indexed="64"/>
      </patternFill>
    </fill>
    <fill>
      <patternFill patternType="solid">
        <fgColor rgb="FF638A2A"/>
        <bgColor indexed="64"/>
      </patternFill>
    </fill>
    <fill>
      <patternFill patternType="solid">
        <fgColor rgb="FF435D1D"/>
        <bgColor indexed="64"/>
      </patternFill>
    </fill>
    <fill>
      <patternFill patternType="solid">
        <fgColor rgb="FF797E8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32678E"/>
        <bgColor indexed="64"/>
      </patternFill>
    </fill>
    <fill>
      <patternFill patternType="solid">
        <fgColor rgb="FFA43700"/>
        <bgColor indexed="64"/>
      </patternFill>
    </fill>
    <fill>
      <patternFill patternType="solid">
        <fgColor rgb="FFFFC000"/>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1"/>
        <bgColor indexed="64"/>
      </patternFill>
    </fill>
    <fill>
      <patternFill patternType="solid">
        <fgColor rgb="FFDFEECA"/>
        <bgColor indexed="64"/>
      </patternFill>
    </fill>
    <fill>
      <patternFill patternType="solid">
        <fgColor rgb="FF89BD55"/>
        <bgColor indexed="64"/>
      </patternFill>
    </fill>
    <fill>
      <patternFill patternType="solid">
        <fgColor theme="0"/>
        <bgColor indexed="64"/>
      </patternFill>
    </fill>
    <fill>
      <patternFill patternType="solid">
        <fgColor theme="6" tint="0.79998168889431442"/>
        <bgColor indexed="64"/>
      </patternFill>
    </fill>
    <fill>
      <patternFill patternType="solid">
        <fgColor rgb="FFE7E6E6"/>
        <bgColor indexed="64"/>
      </patternFill>
    </fill>
    <fill>
      <patternFill patternType="solid">
        <fgColor rgb="FF92D050"/>
        <bgColor indexed="64"/>
      </patternFill>
    </fill>
    <fill>
      <patternFill patternType="solid">
        <fgColor theme="0" tint="-4.9989318521683403E-2"/>
        <bgColor indexed="64"/>
      </patternFill>
    </fill>
  </fills>
  <borders count="74">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right/>
      <top/>
      <bottom style="thin">
        <color indexed="64"/>
      </bottom>
      <diagonal/>
    </border>
    <border>
      <left style="hair">
        <color auto="1"/>
      </left>
      <right style="hair">
        <color auto="1"/>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thin">
        <color indexed="64"/>
      </left>
      <right style="hair">
        <color indexed="64"/>
      </right>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right/>
      <top style="thin">
        <color indexed="64"/>
      </top>
      <bottom/>
      <diagonal/>
    </border>
    <border>
      <left style="hair">
        <color indexed="64"/>
      </left>
      <right/>
      <top/>
      <bottom/>
      <diagonal/>
    </border>
    <border>
      <left style="hair">
        <color indexed="64"/>
      </left>
      <right style="hair">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indexed="64"/>
      </left>
      <right style="thin">
        <color indexed="64"/>
      </right>
      <top style="thin">
        <color indexed="64"/>
      </top>
      <bottom style="thin">
        <color indexed="64"/>
      </bottom>
      <diagonal/>
    </border>
    <border>
      <left/>
      <right style="hair">
        <color indexed="64"/>
      </right>
      <top/>
      <bottom/>
      <diagonal/>
    </border>
    <border>
      <left/>
      <right style="hair">
        <color indexed="64"/>
      </right>
      <top style="thin">
        <color indexed="64"/>
      </top>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style="hair">
        <color auto="1"/>
      </left>
      <right style="hair">
        <color auto="1"/>
      </right>
      <top style="hair">
        <color auto="1"/>
      </top>
      <bottom style="thin">
        <color indexed="64"/>
      </bottom>
      <diagonal/>
    </border>
    <border>
      <left style="medium">
        <color indexed="64"/>
      </left>
      <right style="medium">
        <color indexed="64"/>
      </right>
      <top style="medium">
        <color indexed="64"/>
      </top>
      <bottom/>
      <diagonal/>
    </border>
    <border>
      <left style="medium">
        <color rgb="FFC00000"/>
      </left>
      <right style="thin">
        <color indexed="64"/>
      </right>
      <top style="medium">
        <color rgb="FFC00000"/>
      </top>
      <bottom/>
      <diagonal/>
    </border>
    <border>
      <left style="medium">
        <color indexed="64"/>
      </left>
      <right style="medium">
        <color indexed="64"/>
      </right>
      <top/>
      <bottom/>
      <diagonal/>
    </border>
    <border>
      <left style="medium">
        <color rgb="FFC00000"/>
      </left>
      <right style="thin">
        <color indexed="64"/>
      </right>
      <top/>
      <bottom/>
      <diagonal/>
    </border>
    <border>
      <left style="medium">
        <color indexed="64"/>
      </left>
      <right style="medium">
        <color indexed="64"/>
      </right>
      <top style="thin">
        <color indexed="64"/>
      </top>
      <bottom style="thin">
        <color indexed="64"/>
      </bottom>
      <diagonal/>
    </border>
    <border>
      <left style="medium">
        <color rgb="FFC00000"/>
      </left>
      <right style="thin">
        <color indexed="64"/>
      </right>
      <top style="thin">
        <color indexed="64"/>
      </top>
      <bottom style="thin">
        <color indexed="64"/>
      </bottom>
      <diagonal/>
    </border>
    <border>
      <left style="thin">
        <color rgb="FF89BD3A"/>
      </left>
      <right style="thin">
        <color rgb="FF89BD3A"/>
      </right>
      <top style="thin">
        <color rgb="FF89BD3A"/>
      </top>
      <bottom style="thin">
        <color rgb="FF89BD3A"/>
      </bottom>
      <diagonal/>
    </border>
    <border>
      <left style="thin">
        <color rgb="FF89BD3A"/>
      </left>
      <right style="thin">
        <color indexed="64"/>
      </right>
      <top style="thin">
        <color rgb="FF89BD3A"/>
      </top>
      <bottom style="thin">
        <color rgb="FF89BD3A"/>
      </bottom>
      <diagonal/>
    </border>
    <border>
      <left/>
      <right/>
      <top style="thin">
        <color rgb="FF89BD3A"/>
      </top>
      <bottom style="thin">
        <color rgb="FF89BD3A"/>
      </bottom>
      <diagonal/>
    </border>
    <border>
      <left/>
      <right style="thin">
        <color rgb="FF89BD3A"/>
      </right>
      <top style="thin">
        <color rgb="FF89BD3A"/>
      </top>
      <bottom style="thin">
        <color rgb="FF89BD3A"/>
      </bottom>
      <diagonal/>
    </border>
    <border>
      <left style="thin">
        <color rgb="FF89BD3A"/>
      </left>
      <right style="thin">
        <color rgb="FF89BD3A"/>
      </right>
      <top style="thin">
        <color rgb="FF89BD3A"/>
      </top>
      <bottom style="thin">
        <color auto="1"/>
      </bottom>
      <diagonal/>
    </border>
    <border>
      <left style="thin">
        <color rgb="FF89BD3A"/>
      </left>
      <right style="thin">
        <color rgb="FF89BD3A"/>
      </right>
      <top/>
      <bottom/>
      <diagonal/>
    </border>
    <border>
      <left style="thin">
        <color rgb="FF89BD3A"/>
      </left>
      <right style="thin">
        <color rgb="FF89BD3A"/>
      </right>
      <top/>
      <bottom style="thin">
        <color rgb="FF89BD3A"/>
      </bottom>
      <diagonal/>
    </border>
    <border>
      <left style="thin">
        <color indexed="64"/>
      </left>
      <right style="hair">
        <color auto="1"/>
      </right>
      <top style="hair">
        <color auto="1"/>
      </top>
      <bottom style="hair">
        <color auto="1"/>
      </bottom>
      <diagonal/>
    </border>
    <border>
      <left style="thin">
        <color indexed="64"/>
      </left>
      <right/>
      <top/>
      <bottom style="medium">
        <color auto="1"/>
      </bottom>
      <diagonal/>
    </border>
    <border>
      <left style="thin">
        <color indexed="64"/>
      </left>
      <right style="thin">
        <color indexed="64"/>
      </right>
      <top style="thin">
        <color indexed="64"/>
      </top>
      <bottom style="medium">
        <color indexed="64"/>
      </bottom>
      <diagonal/>
    </border>
    <border>
      <left/>
      <right/>
      <top/>
      <bottom style="medium">
        <color auto="1"/>
      </bottom>
      <diagonal/>
    </border>
    <border>
      <left/>
      <right style="thin">
        <color indexed="64"/>
      </right>
      <top/>
      <bottom style="medium">
        <color auto="1"/>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style="medium">
        <color auto="1"/>
      </top>
      <bottom/>
      <diagonal/>
    </border>
    <border>
      <left/>
      <right style="thin">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theme="0"/>
      </right>
      <top/>
      <bottom/>
      <diagonal/>
    </border>
    <border>
      <left style="thin">
        <color theme="0"/>
      </left>
      <right/>
      <top/>
      <bottom/>
      <diagonal/>
    </border>
    <border>
      <left/>
      <right/>
      <top/>
      <bottom style="medium">
        <color rgb="FF89BD3A"/>
      </bottom>
      <diagonal/>
    </border>
    <border>
      <left style="medium">
        <color indexed="64"/>
      </left>
      <right/>
      <top/>
      <bottom/>
      <diagonal/>
    </border>
    <border>
      <left/>
      <right style="medium">
        <color indexed="64"/>
      </right>
      <top/>
      <bottom/>
      <diagonal/>
    </border>
    <border>
      <left style="hair">
        <color auto="1"/>
      </left>
      <right style="medium">
        <color indexed="64"/>
      </right>
      <top style="hair">
        <color auto="1"/>
      </top>
      <bottom style="hair">
        <color auto="1"/>
      </bottom>
      <diagonal/>
    </border>
    <border>
      <left/>
      <right/>
      <top style="medium">
        <color rgb="FF89BD3A"/>
      </top>
      <bottom style="medium">
        <color rgb="FF89BD3A"/>
      </bottom>
      <diagonal/>
    </border>
    <border>
      <left/>
      <right/>
      <top style="thin">
        <color indexed="64"/>
      </top>
      <bottom style="double">
        <color indexed="64"/>
      </bottom>
      <diagonal/>
    </border>
    <border>
      <left style="hair">
        <color auto="1"/>
      </left>
      <right style="thin">
        <color indexed="64"/>
      </right>
      <top style="hair">
        <color auto="1"/>
      </top>
      <bottom style="hair">
        <color auto="1"/>
      </bottom>
      <diagonal/>
    </border>
    <border>
      <left/>
      <right/>
      <top/>
      <bottom style="thin">
        <color theme="0" tint="-0.499984740745262"/>
      </bottom>
      <diagonal/>
    </border>
    <border>
      <left/>
      <right/>
      <top style="thin">
        <color theme="0" tint="-0.24994659260841701"/>
      </top>
      <bottom/>
      <diagonal/>
    </border>
  </borders>
  <cellStyleXfs count="11">
    <xf numFmtId="0" fontId="0" fillId="0" borderId="0"/>
    <xf numFmtId="0" fontId="11" fillId="6" borderId="0"/>
    <xf numFmtId="0" fontId="3" fillId="4" borderId="9" applyProtection="0"/>
    <xf numFmtId="9" fontId="27"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294" fontId="27" fillId="0" borderId="0" applyFont="0" applyFill="0" applyBorder="0" applyAlignment="0" applyProtection="0"/>
    <xf numFmtId="9" fontId="5" fillId="0" borderId="0" applyFont="0" applyFill="0" applyBorder="0" applyAlignment="0" applyProtection="0"/>
    <xf numFmtId="0" fontId="72" fillId="0" borderId="0" applyNumberFormat="0" applyFill="0" applyBorder="0" applyProtection="0">
      <alignment horizontal="centerContinuous"/>
    </xf>
    <xf numFmtId="164" fontId="27" fillId="0" borderId="0" applyFont="0" applyFill="0" applyBorder="0" applyAlignment="0" applyProtection="0"/>
  </cellStyleXfs>
  <cellXfs count="1731">
    <xf numFmtId="0" fontId="0" fillId="0" borderId="0" xfId="0"/>
    <xf numFmtId="0" fontId="1" fillId="2" borderId="0" xfId="0" applyFont="1" applyFill="1"/>
    <xf numFmtId="0" fontId="0" fillId="3" borderId="1" xfId="0" applyFill="1" applyBorder="1"/>
    <xf numFmtId="0" fontId="2" fillId="3" borderId="1" xfId="0" applyFont="1" applyFill="1" applyBorder="1" applyAlignment="1">
      <alignment horizontal="center"/>
    </xf>
    <xf numFmtId="0" fontId="2" fillId="3" borderId="1" xfId="0" applyFont="1" applyFill="1" applyBorder="1"/>
    <xf numFmtId="0" fontId="3" fillId="4" borderId="3" xfId="0" applyFont="1" applyFill="1" applyBorder="1"/>
    <xf numFmtId="0" fontId="3" fillId="4" borderId="1" xfId="0" applyFont="1" applyFill="1" applyBorder="1"/>
    <xf numFmtId="0" fontId="3" fillId="4" borderId="4" xfId="0" applyFont="1" applyFill="1" applyBorder="1"/>
    <xf numFmtId="0" fontId="0" fillId="5" borderId="0" xfId="0" applyFill="1"/>
    <xf numFmtId="0" fontId="1" fillId="2" borderId="2" xfId="0" applyFont="1" applyFill="1" applyBorder="1" applyAlignment="1">
      <alignment horizontal="center" vertical="center" wrapText="1"/>
    </xf>
    <xf numFmtId="0" fontId="4" fillId="0" borderId="5" xfId="0" applyFont="1" applyBorder="1"/>
    <xf numFmtId="0" fontId="5" fillId="0" borderId="6" xfId="0" applyFont="1" applyBorder="1"/>
    <xf numFmtId="0" fontId="5" fillId="0" borderId="7" xfId="0" applyFont="1" applyBorder="1"/>
    <xf numFmtId="0" fontId="6" fillId="6" borderId="6" xfId="0" applyFont="1" applyFill="1" applyBorder="1"/>
    <xf numFmtId="0" fontId="7" fillId="6" borderId="6" xfId="0" applyFont="1" applyFill="1" applyBorder="1"/>
    <xf numFmtId="0" fontId="8" fillId="0" borderId="0" xfId="0" applyFont="1"/>
    <xf numFmtId="0" fontId="9" fillId="0" borderId="8" xfId="0" applyFont="1" applyBorder="1" applyAlignment="1">
      <alignment horizontal="left" vertical="center"/>
    </xf>
    <xf numFmtId="0" fontId="0" fillId="0" borderId="8" xfId="0" applyBorder="1"/>
    <xf numFmtId="14" fontId="0" fillId="0" borderId="0" xfId="0" applyNumberFormat="1"/>
    <xf numFmtId="0" fontId="1" fillId="2" borderId="0" xfId="0" applyFont="1" applyFill="1" applyAlignment="1">
      <alignment horizontal="centerContinuous"/>
    </xf>
    <xf numFmtId="0" fontId="3" fillId="4" borderId="2" xfId="0" applyFont="1" applyFill="1" applyBorder="1"/>
    <xf numFmtId="0" fontId="10" fillId="0" borderId="0" xfId="0" applyFont="1"/>
    <xf numFmtId="0" fontId="11" fillId="6" borderId="0" xfId="0" applyFont="1" applyFill="1"/>
    <xf numFmtId="0" fontId="12" fillId="0" borderId="0" xfId="0" applyFont="1"/>
    <xf numFmtId="0" fontId="1" fillId="0" borderId="0" xfId="0" applyFont="1" applyAlignment="1">
      <alignment horizontal="left"/>
    </xf>
    <xf numFmtId="165" fontId="3" fillId="4" borderId="2" xfId="0" applyNumberFormat="1" applyFont="1" applyFill="1" applyBorder="1"/>
    <xf numFmtId="3" fontId="3" fillId="4" borderId="2" xfId="0" applyNumberFormat="1" applyFont="1" applyFill="1" applyBorder="1"/>
    <xf numFmtId="9" fontId="3" fillId="4" borderId="2" xfId="0" applyNumberFormat="1" applyFont="1" applyFill="1" applyBorder="1"/>
    <xf numFmtId="0" fontId="3" fillId="0" borderId="2" xfId="0" applyFont="1" applyBorder="1"/>
    <xf numFmtId="0" fontId="3" fillId="0" borderId="0" xfId="0" applyFont="1"/>
    <xf numFmtId="0" fontId="13" fillId="0" borderId="2" xfId="0" applyFont="1" applyBorder="1"/>
    <xf numFmtId="165" fontId="13" fillId="0" borderId="2" xfId="0" applyNumberFormat="1" applyFont="1" applyBorder="1"/>
    <xf numFmtId="3" fontId="13" fillId="0" borderId="2" xfId="0" applyNumberFormat="1" applyFont="1" applyBorder="1"/>
    <xf numFmtId="9" fontId="13" fillId="0" borderId="2" xfId="0" applyNumberFormat="1" applyFont="1" applyBorder="1"/>
    <xf numFmtId="0" fontId="0" fillId="0" borderId="2" xfId="0" applyBorder="1" applyAlignment="1">
      <alignment horizontal="center"/>
    </xf>
    <xf numFmtId="0" fontId="0" fillId="2" borderId="0" xfId="0" applyFill="1"/>
    <xf numFmtId="0" fontId="0" fillId="8" borderId="1" xfId="0" applyFill="1" applyBorder="1"/>
    <xf numFmtId="0" fontId="1" fillId="8" borderId="1" xfId="0" applyFont="1" applyFill="1" applyBorder="1"/>
    <xf numFmtId="0" fontId="1" fillId="8" borderId="1" xfId="0" applyFont="1" applyFill="1" applyBorder="1" applyAlignment="1">
      <alignment horizontal="center"/>
    </xf>
    <xf numFmtId="0" fontId="2" fillId="0" borderId="0" xfId="0" applyFont="1"/>
    <xf numFmtId="0" fontId="3" fillId="4" borderId="9" xfId="0" applyFont="1" applyFill="1" applyBorder="1"/>
    <xf numFmtId="3" fontId="3" fillId="4" borderId="9" xfId="0" applyNumberFormat="1" applyFont="1" applyFill="1" applyBorder="1" applyAlignment="1">
      <alignment horizontal="center"/>
    </xf>
    <xf numFmtId="10" fontId="0" fillId="0" borderId="9" xfId="0" applyNumberFormat="1" applyBorder="1"/>
    <xf numFmtId="0" fontId="14" fillId="2" borderId="0" xfId="0" applyFont="1" applyFill="1" applyAlignment="1">
      <alignment horizontal="centerContinuous"/>
    </xf>
    <xf numFmtId="0" fontId="15" fillId="2" borderId="0" xfId="0" applyFont="1" applyFill="1" applyAlignment="1">
      <alignment horizontal="center" wrapText="1"/>
    </xf>
    <xf numFmtId="10" fontId="0" fillId="0" borderId="9" xfId="0" applyNumberFormat="1" applyBorder="1" applyAlignment="1">
      <alignment horizontal="center"/>
    </xf>
    <xf numFmtId="10" fontId="3" fillId="4" borderId="9" xfId="0" applyNumberFormat="1" applyFont="1" applyFill="1" applyBorder="1" applyAlignment="1">
      <alignment horizontal="center"/>
    </xf>
    <xf numFmtId="166" fontId="3" fillId="4" borderId="9" xfId="0" applyNumberFormat="1" applyFont="1" applyFill="1" applyBorder="1" applyAlignment="1">
      <alignment horizontal="center"/>
    </xf>
    <xf numFmtId="0" fontId="1" fillId="9" borderId="3" xfId="0" applyFont="1" applyFill="1" applyBorder="1"/>
    <xf numFmtId="0" fontId="0" fillId="0" borderId="0" xfId="0" applyAlignment="1">
      <alignment horizontal="center"/>
    </xf>
    <xf numFmtId="0" fontId="16" fillId="4" borderId="4" xfId="0" applyFont="1" applyFill="1" applyBorder="1" applyAlignment="1">
      <alignment horizontal="center"/>
    </xf>
    <xf numFmtId="0" fontId="3" fillId="4" borderId="10" xfId="0" applyFont="1" applyFill="1" applyBorder="1"/>
    <xf numFmtId="0" fontId="0" fillId="0" borderId="11" xfId="0" applyBorder="1" applyAlignment="1">
      <alignment horizontal="center"/>
    </xf>
    <xf numFmtId="0" fontId="3" fillId="4" borderId="12" xfId="0" applyFont="1" applyFill="1" applyBorder="1"/>
    <xf numFmtId="0" fontId="0" fillId="0" borderId="13" xfId="0" applyBorder="1" applyAlignment="1">
      <alignment horizontal="center"/>
    </xf>
    <xf numFmtId="0" fontId="3" fillId="4" borderId="14" xfId="0" applyFont="1" applyFill="1" applyBorder="1"/>
    <xf numFmtId="0" fontId="3" fillId="4" borderId="15" xfId="0" applyFont="1" applyFill="1" applyBorder="1"/>
    <xf numFmtId="0" fontId="3" fillId="4" borderId="16" xfId="0" applyFont="1" applyFill="1" applyBorder="1"/>
    <xf numFmtId="0" fontId="0" fillId="2" borderId="0" xfId="0" applyFill="1" applyAlignment="1">
      <alignment horizontal="center"/>
    </xf>
    <xf numFmtId="0" fontId="0" fillId="8" borderId="1" xfId="0" applyFill="1" applyBorder="1" applyAlignment="1">
      <alignment horizontal="center"/>
    </xf>
    <xf numFmtId="0" fontId="2" fillId="0" borderId="0" xfId="0" applyFont="1" applyAlignment="1">
      <alignment horizontal="center"/>
    </xf>
    <xf numFmtId="166" fontId="0" fillId="0" borderId="0" xfId="0" applyNumberFormat="1"/>
    <xf numFmtId="0" fontId="3" fillId="4" borderId="9" xfId="0" applyFont="1" applyFill="1" applyBorder="1" applyAlignment="1">
      <alignment horizontal="center"/>
    </xf>
    <xf numFmtId="166" fontId="0" fillId="0" borderId="0" xfId="0" applyNumberFormat="1" applyAlignment="1">
      <alignment horizontal="center"/>
    </xf>
    <xf numFmtId="10" fontId="3" fillId="4" borderId="17" xfId="0" applyNumberFormat="1" applyFont="1" applyFill="1" applyBorder="1" applyAlignment="1">
      <alignment horizontal="center"/>
    </xf>
    <xf numFmtId="10" fontId="3" fillId="4" borderId="18" xfId="0" applyNumberFormat="1" applyFont="1" applyFill="1" applyBorder="1" applyAlignment="1">
      <alignment horizontal="center"/>
    </xf>
    <xf numFmtId="3" fontId="3" fillId="4" borderId="17" xfId="0" applyNumberFormat="1" applyFont="1" applyFill="1" applyBorder="1" applyAlignment="1">
      <alignment horizontal="center"/>
    </xf>
    <xf numFmtId="3" fontId="3" fillId="4" borderId="18" xfId="0" applyNumberFormat="1" applyFont="1" applyFill="1" applyBorder="1" applyAlignment="1">
      <alignment horizontal="center"/>
    </xf>
    <xf numFmtId="4" fontId="3" fillId="4" borderId="17" xfId="0" applyNumberFormat="1" applyFont="1" applyFill="1" applyBorder="1" applyAlignment="1">
      <alignment horizontal="center"/>
    </xf>
    <xf numFmtId="4" fontId="3" fillId="4" borderId="18" xfId="0" applyNumberFormat="1" applyFont="1" applyFill="1" applyBorder="1" applyAlignment="1">
      <alignment horizontal="center"/>
    </xf>
    <xf numFmtId="4" fontId="0" fillId="0" borderId="9" xfId="0" applyNumberFormat="1" applyBorder="1" applyAlignment="1">
      <alignment horizontal="center"/>
    </xf>
    <xf numFmtId="4" fontId="3" fillId="4" borderId="9" xfId="0" applyNumberFormat="1" applyFont="1" applyFill="1" applyBorder="1" applyAlignment="1">
      <alignment horizontal="center"/>
    </xf>
    <xf numFmtId="0" fontId="3" fillId="4" borderId="14" xfId="0" applyFont="1" applyFill="1" applyBorder="1" applyAlignment="1">
      <alignment horizontal="center"/>
    </xf>
    <xf numFmtId="0" fontId="3" fillId="4" borderId="15" xfId="0" applyFont="1" applyFill="1" applyBorder="1" applyAlignment="1">
      <alignment horizontal="center"/>
    </xf>
    <xf numFmtId="0" fontId="3" fillId="4" borderId="16" xfId="0" applyFont="1" applyFill="1" applyBorder="1" applyAlignment="1">
      <alignment horizontal="center"/>
    </xf>
    <xf numFmtId="0" fontId="3" fillId="4" borderId="19" xfId="0" applyFont="1" applyFill="1" applyBorder="1"/>
    <xf numFmtId="0" fontId="1" fillId="8" borderId="3" xfId="0" applyFont="1" applyFill="1" applyBorder="1"/>
    <xf numFmtId="0" fontId="0" fillId="0" borderId="10" xfId="0" applyBorder="1"/>
    <xf numFmtId="0" fontId="3" fillId="4" borderId="23" xfId="0" applyFont="1" applyFill="1" applyBorder="1" applyAlignment="1">
      <alignment horizontal="center"/>
    </xf>
    <xf numFmtId="0" fontId="3" fillId="4" borderId="20" xfId="0" applyFont="1" applyFill="1" applyBorder="1"/>
    <xf numFmtId="0" fontId="3" fillId="4" borderId="24" xfId="0" applyFont="1" applyFill="1" applyBorder="1"/>
    <xf numFmtId="0" fontId="18" fillId="0" borderId="10" xfId="0" applyFont="1" applyBorder="1" applyAlignment="1">
      <alignment horizontal="centerContinuous"/>
    </xf>
    <xf numFmtId="0" fontId="18" fillId="0" borderId="11" xfId="0" applyFont="1" applyBorder="1" applyAlignment="1">
      <alignment horizontal="centerContinuous"/>
    </xf>
    <xf numFmtId="0" fontId="1" fillId="8" borderId="0" xfId="0" applyFont="1" applyFill="1"/>
    <xf numFmtId="0" fontId="3" fillId="4" borderId="0" xfId="0" applyFont="1" applyFill="1" applyAlignment="1">
      <alignment horizontal="center"/>
    </xf>
    <xf numFmtId="0" fontId="3" fillId="0" borderId="0" xfId="0" applyFont="1" applyAlignment="1">
      <alignment horizontal="center"/>
    </xf>
    <xf numFmtId="0" fontId="18" fillId="0" borderId="12" xfId="0" applyFont="1" applyBorder="1" applyAlignment="1">
      <alignment horizontal="centerContinuous"/>
    </xf>
    <xf numFmtId="0" fontId="1" fillId="8" borderId="11" xfId="0" applyFont="1" applyFill="1" applyBorder="1"/>
    <xf numFmtId="166" fontId="1" fillId="2" borderId="0" xfId="0" applyNumberFormat="1" applyFont="1" applyFill="1" applyAlignment="1">
      <alignment horizontal="center"/>
    </xf>
    <xf numFmtId="0" fontId="1" fillId="2" borderId="0" xfId="0" applyFont="1" applyFill="1" applyAlignment="1">
      <alignment horizontal="center"/>
    </xf>
    <xf numFmtId="0" fontId="0" fillId="7" borderId="1" xfId="0" applyFill="1" applyBorder="1"/>
    <xf numFmtId="0" fontId="1" fillId="7" borderId="1" xfId="0" applyFont="1" applyFill="1" applyBorder="1" applyAlignment="1">
      <alignment horizontal="center"/>
    </xf>
    <xf numFmtId="0" fontId="1" fillId="7" borderId="1" xfId="0" applyFont="1" applyFill="1" applyBorder="1"/>
    <xf numFmtId="0" fontId="10" fillId="0" borderId="14" xfId="0" applyFont="1" applyBorder="1"/>
    <xf numFmtId="0" fontId="10" fillId="0" borderId="15" xfId="0" applyFont="1" applyBorder="1"/>
    <xf numFmtId="0" fontId="0" fillId="0" borderId="0" xfId="0" applyAlignment="1">
      <alignment vertical="center"/>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10" fillId="0" borderId="14" xfId="0" applyFont="1" applyBorder="1" applyAlignment="1">
      <alignment horizontal="center"/>
    </xf>
    <xf numFmtId="0" fontId="10" fillId="0" borderId="15" xfId="0" applyFont="1" applyBorder="1" applyAlignment="1">
      <alignment horizontal="center"/>
    </xf>
    <xf numFmtId="0" fontId="10" fillId="0" borderId="16" xfId="0" applyFont="1" applyBorder="1" applyAlignment="1">
      <alignment horizontal="center"/>
    </xf>
    <xf numFmtId="0" fontId="2" fillId="0" borderId="14" xfId="0" applyFont="1" applyBorder="1" applyAlignment="1">
      <alignment horizontal="center" vertical="center" wrapText="1"/>
    </xf>
    <xf numFmtId="170" fontId="19" fillId="10" borderId="2" xfId="0" applyNumberFormat="1" applyFont="1" applyFill="1" applyBorder="1" applyAlignment="1">
      <alignment horizontal="center" wrapText="1"/>
    </xf>
    <xf numFmtId="170" fontId="5" fillId="10" borderId="15" xfId="0" applyNumberFormat="1" applyFont="1" applyFill="1" applyBorder="1" applyAlignment="1">
      <alignment horizontal="right"/>
    </xf>
    <xf numFmtId="170" fontId="19" fillId="0" borderId="2" xfId="0" applyNumberFormat="1" applyFont="1" applyBorder="1" applyAlignment="1">
      <alignment horizontal="center" vertical="center" wrapText="1"/>
    </xf>
    <xf numFmtId="0" fontId="2" fillId="0" borderId="14" xfId="0" applyFont="1" applyBorder="1" applyAlignment="1">
      <alignment vertical="top"/>
    </xf>
    <xf numFmtId="0" fontId="2" fillId="0" borderId="15" xfId="0" applyFont="1" applyBorder="1" applyAlignment="1">
      <alignment vertical="top"/>
    </xf>
    <xf numFmtId="0" fontId="2" fillId="0" borderId="16" xfId="0" applyFont="1" applyBorder="1" applyAlignment="1">
      <alignment vertical="top"/>
    </xf>
    <xf numFmtId="170" fontId="5" fillId="10" borderId="16" xfId="0" applyNumberFormat="1" applyFont="1" applyFill="1" applyBorder="1" applyAlignment="1">
      <alignment horizontal="right"/>
    </xf>
    <xf numFmtId="0" fontId="2" fillId="0" borderId="0" xfId="0" applyFont="1" applyAlignment="1">
      <alignment horizontal="center" wrapText="1"/>
    </xf>
    <xf numFmtId="0" fontId="2" fillId="10" borderId="2" xfId="0" applyFont="1" applyFill="1" applyBorder="1" applyAlignment="1">
      <alignment horizontal="center"/>
    </xf>
    <xf numFmtId="0" fontId="17" fillId="10" borderId="3" xfId="0" applyFont="1" applyFill="1" applyBorder="1" applyAlignment="1">
      <alignment horizontal="center" wrapText="1"/>
    </xf>
    <xf numFmtId="0" fontId="17" fillId="10" borderId="1" xfId="0" applyFont="1" applyFill="1" applyBorder="1" applyAlignment="1">
      <alignment horizontal="center" wrapText="1"/>
    </xf>
    <xf numFmtId="0" fontId="2" fillId="10" borderId="1" xfId="0" applyFont="1" applyFill="1" applyBorder="1" applyAlignment="1">
      <alignment horizontal="center" wrapText="1"/>
    </xf>
    <xf numFmtId="0" fontId="2" fillId="10" borderId="4" xfId="0" applyFont="1" applyFill="1" applyBorder="1" applyAlignment="1">
      <alignment horizontal="center" wrapText="1"/>
    </xf>
    <xf numFmtId="0" fontId="2" fillId="10" borderId="3" xfId="0" applyFont="1" applyFill="1" applyBorder="1" applyAlignment="1">
      <alignment horizontal="center" wrapText="1"/>
    </xf>
    <xf numFmtId="0" fontId="18" fillId="0" borderId="0" xfId="0" applyFont="1" applyAlignment="1">
      <alignment horizontal="centerContinuous"/>
    </xf>
    <xf numFmtId="10" fontId="0" fillId="0" borderId="0" xfId="0" applyNumberFormat="1"/>
    <xf numFmtId="10" fontId="10" fillId="0" borderId="9" xfId="0" applyNumberFormat="1" applyFont="1" applyBorder="1" applyAlignment="1">
      <alignment horizontal="center"/>
    </xf>
    <xf numFmtId="3" fontId="3" fillId="4" borderId="24" xfId="0" applyNumberFormat="1" applyFont="1" applyFill="1" applyBorder="1"/>
    <xf numFmtId="9" fontId="3" fillId="4" borderId="24" xfId="0" applyNumberFormat="1" applyFont="1" applyFill="1" applyBorder="1"/>
    <xf numFmtId="3" fontId="3" fillId="4" borderId="20" xfId="0" applyNumberFormat="1" applyFont="1" applyFill="1" applyBorder="1"/>
    <xf numFmtId="9" fontId="3" fillId="4" borderId="26" xfId="0" applyNumberFormat="1" applyFont="1" applyFill="1" applyBorder="1" applyAlignment="1">
      <alignment horizontal="center"/>
    </xf>
    <xf numFmtId="9" fontId="3" fillId="4" borderId="22" xfId="0" applyNumberFormat="1" applyFont="1" applyFill="1" applyBorder="1" applyAlignment="1">
      <alignment horizontal="center"/>
    </xf>
    <xf numFmtId="9" fontId="3" fillId="4" borderId="25" xfId="0" applyNumberFormat="1" applyFont="1" applyFill="1" applyBorder="1" applyAlignment="1">
      <alignment horizontal="center"/>
    </xf>
    <xf numFmtId="9" fontId="3" fillId="4" borderId="10" xfId="0" applyNumberFormat="1" applyFont="1" applyFill="1" applyBorder="1" applyAlignment="1">
      <alignment horizontal="center"/>
    </xf>
    <xf numFmtId="9" fontId="3" fillId="4" borderId="0" xfId="0" applyNumberFormat="1" applyFont="1" applyFill="1" applyAlignment="1">
      <alignment horizontal="center"/>
    </xf>
    <xf numFmtId="9" fontId="3" fillId="4" borderId="11" xfId="0" applyNumberFormat="1" applyFont="1" applyFill="1" applyBorder="1" applyAlignment="1">
      <alignment horizontal="center"/>
    </xf>
    <xf numFmtId="9" fontId="3" fillId="4" borderId="12" xfId="0" applyNumberFormat="1" applyFont="1" applyFill="1" applyBorder="1" applyAlignment="1">
      <alignment horizontal="center"/>
    </xf>
    <xf numFmtId="9" fontId="3" fillId="4" borderId="8" xfId="0" applyNumberFormat="1" applyFont="1" applyFill="1" applyBorder="1" applyAlignment="1">
      <alignment horizontal="center"/>
    </xf>
    <xf numFmtId="9" fontId="3" fillId="4" borderId="13" xfId="0" applyNumberFormat="1" applyFont="1" applyFill="1" applyBorder="1" applyAlignment="1">
      <alignment horizontal="center"/>
    </xf>
    <xf numFmtId="0" fontId="20" fillId="0" borderId="0" xfId="0" applyFont="1" applyAlignment="1">
      <alignment horizontal="centerContinuous"/>
    </xf>
    <xf numFmtId="0" fontId="2" fillId="11" borderId="0" xfId="0" applyFont="1" applyFill="1"/>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3" fontId="3" fillId="4" borderId="26" xfId="0" applyNumberFormat="1" applyFont="1" applyFill="1" applyBorder="1" applyAlignment="1">
      <alignment horizontal="center"/>
    </xf>
    <xf numFmtId="3" fontId="3" fillId="4" borderId="22" xfId="0" applyNumberFormat="1" applyFont="1" applyFill="1" applyBorder="1" applyAlignment="1">
      <alignment horizontal="center"/>
    </xf>
    <xf numFmtId="3" fontId="3" fillId="4" borderId="25" xfId="0" applyNumberFormat="1" applyFont="1" applyFill="1" applyBorder="1" applyAlignment="1">
      <alignment horizontal="center"/>
    </xf>
    <xf numFmtId="3" fontId="3" fillId="4" borderId="10" xfId="0" applyNumberFormat="1" applyFont="1" applyFill="1" applyBorder="1" applyAlignment="1">
      <alignment horizontal="center"/>
    </xf>
    <xf numFmtId="3" fontId="3" fillId="4" borderId="0" xfId="0" applyNumberFormat="1" applyFont="1" applyFill="1" applyAlignment="1">
      <alignment horizontal="center"/>
    </xf>
    <xf numFmtId="3" fontId="3" fillId="4" borderId="11" xfId="0" applyNumberFormat="1" applyFont="1" applyFill="1" applyBorder="1" applyAlignment="1">
      <alignment horizontal="center"/>
    </xf>
    <xf numFmtId="3" fontId="3" fillId="4" borderId="12" xfId="0" applyNumberFormat="1" applyFont="1" applyFill="1" applyBorder="1" applyAlignment="1">
      <alignment horizontal="center"/>
    </xf>
    <xf numFmtId="3" fontId="3" fillId="4" borderId="8" xfId="0" applyNumberFormat="1" applyFont="1" applyFill="1" applyBorder="1" applyAlignment="1">
      <alignment horizontal="center"/>
    </xf>
    <xf numFmtId="3" fontId="3" fillId="4" borderId="13" xfId="0" applyNumberFormat="1" applyFont="1" applyFill="1" applyBorder="1" applyAlignment="1">
      <alignment horizontal="center"/>
    </xf>
    <xf numFmtId="166" fontId="3" fillId="0" borderId="0" xfId="0" applyNumberFormat="1" applyFont="1" applyAlignment="1">
      <alignment horizontal="center"/>
    </xf>
    <xf numFmtId="10" fontId="3" fillId="0" borderId="0" xfId="0" applyNumberFormat="1" applyFont="1" applyAlignment="1">
      <alignment horizontal="center"/>
    </xf>
    <xf numFmtId="10" fontId="0" fillId="0" borderId="0" xfId="0" applyNumberFormat="1" applyAlignment="1">
      <alignment horizontal="center"/>
    </xf>
    <xf numFmtId="0" fontId="5" fillId="0" borderId="0" xfId="0" applyFont="1"/>
    <xf numFmtId="171" fontId="3" fillId="4" borderId="9" xfId="0" applyNumberFormat="1" applyFont="1" applyFill="1" applyBorder="1" applyAlignment="1">
      <alignment horizontal="center"/>
    </xf>
    <xf numFmtId="0" fontId="3" fillId="4" borderId="9" xfId="0" applyFont="1" applyFill="1" applyBorder="1" applyAlignment="1">
      <alignment horizontal="center" vertical="center"/>
    </xf>
    <xf numFmtId="0" fontId="0" fillId="0" borderId="11" xfId="0" applyBorder="1"/>
    <xf numFmtId="0" fontId="0" fillId="0" borderId="0" xfId="0" applyAlignment="1">
      <alignment horizontal="right"/>
    </xf>
    <xf numFmtId="0" fontId="0" fillId="10" borderId="1" xfId="0" applyFill="1" applyBorder="1"/>
    <xf numFmtId="10" fontId="0" fillId="0" borderId="22" xfId="0" applyNumberFormat="1" applyBorder="1"/>
    <xf numFmtId="4" fontId="0" fillId="0" borderId="0" xfId="0" applyNumberFormat="1"/>
    <xf numFmtId="0" fontId="21" fillId="2" borderId="0" xfId="0" applyFont="1" applyFill="1" applyAlignment="1">
      <alignment horizontal="centerContinuous"/>
    </xf>
    <xf numFmtId="0" fontId="1" fillId="2" borderId="0" xfId="0" applyFont="1" applyFill="1" applyAlignment="1">
      <alignment horizontal="center" wrapText="1"/>
    </xf>
    <xf numFmtId="0" fontId="3" fillId="4" borderId="15" xfId="0" applyFont="1" applyFill="1" applyBorder="1" applyAlignment="1">
      <alignment horizontal="center" vertical="center"/>
    </xf>
    <xf numFmtId="169" fontId="3" fillId="4" borderId="10" xfId="0" applyNumberFormat="1" applyFont="1" applyFill="1" applyBorder="1" applyAlignment="1">
      <alignment horizontal="right"/>
    </xf>
    <xf numFmtId="0" fontId="0" fillId="10" borderId="3" xfId="0" applyFill="1" applyBorder="1"/>
    <xf numFmtId="0" fontId="0" fillId="10" borderId="4" xfId="0" applyFill="1" applyBorder="1"/>
    <xf numFmtId="0" fontId="2" fillId="0" borderId="14" xfId="0" applyFont="1" applyBorder="1" applyAlignment="1">
      <alignment horizontal="center" vertical="center"/>
    </xf>
    <xf numFmtId="0" fontId="17" fillId="0" borderId="26" xfId="0" applyFont="1" applyBorder="1" applyAlignment="1">
      <alignment horizontal="center" vertical="center" wrapText="1"/>
    </xf>
    <xf numFmtId="0" fontId="17" fillId="0" borderId="22"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0" xfId="0" applyFont="1" applyAlignment="1">
      <alignment horizontal="center" vertical="center" wrapText="1"/>
    </xf>
    <xf numFmtId="0" fontId="2" fillId="0" borderId="25" xfId="0" applyFont="1" applyBorder="1" applyAlignment="1">
      <alignment horizontal="center" vertical="center" wrapText="1"/>
    </xf>
    <xf numFmtId="0" fontId="0" fillId="0" borderId="0" xfId="0" applyAlignment="1">
      <alignment horizontal="center" vertical="center"/>
    </xf>
    <xf numFmtId="0" fontId="2" fillId="0" borderId="1" xfId="0" applyFont="1" applyBorder="1" applyAlignment="1">
      <alignment horizontal="center" vertical="center" wrapText="1"/>
    </xf>
    <xf numFmtId="0" fontId="2" fillId="0" borderId="4" xfId="0" applyFont="1" applyBorder="1" applyAlignment="1">
      <alignment horizontal="center" vertical="center" wrapText="1"/>
    </xf>
    <xf numFmtId="0" fontId="2" fillId="0" borderId="26" xfId="0" applyFont="1" applyBorder="1" applyAlignment="1">
      <alignment horizontal="center" vertical="center" wrapText="1"/>
    </xf>
    <xf numFmtId="0" fontId="1" fillId="8" borderId="4" xfId="0" applyFont="1" applyFill="1" applyBorder="1"/>
    <xf numFmtId="0" fontId="0" fillId="10" borderId="25" xfId="0" applyFill="1" applyBorder="1"/>
    <xf numFmtId="4" fontId="3" fillId="4" borderId="10" xfId="0" applyNumberFormat="1" applyFont="1" applyFill="1" applyBorder="1" applyAlignment="1">
      <alignment horizontal="right"/>
    </xf>
    <xf numFmtId="0" fontId="10" fillId="0" borderId="11" xfId="0" applyFont="1" applyBorder="1"/>
    <xf numFmtId="0" fontId="17" fillId="10" borderId="4" xfId="0" applyFont="1" applyFill="1" applyBorder="1" applyAlignment="1">
      <alignment horizontal="center" wrapText="1"/>
    </xf>
    <xf numFmtId="3" fontId="3" fillId="4" borderId="10" xfId="0" applyNumberFormat="1" applyFont="1" applyFill="1" applyBorder="1" applyAlignment="1">
      <alignment horizontal="right"/>
    </xf>
    <xf numFmtId="4" fontId="3" fillId="4" borderId="20" xfId="0" applyNumberFormat="1" applyFont="1" applyFill="1" applyBorder="1" applyAlignment="1">
      <alignment horizontal="right"/>
    </xf>
    <xf numFmtId="4" fontId="3" fillId="4" borderId="24" xfId="0" applyNumberFormat="1" applyFont="1" applyFill="1" applyBorder="1" applyAlignment="1">
      <alignment horizontal="right"/>
    </xf>
    <xf numFmtId="169" fontId="3" fillId="4" borderId="20" xfId="0" applyNumberFormat="1" applyFont="1" applyFill="1" applyBorder="1" applyAlignment="1">
      <alignment horizontal="right"/>
    </xf>
    <xf numFmtId="169" fontId="3" fillId="4" borderId="24" xfId="0" applyNumberFormat="1" applyFont="1" applyFill="1" applyBorder="1" applyAlignment="1">
      <alignment horizontal="right"/>
    </xf>
    <xf numFmtId="0" fontId="17" fillId="10" borderId="8" xfId="0" applyFont="1" applyFill="1" applyBorder="1" applyAlignment="1">
      <alignment horizontal="center" wrapText="1"/>
    </xf>
    <xf numFmtId="4" fontId="3" fillId="4" borderId="23" xfId="0" applyNumberFormat="1" applyFont="1" applyFill="1" applyBorder="1" applyAlignment="1">
      <alignment horizontal="right"/>
    </xf>
    <xf numFmtId="3" fontId="3" fillId="4" borderId="23" xfId="0" applyNumberFormat="1" applyFont="1" applyFill="1" applyBorder="1" applyAlignment="1">
      <alignment horizontal="right"/>
    </xf>
    <xf numFmtId="3" fontId="3" fillId="4" borderId="24" xfId="0" applyNumberFormat="1" applyFont="1" applyFill="1" applyBorder="1" applyAlignment="1">
      <alignment horizontal="right"/>
    </xf>
    <xf numFmtId="3" fontId="3" fillId="4" borderId="20" xfId="0" applyNumberFormat="1" applyFont="1" applyFill="1" applyBorder="1" applyAlignment="1">
      <alignment horizontal="right"/>
    </xf>
    <xf numFmtId="0" fontId="1" fillId="12" borderId="3" xfId="0" applyFont="1" applyFill="1" applyBorder="1"/>
    <xf numFmtId="0" fontId="1" fillId="12" borderId="1" xfId="0" applyFont="1" applyFill="1" applyBorder="1"/>
    <xf numFmtId="3" fontId="3" fillId="4" borderId="21" xfId="0" applyNumberFormat="1" applyFont="1" applyFill="1" applyBorder="1" applyAlignment="1">
      <alignment horizontal="right"/>
    </xf>
    <xf numFmtId="0" fontId="0" fillId="0" borderId="10" xfId="0" applyBorder="1" applyAlignment="1">
      <alignment horizontal="right"/>
    </xf>
    <xf numFmtId="0" fontId="1" fillId="12" borderId="4" xfId="0" applyFont="1" applyFill="1" applyBorder="1"/>
    <xf numFmtId="0" fontId="1" fillId="13" borderId="3" xfId="0" applyFont="1" applyFill="1" applyBorder="1"/>
    <xf numFmtId="0" fontId="1" fillId="13" borderId="1" xfId="0" applyFont="1" applyFill="1" applyBorder="1"/>
    <xf numFmtId="0" fontId="0" fillId="0" borderId="26" xfId="0" applyBorder="1"/>
    <xf numFmtId="0" fontId="1" fillId="13" borderId="4" xfId="0" applyFont="1" applyFill="1" applyBorder="1"/>
    <xf numFmtId="9" fontId="0" fillId="0" borderId="20" xfId="0" applyNumberFormat="1" applyBorder="1"/>
    <xf numFmtId="9" fontId="0" fillId="0" borderId="24" xfId="0" applyNumberFormat="1" applyBorder="1"/>
    <xf numFmtId="9" fontId="3" fillId="4" borderId="20" xfId="0" applyNumberFormat="1" applyFont="1" applyFill="1" applyBorder="1"/>
    <xf numFmtId="4" fontId="0" fillId="0" borderId="28" xfId="0" applyNumberFormat="1" applyBorder="1"/>
    <xf numFmtId="4" fontId="0" fillId="0" borderId="29" xfId="0" applyNumberFormat="1" applyBorder="1"/>
    <xf numFmtId="0" fontId="1" fillId="14" borderId="3" xfId="0" applyFont="1" applyFill="1" applyBorder="1"/>
    <xf numFmtId="0" fontId="1" fillId="14" borderId="1" xfId="0" applyFont="1" applyFill="1" applyBorder="1"/>
    <xf numFmtId="0" fontId="1" fillId="14" borderId="4" xfId="0" applyFont="1" applyFill="1" applyBorder="1"/>
    <xf numFmtId="0" fontId="22" fillId="14" borderId="3" xfId="0" applyFont="1" applyFill="1" applyBorder="1"/>
    <xf numFmtId="0" fontId="3" fillId="0" borderId="31" xfId="0" applyFont="1" applyBorder="1"/>
    <xf numFmtId="0" fontId="3" fillId="4" borderId="29" xfId="0" applyFont="1" applyFill="1" applyBorder="1"/>
    <xf numFmtId="9" fontId="3" fillId="4" borderId="9" xfId="0" applyNumberFormat="1" applyFont="1" applyFill="1" applyBorder="1" applyAlignment="1">
      <alignment horizontal="center"/>
    </xf>
    <xf numFmtId="0" fontId="17" fillId="10" borderId="30" xfId="0" applyFont="1" applyFill="1" applyBorder="1" applyAlignment="1">
      <alignment horizontal="center" wrapText="1"/>
    </xf>
    <xf numFmtId="0" fontId="3" fillId="4" borderId="14" xfId="0" applyFont="1" applyFill="1" applyBorder="1" applyAlignment="1">
      <alignment horizontal="center" vertical="center"/>
    </xf>
    <xf numFmtId="0" fontId="20" fillId="0" borderId="11" xfId="0" applyFont="1" applyBorder="1" applyAlignment="1">
      <alignment horizontal="centerContinuous"/>
    </xf>
    <xf numFmtId="0" fontId="18" fillId="0" borderId="15" xfId="0" applyFont="1" applyBorder="1" applyAlignment="1">
      <alignment horizontal="centerContinuous"/>
    </xf>
    <xf numFmtId="0" fontId="10" fillId="0" borderId="14" xfId="0" applyFont="1" applyBorder="1" applyAlignment="1">
      <alignment horizontal="center" vertical="center"/>
    </xf>
    <xf numFmtId="0" fontId="10" fillId="0" borderId="15" xfId="0" applyFont="1" applyBorder="1" applyAlignment="1">
      <alignment horizontal="center" vertical="center"/>
    </xf>
    <xf numFmtId="0" fontId="10" fillId="0" borderId="10" xfId="0" applyFont="1" applyBorder="1"/>
    <xf numFmtId="0" fontId="1" fillId="15" borderId="2" xfId="0" applyFont="1" applyFill="1" applyBorder="1" applyAlignment="1">
      <alignment horizontal="center"/>
    </xf>
    <xf numFmtId="0" fontId="12" fillId="0" borderId="11" xfId="0" applyFont="1" applyBorder="1" applyAlignment="1">
      <alignment horizontal="center"/>
    </xf>
    <xf numFmtId="0" fontId="18" fillId="0" borderId="8" xfId="0" applyFont="1" applyBorder="1" applyAlignment="1">
      <alignment horizontal="centerContinuous"/>
    </xf>
    <xf numFmtId="0" fontId="17" fillId="0" borderId="1" xfId="0" applyFont="1" applyBorder="1" applyAlignment="1">
      <alignment horizontal="center" vertical="center" wrapText="1"/>
    </xf>
    <xf numFmtId="165" fontId="3" fillId="4" borderId="20" xfId="0" applyNumberFormat="1" applyFont="1" applyFill="1" applyBorder="1"/>
    <xf numFmtId="165" fontId="3" fillId="4" borderId="24" xfId="0" applyNumberFormat="1" applyFont="1" applyFill="1" applyBorder="1"/>
    <xf numFmtId="0" fontId="10" fillId="0" borderId="9" xfId="0" applyFont="1" applyBorder="1" applyAlignment="1">
      <alignment horizontal="center"/>
    </xf>
    <xf numFmtId="9" fontId="0" fillId="2" borderId="0" xfId="0" applyNumberFormat="1" applyFill="1" applyAlignment="1">
      <alignment horizontal="center"/>
    </xf>
    <xf numFmtId="165" fontId="10" fillId="0" borderId="14" xfId="0" applyNumberFormat="1" applyFont="1" applyBorder="1"/>
    <xf numFmtId="165" fontId="10" fillId="0" borderId="15" xfId="0" applyNumberFormat="1" applyFont="1" applyBorder="1"/>
    <xf numFmtId="0" fontId="2" fillId="16" borderId="2" xfId="0" applyFont="1" applyFill="1" applyBorder="1" applyAlignment="1">
      <alignment horizontal="centerContinuous"/>
    </xf>
    <xf numFmtId="0" fontId="1" fillId="16" borderId="2" xfId="0" applyFont="1" applyFill="1" applyBorder="1" applyAlignment="1">
      <alignment horizontal="centerContinuous"/>
    </xf>
    <xf numFmtId="3" fontId="0" fillId="0" borderId="0" xfId="0" applyNumberFormat="1" applyAlignment="1">
      <alignment horizontal="center"/>
    </xf>
    <xf numFmtId="0" fontId="1" fillId="0" borderId="0" xfId="0" applyFont="1" applyAlignment="1">
      <alignment horizontal="center"/>
    </xf>
    <xf numFmtId="0" fontId="1" fillId="0" borderId="0" xfId="0" applyFont="1"/>
    <xf numFmtId="173" fontId="0" fillId="0" borderId="0" xfId="0" quotePrefix="1" applyNumberFormat="1"/>
    <xf numFmtId="174" fontId="0" fillId="0" borderId="0" xfId="0" quotePrefix="1" applyNumberFormat="1"/>
    <xf numFmtId="165" fontId="10" fillId="16" borderId="14" xfId="0" applyNumberFormat="1" applyFont="1" applyFill="1" applyBorder="1"/>
    <xf numFmtId="165" fontId="10" fillId="16" borderId="15" xfId="0" applyNumberFormat="1" applyFont="1" applyFill="1" applyBorder="1"/>
    <xf numFmtId="0" fontId="0" fillId="16" borderId="0" xfId="0" applyFill="1"/>
    <xf numFmtId="0" fontId="10" fillId="0" borderId="0" xfId="0" applyFont="1" applyAlignment="1">
      <alignment horizontal="center"/>
    </xf>
    <xf numFmtId="0" fontId="1" fillId="17" borderId="0" xfId="0" applyFont="1" applyFill="1" applyAlignment="1">
      <alignment horizontal="center"/>
    </xf>
    <xf numFmtId="0" fontId="0" fillId="0" borderId="2" xfId="0" applyBorder="1"/>
    <xf numFmtId="3" fontId="2" fillId="0" borderId="14" xfId="0" applyNumberFormat="1" applyFont="1" applyBorder="1" applyAlignment="1">
      <alignment vertical="top"/>
    </xf>
    <xf numFmtId="170" fontId="19" fillId="0" borderId="14" xfId="0" applyNumberFormat="1" applyFont="1" applyBorder="1" applyAlignment="1">
      <alignment horizontal="center" vertical="center" wrapText="1"/>
    </xf>
    <xf numFmtId="3" fontId="2" fillId="0" borderId="15" xfId="0" applyNumberFormat="1" applyFont="1" applyBorder="1" applyAlignment="1">
      <alignment vertical="top"/>
    </xf>
    <xf numFmtId="165" fontId="0" fillId="0" borderId="14" xfId="0" applyNumberFormat="1" applyBorder="1"/>
    <xf numFmtId="165" fontId="0" fillId="0" borderId="15" xfId="0" applyNumberFormat="1" applyBorder="1"/>
    <xf numFmtId="3" fontId="2" fillId="0" borderId="14" xfId="0" quotePrefix="1" applyNumberFormat="1" applyFont="1" applyBorder="1" applyAlignment="1">
      <alignment vertical="top"/>
    </xf>
    <xf numFmtId="3" fontId="2" fillId="0" borderId="15" xfId="0" quotePrefix="1" applyNumberFormat="1" applyFont="1" applyBorder="1" applyAlignment="1">
      <alignment vertical="top"/>
    </xf>
    <xf numFmtId="4" fontId="3" fillId="4" borderId="24" xfId="0" applyNumberFormat="1" applyFont="1" applyFill="1" applyBorder="1"/>
    <xf numFmtId="4" fontId="3" fillId="4" borderId="23" xfId="0" applyNumberFormat="1" applyFont="1" applyFill="1" applyBorder="1"/>
    <xf numFmtId="3" fontId="3" fillId="4" borderId="31" xfId="0" applyNumberFormat="1" applyFont="1" applyFill="1" applyBorder="1"/>
    <xf numFmtId="0" fontId="0" fillId="10" borderId="22" xfId="0" applyFill="1" applyBorder="1"/>
    <xf numFmtId="3" fontId="0" fillId="0" borderId="20" xfId="0" applyNumberFormat="1" applyBorder="1"/>
    <xf numFmtId="3" fontId="0" fillId="0" borderId="24" xfId="0" applyNumberFormat="1" applyBorder="1"/>
    <xf numFmtId="0" fontId="18" fillId="0" borderId="13" xfId="0" applyFont="1" applyBorder="1" applyAlignment="1">
      <alignment horizontal="centerContinuous"/>
    </xf>
    <xf numFmtId="4" fontId="3" fillId="4" borderId="20" xfId="0" applyNumberFormat="1" applyFont="1" applyFill="1" applyBorder="1"/>
    <xf numFmtId="0" fontId="2" fillId="0" borderId="1" xfId="0" applyFont="1" applyBorder="1"/>
    <xf numFmtId="174" fontId="2" fillId="0" borderId="1" xfId="0" applyNumberFormat="1" applyFont="1" applyBorder="1"/>
    <xf numFmtId="0" fontId="12" fillId="0" borderId="0" xfId="0" quotePrefix="1" applyFont="1"/>
    <xf numFmtId="0" fontId="0" fillId="10" borderId="2" xfId="0" applyFill="1" applyBorder="1"/>
    <xf numFmtId="174" fontId="13" fillId="0" borderId="0" xfId="0" applyNumberFormat="1" applyFont="1"/>
    <xf numFmtId="0" fontId="13" fillId="0" borderId="0" xfId="0" applyFont="1"/>
    <xf numFmtId="3" fontId="0" fillId="0" borderId="0" xfId="0" applyNumberFormat="1"/>
    <xf numFmtId="0" fontId="2" fillId="10" borderId="22" xfId="0" applyFont="1" applyFill="1" applyBorder="1" applyAlignment="1">
      <alignment horizontal="center" wrapText="1"/>
    </xf>
    <xf numFmtId="167" fontId="0" fillId="0" borderId="0" xfId="0" applyNumberFormat="1"/>
    <xf numFmtId="167" fontId="0" fillId="0" borderId="25" xfId="0" applyNumberFormat="1" applyBorder="1"/>
    <xf numFmtId="167" fontId="0" fillId="0" borderId="11" xfId="0" applyNumberFormat="1" applyBorder="1"/>
    <xf numFmtId="0" fontId="23" fillId="0" borderId="8" xfId="0" applyFont="1" applyBorder="1" applyAlignment="1">
      <alignment horizontal="centerContinuous"/>
    </xf>
    <xf numFmtId="3" fontId="3" fillId="4" borderId="26" xfId="0" applyNumberFormat="1" applyFont="1" applyFill="1" applyBorder="1" applyAlignment="1">
      <alignment horizontal="right"/>
    </xf>
    <xf numFmtId="0" fontId="0" fillId="0" borderId="9" xfId="0" applyBorder="1" applyAlignment="1">
      <alignment horizontal="center"/>
    </xf>
    <xf numFmtId="0" fontId="12" fillId="0" borderId="0" xfId="0" applyFont="1" applyAlignment="1">
      <alignment horizontal="center"/>
    </xf>
    <xf numFmtId="0" fontId="0" fillId="0" borderId="1" xfId="0" applyBorder="1"/>
    <xf numFmtId="0" fontId="0" fillId="0" borderId="22" xfId="0" applyBorder="1"/>
    <xf numFmtId="0" fontId="2" fillId="0" borderId="8" xfId="0" applyFont="1" applyBorder="1" applyAlignment="1">
      <alignment horizontal="center" vertical="center" wrapText="1"/>
    </xf>
    <xf numFmtId="175" fontId="0" fillId="0" borderId="21" xfId="0" quotePrefix="1" applyNumberFormat="1" applyBorder="1"/>
    <xf numFmtId="175" fontId="0" fillId="0" borderId="23" xfId="0" quotePrefix="1" applyNumberFormat="1" applyBorder="1"/>
    <xf numFmtId="4" fontId="0" fillId="0" borderId="22" xfId="0" quotePrefix="1" applyNumberFormat="1" applyBorder="1"/>
    <xf numFmtId="176" fontId="0" fillId="0" borderId="22" xfId="0" applyNumberFormat="1" applyBorder="1"/>
    <xf numFmtId="176" fontId="0" fillId="0" borderId="0" xfId="0" applyNumberFormat="1"/>
    <xf numFmtId="176" fontId="0" fillId="0" borderId="26" xfId="0" applyNumberFormat="1" applyBorder="1"/>
    <xf numFmtId="176" fontId="0" fillId="0" borderId="10" xfId="0" applyNumberFormat="1" applyBorder="1"/>
    <xf numFmtId="4" fontId="10" fillId="0" borderId="0" xfId="0" applyNumberFormat="1" applyFont="1"/>
    <xf numFmtId="167" fontId="10" fillId="0" borderId="0" xfId="0" applyNumberFormat="1" applyFont="1"/>
    <xf numFmtId="167" fontId="10" fillId="0" borderId="22" xfId="0" applyNumberFormat="1" applyFont="1" applyBorder="1"/>
    <xf numFmtId="3" fontId="3" fillId="4" borderId="9" xfId="0" applyNumberFormat="1" applyFont="1" applyFill="1" applyBorder="1" applyAlignment="1">
      <alignment horizontal="right"/>
    </xf>
    <xf numFmtId="10" fontId="10" fillId="0" borderId="11" xfId="0" applyNumberFormat="1" applyFont="1" applyBorder="1"/>
    <xf numFmtId="167" fontId="0" fillId="0" borderId="21" xfId="0" applyNumberFormat="1" applyBorder="1"/>
    <xf numFmtId="167" fontId="0" fillId="0" borderId="23" xfId="0" applyNumberFormat="1" applyBorder="1"/>
    <xf numFmtId="175" fontId="10" fillId="0" borderId="26" xfId="0" quotePrefix="1" applyNumberFormat="1" applyFont="1" applyBorder="1" applyAlignment="1">
      <alignment horizontal="center"/>
    </xf>
    <xf numFmtId="176" fontId="10" fillId="0" borderId="14" xfId="0" applyNumberFormat="1" applyFont="1" applyBorder="1" applyAlignment="1">
      <alignment horizontal="center"/>
    </xf>
    <xf numFmtId="175" fontId="10" fillId="0" borderId="10" xfId="0" quotePrefix="1" applyNumberFormat="1" applyFont="1" applyBorder="1" applyAlignment="1">
      <alignment horizontal="center"/>
    </xf>
    <xf numFmtId="176" fontId="10" fillId="0" borderId="15" xfId="0" applyNumberFormat="1" applyFont="1" applyBorder="1" applyAlignment="1">
      <alignment horizontal="center"/>
    </xf>
    <xf numFmtId="176" fontId="10" fillId="0" borderId="26" xfId="0" applyNumberFormat="1" applyFont="1" applyBorder="1" applyAlignment="1">
      <alignment horizontal="center"/>
    </xf>
    <xf numFmtId="175" fontId="10" fillId="0" borderId="25" xfId="0" quotePrefix="1" applyNumberFormat="1" applyFont="1" applyBorder="1" applyAlignment="1">
      <alignment horizontal="center"/>
    </xf>
    <xf numFmtId="176" fontId="10" fillId="0" borderId="10" xfId="0" applyNumberFormat="1" applyFont="1" applyBorder="1" applyAlignment="1">
      <alignment horizontal="center"/>
    </xf>
    <xf numFmtId="175" fontId="10" fillId="0" borderId="11" xfId="0" quotePrefix="1" applyNumberFormat="1" applyFont="1" applyBorder="1" applyAlignment="1">
      <alignment horizontal="center"/>
    </xf>
    <xf numFmtId="3" fontId="10" fillId="0" borderId="14" xfId="0" applyNumberFormat="1" applyFont="1" applyBorder="1" applyAlignment="1">
      <alignment horizontal="center"/>
    </xf>
    <xf numFmtId="3" fontId="10" fillId="0" borderId="15" xfId="0" applyNumberFormat="1" applyFont="1" applyBorder="1" applyAlignment="1">
      <alignment horizontal="center"/>
    </xf>
    <xf numFmtId="174" fontId="2" fillId="0" borderId="14" xfId="0" applyNumberFormat="1" applyFont="1" applyBorder="1" applyAlignment="1">
      <alignment vertical="top"/>
    </xf>
    <xf numFmtId="174" fontId="2" fillId="0" borderId="15" xfId="0" applyNumberFormat="1" applyFont="1" applyBorder="1" applyAlignment="1">
      <alignment vertical="top"/>
    </xf>
    <xf numFmtId="0" fontId="0" fillId="0" borderId="14" xfId="0" applyBorder="1"/>
    <xf numFmtId="0" fontId="0" fillId="0" borderId="15" xfId="0" applyBorder="1"/>
    <xf numFmtId="0" fontId="0" fillId="0" borderId="16" xfId="0" applyBorder="1"/>
    <xf numFmtId="170" fontId="19" fillId="0" borderId="2" xfId="0" applyNumberFormat="1" applyFont="1" applyBorder="1" applyAlignment="1">
      <alignment horizontal="center" wrapText="1"/>
    </xf>
    <xf numFmtId="170" fontId="5" fillId="0" borderId="15" xfId="0" applyNumberFormat="1" applyFont="1" applyBorder="1" applyAlignment="1">
      <alignment horizontal="right"/>
    </xf>
    <xf numFmtId="170" fontId="5" fillId="0" borderId="14" xfId="0" applyNumberFormat="1" applyFont="1" applyBorder="1" applyAlignment="1">
      <alignment horizontal="right"/>
    </xf>
    <xf numFmtId="173" fontId="0" fillId="0" borderId="14" xfId="0" quotePrefix="1" applyNumberFormat="1" applyBorder="1" applyAlignment="1">
      <alignment horizontal="center"/>
    </xf>
    <xf numFmtId="173" fontId="0" fillId="0" borderId="15" xfId="0" quotePrefix="1" applyNumberFormat="1" applyBorder="1" applyAlignment="1">
      <alignment horizontal="center"/>
    </xf>
    <xf numFmtId="174" fontId="10" fillId="0" borderId="14" xfId="0" quotePrefix="1" applyNumberFormat="1" applyFont="1" applyBorder="1" applyAlignment="1">
      <alignment horizontal="center"/>
    </xf>
    <xf numFmtId="174" fontId="10" fillId="0" borderId="15" xfId="0" quotePrefix="1" applyNumberFormat="1" applyFont="1" applyBorder="1" applyAlignment="1">
      <alignment horizontal="center"/>
    </xf>
    <xf numFmtId="174" fontId="10" fillId="0" borderId="25" xfId="0" quotePrefix="1" applyNumberFormat="1" applyFont="1" applyBorder="1" applyAlignment="1">
      <alignment horizontal="center"/>
    </xf>
    <xf numFmtId="174" fontId="10" fillId="0" borderId="11" xfId="0" quotePrefix="1" applyNumberFormat="1" applyFont="1" applyBorder="1" applyAlignment="1">
      <alignment horizontal="center"/>
    </xf>
    <xf numFmtId="170" fontId="19" fillId="0" borderId="0" xfId="0" applyNumberFormat="1" applyFont="1" applyAlignment="1">
      <alignment horizontal="right"/>
    </xf>
    <xf numFmtId="174" fontId="0" fillId="0" borderId="0" xfId="0" applyNumberFormat="1"/>
    <xf numFmtId="0" fontId="17" fillId="10" borderId="25" xfId="0" applyFont="1" applyFill="1" applyBorder="1" applyAlignment="1">
      <alignment horizontal="center" wrapText="1"/>
    </xf>
    <xf numFmtId="0" fontId="1" fillId="16" borderId="14" xfId="0" applyFont="1" applyFill="1" applyBorder="1" applyAlignment="1">
      <alignment horizontal="centerContinuous"/>
    </xf>
    <xf numFmtId="0" fontId="11" fillId="0" borderId="0" xfId="0" applyFont="1"/>
    <xf numFmtId="0" fontId="0" fillId="6" borderId="0" xfId="0" applyFill="1"/>
    <xf numFmtId="9" fontId="3" fillId="4" borderId="24" xfId="0" applyNumberFormat="1" applyFont="1" applyFill="1" applyBorder="1" applyAlignment="1">
      <alignment horizontal="right"/>
    </xf>
    <xf numFmtId="0" fontId="0" fillId="0" borderId="25" xfId="0" applyBorder="1"/>
    <xf numFmtId="0" fontId="0" fillId="0" borderId="13" xfId="0" applyBorder="1"/>
    <xf numFmtId="10" fontId="10" fillId="0" borderId="0" xfId="0" applyNumberFormat="1" applyFont="1"/>
    <xf numFmtId="171" fontId="0" fillId="0" borderId="0" xfId="0" applyNumberFormat="1"/>
    <xf numFmtId="174" fontId="0" fillId="0" borderId="14" xfId="0" quotePrefix="1" applyNumberFormat="1" applyBorder="1"/>
    <xf numFmtId="174" fontId="0" fillId="0" borderId="15" xfId="0" quotePrefix="1" applyNumberFormat="1" applyBorder="1"/>
    <xf numFmtId="3" fontId="0" fillId="0" borderId="0" xfId="0" quotePrefix="1" applyNumberFormat="1"/>
    <xf numFmtId="177" fontId="5" fillId="0" borderId="0" xfId="0" applyNumberFormat="1" applyFont="1" applyAlignment="1">
      <alignment horizontal="right"/>
    </xf>
    <xf numFmtId="178" fontId="0" fillId="0" borderId="0" xfId="0" applyNumberFormat="1"/>
    <xf numFmtId="173" fontId="0" fillId="0" borderId="14" xfId="0" quotePrefix="1" applyNumberFormat="1" applyBorder="1"/>
    <xf numFmtId="173" fontId="0" fillId="0" borderId="15" xfId="0" quotePrefix="1" applyNumberFormat="1" applyBorder="1"/>
    <xf numFmtId="170" fontId="25" fillId="0" borderId="14" xfId="0" applyNumberFormat="1" applyFont="1" applyBorder="1" applyAlignment="1">
      <alignment horizontal="center" vertical="center" wrapText="1"/>
    </xf>
    <xf numFmtId="170" fontId="25" fillId="0" borderId="14" xfId="0" applyNumberFormat="1" applyFont="1" applyBorder="1" applyAlignment="1">
      <alignment horizontal="center" wrapText="1"/>
    </xf>
    <xf numFmtId="0" fontId="0" fillId="0" borderId="10" xfId="0" applyBorder="1" applyAlignment="1">
      <alignment horizontal="centerContinuous"/>
    </xf>
    <xf numFmtId="9" fontId="10" fillId="0" borderId="14" xfId="0" applyNumberFormat="1" applyFont="1" applyBorder="1" applyAlignment="1">
      <alignment horizontal="center"/>
    </xf>
    <xf numFmtId="9" fontId="10" fillId="0" borderId="15" xfId="0" applyNumberFormat="1" applyFont="1" applyBorder="1" applyAlignment="1">
      <alignment horizontal="center"/>
    </xf>
    <xf numFmtId="170" fontId="25" fillId="10" borderId="14" xfId="0" applyNumberFormat="1" applyFont="1" applyFill="1" applyBorder="1" applyAlignment="1">
      <alignment horizontal="center" wrapText="1"/>
    </xf>
    <xf numFmtId="174" fontId="0" fillId="10" borderId="14" xfId="0" quotePrefix="1" applyNumberFormat="1" applyFill="1" applyBorder="1"/>
    <xf numFmtId="174" fontId="0" fillId="10" borderId="15" xfId="0" quotePrefix="1" applyNumberFormat="1" applyFill="1" applyBorder="1"/>
    <xf numFmtId="4" fontId="10" fillId="0" borderId="14" xfId="0" applyNumberFormat="1" applyFont="1" applyBorder="1" applyAlignment="1">
      <alignment horizontal="center"/>
    </xf>
    <xf numFmtId="4" fontId="10" fillId="0" borderId="15" xfId="0" applyNumberFormat="1" applyFont="1" applyBorder="1" applyAlignment="1">
      <alignment horizontal="center"/>
    </xf>
    <xf numFmtId="174" fontId="0" fillId="7" borderId="1" xfId="0" applyNumberFormat="1" applyFill="1" applyBorder="1"/>
    <xf numFmtId="10" fontId="10" fillId="0" borderId="14" xfId="0" applyNumberFormat="1" applyFont="1" applyBorder="1" applyAlignment="1">
      <alignment horizontal="center"/>
    </xf>
    <xf numFmtId="10" fontId="10" fillId="0" borderId="15" xfId="0" applyNumberFormat="1" applyFont="1" applyBorder="1" applyAlignment="1">
      <alignment horizontal="center"/>
    </xf>
    <xf numFmtId="179" fontId="3" fillId="4" borderId="9" xfId="0" applyNumberFormat="1" applyFont="1" applyFill="1" applyBorder="1" applyAlignment="1">
      <alignment horizontal="center"/>
    </xf>
    <xf numFmtId="0" fontId="0" fillId="0" borderId="0" xfId="0" applyAlignment="1">
      <alignment horizontal="left"/>
    </xf>
    <xf numFmtId="3" fontId="3" fillId="4" borderId="27" xfId="0" applyNumberFormat="1" applyFont="1" applyFill="1" applyBorder="1"/>
    <xf numFmtId="3" fontId="3" fillId="4" borderId="19" xfId="0" applyNumberFormat="1" applyFont="1" applyFill="1" applyBorder="1"/>
    <xf numFmtId="170" fontId="5" fillId="0" borderId="0" xfId="0" applyNumberFormat="1" applyFont="1" applyAlignment="1">
      <alignment horizontal="right"/>
    </xf>
    <xf numFmtId="170" fontId="0" fillId="0" borderId="0" xfId="0" applyNumberFormat="1"/>
    <xf numFmtId="0" fontId="0" fillId="0" borderId="12" xfId="0" applyBorder="1"/>
    <xf numFmtId="0" fontId="3" fillId="10" borderId="14" xfId="0" applyFont="1" applyFill="1" applyBorder="1" applyAlignment="1">
      <alignment horizontal="center"/>
    </xf>
    <xf numFmtId="0" fontId="3" fillId="10" borderId="15" xfId="0" applyFont="1" applyFill="1" applyBorder="1" applyAlignment="1">
      <alignment horizontal="center"/>
    </xf>
    <xf numFmtId="0" fontId="17" fillId="0" borderId="0" xfId="0" applyFont="1" applyAlignment="1">
      <alignment horizontal="center" wrapText="1"/>
    </xf>
    <xf numFmtId="0" fontId="17" fillId="10" borderId="13" xfId="0" applyFont="1" applyFill="1" applyBorder="1" applyAlignment="1">
      <alignment horizontal="center" wrapText="1"/>
    </xf>
    <xf numFmtId="0" fontId="17" fillId="10" borderId="12" xfId="0" applyFont="1" applyFill="1" applyBorder="1" applyAlignment="1">
      <alignment horizontal="center" wrapText="1"/>
    </xf>
    <xf numFmtId="0" fontId="17" fillId="10" borderId="2" xfId="0" applyFont="1" applyFill="1" applyBorder="1" applyAlignment="1">
      <alignment horizontal="center" wrapText="1"/>
    </xf>
    <xf numFmtId="0" fontId="24" fillId="6" borderId="0" xfId="0" applyFont="1" applyFill="1"/>
    <xf numFmtId="174" fontId="3" fillId="4" borderId="33" xfId="0" applyNumberFormat="1" applyFont="1" applyFill="1" applyBorder="1"/>
    <xf numFmtId="174" fontId="3" fillId="4" borderId="24" xfId="0" applyNumberFormat="1" applyFont="1" applyFill="1" applyBorder="1"/>
    <xf numFmtId="10" fontId="3" fillId="4" borderId="24" xfId="0" applyNumberFormat="1" applyFont="1" applyFill="1" applyBorder="1"/>
    <xf numFmtId="170" fontId="2" fillId="0" borderId="14" xfId="0" applyNumberFormat="1" applyFont="1" applyBorder="1" applyAlignment="1">
      <alignment horizontal="center" vertical="center" wrapText="1"/>
    </xf>
    <xf numFmtId="170" fontId="2" fillId="0" borderId="2" xfId="0" applyNumberFormat="1" applyFont="1" applyBorder="1" applyAlignment="1">
      <alignment horizontal="center" vertical="center" wrapText="1"/>
    </xf>
    <xf numFmtId="170" fontId="19" fillId="0" borderId="2" xfId="0" applyNumberFormat="1" applyFont="1" applyBorder="1" applyAlignment="1">
      <alignment horizontal="center"/>
    </xf>
    <xf numFmtId="3" fontId="17" fillId="0" borderId="2" xfId="0" applyNumberFormat="1" applyFont="1" applyBorder="1" applyAlignment="1">
      <alignment horizontal="center"/>
    </xf>
    <xf numFmtId="10" fontId="17" fillId="0" borderId="2" xfId="0" applyNumberFormat="1" applyFont="1" applyBorder="1" applyAlignment="1">
      <alignment horizontal="center"/>
    </xf>
    <xf numFmtId="170" fontId="26" fillId="0" borderId="10" xfId="0" applyNumberFormat="1" applyFont="1" applyBorder="1" applyAlignment="1">
      <alignment horizontal="right"/>
    </xf>
    <xf numFmtId="0" fontId="3" fillId="4" borderId="2" xfId="0" applyFont="1" applyFill="1" applyBorder="1" applyAlignment="1">
      <alignment horizontal="center"/>
    </xf>
    <xf numFmtId="0" fontId="2" fillId="0" borderId="8" xfId="0" applyFont="1" applyBorder="1"/>
    <xf numFmtId="0" fontId="2" fillId="0" borderId="2" xfId="0" applyFont="1" applyBorder="1"/>
    <xf numFmtId="0" fontId="0" fillId="0" borderId="3" xfId="0" applyBorder="1"/>
    <xf numFmtId="174" fontId="0" fillId="0" borderId="1" xfId="0" applyNumberFormat="1" applyBorder="1"/>
    <xf numFmtId="174" fontId="0" fillId="0" borderId="22" xfId="0" applyNumberFormat="1" applyBorder="1"/>
    <xf numFmtId="174" fontId="0" fillId="0" borderId="8" xfId="0" applyNumberFormat="1" applyBorder="1"/>
    <xf numFmtId="0" fontId="1" fillId="7" borderId="1" xfId="0" applyFont="1" applyFill="1" applyBorder="1" applyAlignment="1">
      <alignment horizontal="left"/>
    </xf>
    <xf numFmtId="0" fontId="2" fillId="0" borderId="10" xfId="0" applyFont="1" applyBorder="1" applyAlignment="1">
      <alignment horizontal="center" vertical="center" wrapText="1"/>
    </xf>
    <xf numFmtId="170" fontId="25" fillId="10" borderId="2" xfId="0" applyNumberFormat="1" applyFont="1" applyFill="1" applyBorder="1" applyAlignment="1">
      <alignment horizontal="center" wrapText="1"/>
    </xf>
    <xf numFmtId="174" fontId="10" fillId="0" borderId="0" xfId="0" quotePrefix="1" applyNumberFormat="1" applyFont="1"/>
    <xf numFmtId="170" fontId="19" fillId="0" borderId="0" xfId="0" applyNumberFormat="1" applyFont="1" applyAlignment="1">
      <alignment horizontal="center"/>
    </xf>
    <xf numFmtId="10" fontId="10" fillId="0" borderId="25" xfId="0" applyNumberFormat="1" applyFont="1" applyBorder="1" applyAlignment="1">
      <alignment horizontal="center"/>
    </xf>
    <xf numFmtId="10" fontId="10" fillId="0" borderId="11" xfId="0" applyNumberFormat="1" applyFont="1" applyBorder="1" applyAlignment="1">
      <alignment horizontal="center"/>
    </xf>
    <xf numFmtId="174" fontId="13" fillId="0" borderId="0" xfId="0" quotePrefix="1" applyNumberFormat="1" applyFont="1"/>
    <xf numFmtId="3" fontId="0" fillId="0" borderId="13" xfId="0" applyNumberFormat="1" applyBorder="1"/>
    <xf numFmtId="0" fontId="1" fillId="8" borderId="2" xfId="0" applyFont="1" applyFill="1" applyBorder="1"/>
    <xf numFmtId="3" fontId="0" fillId="0" borderId="9" xfId="0" applyNumberFormat="1" applyBorder="1" applyAlignment="1">
      <alignment horizontal="center"/>
    </xf>
    <xf numFmtId="166" fontId="0" fillId="0" borderId="9" xfId="0" applyNumberFormat="1" applyBorder="1" applyAlignment="1">
      <alignment horizontal="center"/>
    </xf>
    <xf numFmtId="0" fontId="3" fillId="4" borderId="20" xfId="0" applyFont="1" applyFill="1" applyBorder="1" applyAlignment="1">
      <alignment horizontal="center" vertical="center"/>
    </xf>
    <xf numFmtId="0" fontId="3" fillId="4" borderId="24" xfId="0" applyFont="1" applyFill="1" applyBorder="1" applyAlignment="1">
      <alignment horizontal="center" vertical="center"/>
    </xf>
    <xf numFmtId="3" fontId="10" fillId="0" borderId="9" xfId="0" applyNumberFormat="1" applyFont="1" applyBorder="1" applyAlignment="1">
      <alignment horizontal="center"/>
    </xf>
    <xf numFmtId="0" fontId="13" fillId="0" borderId="9" xfId="0" applyFont="1" applyBorder="1" applyAlignment="1">
      <alignment horizontal="center" vertical="center"/>
    </xf>
    <xf numFmtId="0" fontId="10" fillId="0" borderId="9" xfId="0" applyFont="1" applyBorder="1" applyAlignment="1">
      <alignment horizontal="center" vertical="center"/>
    </xf>
    <xf numFmtId="171" fontId="10" fillId="0" borderId="14" xfId="0" applyNumberFormat="1" applyFont="1" applyBorder="1" applyAlignment="1">
      <alignment horizontal="center"/>
    </xf>
    <xf numFmtId="171" fontId="10" fillId="0" borderId="15" xfId="0" applyNumberFormat="1" applyFont="1" applyBorder="1" applyAlignment="1">
      <alignment horizontal="center"/>
    </xf>
    <xf numFmtId="0" fontId="1" fillId="2" borderId="0" xfId="0" applyFont="1" applyFill="1" applyAlignment="1">
      <alignment horizontal="left"/>
    </xf>
    <xf numFmtId="14" fontId="3" fillId="4" borderId="3" xfId="0" applyNumberFormat="1" applyFont="1" applyFill="1" applyBorder="1"/>
    <xf numFmtId="0" fontId="2" fillId="3" borderId="0" xfId="0" applyFont="1" applyFill="1"/>
    <xf numFmtId="0" fontId="0" fillId="10" borderId="0" xfId="0" applyFill="1"/>
    <xf numFmtId="0" fontId="3" fillId="4" borderId="34" xfId="0" applyFont="1" applyFill="1" applyBorder="1"/>
    <xf numFmtId="0" fontId="2" fillId="0" borderId="16" xfId="0" applyFont="1" applyBorder="1"/>
    <xf numFmtId="0" fontId="2" fillId="0" borderId="3" xfId="0" applyFont="1" applyBorder="1"/>
    <xf numFmtId="174" fontId="22" fillId="0" borderId="1" xfId="0" applyNumberFormat="1" applyFont="1" applyBorder="1"/>
    <xf numFmtId="174" fontId="13" fillId="0" borderId="8" xfId="0" applyNumberFormat="1" applyFont="1" applyBorder="1"/>
    <xf numFmtId="0" fontId="28" fillId="0" borderId="0" xfId="0" applyFont="1"/>
    <xf numFmtId="0" fontId="29" fillId="0" borderId="0" xfId="0" applyFont="1"/>
    <xf numFmtId="0" fontId="28" fillId="10" borderId="0" xfId="0" applyFont="1" applyFill="1"/>
    <xf numFmtId="0" fontId="2" fillId="10" borderId="1" xfId="0" applyFont="1" applyFill="1" applyBorder="1"/>
    <xf numFmtId="174" fontId="0" fillId="10" borderId="0" xfId="0" applyNumberFormat="1" applyFill="1"/>
    <xf numFmtId="174" fontId="10" fillId="0" borderId="0" xfId="0" applyNumberFormat="1" applyFont="1"/>
    <xf numFmtId="174" fontId="28" fillId="0" borderId="0" xfId="0" applyNumberFormat="1" applyFont="1"/>
    <xf numFmtId="173" fontId="28" fillId="0" borderId="0" xfId="0" applyNumberFormat="1" applyFont="1"/>
    <xf numFmtId="181" fontId="19" fillId="0" borderId="22" xfId="0" applyNumberFormat="1" applyFont="1" applyBorder="1"/>
    <xf numFmtId="0" fontId="29" fillId="10" borderId="0" xfId="0" applyFont="1" applyFill="1"/>
    <xf numFmtId="0" fontId="12" fillId="0" borderId="1" xfId="0" quotePrefix="1" applyFont="1" applyBorder="1"/>
    <xf numFmtId="10" fontId="30" fillId="0" borderId="0" xfId="0" applyNumberFormat="1" applyFont="1" applyAlignment="1">
      <alignment horizontal="center"/>
    </xf>
    <xf numFmtId="10" fontId="10" fillId="0" borderId="0" xfId="0" applyNumberFormat="1" applyFont="1" applyAlignment="1">
      <alignment horizontal="center"/>
    </xf>
    <xf numFmtId="174" fontId="10" fillId="0" borderId="0" xfId="0" applyNumberFormat="1" applyFont="1" applyAlignment="1">
      <alignment horizontal="center"/>
    </xf>
    <xf numFmtId="10" fontId="10" fillId="0" borderId="22" xfId="0" applyNumberFormat="1" applyFont="1" applyBorder="1" applyAlignment="1">
      <alignment horizontal="center"/>
    </xf>
    <xf numFmtId="180" fontId="28" fillId="0" borderId="0" xfId="0" applyNumberFormat="1" applyFont="1"/>
    <xf numFmtId="3" fontId="10" fillId="0" borderId="0" xfId="0" applyNumberFormat="1" applyFont="1" applyAlignment="1">
      <alignment horizontal="center"/>
    </xf>
    <xf numFmtId="3" fontId="10" fillId="0" borderId="2" xfId="0" applyNumberFormat="1" applyFont="1" applyBorder="1" applyAlignment="1">
      <alignment horizontal="center"/>
    </xf>
    <xf numFmtId="0" fontId="0" fillId="10" borderId="8" xfId="0" applyFill="1" applyBorder="1"/>
    <xf numFmtId="0" fontId="2" fillId="18" borderId="8" xfId="0" applyFont="1" applyFill="1" applyBorder="1"/>
    <xf numFmtId="0" fontId="0" fillId="18" borderId="0" xfId="0" applyFill="1"/>
    <xf numFmtId="0" fontId="0" fillId="18" borderId="8" xfId="0" applyFill="1" applyBorder="1"/>
    <xf numFmtId="3" fontId="0" fillId="18" borderId="0" xfId="0" applyNumberFormat="1" applyFill="1" applyAlignment="1">
      <alignment horizontal="center"/>
    </xf>
    <xf numFmtId="0" fontId="0" fillId="18" borderId="14" xfId="0" applyFill="1" applyBorder="1" applyAlignment="1">
      <alignment horizontal="center"/>
    </xf>
    <xf numFmtId="174" fontId="0" fillId="18" borderId="0" xfId="0" applyNumberFormat="1" applyFill="1"/>
    <xf numFmtId="174" fontId="0" fillId="18" borderId="22" xfId="0" applyNumberFormat="1" applyFill="1" applyBorder="1"/>
    <xf numFmtId="174" fontId="0" fillId="18" borderId="8" xfId="0" applyNumberFormat="1" applyFill="1" applyBorder="1"/>
    <xf numFmtId="0" fontId="1" fillId="9" borderId="3" xfId="0" applyFont="1" applyFill="1" applyBorder="1" applyAlignment="1">
      <alignment horizontal="center"/>
    </xf>
    <xf numFmtId="0" fontId="1" fillId="9" borderId="22" xfId="0" applyFont="1" applyFill="1" applyBorder="1" applyAlignment="1">
      <alignment horizontal="left"/>
    </xf>
    <xf numFmtId="0" fontId="1" fillId="9" borderId="25" xfId="0" applyFont="1" applyFill="1" applyBorder="1" applyAlignment="1">
      <alignment horizontal="left"/>
    </xf>
    <xf numFmtId="10" fontId="3" fillId="4" borderId="0" xfId="0" applyNumberFormat="1" applyFont="1" applyFill="1" applyAlignment="1">
      <alignment horizontal="center"/>
    </xf>
    <xf numFmtId="0" fontId="1" fillId="9" borderId="26" xfId="0" applyFont="1" applyFill="1" applyBorder="1" applyAlignment="1">
      <alignment horizontal="left"/>
    </xf>
    <xf numFmtId="10" fontId="3" fillId="4" borderId="22" xfId="0" applyNumberFormat="1" applyFont="1" applyFill="1" applyBorder="1" applyAlignment="1">
      <alignment horizontal="center"/>
    </xf>
    <xf numFmtId="10" fontId="3" fillId="4" borderId="25" xfId="0" applyNumberFormat="1" applyFont="1" applyFill="1" applyBorder="1" applyAlignment="1">
      <alignment horizontal="center"/>
    </xf>
    <xf numFmtId="10" fontId="3" fillId="4" borderId="11" xfId="0" applyNumberFormat="1" applyFont="1" applyFill="1" applyBorder="1" applyAlignment="1">
      <alignment horizontal="center"/>
    </xf>
    <xf numFmtId="10" fontId="3" fillId="4" borderId="8" xfId="0" applyNumberFormat="1" applyFont="1" applyFill="1" applyBorder="1" applyAlignment="1">
      <alignment horizontal="center"/>
    </xf>
    <xf numFmtId="10" fontId="3" fillId="4" borderId="13" xfId="0" applyNumberFormat="1" applyFont="1" applyFill="1" applyBorder="1" applyAlignment="1">
      <alignment horizontal="center"/>
    </xf>
    <xf numFmtId="171" fontId="0" fillId="0" borderId="26" xfId="0" applyNumberFormat="1" applyBorder="1" applyAlignment="1">
      <alignment horizontal="center"/>
    </xf>
    <xf numFmtId="171" fontId="0" fillId="0" borderId="10" xfId="0" applyNumberFormat="1" applyBorder="1" applyAlignment="1">
      <alignment horizontal="center"/>
    </xf>
    <xf numFmtId="171" fontId="0" fillId="0" borderId="12" xfId="0" applyNumberFormat="1" applyBorder="1" applyAlignment="1">
      <alignment horizontal="center"/>
    </xf>
    <xf numFmtId="10" fontId="0" fillId="0" borderId="17" xfId="0" applyNumberFormat="1" applyBorder="1" applyAlignment="1">
      <alignment horizontal="center"/>
    </xf>
    <xf numFmtId="174" fontId="2" fillId="10" borderId="1" xfId="0" applyNumberFormat="1" applyFont="1" applyFill="1" applyBorder="1"/>
    <xf numFmtId="171" fontId="0" fillId="0" borderId="0" xfId="0" applyNumberFormat="1" applyAlignment="1">
      <alignment horizontal="center"/>
    </xf>
    <xf numFmtId="10" fontId="10" fillId="0" borderId="8" xfId="0" applyNumberFormat="1" applyFont="1" applyBorder="1" applyAlignment="1">
      <alignment horizontal="center"/>
    </xf>
    <xf numFmtId="170" fontId="19" fillId="0" borderId="22" xfId="0" applyNumberFormat="1" applyFont="1" applyBorder="1"/>
    <xf numFmtId="0" fontId="28" fillId="18" borderId="0" xfId="0" applyFont="1" applyFill="1"/>
    <xf numFmtId="170" fontId="19" fillId="0" borderId="0" xfId="0" applyNumberFormat="1" applyFont="1"/>
    <xf numFmtId="0" fontId="1" fillId="2" borderId="3" xfId="0" applyFont="1" applyFill="1" applyBorder="1"/>
    <xf numFmtId="0" fontId="22" fillId="2" borderId="1" xfId="0" applyFont="1" applyFill="1" applyBorder="1"/>
    <xf numFmtId="0" fontId="22" fillId="2" borderId="4" xfId="0" applyFont="1" applyFill="1" applyBorder="1"/>
    <xf numFmtId="170" fontId="31" fillId="0" borderId="22" xfId="0" applyNumberFormat="1" applyFont="1" applyBorder="1"/>
    <xf numFmtId="170" fontId="13" fillId="0" borderId="25" xfId="0" applyNumberFormat="1" applyFont="1" applyBorder="1"/>
    <xf numFmtId="170" fontId="31" fillId="0" borderId="0" xfId="0" applyNumberFormat="1" applyFont="1"/>
    <xf numFmtId="170" fontId="13" fillId="0" borderId="11" xfId="0" applyNumberFormat="1" applyFont="1" applyBorder="1"/>
    <xf numFmtId="183" fontId="31" fillId="0" borderId="0" xfId="0" applyNumberFormat="1" applyFont="1"/>
    <xf numFmtId="168" fontId="31" fillId="0" borderId="0" xfId="0" applyNumberFormat="1" applyFont="1"/>
    <xf numFmtId="0" fontId="31" fillId="0" borderId="0" xfId="0" applyFont="1"/>
    <xf numFmtId="185" fontId="31" fillId="0" borderId="8" xfId="0" applyNumberFormat="1" applyFont="1" applyBorder="1"/>
    <xf numFmtId="0" fontId="31" fillId="0" borderId="22" xfId="0" applyFont="1" applyBorder="1"/>
    <xf numFmtId="0" fontId="31" fillId="0" borderId="1" xfId="0" applyFont="1" applyBorder="1"/>
    <xf numFmtId="170" fontId="2" fillId="0" borderId="4" xfId="0" applyNumberFormat="1" applyFont="1" applyBorder="1"/>
    <xf numFmtId="0" fontId="1" fillId="2" borderId="1" xfId="0" applyFont="1" applyFill="1" applyBorder="1"/>
    <xf numFmtId="0" fontId="1" fillId="2" borderId="4" xfId="0" applyFont="1" applyFill="1" applyBorder="1"/>
    <xf numFmtId="170" fontId="32" fillId="0" borderId="22" xfId="0" applyNumberFormat="1" applyFont="1" applyBorder="1"/>
    <xf numFmtId="9" fontId="13" fillId="0" borderId="25" xfId="3" applyFont="1" applyBorder="1"/>
    <xf numFmtId="170" fontId="3" fillId="0" borderId="0" xfId="0" applyNumberFormat="1" applyFont="1"/>
    <xf numFmtId="168" fontId="13" fillId="0" borderId="11" xfId="3" applyNumberFormat="1" applyFont="1" applyBorder="1"/>
    <xf numFmtId="170" fontId="3" fillId="0" borderId="8" xfId="0" applyNumberFormat="1" applyFont="1" applyBorder="1"/>
    <xf numFmtId="9" fontId="13" fillId="0" borderId="11" xfId="3" applyFont="1" applyBorder="1"/>
    <xf numFmtId="0" fontId="2" fillId="0" borderId="12" xfId="0" applyFont="1" applyBorder="1"/>
    <xf numFmtId="170" fontId="33" fillId="0" borderId="1" xfId="0" applyNumberFormat="1" applyFont="1" applyBorder="1"/>
    <xf numFmtId="168" fontId="2" fillId="0" borderId="4" xfId="0" applyNumberFormat="1" applyFont="1" applyBorder="1"/>
    <xf numFmtId="0" fontId="1" fillId="8" borderId="1" xfId="0" applyFont="1" applyFill="1" applyBorder="1" applyAlignment="1">
      <alignment horizontal="left"/>
    </xf>
    <xf numFmtId="0" fontId="10" fillId="18" borderId="17" xfId="0" applyFont="1" applyFill="1" applyBorder="1" applyAlignment="1">
      <alignment horizontal="center" vertical="center"/>
    </xf>
    <xf numFmtId="3" fontId="10" fillId="18" borderId="9" xfId="0" applyNumberFormat="1" applyFont="1" applyFill="1" applyBorder="1" applyAlignment="1">
      <alignment horizontal="center"/>
    </xf>
    <xf numFmtId="170" fontId="19" fillId="18" borderId="0" xfId="0" applyNumberFormat="1" applyFont="1" applyFill="1"/>
    <xf numFmtId="170" fontId="19" fillId="18" borderId="8" xfId="0" applyNumberFormat="1" applyFont="1" applyFill="1" applyBorder="1"/>
    <xf numFmtId="170" fontId="19" fillId="18" borderId="21" xfId="0" applyNumberFormat="1" applyFont="1" applyFill="1" applyBorder="1"/>
    <xf numFmtId="174" fontId="2" fillId="0" borderId="0" xfId="0" applyNumberFormat="1" applyFont="1"/>
    <xf numFmtId="171" fontId="3" fillId="4" borderId="17" xfId="0" applyNumberFormat="1" applyFont="1" applyFill="1" applyBorder="1" applyAlignment="1">
      <alignment horizontal="center"/>
    </xf>
    <xf numFmtId="171" fontId="0" fillId="0" borderId="9" xfId="0" applyNumberFormat="1" applyBorder="1" applyAlignment="1">
      <alignment horizontal="center"/>
    </xf>
    <xf numFmtId="171" fontId="10" fillId="0" borderId="0" xfId="0" applyNumberFormat="1" applyFont="1" applyAlignment="1">
      <alignment horizontal="center"/>
    </xf>
    <xf numFmtId="10" fontId="10" fillId="0" borderId="1" xfId="0" applyNumberFormat="1" applyFont="1" applyBorder="1" applyAlignment="1">
      <alignment horizontal="center"/>
    </xf>
    <xf numFmtId="170" fontId="19" fillId="0" borderId="8" xfId="0" applyNumberFormat="1" applyFont="1" applyBorder="1"/>
    <xf numFmtId="174" fontId="0" fillId="10" borderId="1" xfId="0" applyNumberFormat="1" applyFill="1" applyBorder="1"/>
    <xf numFmtId="170" fontId="19" fillId="10" borderId="0" xfId="0" applyNumberFormat="1" applyFont="1" applyFill="1"/>
    <xf numFmtId="170" fontId="19" fillId="10" borderId="1" xfId="0" applyNumberFormat="1" applyFont="1" applyFill="1" applyBorder="1"/>
    <xf numFmtId="3" fontId="13" fillId="0" borderId="9" xfId="0" applyNumberFormat="1" applyFont="1" applyBorder="1" applyAlignment="1">
      <alignment horizontal="center"/>
    </xf>
    <xf numFmtId="0" fontId="12" fillId="0" borderId="8" xfId="0" quotePrefix="1" applyFont="1" applyBorder="1"/>
    <xf numFmtId="174" fontId="1" fillId="12" borderId="1" xfId="0" applyNumberFormat="1" applyFont="1" applyFill="1" applyBorder="1"/>
    <xf numFmtId="0" fontId="10" fillId="0" borderId="35" xfId="0" applyFont="1" applyBorder="1" applyAlignment="1">
      <alignment horizontal="center" vertical="center"/>
    </xf>
    <xf numFmtId="0" fontId="10" fillId="0" borderId="33" xfId="0" applyFont="1" applyBorder="1" applyAlignment="1">
      <alignment horizontal="center" vertical="center"/>
    </xf>
    <xf numFmtId="0" fontId="10" fillId="0" borderId="1" xfId="0" quotePrefix="1" applyFont="1" applyBorder="1"/>
    <xf numFmtId="174" fontId="28" fillId="18" borderId="0" xfId="0" quotePrefix="1" applyNumberFormat="1" applyFont="1" applyFill="1"/>
    <xf numFmtId="9" fontId="13" fillId="0" borderId="11" xfId="3" applyFont="1" applyFill="1" applyBorder="1"/>
    <xf numFmtId="9" fontId="10" fillId="0" borderId="1" xfId="0" quotePrefix="1" applyNumberFormat="1" applyFont="1" applyBorder="1" applyAlignment="1">
      <alignment horizontal="center"/>
    </xf>
    <xf numFmtId="192" fontId="0" fillId="0" borderId="10" xfId="0" applyNumberFormat="1" applyBorder="1"/>
    <xf numFmtId="0" fontId="2" fillId="0" borderId="11" xfId="0" applyFont="1" applyBorder="1" applyAlignment="1">
      <alignment horizontal="center" vertical="center" wrapText="1"/>
    </xf>
    <xf numFmtId="194" fontId="0" fillId="0" borderId="12" xfId="0" applyNumberFormat="1" applyBorder="1" applyAlignment="1">
      <alignment horizontal="left"/>
    </xf>
    <xf numFmtId="3" fontId="35" fillId="0" borderId="0" xfId="0" applyNumberFormat="1" applyFont="1" applyAlignment="1">
      <alignment horizontal="left" vertical="center"/>
    </xf>
    <xf numFmtId="0" fontId="22" fillId="0" borderId="0" xfId="0" applyFont="1" applyAlignment="1">
      <alignment vertical="center"/>
    </xf>
    <xf numFmtId="0" fontId="36" fillId="0" borderId="0" xfId="0" applyFont="1"/>
    <xf numFmtId="0" fontId="22" fillId="19" borderId="1" xfId="0" applyFont="1" applyFill="1" applyBorder="1" applyAlignment="1">
      <alignment horizontal="left"/>
    </xf>
    <xf numFmtId="0" fontId="22" fillId="19" borderId="1" xfId="0" applyFont="1" applyFill="1" applyBorder="1" applyAlignment="1">
      <alignment horizontal="centerContinuous"/>
    </xf>
    <xf numFmtId="0" fontId="22" fillId="19" borderId="4" xfId="0" applyFont="1" applyFill="1" applyBorder="1" applyAlignment="1">
      <alignment horizontal="centerContinuous"/>
    </xf>
    <xf numFmtId="0" fontId="22" fillId="19" borderId="1" xfId="0" applyFont="1" applyFill="1" applyBorder="1"/>
    <xf numFmtId="0" fontId="13" fillId="19" borderId="1" xfId="0" applyFont="1" applyFill="1" applyBorder="1"/>
    <xf numFmtId="0" fontId="13" fillId="19" borderId="4" xfId="0" applyFont="1" applyFill="1" applyBorder="1"/>
    <xf numFmtId="0" fontId="36" fillId="0" borderId="10" xfId="0" applyFont="1" applyBorder="1" applyAlignment="1">
      <alignment vertical="center"/>
    </xf>
    <xf numFmtId="0" fontId="36" fillId="0" borderId="0" xfId="0" applyFont="1" applyAlignment="1">
      <alignment vertical="center"/>
    </xf>
    <xf numFmtId="0" fontId="13" fillId="0" borderId="0" xfId="0" applyFont="1" applyAlignment="1">
      <alignment horizontal="left" vertical="center"/>
    </xf>
    <xf numFmtId="0" fontId="36" fillId="0" borderId="11" xfId="0" applyFont="1" applyBorder="1"/>
    <xf numFmtId="0" fontId="34" fillId="0" borderId="0" xfId="0" applyFont="1"/>
    <xf numFmtId="0" fontId="36" fillId="0" borderId="26" xfId="0" applyFont="1" applyBorder="1" applyAlignment="1">
      <alignment vertical="center"/>
    </xf>
    <xf numFmtId="0" fontId="36" fillId="0" borderId="22" xfId="0" applyFont="1" applyBorder="1"/>
    <xf numFmtId="170" fontId="36" fillId="0" borderId="11" xfId="0" applyNumberFormat="1" applyFont="1" applyBorder="1" applyAlignment="1">
      <alignment horizontal="right"/>
    </xf>
    <xf numFmtId="0" fontId="37" fillId="0" borderId="10" xfId="0" applyFont="1" applyBorder="1" applyAlignment="1">
      <alignment vertical="center"/>
    </xf>
    <xf numFmtId="0" fontId="37" fillId="0" borderId="0" xfId="0" applyFont="1" applyAlignment="1">
      <alignment vertical="center"/>
    </xf>
    <xf numFmtId="206" fontId="37" fillId="0" borderId="11" xfId="0" applyNumberFormat="1" applyFont="1" applyBorder="1"/>
    <xf numFmtId="0" fontId="36" fillId="0" borderId="10" xfId="0" applyFont="1" applyBorder="1"/>
    <xf numFmtId="0" fontId="36" fillId="0" borderId="11" xfId="0" applyFont="1" applyBorder="1" applyAlignment="1">
      <alignment vertical="center"/>
    </xf>
    <xf numFmtId="170" fontId="36" fillId="0" borderId="11" xfId="0" applyNumberFormat="1" applyFont="1" applyBorder="1"/>
    <xf numFmtId="195" fontId="37" fillId="0" borderId="11" xfId="0" applyNumberFormat="1" applyFont="1" applyBorder="1" applyAlignment="1">
      <alignment horizontal="right"/>
    </xf>
    <xf numFmtId="189" fontId="37" fillId="0" borderId="11" xfId="0" applyNumberFormat="1" applyFont="1" applyBorder="1" applyAlignment="1">
      <alignment horizontal="right"/>
    </xf>
    <xf numFmtId="0" fontId="37" fillId="0" borderId="0" xfId="0" applyFont="1"/>
    <xf numFmtId="186" fontId="37" fillId="0" borderId="11" xfId="0" applyNumberFormat="1" applyFont="1" applyBorder="1"/>
    <xf numFmtId="0" fontId="37" fillId="0" borderId="10" xfId="0" applyFont="1" applyBorder="1"/>
    <xf numFmtId="206" fontId="37" fillId="0" borderId="11" xfId="0" applyNumberFormat="1" applyFont="1" applyBorder="1" applyAlignment="1">
      <alignment horizontal="right"/>
    </xf>
    <xf numFmtId="0" fontId="36" fillId="0" borderId="0" xfId="0" applyFont="1" applyAlignment="1">
      <alignment horizontal="left" vertical="center"/>
    </xf>
    <xf numFmtId="189" fontId="37" fillId="0" borderId="11" xfId="0" applyNumberFormat="1" applyFont="1" applyBorder="1"/>
    <xf numFmtId="186" fontId="36" fillId="0" borderId="0" xfId="0" applyNumberFormat="1" applyFont="1" applyAlignment="1">
      <alignment horizontal="left" vertical="center"/>
    </xf>
    <xf numFmtId="189" fontId="36" fillId="0" borderId="11" xfId="0" applyNumberFormat="1" applyFont="1" applyBorder="1" applyAlignment="1">
      <alignment vertical="center"/>
    </xf>
    <xf numFmtId="208" fontId="37" fillId="0" borderId="11" xfId="0" applyNumberFormat="1" applyFont="1" applyBorder="1" applyAlignment="1">
      <alignment vertical="center"/>
    </xf>
    <xf numFmtId="206" fontId="37" fillId="0" borderId="11" xfId="0" applyNumberFormat="1" applyFont="1" applyBorder="1" applyAlignment="1">
      <alignment vertical="center"/>
    </xf>
    <xf numFmtId="0" fontId="36" fillId="0" borderId="12" xfId="0" applyFont="1" applyBorder="1"/>
    <xf numFmtId="0" fontId="36" fillId="0" borderId="8" xfId="0" applyFont="1" applyBorder="1"/>
    <xf numFmtId="0" fontId="37" fillId="0" borderId="12" xfId="0" applyFont="1" applyBorder="1" applyAlignment="1">
      <alignment vertical="center"/>
    </xf>
    <xf numFmtId="0" fontId="36" fillId="0" borderId="8" xfId="0" applyFont="1" applyBorder="1" applyAlignment="1">
      <alignment vertical="center"/>
    </xf>
    <xf numFmtId="209" fontId="37" fillId="0" borderId="13" xfId="0" applyNumberFormat="1" applyFont="1" applyBorder="1" applyAlignment="1">
      <alignment horizontal="right"/>
    </xf>
    <xf numFmtId="0" fontId="36" fillId="0" borderId="12" xfId="0" applyFont="1" applyBorder="1" applyAlignment="1">
      <alignment vertical="center"/>
    </xf>
    <xf numFmtId="0" fontId="36" fillId="0" borderId="8" xfId="0" applyFont="1" applyBorder="1" applyAlignment="1">
      <alignment horizontal="left" vertical="center"/>
    </xf>
    <xf numFmtId="0" fontId="36" fillId="0" borderId="13" xfId="0" applyFont="1" applyBorder="1" applyAlignment="1">
      <alignment vertical="center"/>
    </xf>
    <xf numFmtId="190" fontId="37" fillId="0" borderId="11" xfId="0" applyNumberFormat="1" applyFont="1" applyBorder="1" applyAlignment="1">
      <alignment horizontal="right"/>
    </xf>
    <xf numFmtId="0" fontId="22" fillId="19" borderId="4" xfId="0" applyFont="1" applyFill="1" applyBorder="1"/>
    <xf numFmtId="0" fontId="13" fillId="0" borderId="10" xfId="0" applyFont="1" applyBorder="1"/>
    <xf numFmtId="0" fontId="22" fillId="0" borderId="0" xfId="0" applyFont="1" applyAlignment="1">
      <alignment horizontal="left" vertical="center"/>
    </xf>
    <xf numFmtId="0" fontId="35" fillId="0" borderId="0" xfId="0" applyFont="1" applyAlignment="1">
      <alignment vertical="center"/>
    </xf>
    <xf numFmtId="210" fontId="35" fillId="0" borderId="0" xfId="0" applyNumberFormat="1" applyFont="1" applyAlignment="1">
      <alignment horizontal="left" vertical="center"/>
    </xf>
    <xf numFmtId="0" fontId="22" fillId="19" borderId="1" xfId="0" applyFont="1" applyFill="1" applyBorder="1" applyAlignment="1">
      <alignment horizontal="left" indent="1"/>
    </xf>
    <xf numFmtId="170" fontId="36" fillId="0" borderId="22" xfId="0" applyNumberFormat="1" applyFont="1" applyBorder="1" applyAlignment="1">
      <alignment vertical="center"/>
    </xf>
    <xf numFmtId="170" fontId="36" fillId="0" borderId="25" xfId="0" applyNumberFormat="1" applyFont="1" applyBorder="1" applyAlignment="1">
      <alignment vertical="center"/>
    </xf>
    <xf numFmtId="170" fontId="36" fillId="0" borderId="0" xfId="0" applyNumberFormat="1" applyFont="1" applyAlignment="1">
      <alignment vertical="center"/>
    </xf>
    <xf numFmtId="170" fontId="36" fillId="0" borderId="11" xfId="0" applyNumberFormat="1" applyFont="1" applyBorder="1" applyAlignment="1">
      <alignment vertical="center"/>
    </xf>
    <xf numFmtId="0" fontId="0" fillId="0" borderId="10" xfId="0" applyBorder="1" applyAlignment="1">
      <alignment vertical="center"/>
    </xf>
    <xf numFmtId="0" fontId="0" fillId="0" borderId="0" xfId="0" applyAlignment="1">
      <alignment horizontal="left" vertical="center" indent="1"/>
    </xf>
    <xf numFmtId="170" fontId="36" fillId="0" borderId="0" xfId="0" applyNumberFormat="1" applyFont="1" applyAlignment="1">
      <alignment horizontal="right" vertical="center"/>
    </xf>
    <xf numFmtId="195" fontId="36" fillId="0" borderId="0" xfId="0" applyNumberFormat="1" applyFont="1" applyAlignment="1">
      <alignment horizontal="right" vertical="center"/>
    </xf>
    <xf numFmtId="189" fontId="36" fillId="0" borderId="0" xfId="0" applyNumberFormat="1" applyFont="1" applyAlignment="1">
      <alignment horizontal="right" vertical="center"/>
    </xf>
    <xf numFmtId="0" fontId="35" fillId="0" borderId="3" xfId="0" applyFont="1" applyBorder="1" applyAlignment="1">
      <alignment vertical="center"/>
    </xf>
    <xf numFmtId="0" fontId="35" fillId="0" borderId="1" xfId="0" applyFont="1" applyBorder="1" applyAlignment="1">
      <alignment horizontal="left" vertical="center" indent="1"/>
    </xf>
    <xf numFmtId="170" fontId="35" fillId="0" borderId="1" xfId="0" applyNumberFormat="1" applyFont="1" applyBorder="1" applyAlignment="1">
      <alignment horizontal="right" vertical="center"/>
    </xf>
    <xf numFmtId="195" fontId="35" fillId="0" borderId="1" xfId="0" applyNumberFormat="1" applyFont="1" applyBorder="1" applyAlignment="1">
      <alignment horizontal="right" vertical="center"/>
    </xf>
    <xf numFmtId="177" fontId="35" fillId="0" borderId="1" xfId="0" applyNumberFormat="1" applyFont="1" applyBorder="1" applyAlignment="1">
      <alignment horizontal="right" vertical="center"/>
    </xf>
    <xf numFmtId="170" fontId="36" fillId="0" borderId="8" xfId="0" applyNumberFormat="1" applyFont="1" applyBorder="1" applyAlignment="1">
      <alignment vertical="center"/>
    </xf>
    <xf numFmtId="170" fontId="36" fillId="0" borderId="13" xfId="0" applyNumberFormat="1" applyFont="1" applyBorder="1" applyAlignment="1">
      <alignment vertical="center"/>
    </xf>
    <xf numFmtId="194" fontId="0" fillId="0" borderId="10" xfId="0" applyNumberFormat="1" applyBorder="1" applyAlignment="1">
      <alignment horizontal="left"/>
    </xf>
    <xf numFmtId="194" fontId="0" fillId="0" borderId="0" xfId="0" applyNumberFormat="1" applyAlignment="1">
      <alignment horizontal="left" indent="1"/>
    </xf>
    <xf numFmtId="170" fontId="0" fillId="0" borderId="0" xfId="0" applyNumberFormat="1" applyAlignment="1">
      <alignment vertical="center"/>
    </xf>
    <xf numFmtId="177" fontId="0" fillId="0" borderId="0" xfId="0" applyNumberFormat="1" applyAlignment="1">
      <alignment vertical="center"/>
    </xf>
    <xf numFmtId="189" fontId="36" fillId="0" borderId="0" xfId="0" applyNumberFormat="1" applyFont="1" applyAlignment="1">
      <alignment vertical="center"/>
    </xf>
    <xf numFmtId="176" fontId="36" fillId="0" borderId="0" xfId="0" applyNumberFormat="1" applyFont="1" applyAlignment="1">
      <alignment horizontal="right" vertical="center"/>
    </xf>
    <xf numFmtId="206" fontId="36" fillId="0" borderId="0" xfId="0" applyNumberFormat="1" applyFont="1"/>
    <xf numFmtId="189" fontId="36" fillId="0" borderId="0" xfId="0" applyNumberFormat="1" applyFont="1"/>
    <xf numFmtId="177" fontId="0" fillId="0" borderId="8" xfId="0" applyNumberFormat="1" applyBorder="1" applyAlignment="1">
      <alignment vertical="center"/>
    </xf>
    <xf numFmtId="189" fontId="36" fillId="0" borderId="8" xfId="0" applyNumberFormat="1" applyFont="1" applyBorder="1"/>
    <xf numFmtId="194" fontId="0" fillId="0" borderId="8" xfId="0" applyNumberFormat="1" applyBorder="1" applyAlignment="1">
      <alignment horizontal="left" indent="1"/>
    </xf>
    <xf numFmtId="170" fontId="0" fillId="0" borderId="8" xfId="0" applyNumberFormat="1" applyBorder="1" applyAlignment="1">
      <alignment vertical="center"/>
    </xf>
    <xf numFmtId="189" fontId="36" fillId="0" borderId="8" xfId="0" applyNumberFormat="1" applyFont="1" applyBorder="1" applyAlignment="1">
      <alignment vertical="center"/>
    </xf>
    <xf numFmtId="189" fontId="36" fillId="0" borderId="8" xfId="0" applyNumberFormat="1" applyFont="1" applyBorder="1" applyAlignment="1">
      <alignment horizontal="right" vertical="center"/>
    </xf>
    <xf numFmtId="176" fontId="36" fillId="0" borderId="8" xfId="0" applyNumberFormat="1" applyFont="1" applyBorder="1" applyAlignment="1">
      <alignment horizontal="right" vertical="center"/>
    </xf>
    <xf numFmtId="206" fontId="36" fillId="0" borderId="8" xfId="0" applyNumberFormat="1" applyFont="1" applyBorder="1"/>
    <xf numFmtId="194" fontId="0" fillId="0" borderId="0" xfId="0" applyNumberFormat="1" applyAlignment="1">
      <alignment horizontal="left"/>
    </xf>
    <xf numFmtId="211" fontId="36" fillId="0" borderId="0" xfId="0" applyNumberFormat="1" applyFont="1" applyAlignment="1">
      <alignment vertical="center"/>
    </xf>
    <xf numFmtId="0" fontId="1" fillId="19" borderId="3" xfId="0" applyFont="1" applyFill="1" applyBorder="1" applyAlignment="1">
      <alignment horizontal="left"/>
    </xf>
    <xf numFmtId="0" fontId="1" fillId="19" borderId="3" xfId="0" applyFont="1" applyFill="1" applyBorder="1"/>
    <xf numFmtId="177" fontId="0" fillId="0" borderId="0" xfId="0" applyNumberFormat="1" applyAlignment="1">
      <alignment horizontal="right" vertical="center"/>
    </xf>
    <xf numFmtId="170" fontId="0" fillId="0" borderId="0" xfId="0" applyNumberFormat="1" applyAlignment="1">
      <alignment horizontal="right" vertical="center"/>
    </xf>
    <xf numFmtId="189" fontId="35" fillId="0" borderId="1" xfId="0" applyNumberFormat="1" applyFont="1" applyBorder="1" applyAlignment="1">
      <alignment horizontal="right" vertical="center"/>
    </xf>
    <xf numFmtId="0" fontId="27" fillId="0" borderId="0" xfId="0" applyFont="1"/>
    <xf numFmtId="0" fontId="16" fillId="0" borderId="0" xfId="0" applyFont="1"/>
    <xf numFmtId="0" fontId="27" fillId="0" borderId="0" xfId="0" applyFont="1" applyAlignment="1">
      <alignment vertical="center"/>
    </xf>
    <xf numFmtId="0" fontId="16" fillId="0" borderId="0" xfId="0" applyFont="1" applyAlignment="1">
      <alignment horizontal="center" vertical="center"/>
    </xf>
    <xf numFmtId="170" fontId="27" fillId="0" borderId="0" xfId="0" applyNumberFormat="1" applyFont="1" applyAlignment="1">
      <alignment horizontal="left"/>
    </xf>
    <xf numFmtId="0" fontId="22" fillId="19" borderId="0" xfId="0" applyFont="1" applyFill="1"/>
    <xf numFmtId="0" fontId="13" fillId="19" borderId="0" xfId="0" applyFont="1" applyFill="1"/>
    <xf numFmtId="0" fontId="27" fillId="0" borderId="10" xfId="0" applyFont="1" applyBorder="1"/>
    <xf numFmtId="0" fontId="2" fillId="0" borderId="11" xfId="0" applyFont="1" applyBorder="1"/>
    <xf numFmtId="212" fontId="22" fillId="19" borderId="0" xfId="0" applyNumberFormat="1" applyFont="1" applyFill="1" applyAlignment="1">
      <alignment horizontal="left"/>
    </xf>
    <xf numFmtId="0" fontId="1" fillId="19" borderId="10" xfId="0" applyFont="1" applyFill="1" applyBorder="1"/>
    <xf numFmtId="0" fontId="34" fillId="19" borderId="0" xfId="0" applyFont="1" applyFill="1"/>
    <xf numFmtId="190" fontId="1" fillId="19" borderId="0" xfId="0" applyNumberFormat="1" applyFont="1" applyFill="1"/>
    <xf numFmtId="190" fontId="1" fillId="19" borderId="0" xfId="0" applyNumberFormat="1" applyFont="1" applyFill="1" applyAlignment="1">
      <alignment horizontal="center"/>
    </xf>
    <xf numFmtId="0" fontId="1" fillId="19" borderId="11" xfId="0" applyFont="1" applyFill="1" applyBorder="1"/>
    <xf numFmtId="213" fontId="1" fillId="19" borderId="0" xfId="0" applyNumberFormat="1" applyFont="1" applyFill="1" applyAlignment="1">
      <alignment horizontal="center"/>
    </xf>
    <xf numFmtId="213" fontId="1" fillId="19" borderId="11" xfId="0" applyNumberFormat="1" applyFont="1" applyFill="1" applyBorder="1" applyAlignment="1">
      <alignment horizontal="center"/>
    </xf>
    <xf numFmtId="0" fontId="1" fillId="19" borderId="0" xfId="0" applyFont="1" applyFill="1"/>
    <xf numFmtId="214" fontId="1" fillId="19" borderId="0" xfId="0" applyNumberFormat="1" applyFont="1" applyFill="1"/>
    <xf numFmtId="214" fontId="1" fillId="19" borderId="0" xfId="0" applyNumberFormat="1" applyFont="1" applyFill="1" applyAlignment="1">
      <alignment horizontal="center"/>
    </xf>
    <xf numFmtId="0" fontId="34" fillId="19" borderId="10" xfId="0" applyFont="1" applyFill="1" applyBorder="1"/>
    <xf numFmtId="0" fontId="3" fillId="0" borderId="10" xfId="0" applyFont="1" applyBorder="1"/>
    <xf numFmtId="0" fontId="2" fillId="10" borderId="10" xfId="0" applyFont="1" applyFill="1" applyBorder="1"/>
    <xf numFmtId="0" fontId="13" fillId="10" borderId="0" xfId="0" applyFont="1" applyFill="1"/>
    <xf numFmtId="0" fontId="22" fillId="10" borderId="0" xfId="0" applyFont="1" applyFill="1"/>
    <xf numFmtId="0" fontId="38" fillId="10" borderId="0" xfId="0" applyFont="1" applyFill="1" applyAlignment="1">
      <alignment horizontal="right"/>
    </xf>
    <xf numFmtId="0" fontId="38" fillId="10" borderId="11" xfId="0" applyFont="1" applyFill="1" applyBorder="1" applyAlignment="1">
      <alignment horizontal="right"/>
    </xf>
    <xf numFmtId="170" fontId="27" fillId="0" borderId="0" xfId="0" applyNumberFormat="1" applyFont="1"/>
    <xf numFmtId="0" fontId="2" fillId="0" borderId="11" xfId="0" applyFont="1" applyBorder="1" applyAlignment="1">
      <alignment horizontal="right"/>
    </xf>
    <xf numFmtId="0" fontId="2" fillId="0" borderId="0" xfId="0" applyFont="1" applyAlignment="1">
      <alignment horizontal="right"/>
    </xf>
    <xf numFmtId="206" fontId="39" fillId="0" borderId="0" xfId="0" applyNumberFormat="1" applyFont="1" applyAlignment="1">
      <alignment horizontal="center"/>
    </xf>
    <xf numFmtId="186" fontId="27" fillId="0" borderId="0" xfId="0" applyNumberFormat="1" applyFont="1"/>
    <xf numFmtId="0" fontId="2" fillId="0" borderId="10" xfId="0" applyFont="1" applyBorder="1" applyAlignment="1">
      <alignment horizontal="left"/>
    </xf>
    <xf numFmtId="215" fontId="27" fillId="0" borderId="26" xfId="0" applyNumberFormat="1" applyFont="1" applyBorder="1" applyAlignment="1">
      <alignment horizontal="left"/>
    </xf>
    <xf numFmtId="0" fontId="27" fillId="0" borderId="22" xfId="0" applyFont="1" applyBorder="1"/>
    <xf numFmtId="170" fontId="27" fillId="0" borderId="22" xfId="0" applyNumberFormat="1" applyFont="1" applyBorder="1"/>
    <xf numFmtId="0" fontId="2" fillId="0" borderId="25" xfId="0" applyFont="1" applyBorder="1" applyAlignment="1">
      <alignment horizontal="right"/>
    </xf>
    <xf numFmtId="0" fontId="2" fillId="0" borderId="22" xfId="0" applyFont="1" applyBorder="1" applyAlignment="1">
      <alignment horizontal="right"/>
    </xf>
    <xf numFmtId="215" fontId="27" fillId="0" borderId="10" xfId="0" applyNumberFormat="1" applyFont="1" applyBorder="1" applyAlignment="1">
      <alignment horizontal="left"/>
    </xf>
    <xf numFmtId="215" fontId="27" fillId="0" borderId="12" xfId="0" applyNumberFormat="1" applyFont="1" applyBorder="1" applyAlignment="1">
      <alignment horizontal="left"/>
    </xf>
    <xf numFmtId="0" fontId="27" fillId="0" borderId="8" xfId="0" applyFont="1" applyBorder="1"/>
    <xf numFmtId="0" fontId="2" fillId="0" borderId="13" xfId="0" applyFont="1" applyBorder="1" applyAlignment="1">
      <alignment horizontal="right"/>
    </xf>
    <xf numFmtId="170" fontId="27" fillId="0" borderId="8" xfId="0" applyNumberFormat="1" applyFont="1" applyBorder="1"/>
    <xf numFmtId="0" fontId="2" fillId="0" borderId="8" xfId="0" applyFont="1" applyBorder="1" applyAlignment="1">
      <alignment horizontal="right"/>
    </xf>
    <xf numFmtId="0" fontId="2" fillId="0" borderId="3" xfId="0" applyFont="1" applyBorder="1" applyAlignment="1">
      <alignment horizontal="left"/>
    </xf>
    <xf numFmtId="170" fontId="2" fillId="0" borderId="1" xfId="0" applyNumberFormat="1" applyFont="1" applyBorder="1"/>
    <xf numFmtId="0" fontId="2" fillId="0" borderId="4" xfId="0" applyFont="1" applyBorder="1" applyAlignment="1">
      <alignment horizontal="right"/>
    </xf>
    <xf numFmtId="170" fontId="27" fillId="0" borderId="1" xfId="0" applyNumberFormat="1" applyFont="1" applyBorder="1"/>
    <xf numFmtId="0" fontId="2" fillId="0" borderId="1" xfId="0" applyFont="1" applyBorder="1" applyAlignment="1">
      <alignment horizontal="right"/>
    </xf>
    <xf numFmtId="0" fontId="2" fillId="0" borderId="12" xfId="0" applyFont="1" applyBorder="1" applyAlignment="1">
      <alignment horizontal="left"/>
    </xf>
    <xf numFmtId="0" fontId="40" fillId="0" borderId="10" xfId="0" applyFont="1" applyBorder="1"/>
    <xf numFmtId="0" fontId="28" fillId="0" borderId="10" xfId="0" applyFont="1" applyBorder="1" applyAlignment="1">
      <alignment horizontal="left"/>
    </xf>
    <xf numFmtId="168" fontId="28" fillId="0" borderId="0" xfId="0" applyNumberFormat="1" applyFont="1"/>
    <xf numFmtId="0" fontId="29" fillId="0" borderId="11" xfId="0" applyFont="1" applyBorder="1" applyAlignment="1">
      <alignment horizontal="right"/>
    </xf>
    <xf numFmtId="0" fontId="29" fillId="0" borderId="0" xfId="0" applyFont="1" applyAlignment="1">
      <alignment horizontal="right"/>
    </xf>
    <xf numFmtId="0" fontId="28" fillId="0" borderId="12" xfId="0" applyFont="1" applyBorder="1"/>
    <xf numFmtId="0" fontId="28" fillId="0" borderId="8" xfId="0" applyFont="1" applyBorder="1"/>
    <xf numFmtId="168" fontId="28" fillId="0" borderId="8" xfId="0" applyNumberFormat="1" applyFont="1" applyBorder="1"/>
    <xf numFmtId="0" fontId="29" fillId="0" borderId="13" xfId="0" applyFont="1" applyBorder="1" applyAlignment="1">
      <alignment horizontal="right"/>
    </xf>
    <xf numFmtId="0" fontId="29" fillId="0" borderId="8" xfId="0" applyFont="1" applyBorder="1" applyAlignment="1">
      <alignment horizontal="right"/>
    </xf>
    <xf numFmtId="170" fontId="22" fillId="10" borderId="0" xfId="0" applyNumberFormat="1" applyFont="1" applyFill="1"/>
    <xf numFmtId="4" fontId="27" fillId="0" borderId="8" xfId="0" applyNumberFormat="1" applyFont="1" applyBorder="1"/>
    <xf numFmtId="3" fontId="27" fillId="0" borderId="8" xfId="0" applyNumberFormat="1" applyFont="1" applyBorder="1"/>
    <xf numFmtId="0" fontId="2" fillId="0" borderId="13" xfId="0" applyFont="1" applyBorder="1"/>
    <xf numFmtId="0" fontId="27" fillId="0" borderId="10" xfId="0" applyFont="1" applyBorder="1" applyAlignment="1">
      <alignment horizontal="left"/>
    </xf>
    <xf numFmtId="170" fontId="2" fillId="0" borderId="11" xfId="0" applyNumberFormat="1" applyFont="1" applyBorder="1"/>
    <xf numFmtId="170" fontId="2" fillId="0" borderId="0" xfId="0" applyNumberFormat="1" applyFont="1"/>
    <xf numFmtId="0" fontId="3" fillId="0" borderId="10" xfId="0" applyFont="1" applyBorder="1" applyAlignment="1">
      <alignment horizontal="center" vertical="center"/>
    </xf>
    <xf numFmtId="170" fontId="2" fillId="0" borderId="8" xfId="0" applyNumberFormat="1" applyFont="1" applyBorder="1"/>
    <xf numFmtId="0" fontId="16" fillId="0" borderId="10" xfId="0" applyFont="1" applyBorder="1"/>
    <xf numFmtId="177" fontId="27" fillId="0" borderId="0" xfId="0" applyNumberFormat="1" applyFont="1"/>
    <xf numFmtId="4" fontId="27" fillId="0" borderId="0" xfId="0" applyNumberFormat="1" applyFont="1"/>
    <xf numFmtId="0" fontId="2" fillId="0" borderId="8" xfId="0" applyFont="1" applyBorder="1" applyAlignment="1">
      <alignment horizontal="left"/>
    </xf>
    <xf numFmtId="170" fontId="2" fillId="0" borderId="8" xfId="0" applyNumberFormat="1" applyFont="1" applyBorder="1" applyAlignment="1">
      <alignment horizontal="left"/>
    </xf>
    <xf numFmtId="186" fontId="27" fillId="0" borderId="8" xfId="0" applyNumberFormat="1" applyFont="1" applyBorder="1" applyAlignment="1">
      <alignment horizontal="right"/>
    </xf>
    <xf numFmtId="10" fontId="2" fillId="0" borderId="8" xfId="0" applyNumberFormat="1" applyFont="1" applyBorder="1" applyAlignment="1">
      <alignment horizontal="left"/>
    </xf>
    <xf numFmtId="216" fontId="39" fillId="0" borderId="0" xfId="0" applyNumberFormat="1" applyFont="1" applyAlignment="1">
      <alignment horizontal="center"/>
    </xf>
    <xf numFmtId="170" fontId="2" fillId="0" borderId="25" xfId="0" applyNumberFormat="1" applyFont="1" applyBorder="1"/>
    <xf numFmtId="170" fontId="2" fillId="0" borderId="22" xfId="0" applyNumberFormat="1" applyFont="1" applyBorder="1"/>
    <xf numFmtId="0" fontId="41" fillId="0" borderId="0" xfId="0" applyFont="1"/>
    <xf numFmtId="0" fontId="27" fillId="0" borderId="1" xfId="0" applyFont="1" applyBorder="1"/>
    <xf numFmtId="0" fontId="28" fillId="0" borderId="22" xfId="0" applyFont="1" applyBorder="1"/>
    <xf numFmtId="170" fontId="28" fillId="0" borderId="22" xfId="0" applyNumberFormat="1" applyFont="1" applyBorder="1"/>
    <xf numFmtId="168" fontId="28" fillId="0" borderId="22" xfId="0" applyNumberFormat="1" applyFont="1" applyBorder="1"/>
    <xf numFmtId="170" fontId="28" fillId="0" borderId="0" xfId="0" applyNumberFormat="1" applyFont="1"/>
    <xf numFmtId="168" fontId="29" fillId="0" borderId="25" xfId="0" applyNumberFormat="1" applyFont="1" applyBorder="1"/>
    <xf numFmtId="217" fontId="28" fillId="0" borderId="22" xfId="0" applyNumberFormat="1" applyFont="1" applyBorder="1"/>
    <xf numFmtId="168" fontId="27" fillId="0" borderId="0" xfId="0" applyNumberFormat="1" applyFont="1"/>
    <xf numFmtId="0" fontId="2" fillId="16" borderId="3" xfId="0" applyFont="1" applyFill="1" applyBorder="1"/>
    <xf numFmtId="0" fontId="27" fillId="16" borderId="1" xfId="0" applyFont="1" applyFill="1" applyBorder="1"/>
    <xf numFmtId="170" fontId="27" fillId="16" borderId="1" xfId="0" applyNumberFormat="1" applyFont="1" applyFill="1" applyBorder="1"/>
    <xf numFmtId="170" fontId="2" fillId="16" borderId="1" xfId="0" applyNumberFormat="1" applyFont="1" applyFill="1" applyBorder="1"/>
    <xf numFmtId="170" fontId="2" fillId="16" borderId="4" xfId="0" applyNumberFormat="1" applyFont="1" applyFill="1" applyBorder="1"/>
    <xf numFmtId="0" fontId="2" fillId="0" borderId="10" xfId="0" applyFont="1" applyBorder="1"/>
    <xf numFmtId="0" fontId="27" fillId="0" borderId="26" xfId="0" applyFont="1" applyBorder="1"/>
    <xf numFmtId="170" fontId="2" fillId="0" borderId="13" xfId="0" applyNumberFormat="1" applyFont="1" applyBorder="1"/>
    <xf numFmtId="0" fontId="29" fillId="0" borderId="1" xfId="0" applyFont="1" applyBorder="1" applyAlignment="1">
      <alignment horizontal="center"/>
    </xf>
    <xf numFmtId="0" fontId="28" fillId="0" borderId="0" xfId="0" applyFont="1" applyAlignment="1">
      <alignment horizontal="center"/>
    </xf>
    <xf numFmtId="186" fontId="2" fillId="0" borderId="8" xfId="0" applyNumberFormat="1" applyFont="1" applyBorder="1"/>
    <xf numFmtId="197" fontId="28" fillId="0" borderId="0" xfId="0" applyNumberFormat="1" applyFont="1" applyAlignment="1">
      <alignment horizontal="center"/>
    </xf>
    <xf numFmtId="0" fontId="40" fillId="0" borderId="10" xfId="0" applyFont="1" applyBorder="1" applyAlignment="1">
      <alignment horizontal="center" vertical="center"/>
    </xf>
    <xf numFmtId="0" fontId="42" fillId="0" borderId="10" xfId="0" quotePrefix="1" applyFont="1" applyBorder="1"/>
    <xf numFmtId="0" fontId="27" fillId="16" borderId="26" xfId="0" applyFont="1" applyFill="1" applyBorder="1"/>
    <xf numFmtId="186" fontId="27" fillId="16" borderId="22" xfId="0" applyNumberFormat="1" applyFont="1" applyFill="1" applyBorder="1" applyAlignment="1">
      <alignment horizontal="center"/>
    </xf>
    <xf numFmtId="170" fontId="27" fillId="16" borderId="22" xfId="0" applyNumberFormat="1" applyFont="1" applyFill="1" applyBorder="1"/>
    <xf numFmtId="170" fontId="27" fillId="16" borderId="25" xfId="0" applyNumberFormat="1" applyFont="1" applyFill="1" applyBorder="1"/>
    <xf numFmtId="0" fontId="27" fillId="16" borderId="10" xfId="0" applyFont="1" applyFill="1" applyBorder="1"/>
    <xf numFmtId="186" fontId="27" fillId="16" borderId="0" xfId="0" applyNumberFormat="1" applyFont="1" applyFill="1" applyAlignment="1">
      <alignment horizontal="center"/>
    </xf>
    <xf numFmtId="170" fontId="27" fillId="16" borderId="0" xfId="0" applyNumberFormat="1" applyFont="1" applyFill="1"/>
    <xf numFmtId="170" fontId="27" fillId="16" borderId="11" xfId="0" applyNumberFormat="1" applyFont="1" applyFill="1" applyBorder="1"/>
    <xf numFmtId="0" fontId="27" fillId="16" borderId="12" xfId="0" applyFont="1" applyFill="1" applyBorder="1"/>
    <xf numFmtId="186" fontId="27" fillId="16" borderId="8" xfId="0" applyNumberFormat="1" applyFont="1" applyFill="1" applyBorder="1" applyAlignment="1">
      <alignment horizontal="center"/>
    </xf>
    <xf numFmtId="170" fontId="27" fillId="16" borderId="8" xfId="0" applyNumberFormat="1" applyFont="1" applyFill="1" applyBorder="1"/>
    <xf numFmtId="170" fontId="27" fillId="16" borderId="13" xfId="0" applyNumberFormat="1" applyFont="1" applyFill="1" applyBorder="1"/>
    <xf numFmtId="0" fontId="39" fillId="0" borderId="0" xfId="0" applyFont="1"/>
    <xf numFmtId="0" fontId="19" fillId="0" borderId="2" xfId="0" applyFont="1" applyBorder="1" applyAlignment="1">
      <alignment horizontal="center" vertical="center" wrapText="1"/>
    </xf>
    <xf numFmtId="218" fontId="0" fillId="0" borderId="0" xfId="0" applyNumberFormat="1" applyAlignment="1">
      <alignment horizontal="right"/>
    </xf>
    <xf numFmtId="219" fontId="0" fillId="0" borderId="0" xfId="0" applyNumberFormat="1" applyAlignment="1">
      <alignment horizontal="right"/>
    </xf>
    <xf numFmtId="3" fontId="22" fillId="0" borderId="0" xfId="0" applyNumberFormat="1" applyFont="1" applyAlignment="1">
      <alignment horizontal="center"/>
    </xf>
    <xf numFmtId="204" fontId="13" fillId="0" borderId="11" xfId="3" applyNumberFormat="1" applyFont="1" applyBorder="1" applyAlignment="1">
      <alignment horizontal="center"/>
    </xf>
    <xf numFmtId="204" fontId="22" fillId="0" borderId="0" xfId="3" applyNumberFormat="1" applyFont="1" applyAlignment="1">
      <alignment horizontal="centerContinuous"/>
    </xf>
    <xf numFmtId="0" fontId="22" fillId="0" borderId="0" xfId="0" applyFont="1" applyAlignment="1">
      <alignment horizontal="centerContinuous"/>
    </xf>
    <xf numFmtId="182" fontId="22" fillId="0" borderId="0" xfId="0" applyNumberFormat="1" applyFont="1" applyAlignment="1">
      <alignment horizontal="center"/>
    </xf>
    <xf numFmtId="3" fontId="22" fillId="0" borderId="0" xfId="0" applyNumberFormat="1" applyFont="1" applyAlignment="1">
      <alignment horizontal="centerContinuous"/>
    </xf>
    <xf numFmtId="9" fontId="13" fillId="0" borderId="13" xfId="3" applyFont="1" applyBorder="1" applyAlignment="1">
      <alignment horizontal="center"/>
    </xf>
    <xf numFmtId="9" fontId="22" fillId="0" borderId="8" xfId="0" applyNumberFormat="1" applyFont="1" applyBorder="1" applyAlignment="1">
      <alignment horizontal="center"/>
    </xf>
    <xf numFmtId="9" fontId="16" fillId="0" borderId="11" xfId="0" applyNumberFormat="1" applyFont="1" applyBorder="1" applyAlignment="1">
      <alignment horizontal="center"/>
    </xf>
    <xf numFmtId="9" fontId="13" fillId="0" borderId="0" xfId="3" applyFont="1" applyAlignment="1">
      <alignment horizontal="center"/>
    </xf>
    <xf numFmtId="3" fontId="22" fillId="0" borderId="8" xfId="0" applyNumberFormat="1" applyFont="1" applyBorder="1" applyAlignment="1">
      <alignment horizontal="center"/>
    </xf>
    <xf numFmtId="9" fontId="16" fillId="0" borderId="43" xfId="0" applyNumberFormat="1" applyFont="1" applyBorder="1" applyAlignment="1">
      <alignment horizontal="center"/>
    </xf>
    <xf numFmtId="9" fontId="13" fillId="0" borderId="44" xfId="3" applyFont="1" applyBorder="1" applyAlignment="1">
      <alignment horizontal="center"/>
    </xf>
    <xf numFmtId="9" fontId="13" fillId="0" borderId="45" xfId="3" applyFont="1" applyBorder="1" applyAlignment="1">
      <alignment horizontal="center"/>
    </xf>
    <xf numFmtId="9" fontId="16" fillId="0" borderId="46" xfId="0" applyNumberFormat="1" applyFont="1" applyBorder="1" applyAlignment="1">
      <alignment horizontal="center"/>
    </xf>
    <xf numFmtId="9" fontId="13" fillId="0" borderId="47" xfId="3" applyFont="1" applyBorder="1" applyAlignment="1">
      <alignment horizontal="center"/>
    </xf>
    <xf numFmtId="9" fontId="13" fillId="0" borderId="42" xfId="3" applyFont="1" applyBorder="1" applyAlignment="1">
      <alignment horizontal="center"/>
    </xf>
    <xf numFmtId="9" fontId="13" fillId="0" borderId="48" xfId="3" applyFont="1" applyBorder="1" applyAlignment="1">
      <alignment horizontal="center"/>
    </xf>
    <xf numFmtId="3" fontId="16" fillId="0" borderId="46" xfId="0" applyNumberFormat="1" applyFont="1" applyBorder="1" applyAlignment="1">
      <alignment horizontal="center"/>
    </xf>
    <xf numFmtId="3" fontId="22" fillId="0" borderId="46" xfId="0" applyNumberFormat="1" applyFont="1" applyBorder="1" applyAlignment="1">
      <alignment horizontal="center"/>
    </xf>
    <xf numFmtId="205" fontId="16" fillId="0" borderId="43" xfId="0" applyNumberFormat="1" applyFont="1" applyBorder="1" applyAlignment="1">
      <alignment horizontal="center"/>
    </xf>
    <xf numFmtId="9" fontId="2" fillId="0" borderId="11" xfId="0" applyNumberFormat="1" applyFont="1" applyBorder="1" applyAlignment="1">
      <alignment horizontal="center"/>
    </xf>
    <xf numFmtId="205" fontId="2" fillId="0" borderId="11" xfId="0" applyNumberFormat="1" applyFont="1" applyBorder="1" applyAlignment="1">
      <alignment horizontal="center"/>
    </xf>
    <xf numFmtId="218" fontId="0" fillId="0" borderId="9" xfId="0" applyNumberFormat="1" applyBorder="1" applyAlignment="1">
      <alignment horizontal="center"/>
    </xf>
    <xf numFmtId="218" fontId="3" fillId="4" borderId="17" xfId="0" applyNumberFormat="1" applyFont="1" applyFill="1" applyBorder="1" applyAlignment="1">
      <alignment horizontal="center"/>
    </xf>
    <xf numFmtId="218" fontId="3" fillId="4" borderId="9" xfId="0" applyNumberFormat="1" applyFont="1" applyFill="1" applyBorder="1" applyAlignment="1">
      <alignment horizontal="center"/>
    </xf>
    <xf numFmtId="218" fontId="3" fillId="4" borderId="18" xfId="0" applyNumberFormat="1" applyFont="1" applyFill="1" applyBorder="1" applyAlignment="1">
      <alignment horizontal="center"/>
    </xf>
    <xf numFmtId="3" fontId="3" fillId="4" borderId="10" xfId="0" applyNumberFormat="1" applyFont="1" applyFill="1" applyBorder="1"/>
    <xf numFmtId="4" fontId="3" fillId="4" borderId="29" xfId="0" applyNumberFormat="1" applyFont="1" applyFill="1" applyBorder="1"/>
    <xf numFmtId="170" fontId="36" fillId="0" borderId="0" xfId="0" applyNumberFormat="1" applyFont="1" applyAlignment="1">
      <alignment horizontal="left" vertical="center"/>
    </xf>
    <xf numFmtId="189" fontId="36" fillId="0" borderId="0" xfId="0" applyNumberFormat="1" applyFont="1" applyAlignment="1">
      <alignment horizontal="left" vertical="center"/>
    </xf>
    <xf numFmtId="207" fontId="37" fillId="0" borderId="11" xfId="0" applyNumberFormat="1" applyFont="1" applyBorder="1" applyAlignment="1">
      <alignment horizontal="right"/>
    </xf>
    <xf numFmtId="218" fontId="36" fillId="0" borderId="11" xfId="0" applyNumberFormat="1" applyFont="1" applyBorder="1"/>
    <xf numFmtId="218" fontId="36" fillId="0" borderId="0" xfId="0" applyNumberFormat="1" applyFont="1"/>
    <xf numFmtId="170" fontId="36" fillId="0" borderId="11" xfId="0" applyNumberFormat="1" applyFont="1" applyBorder="1" applyAlignment="1">
      <alignment horizontal="right" vertical="center"/>
    </xf>
    <xf numFmtId="0" fontId="36" fillId="0" borderId="13" xfId="0" applyFont="1" applyBorder="1"/>
    <xf numFmtId="0" fontId="43" fillId="0" borderId="10" xfId="0" applyFont="1" applyBorder="1"/>
    <xf numFmtId="0" fontId="43" fillId="0" borderId="0" xfId="0" applyFont="1"/>
    <xf numFmtId="0" fontId="44" fillId="0" borderId="0" xfId="0" applyFont="1" applyAlignment="1">
      <alignment horizontal="centerContinuous"/>
    </xf>
    <xf numFmtId="0" fontId="0" fillId="0" borderId="10" xfId="0" applyBorder="1" applyAlignment="1">
      <alignment horizontal="left"/>
    </xf>
    <xf numFmtId="0" fontId="29" fillId="0" borderId="8" xfId="0" applyFont="1" applyBorder="1" applyAlignment="1">
      <alignment horizontal="center"/>
    </xf>
    <xf numFmtId="215" fontId="0" fillId="0" borderId="10" xfId="0" applyNumberFormat="1" applyBorder="1" applyAlignment="1">
      <alignment horizontal="left"/>
    </xf>
    <xf numFmtId="218" fontId="0" fillId="0" borderId="0" xfId="0" applyNumberFormat="1"/>
    <xf numFmtId="168" fontId="0" fillId="0" borderId="8" xfId="0" applyNumberFormat="1" applyBorder="1"/>
    <xf numFmtId="218" fontId="0" fillId="0" borderId="1" xfId="0" applyNumberFormat="1" applyBorder="1"/>
    <xf numFmtId="0" fontId="45" fillId="0" borderId="10" xfId="0" applyFont="1" applyBorder="1"/>
    <xf numFmtId="0" fontId="23" fillId="0" borderId="10" xfId="0" applyFont="1" applyBorder="1" applyAlignment="1">
      <alignment horizontal="centerContinuous"/>
    </xf>
    <xf numFmtId="0" fontId="23" fillId="0" borderId="0" xfId="0" applyFont="1" applyAlignment="1">
      <alignment horizontal="centerContinuous"/>
    </xf>
    <xf numFmtId="0" fontId="23" fillId="0" borderId="0" xfId="0" applyFont="1" applyAlignment="1">
      <alignment horizontal="center"/>
    </xf>
    <xf numFmtId="0" fontId="23" fillId="0" borderId="0" xfId="0" applyFont="1" applyAlignment="1">
      <alignment horizontal="center" wrapText="1"/>
    </xf>
    <xf numFmtId="0" fontId="46" fillId="0" borderId="0" xfId="0" applyFont="1" applyAlignment="1">
      <alignment horizontal="centerContinuous"/>
    </xf>
    <xf numFmtId="0" fontId="17" fillId="0" borderId="0" xfId="0" applyFont="1" applyAlignment="1">
      <alignment horizontal="center"/>
    </xf>
    <xf numFmtId="0" fontId="17" fillId="0" borderId="11" xfId="0" applyFont="1" applyBorder="1" applyAlignment="1">
      <alignment horizontal="center"/>
    </xf>
    <xf numFmtId="0" fontId="23" fillId="0" borderId="11" xfId="0" applyFont="1" applyBorder="1" applyAlignment="1">
      <alignment horizontal="center"/>
    </xf>
    <xf numFmtId="0" fontId="23" fillId="0" borderId="25" xfId="0" applyFont="1" applyBorder="1" applyAlignment="1">
      <alignment horizontal="center"/>
    </xf>
    <xf numFmtId="0" fontId="23" fillId="0" borderId="25" xfId="0" applyFont="1" applyBorder="1" applyAlignment="1">
      <alignment horizontal="centerContinuous"/>
    </xf>
    <xf numFmtId="177" fontId="36" fillId="0" borderId="0" xfId="0" applyNumberFormat="1" applyFont="1" applyAlignment="1">
      <alignment horizontal="left" vertical="center"/>
    </xf>
    <xf numFmtId="215" fontId="28" fillId="0" borderId="10" xfId="0" applyNumberFormat="1" applyFont="1" applyBorder="1" applyAlignment="1">
      <alignment horizontal="left"/>
    </xf>
    <xf numFmtId="170" fontId="41" fillId="0" borderId="0" xfId="0" applyNumberFormat="1" applyFont="1" applyAlignment="1">
      <alignment horizontal="right"/>
    </xf>
    <xf numFmtId="170" fontId="41" fillId="0" borderId="0" xfId="0" applyNumberFormat="1" applyFont="1"/>
    <xf numFmtId="170" fontId="38" fillId="0" borderId="11" xfId="0" applyNumberFormat="1" applyFont="1" applyBorder="1" applyAlignment="1">
      <alignment horizontal="right"/>
    </xf>
    <xf numFmtId="0" fontId="0" fillId="0" borderId="26" xfId="0" applyBorder="1" applyAlignment="1">
      <alignment horizontal="center" vertical="center"/>
    </xf>
    <xf numFmtId="0" fontId="0" fillId="0" borderId="25" xfId="0" applyBorder="1" applyAlignment="1">
      <alignment horizontal="center" vertical="center"/>
    </xf>
    <xf numFmtId="0" fontId="47" fillId="0" borderId="0" xfId="0" applyFont="1" applyAlignment="1">
      <alignment horizontal="center"/>
    </xf>
    <xf numFmtId="0" fontId="22" fillId="0" borderId="10" xfId="0" applyFont="1" applyBorder="1" applyAlignment="1">
      <alignment horizontal="left" indent="1"/>
    </xf>
    <xf numFmtId="0" fontId="22" fillId="0" borderId="11" xfId="0" applyFont="1" applyBorder="1" applyAlignment="1">
      <alignment horizontal="left" vertical="center" indent="1"/>
    </xf>
    <xf numFmtId="193" fontId="32" fillId="0" borderId="0" xfId="0" applyNumberFormat="1" applyFont="1"/>
    <xf numFmtId="194" fontId="22" fillId="0" borderId="11" xfId="0" applyNumberFormat="1" applyFont="1" applyBorder="1" applyAlignment="1">
      <alignment horizontal="left" indent="1"/>
    </xf>
    <xf numFmtId="193" fontId="32" fillId="0" borderId="0" xfId="0" applyNumberFormat="1" applyFont="1" applyAlignment="1">
      <alignment vertical="center"/>
    </xf>
    <xf numFmtId="0" fontId="13" fillId="0" borderId="10" xfId="0" applyFont="1" applyBorder="1" applyAlignment="1">
      <alignment horizontal="center" vertical="center"/>
    </xf>
    <xf numFmtId="0" fontId="13" fillId="0" borderId="11" xfId="0" applyFont="1" applyBorder="1" applyAlignment="1">
      <alignment horizontal="center" vertical="center"/>
    </xf>
    <xf numFmtId="174" fontId="22" fillId="0" borderId="11" xfId="0" applyNumberFormat="1" applyFont="1" applyBorder="1" applyAlignment="1">
      <alignment horizontal="left" indent="1"/>
    </xf>
    <xf numFmtId="0" fontId="0" fillId="0" borderId="0" xfId="0" applyAlignment="1">
      <alignment horizontal="center" wrapText="1"/>
    </xf>
    <xf numFmtId="193" fontId="48" fillId="0" borderId="0" xfId="0" applyNumberFormat="1" applyFont="1" applyAlignment="1">
      <alignment horizontal="center"/>
    </xf>
    <xf numFmtId="0" fontId="47" fillId="0" borderId="0" xfId="0" applyFont="1" applyAlignment="1">
      <alignment horizontal="center" wrapText="1"/>
    </xf>
    <xf numFmtId="0" fontId="47" fillId="0" borderId="11" xfId="0" applyFont="1" applyBorder="1" applyAlignment="1">
      <alignment horizontal="center" wrapText="1"/>
    </xf>
    <xf numFmtId="0" fontId="41" fillId="0" borderId="10" xfId="0" applyFont="1" applyBorder="1" applyAlignment="1">
      <alignment horizontal="left" indent="1"/>
    </xf>
    <xf numFmtId="195" fontId="41" fillId="0" borderId="11" xfId="0" applyNumberFormat="1" applyFont="1" applyBorder="1" applyAlignment="1">
      <alignment horizontal="left" indent="1"/>
    </xf>
    <xf numFmtId="196" fontId="32" fillId="0" borderId="0" xfId="0" applyNumberFormat="1" applyFont="1" applyAlignment="1">
      <alignment vertical="center"/>
    </xf>
    <xf numFmtId="197" fontId="32" fillId="0" borderId="0" xfId="0" applyNumberFormat="1" applyFont="1" applyAlignment="1">
      <alignment vertical="center"/>
    </xf>
    <xf numFmtId="197" fontId="32" fillId="0" borderId="11" xfId="0" applyNumberFormat="1" applyFont="1" applyBorder="1" applyAlignment="1">
      <alignment vertical="center"/>
    </xf>
    <xf numFmtId="198" fontId="41" fillId="0" borderId="11" xfId="0" applyNumberFormat="1" applyFont="1" applyBorder="1" applyAlignment="1">
      <alignment horizontal="left" indent="1"/>
    </xf>
    <xf numFmtId="193" fontId="32" fillId="0" borderId="8" xfId="0" applyNumberFormat="1" applyFont="1" applyBorder="1"/>
    <xf numFmtId="196" fontId="32" fillId="0" borderId="8" xfId="0" applyNumberFormat="1" applyFont="1" applyBorder="1" applyAlignment="1">
      <alignment vertical="center"/>
    </xf>
    <xf numFmtId="197" fontId="32" fillId="0" borderId="8" xfId="0" applyNumberFormat="1" applyFont="1" applyBorder="1" applyAlignment="1">
      <alignment vertical="center"/>
    </xf>
    <xf numFmtId="197" fontId="32" fillId="0" borderId="13" xfId="0" applyNumberFormat="1" applyFont="1" applyBorder="1" applyAlignment="1">
      <alignment vertical="center"/>
    </xf>
    <xf numFmtId="194" fontId="0" fillId="0" borderId="0" xfId="0" applyNumberFormat="1"/>
    <xf numFmtId="0" fontId="22" fillId="0" borderId="10" xfId="0" applyFont="1" applyBorder="1" applyAlignment="1">
      <alignment horizontal="left" vertical="center" indent="1"/>
    </xf>
    <xf numFmtId="174" fontId="22" fillId="0" borderId="11" xfId="0" applyNumberFormat="1" applyFont="1" applyBorder="1" applyAlignment="1">
      <alignment horizontal="left" vertical="center" indent="1"/>
    </xf>
    <xf numFmtId="0" fontId="34" fillId="0" borderId="10" xfId="0" applyFont="1" applyBorder="1"/>
    <xf numFmtId="199" fontId="35" fillId="0" borderId="0" xfId="0" applyNumberFormat="1" applyFont="1" applyAlignment="1">
      <alignment horizontal="left" indent="1"/>
    </xf>
    <xf numFmtId="196" fontId="13" fillId="0" borderId="0" xfId="0" applyNumberFormat="1" applyFont="1" applyAlignment="1">
      <alignment vertical="center"/>
    </xf>
    <xf numFmtId="37" fontId="32" fillId="0" borderId="8" xfId="0" applyNumberFormat="1" applyFont="1" applyBorder="1"/>
    <xf numFmtId="196" fontId="13" fillId="0" borderId="8" xfId="0" applyNumberFormat="1" applyFont="1" applyBorder="1" applyAlignment="1">
      <alignment vertical="center"/>
    </xf>
    <xf numFmtId="189" fontId="41" fillId="0" borderId="11" xfId="0" applyNumberFormat="1" applyFont="1" applyBorder="1" applyAlignment="1">
      <alignment horizontal="left" indent="1"/>
    </xf>
    <xf numFmtId="9" fontId="0" fillId="0" borderId="0" xfId="0" applyNumberFormat="1"/>
    <xf numFmtId="0" fontId="36" fillId="0" borderId="26" xfId="0" applyFont="1" applyBorder="1" applyAlignment="1">
      <alignment horizontal="left" indent="1"/>
    </xf>
    <xf numFmtId="0" fontId="36" fillId="0" borderId="22" xfId="0" applyFont="1" applyBorder="1" applyAlignment="1">
      <alignment horizontal="left" indent="1"/>
    </xf>
    <xf numFmtId="0" fontId="13" fillId="0" borderId="26" xfId="0" applyFont="1" applyBorder="1" applyAlignment="1">
      <alignment horizontal="left" indent="1"/>
    </xf>
    <xf numFmtId="0" fontId="13" fillId="0" borderId="22" xfId="0" applyFont="1" applyBorder="1" applyAlignment="1">
      <alignment horizontal="left" indent="1"/>
    </xf>
    <xf numFmtId="0" fontId="13" fillId="0" borderId="10" xfId="0" applyFont="1" applyBorder="1" applyAlignment="1">
      <alignment horizontal="left" indent="1"/>
    </xf>
    <xf numFmtId="200" fontId="13" fillId="0" borderId="11" xfId="0" applyNumberFormat="1" applyFont="1" applyBorder="1" applyAlignment="1">
      <alignment horizontal="left" indent="1"/>
    </xf>
    <xf numFmtId="0" fontId="36" fillId="0" borderId="10" xfId="0" applyFont="1" applyBorder="1" applyAlignment="1">
      <alignment horizontal="left" indent="1"/>
    </xf>
    <xf numFmtId="0" fontId="36" fillId="0" borderId="0" xfId="0" applyFont="1" applyAlignment="1">
      <alignment horizontal="left" indent="1"/>
    </xf>
    <xf numFmtId="0" fontId="13" fillId="0" borderId="0" xfId="0" applyFont="1" applyAlignment="1">
      <alignment horizontal="left" indent="1"/>
    </xf>
    <xf numFmtId="201" fontId="41" fillId="0" borderId="11" xfId="0" applyNumberFormat="1" applyFont="1" applyBorder="1" applyAlignment="1">
      <alignment horizontal="left" indent="1"/>
    </xf>
    <xf numFmtId="184" fontId="13" fillId="0" borderId="11" xfId="0" applyNumberFormat="1" applyFont="1" applyBorder="1"/>
    <xf numFmtId="202" fontId="41" fillId="0" borderId="11" xfId="0" applyNumberFormat="1" applyFont="1" applyBorder="1" applyAlignment="1">
      <alignment horizontal="left" indent="1"/>
    </xf>
    <xf numFmtId="168" fontId="13" fillId="0" borderId="11" xfId="0" applyNumberFormat="1" applyFont="1" applyBorder="1"/>
    <xf numFmtId="185" fontId="13" fillId="0" borderId="11" xfId="0" applyNumberFormat="1" applyFont="1" applyBorder="1"/>
    <xf numFmtId="0" fontId="36" fillId="0" borderId="12" xfId="0" applyFont="1" applyBorder="1" applyAlignment="1">
      <alignment horizontal="left" indent="1"/>
    </xf>
    <xf numFmtId="0" fontId="36" fillId="0" borderId="8" xfId="0" applyFont="1" applyBorder="1" applyAlignment="1">
      <alignment horizontal="left" indent="1"/>
    </xf>
    <xf numFmtId="185" fontId="13" fillId="0" borderId="13" xfId="0" applyNumberFormat="1" applyFont="1" applyBorder="1"/>
    <xf numFmtId="0" fontId="13" fillId="0" borderId="12" xfId="0" applyFont="1" applyBorder="1" applyAlignment="1">
      <alignment horizontal="left" indent="1"/>
    </xf>
    <xf numFmtId="0" fontId="13" fillId="0" borderId="8" xfId="0" applyFont="1" applyBorder="1" applyAlignment="1">
      <alignment horizontal="left" indent="1"/>
    </xf>
    <xf numFmtId="203" fontId="13" fillId="0" borderId="11" xfId="0" applyNumberFormat="1" applyFont="1" applyBorder="1" applyAlignment="1">
      <alignment horizontal="left" indent="1"/>
    </xf>
    <xf numFmtId="0" fontId="35" fillId="0" borderId="3" xfId="0" applyFont="1" applyBorder="1" applyAlignment="1">
      <alignment horizontal="left" indent="1"/>
    </xf>
    <xf numFmtId="0" fontId="35" fillId="0" borderId="1" xfId="0" applyFont="1" applyBorder="1" applyAlignment="1">
      <alignment horizontal="left" indent="1"/>
    </xf>
    <xf numFmtId="170" fontId="22" fillId="0" borderId="4" xfId="0" applyNumberFormat="1" applyFont="1" applyBorder="1"/>
    <xf numFmtId="0" fontId="22" fillId="0" borderId="3" xfId="0" applyFont="1" applyBorder="1" applyAlignment="1">
      <alignment horizontal="left" indent="1"/>
    </xf>
    <xf numFmtId="0" fontId="22" fillId="0" borderId="1" xfId="0" applyFont="1" applyBorder="1" applyAlignment="1">
      <alignment horizontal="left" indent="1"/>
    </xf>
    <xf numFmtId="186" fontId="13" fillId="0" borderId="0" xfId="0" applyNumberFormat="1" applyFont="1"/>
    <xf numFmtId="203" fontId="22" fillId="0" borderId="11" xfId="0" applyNumberFormat="1" applyFont="1" applyBorder="1" applyAlignment="1">
      <alignment horizontal="left" indent="1"/>
    </xf>
    <xf numFmtId="170" fontId="13" fillId="0" borderId="13" xfId="0" applyNumberFormat="1" applyFont="1" applyBorder="1"/>
    <xf numFmtId="0" fontId="13" fillId="0" borderId="13" xfId="0" applyFont="1" applyBorder="1" applyAlignment="1">
      <alignment horizontal="center" vertical="center"/>
    </xf>
    <xf numFmtId="186" fontId="22" fillId="0" borderId="1" xfId="0" applyNumberFormat="1" applyFont="1" applyBorder="1"/>
    <xf numFmtId="0" fontId="49" fillId="19" borderId="3" xfId="0" applyFont="1" applyFill="1" applyBorder="1"/>
    <xf numFmtId="0" fontId="50" fillId="0" borderId="0" xfId="0" applyFont="1" applyAlignment="1">
      <alignment horizontal="centerContinuous"/>
    </xf>
    <xf numFmtId="0" fontId="48" fillId="0" borderId="0" xfId="0" applyFont="1" applyAlignment="1">
      <alignment horizontal="centerContinuous"/>
    </xf>
    <xf numFmtId="0" fontId="51" fillId="0" borderId="0" xfId="0" applyFont="1" applyAlignment="1">
      <alignment horizontal="centerContinuous"/>
    </xf>
    <xf numFmtId="0" fontId="50" fillId="0" borderId="0" xfId="0" applyFont="1" applyAlignment="1">
      <alignment horizontal="centerContinuous" wrapText="1"/>
    </xf>
    <xf numFmtId="204" fontId="50" fillId="20" borderId="0" xfId="3" applyNumberFormat="1" applyFont="1" applyFill="1" applyAlignment="1">
      <alignment horizontal="centerContinuous"/>
    </xf>
    <xf numFmtId="0" fontId="51" fillId="20" borderId="0" xfId="0" applyFont="1" applyFill="1" applyAlignment="1">
      <alignment horizontal="centerContinuous"/>
    </xf>
    <xf numFmtId="3" fontId="22" fillId="20" borderId="0" xfId="0" applyNumberFormat="1" applyFont="1" applyFill="1" applyAlignment="1">
      <alignment horizontal="center" vertical="center" wrapText="1"/>
    </xf>
    <xf numFmtId="3" fontId="33" fillId="20" borderId="0" xfId="0" applyNumberFormat="1" applyFont="1" applyFill="1" applyAlignment="1">
      <alignment horizontal="center" vertical="center" wrapText="1"/>
    </xf>
    <xf numFmtId="9" fontId="22" fillId="0" borderId="0" xfId="0" applyNumberFormat="1" applyFont="1" applyAlignment="1">
      <alignment horizontal="center"/>
    </xf>
    <xf numFmtId="3" fontId="22" fillId="20" borderId="0" xfId="0" applyNumberFormat="1" applyFont="1" applyFill="1" applyAlignment="1">
      <alignment vertical="center" textRotation="90" wrapText="1"/>
    </xf>
    <xf numFmtId="171" fontId="33" fillId="20" borderId="0" xfId="0" applyNumberFormat="1" applyFont="1" applyFill="1" applyAlignment="1">
      <alignment horizontal="center"/>
    </xf>
    <xf numFmtId="9" fontId="32" fillId="20" borderId="26" xfId="3" applyFont="1" applyFill="1" applyBorder="1" applyAlignment="1">
      <alignment horizontal="center"/>
    </xf>
    <xf numFmtId="9" fontId="32" fillId="20" borderId="22" xfId="3" applyFont="1" applyFill="1" applyBorder="1" applyAlignment="1">
      <alignment horizontal="center"/>
    </xf>
    <xf numFmtId="0" fontId="2" fillId="20" borderId="0" xfId="0" applyFont="1" applyFill="1" applyAlignment="1">
      <alignment vertical="center" textRotation="90" wrapText="1"/>
    </xf>
    <xf numFmtId="171" fontId="22" fillId="20" borderId="0" xfId="0" applyNumberFormat="1" applyFont="1" applyFill="1" applyAlignment="1">
      <alignment horizontal="center"/>
    </xf>
    <xf numFmtId="9" fontId="32" fillId="20" borderId="10" xfId="3" applyFont="1" applyFill="1" applyBorder="1" applyAlignment="1">
      <alignment horizontal="center"/>
    </xf>
    <xf numFmtId="9" fontId="32" fillId="20" borderId="0" xfId="3" applyFont="1" applyFill="1" applyAlignment="1">
      <alignment horizontal="center"/>
    </xf>
    <xf numFmtId="0" fontId="51" fillId="0" borderId="0" xfId="0" applyFont="1" applyAlignment="1">
      <alignment horizontal="centerContinuous" wrapText="1"/>
    </xf>
    <xf numFmtId="204" fontId="51" fillId="20" borderId="0" xfId="3" applyNumberFormat="1" applyFont="1" applyFill="1" applyAlignment="1">
      <alignment horizontal="centerContinuous"/>
    </xf>
    <xf numFmtId="3" fontId="22" fillId="20" borderId="0" xfId="0" applyNumberFormat="1" applyFont="1" applyFill="1" applyAlignment="1">
      <alignment horizontal="center"/>
    </xf>
    <xf numFmtId="9" fontId="13" fillId="20" borderId="26" xfId="3" applyFont="1" applyFill="1" applyBorder="1" applyAlignment="1">
      <alignment horizontal="center"/>
    </xf>
    <xf numFmtId="9" fontId="13" fillId="20" borderId="22" xfId="3" applyFont="1" applyFill="1" applyBorder="1" applyAlignment="1">
      <alignment horizontal="center"/>
    </xf>
    <xf numFmtId="9" fontId="13" fillId="20" borderId="10" xfId="3" applyFont="1" applyFill="1" applyBorder="1" applyAlignment="1">
      <alignment horizontal="center"/>
    </xf>
    <xf numFmtId="9" fontId="13" fillId="20" borderId="0" xfId="3" applyFont="1" applyFill="1" applyAlignment="1">
      <alignment horizontal="center"/>
    </xf>
    <xf numFmtId="9" fontId="13" fillId="0" borderId="10" xfId="3" applyFont="1" applyBorder="1" applyAlignment="1">
      <alignment horizontal="center"/>
    </xf>
    <xf numFmtId="9" fontId="13" fillId="10" borderId="0" xfId="3" applyFont="1" applyFill="1" applyAlignment="1">
      <alignment horizontal="center"/>
    </xf>
    <xf numFmtId="0" fontId="0" fillId="19" borderId="1" xfId="0" applyFill="1" applyBorder="1"/>
    <xf numFmtId="0" fontId="0" fillId="19" borderId="4" xfId="0" applyFill="1" applyBorder="1"/>
    <xf numFmtId="205" fontId="22" fillId="20" borderId="0" xfId="0" applyNumberFormat="1" applyFont="1" applyFill="1" applyAlignment="1">
      <alignment horizontal="center"/>
    </xf>
    <xf numFmtId="213" fontId="1" fillId="19" borderId="0" xfId="0" applyNumberFormat="1" applyFont="1" applyFill="1" applyAlignment="1">
      <alignment horizontal="right"/>
    </xf>
    <xf numFmtId="219" fontId="36" fillId="0" borderId="0" xfId="0" applyNumberFormat="1" applyFont="1"/>
    <xf numFmtId="0" fontId="2" fillId="0" borderId="0" xfId="0" applyFont="1" applyAlignment="1">
      <alignment horizontal="centerContinuous"/>
    </xf>
    <xf numFmtId="0" fontId="2" fillId="0" borderId="1" xfId="0" applyFont="1" applyBorder="1" applyAlignment="1">
      <alignment horizontal="center"/>
    </xf>
    <xf numFmtId="3" fontId="2" fillId="0" borderId="1" xfId="0" applyNumberFormat="1" applyFont="1" applyBorder="1"/>
    <xf numFmtId="4" fontId="2" fillId="0" borderId="1" xfId="0" applyNumberFormat="1" applyFont="1" applyBorder="1"/>
    <xf numFmtId="171" fontId="2" fillId="0" borderId="1" xfId="0" applyNumberFormat="1" applyFont="1" applyBorder="1"/>
    <xf numFmtId="220" fontId="2" fillId="0" borderId="1" xfId="0" applyNumberFormat="1" applyFont="1" applyBorder="1"/>
    <xf numFmtId="38" fontId="2" fillId="0" borderId="1" xfId="0" applyNumberFormat="1" applyFont="1" applyBorder="1"/>
    <xf numFmtId="221" fontId="2" fillId="0" borderId="1" xfId="0" applyNumberFormat="1" applyFont="1" applyBorder="1"/>
    <xf numFmtId="0" fontId="0" fillId="0" borderId="0" xfId="0" applyAlignment="1">
      <alignment horizontal="centerContinuous"/>
    </xf>
    <xf numFmtId="0" fontId="51" fillId="0" borderId="0" xfId="0" applyFont="1" applyAlignment="1">
      <alignment horizontal="center" wrapText="1"/>
    </xf>
    <xf numFmtId="0" fontId="1" fillId="19" borderId="26" xfId="0" applyFont="1" applyFill="1" applyBorder="1"/>
    <xf numFmtId="0" fontId="22" fillId="19" borderId="22" xfId="0" applyFont="1" applyFill="1" applyBorder="1"/>
    <xf numFmtId="0" fontId="22" fillId="19" borderId="25" xfId="0" applyFont="1" applyFill="1" applyBorder="1"/>
    <xf numFmtId="222" fontId="10" fillId="0" borderId="10" xfId="0" applyNumberFormat="1" applyFont="1" applyBorder="1"/>
    <xf numFmtId="222" fontId="10" fillId="0" borderId="0" xfId="0" applyNumberFormat="1" applyFont="1"/>
    <xf numFmtId="222" fontId="10" fillId="0" borderId="11" xfId="0" applyNumberFormat="1" applyFont="1" applyBorder="1"/>
    <xf numFmtId="218" fontId="10" fillId="0" borderId="22" xfId="0" applyNumberFormat="1" applyFont="1" applyBorder="1"/>
    <xf numFmtId="218" fontId="10" fillId="0" borderId="26" xfId="0" applyNumberFormat="1" applyFont="1" applyBorder="1"/>
    <xf numFmtId="218" fontId="10" fillId="0" borderId="25" xfId="0" applyNumberFormat="1" applyFont="1" applyBorder="1"/>
    <xf numFmtId="218" fontId="10" fillId="0" borderId="10" xfId="0" applyNumberFormat="1" applyFont="1" applyBorder="1"/>
    <xf numFmtId="218" fontId="10" fillId="0" borderId="0" xfId="0" applyNumberFormat="1" applyFont="1"/>
    <xf numFmtId="218" fontId="10" fillId="0" borderId="11" xfId="0" applyNumberFormat="1" applyFont="1" applyBorder="1"/>
    <xf numFmtId="223" fontId="0" fillId="0" borderId="0" xfId="0" applyNumberFormat="1"/>
    <xf numFmtId="218" fontId="0" fillId="0" borderId="21" xfId="0" applyNumberFormat="1" applyBorder="1"/>
    <xf numFmtId="218" fontId="0" fillId="0" borderId="23" xfId="0" applyNumberFormat="1" applyBorder="1"/>
    <xf numFmtId="223" fontId="0" fillId="0" borderId="22" xfId="0" applyNumberFormat="1" applyBorder="1"/>
    <xf numFmtId="218" fontId="0" fillId="0" borderId="28" xfId="0" applyNumberFormat="1" applyBorder="1"/>
    <xf numFmtId="218" fontId="0" fillId="0" borderId="29" xfId="0" applyNumberFormat="1" applyBorder="1"/>
    <xf numFmtId="223" fontId="10" fillId="0" borderId="10" xfId="0" applyNumberFormat="1" applyFont="1" applyBorder="1" applyAlignment="1">
      <alignment horizontal="right"/>
    </xf>
    <xf numFmtId="218" fontId="0" fillId="0" borderId="32" xfId="0" applyNumberFormat="1" applyBorder="1" applyAlignment="1">
      <alignment horizontal="right"/>
    </xf>
    <xf numFmtId="218" fontId="0" fillId="0" borderId="31" xfId="0" applyNumberFormat="1" applyBorder="1" applyAlignment="1">
      <alignment horizontal="right"/>
    </xf>
    <xf numFmtId="218" fontId="0" fillId="0" borderId="20" xfId="0" applyNumberFormat="1" applyBorder="1"/>
    <xf numFmtId="218" fontId="0" fillId="0" borderId="24" xfId="0" applyNumberFormat="1" applyBorder="1"/>
    <xf numFmtId="218" fontId="10" fillId="0" borderId="22" xfId="0" applyNumberFormat="1" applyFont="1" applyBorder="1" applyAlignment="1">
      <alignment horizontal="right"/>
    </xf>
    <xf numFmtId="218" fontId="10" fillId="0" borderId="0" xfId="0" applyNumberFormat="1" applyFont="1" applyAlignment="1">
      <alignment horizontal="right"/>
    </xf>
    <xf numFmtId="223" fontId="10" fillId="0" borderId="26" xfId="0" applyNumberFormat="1" applyFont="1" applyBorder="1"/>
    <xf numFmtId="223" fontId="3" fillId="4" borderId="24" xfId="0" applyNumberFormat="1" applyFont="1" applyFill="1" applyBorder="1" applyAlignment="1">
      <alignment horizontal="right"/>
    </xf>
    <xf numFmtId="223" fontId="0" fillId="0" borderId="21" xfId="0" applyNumberFormat="1" applyBorder="1"/>
    <xf numFmtId="223" fontId="0" fillId="0" borderId="28" xfId="0" applyNumberFormat="1" applyBorder="1"/>
    <xf numFmtId="223" fontId="10" fillId="0" borderId="10" xfId="0" applyNumberFormat="1" applyFont="1" applyBorder="1"/>
    <xf numFmtId="223" fontId="0" fillId="0" borderId="23" xfId="0" applyNumberFormat="1" applyBorder="1"/>
    <xf numFmtId="223" fontId="0" fillId="0" borderId="29" xfId="0" applyNumberFormat="1" applyBorder="1"/>
    <xf numFmtId="224" fontId="10" fillId="0" borderId="22" xfId="0" quotePrefix="1" applyNumberFormat="1" applyFont="1" applyBorder="1"/>
    <xf numFmtId="224" fontId="10" fillId="0" borderId="0" xfId="0" quotePrefix="1" applyNumberFormat="1" applyFont="1"/>
    <xf numFmtId="219" fontId="10" fillId="0" borderId="0" xfId="0" applyNumberFormat="1" applyFont="1"/>
    <xf numFmtId="222" fontId="0" fillId="0" borderId="21" xfId="0" applyNumberFormat="1" applyBorder="1"/>
    <xf numFmtId="222" fontId="0" fillId="0" borderId="23" xfId="0" applyNumberFormat="1" applyBorder="1"/>
    <xf numFmtId="222" fontId="10" fillId="0" borderId="26" xfId="0" applyNumberFormat="1" applyFont="1" applyBorder="1"/>
    <xf numFmtId="222" fontId="10" fillId="0" borderId="22" xfId="0" applyNumberFormat="1" applyFont="1" applyBorder="1"/>
    <xf numFmtId="219" fontId="10" fillId="0" borderId="32" xfId="0" applyNumberFormat="1" applyFont="1" applyBorder="1"/>
    <xf numFmtId="219" fontId="10" fillId="0" borderId="31" xfId="0" applyNumberFormat="1" applyFont="1" applyBorder="1"/>
    <xf numFmtId="218" fontId="10" fillId="0" borderId="23" xfId="0" applyNumberFormat="1" applyFont="1" applyBorder="1"/>
    <xf numFmtId="195" fontId="0" fillId="0" borderId="0" xfId="0" applyNumberFormat="1"/>
    <xf numFmtId="218" fontId="36" fillId="0" borderId="13" xfId="0" applyNumberFormat="1" applyFont="1" applyBorder="1"/>
    <xf numFmtId="4" fontId="10" fillId="0" borderId="9" xfId="0" applyNumberFormat="1" applyFont="1" applyBorder="1" applyAlignment="1">
      <alignment horizontal="center"/>
    </xf>
    <xf numFmtId="222" fontId="0" fillId="0" borderId="25" xfId="0" applyNumberFormat="1" applyBorder="1"/>
    <xf numFmtId="222" fontId="0" fillId="0" borderId="11" xfId="0" applyNumberFormat="1" applyBorder="1"/>
    <xf numFmtId="222" fontId="0" fillId="0" borderId="26" xfId="0" applyNumberFormat="1" applyBorder="1"/>
    <xf numFmtId="222" fontId="0" fillId="0" borderId="10" xfId="0" applyNumberFormat="1" applyBorder="1"/>
    <xf numFmtId="219" fontId="0" fillId="0" borderId="0" xfId="0" applyNumberFormat="1"/>
    <xf numFmtId="0" fontId="13" fillId="0" borderId="0" xfId="0" applyFont="1" applyAlignment="1">
      <alignment horizontal="center"/>
    </xf>
    <xf numFmtId="0" fontId="13" fillId="8" borderId="1" xfId="0" applyFont="1" applyFill="1" applyBorder="1"/>
    <xf numFmtId="0" fontId="13" fillId="8" borderId="1" xfId="0" applyFont="1" applyFill="1" applyBorder="1" applyAlignment="1">
      <alignment horizontal="center"/>
    </xf>
    <xf numFmtId="186" fontId="13" fillId="8" borderId="1" xfId="0" applyNumberFormat="1" applyFont="1" applyFill="1" applyBorder="1"/>
    <xf numFmtId="0" fontId="13" fillId="8" borderId="4" xfId="0" applyFont="1" applyFill="1" applyBorder="1"/>
    <xf numFmtId="0" fontId="13" fillId="0" borderId="11" xfId="0" applyFont="1" applyBorder="1"/>
    <xf numFmtId="0" fontId="51" fillId="0" borderId="10" xfId="0" applyFont="1" applyBorder="1" applyAlignment="1">
      <alignment horizontal="centerContinuous"/>
    </xf>
    <xf numFmtId="0" fontId="51" fillId="0" borderId="11" xfId="0" applyFont="1" applyBorder="1" applyAlignment="1">
      <alignment horizontal="centerContinuous"/>
    </xf>
    <xf numFmtId="0" fontId="48" fillId="0" borderId="0" xfId="0" applyFont="1"/>
    <xf numFmtId="0" fontId="51" fillId="0" borderId="0" xfId="0" applyFont="1" applyAlignment="1">
      <alignment horizontal="center"/>
    </xf>
    <xf numFmtId="0" fontId="21" fillId="8" borderId="1" xfId="0" applyFont="1" applyFill="1" applyBorder="1" applyAlignment="1">
      <alignment horizontal="centerContinuous"/>
    </xf>
    <xf numFmtId="0" fontId="51" fillId="8" borderId="22" xfId="0" applyFont="1" applyFill="1" applyBorder="1" applyAlignment="1">
      <alignment horizontal="centerContinuous"/>
    </xf>
    <xf numFmtId="0" fontId="21" fillId="8" borderId="4" xfId="0" applyFont="1" applyFill="1" applyBorder="1" applyAlignment="1">
      <alignment horizontal="centerContinuous"/>
    </xf>
    <xf numFmtId="0" fontId="51" fillId="8" borderId="1" xfId="0" applyFont="1" applyFill="1" applyBorder="1" applyAlignment="1">
      <alignment horizontal="centerContinuous"/>
    </xf>
    <xf numFmtId="0" fontId="51" fillId="8" borderId="4" xfId="0" applyFont="1" applyFill="1" applyBorder="1" applyAlignment="1">
      <alignment horizontal="centerContinuous"/>
    </xf>
    <xf numFmtId="0" fontId="13" fillId="0" borderId="0" xfId="0" applyFont="1" applyAlignment="1">
      <alignment vertical="center"/>
    </xf>
    <xf numFmtId="0" fontId="13" fillId="0" borderId="0" xfId="0" applyFont="1" applyAlignment="1">
      <alignment horizontal="center" vertical="center"/>
    </xf>
    <xf numFmtId="0" fontId="13" fillId="0" borderId="10" xfId="0" applyFont="1" applyBorder="1" applyAlignment="1">
      <alignment vertical="center"/>
    </xf>
    <xf numFmtId="0" fontId="48" fillId="0" borderId="0" xfId="0" applyFont="1" applyAlignment="1">
      <alignment vertical="center"/>
    </xf>
    <xf numFmtId="0" fontId="48" fillId="0" borderId="10" xfId="0" applyFont="1" applyBorder="1" applyAlignment="1">
      <alignment horizontal="centerContinuous" vertical="center"/>
    </xf>
    <xf numFmtId="0" fontId="48" fillId="0" borderId="0" xfId="0" applyFont="1" applyAlignment="1">
      <alignment horizontal="centerContinuous" vertical="center"/>
    </xf>
    <xf numFmtId="0" fontId="48" fillId="0" borderId="11" xfId="0" applyFont="1" applyBorder="1" applyAlignment="1">
      <alignment horizontal="centerContinuous" vertical="center"/>
    </xf>
    <xf numFmtId="0" fontId="48" fillId="0" borderId="0" xfId="0" applyFont="1" applyAlignment="1">
      <alignment horizontal="center" vertical="center"/>
    </xf>
    <xf numFmtId="0" fontId="3" fillId="0" borderId="0" xfId="0" applyFont="1" applyAlignment="1">
      <alignment horizontal="center" vertical="center"/>
    </xf>
    <xf numFmtId="0" fontId="13" fillId="0" borderId="11" xfId="0" applyFont="1" applyBorder="1" applyAlignment="1">
      <alignment vertical="center"/>
    </xf>
    <xf numFmtId="0" fontId="3" fillId="0" borderId="11" xfId="0" applyFont="1" applyBorder="1" applyAlignment="1">
      <alignment horizontal="center" vertical="center"/>
    </xf>
    <xf numFmtId="186" fontId="52" fillId="0" borderId="0" xfId="0" applyNumberFormat="1" applyFont="1" applyAlignment="1">
      <alignment horizontal="center" vertical="center"/>
    </xf>
    <xf numFmtId="0" fontId="51" fillId="0" borderId="10" xfId="0" applyFont="1" applyBorder="1" applyAlignment="1">
      <alignment horizontal="center" wrapText="1"/>
    </xf>
    <xf numFmtId="0" fontId="51" fillId="0" borderId="11" xfId="0" applyFont="1" applyBorder="1" applyAlignment="1">
      <alignment horizontal="center" wrapText="1"/>
    </xf>
    <xf numFmtId="0" fontId="51" fillId="0" borderId="36" xfId="0" applyFont="1" applyBorder="1" applyAlignment="1">
      <alignment horizontal="center" wrapText="1"/>
    </xf>
    <xf numFmtId="0" fontId="22" fillId="0" borderId="0" xfId="0" applyFont="1" applyAlignment="1">
      <alignment horizontal="center" wrapText="1"/>
    </xf>
    <xf numFmtId="0" fontId="51" fillId="0" borderId="37" xfId="0" applyFont="1" applyBorder="1" applyAlignment="1">
      <alignment horizontal="center" wrapText="1"/>
    </xf>
    <xf numFmtId="0" fontId="52" fillId="0" borderId="0" xfId="0" applyFont="1" applyAlignment="1">
      <alignment horizontal="center" vertical="center"/>
    </xf>
    <xf numFmtId="0" fontId="52" fillId="0" borderId="0" xfId="0" applyFont="1"/>
    <xf numFmtId="168" fontId="13" fillId="0" borderId="0" xfId="0" applyNumberFormat="1" applyFont="1"/>
    <xf numFmtId="168" fontId="52" fillId="0" borderId="0" xfId="0" applyNumberFormat="1" applyFont="1"/>
    <xf numFmtId="188" fontId="13" fillId="0" borderId="0" xfId="0" applyNumberFormat="1" applyFont="1"/>
    <xf numFmtId="188" fontId="13" fillId="0" borderId="0" xfId="0" applyNumberFormat="1" applyFont="1" applyAlignment="1">
      <alignment horizontal="center"/>
    </xf>
    <xf numFmtId="187" fontId="13" fillId="0" borderId="0" xfId="0" applyNumberFormat="1" applyFont="1" applyAlignment="1">
      <alignment horizontal="center"/>
    </xf>
    <xf numFmtId="170" fontId="13" fillId="0" borderId="11" xfId="0" applyNumberFormat="1" applyFont="1" applyBorder="1" applyAlignment="1">
      <alignment horizontal="center"/>
    </xf>
    <xf numFmtId="187" fontId="13" fillId="0" borderId="11" xfId="0" applyNumberFormat="1" applyFont="1" applyBorder="1" applyAlignment="1">
      <alignment horizontal="center"/>
    </xf>
    <xf numFmtId="0" fontId="13" fillId="0" borderId="11" xfId="0" applyFont="1" applyBorder="1" applyAlignment="1">
      <alignment horizontal="center"/>
    </xf>
    <xf numFmtId="190" fontId="13" fillId="0" borderId="0" xfId="0" applyNumberFormat="1" applyFont="1"/>
    <xf numFmtId="189" fontId="13" fillId="0" borderId="11" xfId="0" applyNumberFormat="1" applyFont="1" applyBorder="1"/>
    <xf numFmtId="0" fontId="13" fillId="0" borderId="38" xfId="0" applyFont="1" applyBorder="1"/>
    <xf numFmtId="0" fontId="13" fillId="0" borderId="39" xfId="0" applyFont="1" applyBorder="1"/>
    <xf numFmtId="0" fontId="22" fillId="0" borderId="3" xfId="0" applyFont="1" applyBorder="1" applyAlignment="1">
      <alignment horizontal="center"/>
    </xf>
    <xf numFmtId="0" fontId="22" fillId="0" borderId="1" xfId="0" applyFont="1" applyBorder="1"/>
    <xf numFmtId="0" fontId="22" fillId="0" borderId="1" xfId="0" applyFont="1" applyBorder="1" applyAlignment="1">
      <alignment horizontal="center"/>
    </xf>
    <xf numFmtId="0" fontId="13" fillId="0" borderId="4" xfId="0" applyFont="1" applyBorder="1"/>
    <xf numFmtId="0" fontId="22" fillId="0" borderId="3" xfId="0" applyFont="1" applyBorder="1"/>
    <xf numFmtId="168" fontId="22" fillId="0" borderId="1" xfId="0" applyNumberFormat="1" applyFont="1" applyBorder="1"/>
    <xf numFmtId="171" fontId="22" fillId="0" borderId="2" xfId="0" applyNumberFormat="1" applyFont="1" applyBorder="1"/>
    <xf numFmtId="191" fontId="22" fillId="0" borderId="4" xfId="0" applyNumberFormat="1" applyFont="1" applyBorder="1" applyAlignment="1">
      <alignment horizontal="right"/>
    </xf>
    <xf numFmtId="188" fontId="13" fillId="0" borderId="3" xfId="0" applyNumberFormat="1" applyFont="1" applyBorder="1"/>
    <xf numFmtId="188" fontId="13" fillId="0" borderId="4" xfId="0" applyNumberFormat="1" applyFont="1" applyBorder="1"/>
    <xf numFmtId="171" fontId="22" fillId="0" borderId="3" xfId="0" applyNumberFormat="1" applyFont="1" applyBorder="1"/>
    <xf numFmtId="188" fontId="13" fillId="0" borderId="2" xfId="0" applyNumberFormat="1" applyFont="1" applyBorder="1"/>
    <xf numFmtId="188" fontId="13" fillId="0" borderId="8" xfId="0" applyNumberFormat="1" applyFont="1" applyBorder="1"/>
    <xf numFmtId="0" fontId="13" fillId="0" borderId="8" xfId="0" applyFont="1" applyBorder="1"/>
    <xf numFmtId="191" fontId="22" fillId="0" borderId="4" xfId="0" applyNumberFormat="1" applyFont="1" applyBorder="1" applyAlignment="1">
      <alignment horizontal="center"/>
    </xf>
    <xf numFmtId="189" fontId="22" fillId="0" borderId="4" xfId="0" applyNumberFormat="1" applyFont="1" applyBorder="1" applyAlignment="1">
      <alignment horizontal="right"/>
    </xf>
    <xf numFmtId="0" fontId="13" fillId="0" borderId="3" xfId="0" applyFont="1" applyBorder="1"/>
    <xf numFmtId="191" fontId="22" fillId="0" borderId="1" xfId="0" applyNumberFormat="1" applyFont="1" applyBorder="1" applyAlignment="1">
      <alignment horizontal="center"/>
    </xf>
    <xf numFmtId="0" fontId="13" fillId="0" borderId="1" xfId="0" applyFont="1" applyBorder="1"/>
    <xf numFmtId="170" fontId="52" fillId="0" borderId="10" xfId="0" applyNumberFormat="1" applyFont="1" applyBorder="1" applyAlignment="1">
      <alignment horizontal="left"/>
    </xf>
    <xf numFmtId="9" fontId="3" fillId="4" borderId="49" xfId="0" applyNumberFormat="1" applyFont="1" applyFill="1" applyBorder="1" applyAlignment="1">
      <alignment horizontal="center"/>
    </xf>
    <xf numFmtId="0" fontId="2" fillId="0" borderId="0" xfId="0" applyFont="1" applyAlignment="1">
      <alignment horizontal="center" vertical="center" textRotation="90"/>
    </xf>
    <xf numFmtId="0" fontId="0" fillId="20" borderId="10" xfId="0" applyFill="1" applyBorder="1"/>
    <xf numFmtId="0" fontId="0" fillId="20" borderId="12" xfId="0" applyFill="1" applyBorder="1"/>
    <xf numFmtId="0" fontId="0" fillId="19" borderId="26" xfId="0" applyFill="1" applyBorder="1"/>
    <xf numFmtId="0" fontId="0" fillId="19" borderId="22" xfId="0" applyFill="1" applyBorder="1"/>
    <xf numFmtId="0" fontId="0" fillId="19" borderId="25" xfId="0" applyFill="1" applyBorder="1"/>
    <xf numFmtId="0" fontId="0" fillId="19" borderId="10" xfId="0" applyFill="1" applyBorder="1"/>
    <xf numFmtId="0" fontId="0" fillId="20" borderId="3" xfId="0" applyFill="1" applyBorder="1"/>
    <xf numFmtId="0" fontId="0" fillId="20" borderId="1" xfId="0" applyFill="1" applyBorder="1"/>
    <xf numFmtId="0" fontId="0" fillId="20" borderId="4" xfId="0" applyFill="1" applyBorder="1"/>
    <xf numFmtId="0" fontId="0" fillId="19" borderId="11" xfId="0" applyFill="1" applyBorder="1"/>
    <xf numFmtId="0" fontId="0" fillId="20" borderId="0" xfId="0" applyFill="1"/>
    <xf numFmtId="0" fontId="0" fillId="19" borderId="15" xfId="0" applyFill="1" applyBorder="1"/>
    <xf numFmtId="170" fontId="0" fillId="20" borderId="0" xfId="0" applyNumberFormat="1" applyFill="1" applyAlignment="1">
      <alignment horizontal="center"/>
    </xf>
    <xf numFmtId="0" fontId="0" fillId="20" borderId="11" xfId="0" applyFill="1" applyBorder="1"/>
    <xf numFmtId="0" fontId="1" fillId="19" borderId="1" xfId="0" applyFont="1" applyFill="1" applyBorder="1"/>
    <xf numFmtId="225" fontId="1" fillId="19" borderId="1" xfId="0" applyNumberFormat="1" applyFont="1" applyFill="1" applyBorder="1" applyAlignment="1">
      <alignment horizontal="center"/>
    </xf>
    <xf numFmtId="225" fontId="1" fillId="19" borderId="4" xfId="0" applyNumberFormat="1" applyFont="1" applyFill="1" applyBorder="1" applyAlignment="1">
      <alignment horizontal="center"/>
    </xf>
    <xf numFmtId="225" fontId="1" fillId="19" borderId="2" xfId="0" applyNumberFormat="1" applyFont="1" applyFill="1" applyBorder="1" applyAlignment="1">
      <alignment horizontal="center"/>
    </xf>
    <xf numFmtId="0" fontId="34" fillId="20" borderId="10" xfId="0" applyFont="1" applyFill="1" applyBorder="1"/>
    <xf numFmtId="0" fontId="1" fillId="20" borderId="15" xfId="0" applyFont="1" applyFill="1" applyBorder="1"/>
    <xf numFmtId="225" fontId="34" fillId="20" borderId="0" xfId="0" applyNumberFormat="1" applyFont="1" applyFill="1" applyAlignment="1">
      <alignment horizontal="center"/>
    </xf>
    <xf numFmtId="225" fontId="34" fillId="20" borderId="11" xfId="0" applyNumberFormat="1" applyFont="1" applyFill="1" applyBorder="1" applyAlignment="1">
      <alignment horizontal="center"/>
    </xf>
    <xf numFmtId="0" fontId="2" fillId="0" borderId="50" xfId="0" applyFont="1" applyBorder="1"/>
    <xf numFmtId="0" fontId="2" fillId="0" borderId="51" xfId="0" applyFont="1" applyBorder="1"/>
    <xf numFmtId="0" fontId="2" fillId="20" borderId="52" xfId="0" applyFont="1" applyFill="1" applyBorder="1"/>
    <xf numFmtId="0" fontId="2" fillId="20" borderId="53" xfId="0" applyFont="1" applyFill="1" applyBorder="1"/>
    <xf numFmtId="0" fontId="2" fillId="0" borderId="53" xfId="0" applyFont="1" applyBorder="1"/>
    <xf numFmtId="0" fontId="2" fillId="20" borderId="15" xfId="0" applyFont="1" applyFill="1" applyBorder="1"/>
    <xf numFmtId="170" fontId="0" fillId="20" borderId="11" xfId="0" applyNumberFormat="1" applyFill="1" applyBorder="1" applyAlignment="1">
      <alignment horizontal="center"/>
    </xf>
    <xf numFmtId="170" fontId="0" fillId="20" borderId="15" xfId="0" applyNumberFormat="1" applyFill="1" applyBorder="1" applyAlignment="1">
      <alignment horizontal="center"/>
    </xf>
    <xf numFmtId="0" fontId="0" fillId="20" borderId="0" xfId="0" applyFill="1" applyAlignment="1">
      <alignment horizontal="center"/>
    </xf>
    <xf numFmtId="0" fontId="0" fillId="20" borderId="11" xfId="0" applyFill="1" applyBorder="1" applyAlignment="1">
      <alignment horizontal="center"/>
    </xf>
    <xf numFmtId="3" fontId="0" fillId="20" borderId="15" xfId="0" applyNumberFormat="1" applyFill="1" applyBorder="1" applyAlignment="1">
      <alignment horizontal="center"/>
    </xf>
    <xf numFmtId="0" fontId="0" fillId="20" borderId="15" xfId="0" applyFill="1" applyBorder="1"/>
    <xf numFmtId="171" fontId="0" fillId="20" borderId="0" xfId="0" applyNumberFormat="1" applyFill="1" applyAlignment="1">
      <alignment horizontal="center"/>
    </xf>
    <xf numFmtId="171" fontId="0" fillId="20" borderId="11" xfId="0" applyNumberFormat="1" applyFill="1" applyBorder="1" applyAlignment="1">
      <alignment horizontal="center"/>
    </xf>
    <xf numFmtId="170" fontId="0" fillId="20" borderId="1" xfId="0" applyNumberFormat="1" applyFill="1" applyBorder="1" applyAlignment="1">
      <alignment horizontal="center"/>
    </xf>
    <xf numFmtId="170" fontId="0" fillId="20" borderId="4" xfId="0" applyNumberFormat="1" applyFill="1" applyBorder="1" applyAlignment="1">
      <alignment horizontal="center"/>
    </xf>
    <xf numFmtId="189" fontId="0" fillId="20" borderId="0" xfId="0" applyNumberFormat="1" applyFill="1" applyAlignment="1">
      <alignment horizontal="center"/>
    </xf>
    <xf numFmtId="189" fontId="0" fillId="20" borderId="11" xfId="0" applyNumberFormat="1" applyFill="1" applyBorder="1" applyAlignment="1">
      <alignment horizontal="center"/>
    </xf>
    <xf numFmtId="0" fontId="2" fillId="20" borderId="54" xfId="0" applyFont="1" applyFill="1" applyBorder="1"/>
    <xf numFmtId="0" fontId="2" fillId="20" borderId="51" xfId="0" applyFont="1" applyFill="1" applyBorder="1"/>
    <xf numFmtId="170" fontId="2" fillId="20" borderId="54" xfId="0" applyNumberFormat="1" applyFont="1" applyFill="1" applyBorder="1" applyAlignment="1">
      <alignment horizontal="center"/>
    </xf>
    <xf numFmtId="170" fontId="2" fillId="20" borderId="55" xfId="0" applyNumberFormat="1" applyFont="1" applyFill="1" applyBorder="1" applyAlignment="1">
      <alignment horizontal="center"/>
    </xf>
    <xf numFmtId="170" fontId="2" fillId="20" borderId="56" xfId="0" applyNumberFormat="1" applyFont="1" applyFill="1" applyBorder="1" applyAlignment="1">
      <alignment horizontal="center"/>
    </xf>
    <xf numFmtId="170" fontId="0" fillId="20" borderId="3" xfId="0" applyNumberFormat="1" applyFill="1" applyBorder="1" applyAlignment="1">
      <alignment horizontal="center"/>
    </xf>
    <xf numFmtId="171" fontId="0" fillId="20" borderId="10" xfId="0" applyNumberFormat="1" applyFill="1" applyBorder="1" applyAlignment="1">
      <alignment horizontal="center"/>
    </xf>
    <xf numFmtId="171" fontId="0" fillId="21" borderId="15" xfId="0" applyNumberFormat="1" applyFill="1" applyBorder="1" applyAlignment="1">
      <alignment horizontal="center"/>
    </xf>
    <xf numFmtId="0" fontId="28" fillId="20" borderId="10" xfId="0" applyFont="1" applyFill="1" applyBorder="1"/>
    <xf numFmtId="171" fontId="0" fillId="20" borderId="15" xfId="0" applyNumberFormat="1" applyFill="1" applyBorder="1" applyAlignment="1">
      <alignment horizontal="center"/>
    </xf>
    <xf numFmtId="184" fontId="0" fillId="20" borderId="15" xfId="0" applyNumberFormat="1" applyFill="1" applyBorder="1" applyAlignment="1">
      <alignment horizontal="center"/>
    </xf>
    <xf numFmtId="0" fontId="28" fillId="20" borderId="12" xfId="0" applyFont="1" applyFill="1" applyBorder="1"/>
    <xf numFmtId="171" fontId="0" fillId="20" borderId="16" xfId="0" applyNumberFormat="1" applyFill="1" applyBorder="1" applyAlignment="1">
      <alignment horizontal="center"/>
    </xf>
    <xf numFmtId="0" fontId="0" fillId="20" borderId="8" xfId="0" applyFill="1" applyBorder="1"/>
    <xf numFmtId="0" fontId="0" fillId="20" borderId="13" xfId="0" applyFill="1" applyBorder="1"/>
    <xf numFmtId="10" fontId="0" fillId="21" borderId="15" xfId="0" applyNumberFormat="1" applyFill="1" applyBorder="1" applyAlignment="1">
      <alignment horizontal="center"/>
    </xf>
    <xf numFmtId="0" fontId="0" fillId="19" borderId="12" xfId="0" applyFill="1" applyBorder="1"/>
    <xf numFmtId="0" fontId="0" fillId="19" borderId="8" xfId="0" applyFill="1" applyBorder="1"/>
    <xf numFmtId="0" fontId="0" fillId="19" borderId="13" xfId="0" applyFill="1" applyBorder="1"/>
    <xf numFmtId="3" fontId="0" fillId="21" borderId="15" xfId="0" applyNumberFormat="1" applyFill="1" applyBorder="1" applyAlignment="1">
      <alignment horizontal="center"/>
    </xf>
    <xf numFmtId="170" fontId="0" fillId="20" borderId="16" xfId="0" applyNumberFormat="1" applyFill="1" applyBorder="1" applyAlignment="1">
      <alignment horizontal="center"/>
    </xf>
    <xf numFmtId="0" fontId="2" fillId="20" borderId="55" xfId="0" applyFont="1" applyFill="1" applyBorder="1"/>
    <xf numFmtId="0" fontId="2" fillId="20" borderId="56" xfId="0" applyFont="1" applyFill="1" applyBorder="1"/>
    <xf numFmtId="10" fontId="0" fillId="20" borderId="15" xfId="0" applyNumberFormat="1" applyFill="1" applyBorder="1" applyAlignment="1">
      <alignment horizontal="center"/>
    </xf>
    <xf numFmtId="170" fontId="0" fillId="20" borderId="13" xfId="0" applyNumberFormat="1" applyFill="1" applyBorder="1" applyAlignment="1">
      <alignment horizontal="center"/>
    </xf>
    <xf numFmtId="0" fontId="0" fillId="20" borderId="57" xfId="0" applyFill="1" applyBorder="1" applyAlignment="1">
      <alignment horizontal="center"/>
    </xf>
    <xf numFmtId="0" fontId="0" fillId="20" borderId="58" xfId="0" applyFill="1" applyBorder="1" applyAlignment="1">
      <alignment horizontal="center"/>
    </xf>
    <xf numFmtId="170" fontId="2" fillId="20" borderId="51" xfId="0" applyNumberFormat="1" applyFont="1" applyFill="1" applyBorder="1" applyAlignment="1">
      <alignment horizontal="center"/>
    </xf>
    <xf numFmtId="0" fontId="0" fillId="20" borderId="16" xfId="0" applyFill="1" applyBorder="1"/>
    <xf numFmtId="170" fontId="0" fillId="20" borderId="54" xfId="0" applyNumberFormat="1" applyFill="1" applyBorder="1" applyAlignment="1">
      <alignment horizontal="center"/>
    </xf>
    <xf numFmtId="170" fontId="0" fillId="20" borderId="55" xfId="0" applyNumberFormat="1" applyFill="1" applyBorder="1" applyAlignment="1">
      <alignment horizontal="center"/>
    </xf>
    <xf numFmtId="170" fontId="0" fillId="20" borderId="56" xfId="0" applyNumberFormat="1" applyFill="1" applyBorder="1" applyAlignment="1">
      <alignment horizontal="center"/>
    </xf>
    <xf numFmtId="0" fontId="0" fillId="20" borderId="8" xfId="0" applyFill="1" applyBorder="1" applyAlignment="1">
      <alignment horizontal="center"/>
    </xf>
    <xf numFmtId="0" fontId="0" fillId="20" borderId="13" xfId="0" applyFill="1" applyBorder="1" applyAlignment="1">
      <alignment horizontal="center"/>
    </xf>
    <xf numFmtId="0" fontId="0" fillId="20" borderId="16" xfId="0" applyFill="1" applyBorder="1" applyAlignment="1">
      <alignment horizontal="center"/>
    </xf>
    <xf numFmtId="3" fontId="0" fillId="20" borderId="16" xfId="0" applyNumberFormat="1" applyFill="1" applyBorder="1" applyAlignment="1">
      <alignment horizontal="center"/>
    </xf>
    <xf numFmtId="170" fontId="0" fillId="0" borderId="0" xfId="0" applyNumberFormat="1" applyAlignment="1">
      <alignment horizontal="center"/>
    </xf>
    <xf numFmtId="0" fontId="2" fillId="0" borderId="22" xfId="0" applyFont="1" applyBorder="1"/>
    <xf numFmtId="174" fontId="2" fillId="0" borderId="22" xfId="0" applyNumberFormat="1" applyFont="1" applyBorder="1"/>
    <xf numFmtId="174" fontId="2" fillId="0" borderId="8" xfId="0" applyNumberFormat="1" applyFont="1" applyBorder="1"/>
    <xf numFmtId="174" fontId="2" fillId="18" borderId="22" xfId="0" applyNumberFormat="1" applyFont="1" applyFill="1" applyBorder="1"/>
    <xf numFmtId="174" fontId="2" fillId="18" borderId="0" xfId="0" applyNumberFormat="1" applyFont="1" applyFill="1"/>
    <xf numFmtId="174" fontId="2" fillId="18" borderId="8" xfId="0" applyNumberFormat="1" applyFont="1" applyFill="1" applyBorder="1"/>
    <xf numFmtId="174" fontId="2" fillId="10" borderId="0" xfId="0" applyNumberFormat="1" applyFont="1" applyFill="1"/>
    <xf numFmtId="174" fontId="29" fillId="18" borderId="0" xfId="0" quotePrefix="1" applyNumberFormat="1" applyFont="1" applyFill="1"/>
    <xf numFmtId="226" fontId="1" fillId="2" borderId="0" xfId="0" applyNumberFormat="1" applyFont="1" applyFill="1" applyAlignment="1">
      <alignment horizontal="center"/>
    </xf>
    <xf numFmtId="227" fontId="1" fillId="2" borderId="0" xfId="0" applyNumberFormat="1" applyFont="1" applyFill="1" applyAlignment="1">
      <alignment horizontal="center"/>
    </xf>
    <xf numFmtId="195" fontId="28" fillId="0" borderId="0" xfId="0" applyNumberFormat="1" applyFont="1"/>
    <xf numFmtId="218" fontId="28" fillId="0" borderId="0" xfId="0" applyNumberFormat="1" applyFont="1"/>
    <xf numFmtId="228" fontId="28" fillId="0" borderId="0" xfId="0" applyNumberFormat="1" applyFont="1"/>
    <xf numFmtId="171" fontId="2" fillId="0" borderId="0" xfId="0" applyNumberFormat="1" applyFont="1"/>
    <xf numFmtId="228" fontId="0" fillId="20" borderId="15" xfId="0" applyNumberFormat="1" applyFill="1" applyBorder="1" applyAlignment="1">
      <alignment horizontal="center"/>
    </xf>
    <xf numFmtId="220" fontId="3" fillId="4" borderId="17" xfId="0" applyNumberFormat="1" applyFont="1" applyFill="1" applyBorder="1" applyAlignment="1">
      <alignment horizontal="center"/>
    </xf>
    <xf numFmtId="220" fontId="3" fillId="4" borderId="9" xfId="0" applyNumberFormat="1" applyFont="1" applyFill="1" applyBorder="1" applyAlignment="1">
      <alignment horizontal="center"/>
    </xf>
    <xf numFmtId="220" fontId="3" fillId="4" borderId="18" xfId="0" applyNumberFormat="1" applyFont="1" applyFill="1" applyBorder="1" applyAlignment="1">
      <alignment horizontal="center"/>
    </xf>
    <xf numFmtId="220" fontId="0" fillId="0" borderId="9" xfId="0" applyNumberFormat="1" applyBorder="1" applyAlignment="1">
      <alignment horizontal="center"/>
    </xf>
    <xf numFmtId="9" fontId="0" fillId="0" borderId="9" xfId="0" applyNumberFormat="1" applyBorder="1" applyAlignment="1">
      <alignment horizontal="center"/>
    </xf>
    <xf numFmtId="9" fontId="3" fillId="4" borderId="17" xfId="0" applyNumberFormat="1" applyFont="1" applyFill="1" applyBorder="1" applyAlignment="1">
      <alignment horizontal="center"/>
    </xf>
    <xf numFmtId="9" fontId="3" fillId="4" borderId="18" xfId="0" applyNumberFormat="1" applyFont="1" applyFill="1" applyBorder="1" applyAlignment="1">
      <alignment horizontal="center"/>
    </xf>
    <xf numFmtId="169" fontId="3" fillId="4" borderId="0" xfId="0" applyNumberFormat="1" applyFont="1" applyFill="1" applyAlignment="1">
      <alignment horizontal="right"/>
    </xf>
    <xf numFmtId="229" fontId="3" fillId="4" borderId="17" xfId="0" applyNumberFormat="1" applyFont="1" applyFill="1" applyBorder="1" applyAlignment="1">
      <alignment horizontal="center"/>
    </xf>
    <xf numFmtId="229" fontId="3" fillId="4" borderId="9" xfId="0" applyNumberFormat="1" applyFont="1" applyFill="1" applyBorder="1" applyAlignment="1">
      <alignment horizontal="center"/>
    </xf>
    <xf numFmtId="229" fontId="3" fillId="4" borderId="18" xfId="0" applyNumberFormat="1" applyFont="1" applyFill="1" applyBorder="1" applyAlignment="1">
      <alignment horizontal="center"/>
    </xf>
    <xf numFmtId="229" fontId="0" fillId="0" borderId="9" xfId="0" applyNumberFormat="1" applyBorder="1" applyAlignment="1">
      <alignment horizontal="center"/>
    </xf>
    <xf numFmtId="9" fontId="2" fillId="0" borderId="0" xfId="0" applyNumberFormat="1" applyFont="1" applyAlignment="1">
      <alignment horizontal="center"/>
    </xf>
    <xf numFmtId="9" fontId="13" fillId="0" borderId="0" xfId="3" applyFont="1" applyBorder="1" applyAlignment="1">
      <alignment horizontal="center"/>
    </xf>
    <xf numFmtId="10" fontId="22" fillId="0" borderId="8" xfId="0" applyNumberFormat="1" applyFont="1" applyBorder="1" applyAlignment="1">
      <alignment horizontal="center"/>
    </xf>
    <xf numFmtId="10" fontId="16" fillId="0" borderId="46" xfId="0" applyNumberFormat="1" applyFont="1" applyBorder="1" applyAlignment="1">
      <alignment horizontal="center"/>
    </xf>
    <xf numFmtId="10" fontId="2" fillId="0" borderId="11" xfId="0" applyNumberFormat="1" applyFont="1" applyBorder="1" applyAlignment="1">
      <alignment horizontal="center"/>
    </xf>
    <xf numFmtId="10" fontId="16" fillId="0" borderId="43" xfId="0" applyNumberFormat="1" applyFont="1" applyBorder="1" applyAlignment="1">
      <alignment horizontal="center"/>
    </xf>
    <xf numFmtId="230" fontId="2" fillId="0" borderId="11" xfId="0" applyNumberFormat="1" applyFont="1" applyBorder="1" applyAlignment="1">
      <alignment horizontal="center"/>
    </xf>
    <xf numFmtId="230" fontId="22" fillId="0" borderId="8" xfId="0" applyNumberFormat="1" applyFont="1" applyBorder="1" applyAlignment="1">
      <alignment horizontal="center"/>
    </xf>
    <xf numFmtId="0" fontId="1" fillId="8" borderId="22" xfId="0" applyFont="1" applyFill="1" applyBorder="1"/>
    <xf numFmtId="0" fontId="1" fillId="8" borderId="25" xfId="0" applyFont="1" applyFill="1" applyBorder="1"/>
    <xf numFmtId="3" fontId="3" fillId="4" borderId="28" xfId="0" applyNumberFormat="1" applyFont="1" applyFill="1" applyBorder="1"/>
    <xf numFmtId="3" fontId="3" fillId="4" borderId="29" xfId="0" applyNumberFormat="1" applyFont="1" applyFill="1" applyBorder="1"/>
    <xf numFmtId="231" fontId="2" fillId="0" borderId="3" xfId="0" applyNumberFormat="1" applyFont="1" applyBorder="1" applyAlignment="1">
      <alignment horizontal="center" vertical="center"/>
    </xf>
    <xf numFmtId="231" fontId="2" fillId="0" borderId="1" xfId="0" applyNumberFormat="1" applyFont="1" applyBorder="1" applyAlignment="1">
      <alignment horizontal="center" vertical="center"/>
    </xf>
    <xf numFmtId="231" fontId="2" fillId="0" borderId="4" xfId="0" applyNumberFormat="1" applyFont="1" applyBorder="1" applyAlignment="1">
      <alignment horizontal="center" vertical="center"/>
    </xf>
    <xf numFmtId="218" fontId="10" fillId="0" borderId="14" xfId="0" applyNumberFormat="1" applyFont="1" applyBorder="1" applyAlignment="1">
      <alignment horizontal="center"/>
    </xf>
    <xf numFmtId="218" fontId="10" fillId="0" borderId="15" xfId="0" applyNumberFormat="1" applyFont="1" applyBorder="1" applyAlignment="1">
      <alignment horizontal="center"/>
    </xf>
    <xf numFmtId="232" fontId="3" fillId="4" borderId="27" xfId="0" applyNumberFormat="1" applyFont="1" applyFill="1" applyBorder="1" applyAlignment="1">
      <alignment horizontal="right"/>
    </xf>
    <xf numFmtId="232" fontId="3" fillId="4" borderId="19" xfId="0" applyNumberFormat="1" applyFont="1" applyFill="1" applyBorder="1" applyAlignment="1">
      <alignment horizontal="right"/>
    </xf>
    <xf numFmtId="10" fontId="0" fillId="0" borderId="2" xfId="0" applyNumberFormat="1" applyBorder="1" applyAlignment="1">
      <alignment horizontal="center"/>
    </xf>
    <xf numFmtId="195" fontId="29" fillId="0" borderId="0" xfId="0" applyNumberFormat="1" applyFont="1"/>
    <xf numFmtId="224" fontId="28" fillId="0" borderId="0" xfId="0" applyNumberFormat="1" applyFont="1"/>
    <xf numFmtId="233" fontId="28" fillId="0" borderId="0" xfId="0" applyNumberFormat="1" applyFont="1"/>
    <xf numFmtId="0" fontId="1" fillId="8" borderId="26" xfId="0" applyFont="1" applyFill="1" applyBorder="1"/>
    <xf numFmtId="234" fontId="22" fillId="20" borderId="0" xfId="0" applyNumberFormat="1" applyFont="1" applyFill="1" applyAlignment="1">
      <alignment horizontal="center"/>
    </xf>
    <xf numFmtId="235" fontId="2" fillId="0" borderId="11" xfId="0" applyNumberFormat="1" applyFont="1" applyBorder="1" applyAlignment="1">
      <alignment horizontal="center"/>
    </xf>
    <xf numFmtId="235" fontId="16" fillId="0" borderId="43" xfId="0" applyNumberFormat="1" applyFont="1" applyBorder="1" applyAlignment="1">
      <alignment horizontal="center"/>
    </xf>
    <xf numFmtId="236" fontId="22" fillId="0" borderId="8" xfId="0" applyNumberFormat="1" applyFont="1" applyBorder="1" applyAlignment="1">
      <alignment horizontal="center"/>
    </xf>
    <xf numFmtId="236" fontId="16" fillId="0" borderId="46" xfId="0" applyNumberFormat="1" applyFont="1" applyBorder="1" applyAlignment="1">
      <alignment horizontal="center"/>
    </xf>
    <xf numFmtId="237" fontId="27" fillId="0" borderId="26" xfId="0" applyNumberFormat="1" applyFont="1" applyBorder="1" applyAlignment="1">
      <alignment horizontal="left"/>
    </xf>
    <xf numFmtId="237" fontId="27" fillId="0" borderId="10" xfId="0" applyNumberFormat="1" applyFont="1" applyBorder="1" applyAlignment="1">
      <alignment horizontal="left"/>
    </xf>
    <xf numFmtId="0" fontId="0" fillId="2" borderId="0" xfId="0" applyFill="1" applyAlignment="1">
      <alignment vertical="center"/>
    </xf>
    <xf numFmtId="0" fontId="34" fillId="2" borderId="0" xfId="0" applyFont="1" applyFill="1" applyAlignment="1">
      <alignment vertical="center"/>
    </xf>
    <xf numFmtId="0" fontId="54" fillId="2" borderId="0" xfId="0" applyFont="1" applyFill="1" applyAlignment="1">
      <alignment horizontal="center" vertical="center"/>
    </xf>
    <xf numFmtId="0" fontId="1" fillId="2" borderId="0" xfId="0" applyFont="1" applyFill="1" applyAlignment="1">
      <alignment vertical="center"/>
    </xf>
    <xf numFmtId="0" fontId="0" fillId="0" borderId="59" xfId="0" applyBorder="1"/>
    <xf numFmtId="3" fontId="0" fillId="0" borderId="60" xfId="0" applyNumberFormat="1" applyBorder="1"/>
    <xf numFmtId="0" fontId="0" fillId="0" borderId="61" xfId="0" applyBorder="1"/>
    <xf numFmtId="3" fontId="0" fillId="0" borderId="62" xfId="0" applyNumberFormat="1" applyBorder="1"/>
    <xf numFmtId="0" fontId="54" fillId="2" borderId="0" xfId="0" applyFont="1" applyFill="1" applyAlignment="1">
      <alignment horizontal="left" vertical="center"/>
    </xf>
    <xf numFmtId="0" fontId="54" fillId="2" borderId="63" xfId="0" applyFont="1" applyFill="1" applyBorder="1" applyAlignment="1">
      <alignment horizontal="center" vertical="center"/>
    </xf>
    <xf numFmtId="0" fontId="56" fillId="0" borderId="0" xfId="0" applyFont="1" applyAlignment="1">
      <alignment horizontal="left" vertical="center" indent="1"/>
    </xf>
    <xf numFmtId="0" fontId="55" fillId="0" borderId="0" xfId="0" applyFont="1" applyAlignment="1">
      <alignment horizontal="left" vertical="center"/>
    </xf>
    <xf numFmtId="3" fontId="55" fillId="0" borderId="0" xfId="0" applyNumberFormat="1" applyFont="1" applyAlignment="1">
      <alignment horizontal="left" vertical="center"/>
    </xf>
    <xf numFmtId="171" fontId="55" fillId="0" borderId="0" xfId="0" applyNumberFormat="1" applyFont="1" applyAlignment="1">
      <alignment horizontal="left" vertical="center"/>
    </xf>
    <xf numFmtId="172" fontId="55" fillId="0" borderId="0" xfId="0" applyNumberFormat="1" applyFont="1" applyAlignment="1">
      <alignment horizontal="left" vertical="center"/>
    </xf>
    <xf numFmtId="0" fontId="53" fillId="2" borderId="0" xfId="0" applyFont="1" applyFill="1" applyAlignment="1">
      <alignment horizontal="left" vertical="center"/>
    </xf>
    <xf numFmtId="238" fontId="55" fillId="0" borderId="0" xfId="0" applyNumberFormat="1" applyFont="1" applyAlignment="1">
      <alignment horizontal="left" vertical="center"/>
    </xf>
    <xf numFmtId="0" fontId="34" fillId="2" borderId="0" xfId="0" applyFont="1" applyFill="1"/>
    <xf numFmtId="167" fontId="2" fillId="0" borderId="1" xfId="0" applyNumberFormat="1" applyFont="1" applyBorder="1"/>
    <xf numFmtId="242" fontId="0" fillId="0" borderId="1" xfId="0" applyNumberFormat="1" applyBorder="1"/>
    <xf numFmtId="0" fontId="34" fillId="2" borderId="0" xfId="0" applyFont="1" applyFill="1" applyAlignment="1">
      <alignment horizontal="center" vertical="center"/>
    </xf>
    <xf numFmtId="0" fontId="57" fillId="2" borderId="0" xfId="0" applyFont="1" applyFill="1" applyAlignment="1">
      <alignment horizontal="left" vertical="center"/>
    </xf>
    <xf numFmtId="0" fontId="34" fillId="2" borderId="64" xfId="0" applyFont="1" applyFill="1" applyBorder="1" applyAlignment="1">
      <alignment horizontal="center" vertical="center"/>
    </xf>
    <xf numFmtId="0" fontId="55" fillId="0" borderId="0" xfId="0" applyFont="1"/>
    <xf numFmtId="0" fontId="55" fillId="0" borderId="65" xfId="0" applyFont="1" applyBorder="1"/>
    <xf numFmtId="0" fontId="0" fillId="0" borderId="10" xfId="0" applyBorder="1" applyAlignment="1">
      <alignment horizontal="center" vertical="center"/>
    </xf>
    <xf numFmtId="243" fontId="55" fillId="0" borderId="0" xfId="0" applyNumberFormat="1" applyFont="1"/>
    <xf numFmtId="10" fontId="55" fillId="0" borderId="0" xfId="0" applyNumberFormat="1" applyFont="1"/>
    <xf numFmtId="3" fontId="55" fillId="0" borderId="0" xfId="0" applyNumberFormat="1" applyFont="1"/>
    <xf numFmtId="0" fontId="55" fillId="0" borderId="0" xfId="0" applyFont="1" applyAlignment="1">
      <alignment horizontal="right"/>
    </xf>
    <xf numFmtId="244" fontId="55" fillId="0" borderId="0" xfId="0" applyNumberFormat="1" applyFont="1"/>
    <xf numFmtId="239" fontId="0" fillId="0" borderId="0" xfId="0" applyNumberFormat="1"/>
    <xf numFmtId="14" fontId="0" fillId="0" borderId="66" xfId="0" applyNumberFormat="1" applyBorder="1"/>
    <xf numFmtId="239" fontId="0" fillId="0" borderId="67" xfId="0" applyNumberFormat="1" applyBorder="1"/>
    <xf numFmtId="14" fontId="0" fillId="0" borderId="61" xfId="0" applyNumberFormat="1" applyBorder="1"/>
    <xf numFmtId="0" fontId="0" fillId="0" borderId="52" xfId="0" applyBorder="1"/>
    <xf numFmtId="239" fontId="0" fillId="0" borderId="52" xfId="0" applyNumberFormat="1" applyBorder="1"/>
    <xf numFmtId="239" fontId="0" fillId="0" borderId="62" xfId="0" applyNumberFormat="1" applyBorder="1"/>
    <xf numFmtId="0" fontId="34" fillId="2" borderId="59" xfId="0" applyFont="1" applyFill="1" applyBorder="1"/>
    <xf numFmtId="0" fontId="34" fillId="2" borderId="57" xfId="0" applyFont="1" applyFill="1" applyBorder="1"/>
    <xf numFmtId="0" fontId="34" fillId="2" borderId="60" xfId="0" applyFont="1" applyFill="1" applyBorder="1"/>
    <xf numFmtId="239" fontId="10" fillId="0" borderId="26" xfId="0" applyNumberFormat="1" applyFont="1" applyBorder="1" applyAlignment="1">
      <alignment horizontal="center"/>
    </xf>
    <xf numFmtId="239" fontId="10" fillId="0" borderId="10" xfId="0" applyNumberFormat="1" applyFont="1" applyBorder="1" applyAlignment="1">
      <alignment horizontal="center"/>
    </xf>
    <xf numFmtId="239" fontId="0" fillId="0" borderId="22" xfId="0" applyNumberFormat="1" applyBorder="1"/>
    <xf numFmtId="0" fontId="57" fillId="2" borderId="0" xfId="0" applyFont="1" applyFill="1" applyAlignment="1">
      <alignment horizontal="center" vertical="center"/>
    </xf>
    <xf numFmtId="0" fontId="57" fillId="2" borderId="64" xfId="0" applyFont="1" applyFill="1" applyBorder="1" applyAlignment="1">
      <alignment horizontal="left" vertical="center"/>
    </xf>
    <xf numFmtId="0" fontId="55" fillId="0" borderId="0" xfId="0" applyFont="1" applyAlignment="1">
      <alignment vertical="center"/>
    </xf>
    <xf numFmtId="0" fontId="55" fillId="0" borderId="65" xfId="0" applyFont="1" applyBorder="1" applyAlignment="1">
      <alignment vertical="center"/>
    </xf>
    <xf numFmtId="0" fontId="56" fillId="0" borderId="0" xfId="0" applyFont="1" applyAlignment="1">
      <alignment vertical="center"/>
    </xf>
    <xf numFmtId="0" fontId="26" fillId="0" borderId="0" xfId="0" applyFont="1" applyAlignment="1">
      <alignment horizontal="right"/>
    </xf>
    <xf numFmtId="172" fontId="26" fillId="0" borderId="0" xfId="0" applyNumberFormat="1" applyFont="1" applyAlignment="1">
      <alignment horizontal="right"/>
    </xf>
    <xf numFmtId="249" fontId="10" fillId="0" borderId="22" xfId="0" applyNumberFormat="1" applyFont="1" applyBorder="1"/>
    <xf numFmtId="249" fontId="10" fillId="0" borderId="0" xfId="0" applyNumberFormat="1" applyFont="1"/>
    <xf numFmtId="9" fontId="10" fillId="0" borderId="14" xfId="0" applyNumberFormat="1" applyFont="1" applyBorder="1"/>
    <xf numFmtId="250" fontId="0" fillId="0" borderId="0" xfId="0" applyNumberFormat="1"/>
    <xf numFmtId="0" fontId="60" fillId="0" borderId="22" xfId="0" applyFont="1" applyBorder="1"/>
    <xf numFmtId="0" fontId="60" fillId="0" borderId="0" xfId="0" applyFont="1" applyAlignment="1">
      <alignment horizontal="left"/>
    </xf>
    <xf numFmtId="0" fontId="0" fillId="0" borderId="60" xfId="0" applyBorder="1"/>
    <xf numFmtId="0" fontId="0" fillId="0" borderId="66" xfId="0" applyBorder="1" applyAlignment="1">
      <alignment horizontal="center" vertical="center"/>
    </xf>
    <xf numFmtId="0" fontId="0" fillId="0" borderId="67" xfId="0" applyBorder="1" applyAlignment="1">
      <alignment horizontal="left" vertical="center"/>
    </xf>
    <xf numFmtId="0" fontId="0" fillId="0" borderId="66" xfId="0" applyBorder="1"/>
    <xf numFmtId="3" fontId="3" fillId="4" borderId="68" xfId="0" applyNumberFormat="1" applyFont="1" applyFill="1" applyBorder="1" applyAlignment="1">
      <alignment horizontal="center"/>
    </xf>
    <xf numFmtId="3" fontId="0" fillId="0" borderId="67" xfId="0" applyNumberFormat="1" applyBorder="1"/>
    <xf numFmtId="0" fontId="0" fillId="0" borderId="62" xfId="0" applyBorder="1"/>
    <xf numFmtId="0" fontId="2" fillId="0" borderId="57" xfId="0" applyFont="1" applyBorder="1"/>
    <xf numFmtId="246" fontId="0" fillId="0" borderId="0" xfId="0" applyNumberFormat="1"/>
    <xf numFmtId="0" fontId="1" fillId="16" borderId="69" xfId="0" applyFont="1" applyFill="1" applyBorder="1"/>
    <xf numFmtId="3" fontId="1" fillId="16" borderId="69" xfId="0" applyNumberFormat="1" applyFont="1" applyFill="1" applyBorder="1" applyAlignment="1">
      <alignment horizontal="center"/>
    </xf>
    <xf numFmtId="239" fontId="1" fillId="16" borderId="69" xfId="0" applyNumberFormat="1" applyFont="1" applyFill="1" applyBorder="1"/>
    <xf numFmtId="246" fontId="1" fillId="16" borderId="69" xfId="0" applyNumberFormat="1" applyFont="1" applyFill="1" applyBorder="1"/>
    <xf numFmtId="248" fontId="0" fillId="0" borderId="0" xfId="0" applyNumberFormat="1"/>
    <xf numFmtId="171" fontId="0" fillId="18" borderId="0" xfId="0" applyNumberFormat="1" applyFill="1"/>
    <xf numFmtId="0" fontId="58" fillId="18" borderId="0" xfId="0" applyFont="1" applyFill="1" applyAlignment="1">
      <alignment vertical="center"/>
    </xf>
    <xf numFmtId="0" fontId="58" fillId="0" borderId="0" xfId="0" applyFont="1" applyAlignment="1">
      <alignment vertical="center"/>
    </xf>
    <xf numFmtId="251" fontId="0" fillId="0" borderId="0" xfId="0" applyNumberFormat="1"/>
    <xf numFmtId="251" fontId="0" fillId="18" borderId="0" xfId="0" applyNumberFormat="1" applyFill="1"/>
    <xf numFmtId="251" fontId="1" fillId="2" borderId="0" xfId="0" applyNumberFormat="1" applyFont="1" applyFill="1"/>
    <xf numFmtId="166" fontId="3" fillId="4" borderId="9" xfId="0" applyNumberFormat="1" applyFont="1" applyFill="1" applyBorder="1" applyAlignment="1">
      <alignment horizontal="left"/>
    </xf>
    <xf numFmtId="0" fontId="0" fillId="0" borderId="67" xfId="0" applyBorder="1"/>
    <xf numFmtId="184" fontId="0" fillId="0" borderId="11" xfId="0" applyNumberFormat="1" applyBorder="1"/>
    <xf numFmtId="168" fontId="31" fillId="0" borderId="8" xfId="0" applyNumberFormat="1" applyFont="1" applyBorder="1"/>
    <xf numFmtId="168" fontId="0" fillId="0" borderId="13" xfId="0" applyNumberFormat="1" applyBorder="1"/>
    <xf numFmtId="240" fontId="28" fillId="0" borderId="0" xfId="0" applyNumberFormat="1" applyFont="1"/>
    <xf numFmtId="0" fontId="0" fillId="0" borderId="66" xfId="0" applyBorder="1" applyAlignment="1">
      <alignment wrapText="1"/>
    </xf>
    <xf numFmtId="189" fontId="5" fillId="0" borderId="15" xfId="0" applyNumberFormat="1" applyFont="1" applyBorder="1" applyAlignment="1">
      <alignment horizontal="right"/>
    </xf>
    <xf numFmtId="170" fontId="25" fillId="0" borderId="2" xfId="0" applyNumberFormat="1" applyFont="1" applyBorder="1" applyAlignment="1">
      <alignment horizontal="center" vertical="center" wrapText="1"/>
    </xf>
    <xf numFmtId="232" fontId="0" fillId="0" borderId="0" xfId="0" applyNumberFormat="1"/>
    <xf numFmtId="0" fontId="0" fillId="22" borderId="0" xfId="0" applyFill="1" applyAlignment="1">
      <alignment horizontal="center"/>
    </xf>
    <xf numFmtId="0" fontId="0" fillId="0" borderId="8" xfId="0" applyBorder="1" applyAlignment="1">
      <alignment horizontal="center"/>
    </xf>
    <xf numFmtId="0" fontId="1" fillId="2" borderId="26" xfId="0" applyFont="1" applyFill="1" applyBorder="1" applyAlignment="1">
      <alignment horizontal="centerContinuous"/>
    </xf>
    <xf numFmtId="0" fontId="1" fillId="2" borderId="22" xfId="0" applyFont="1" applyFill="1" applyBorder="1" applyAlignment="1">
      <alignment horizontal="centerContinuous"/>
    </xf>
    <xf numFmtId="0" fontId="1" fillId="2" borderId="25" xfId="0" applyFont="1" applyFill="1" applyBorder="1" applyAlignment="1">
      <alignment horizontal="centerContinuous"/>
    </xf>
    <xf numFmtId="167" fontId="0" fillId="0" borderId="10" xfId="0" applyNumberFormat="1" applyBorder="1"/>
    <xf numFmtId="0" fontId="61" fillId="0" borderId="12" xfId="0" applyFont="1" applyBorder="1" applyAlignment="1">
      <alignment horizontal="left" vertical="center" indent="1"/>
    </xf>
    <xf numFmtId="253" fontId="22" fillId="20" borderId="0" xfId="0" applyNumberFormat="1" applyFont="1" applyFill="1" applyAlignment="1">
      <alignment horizontal="center"/>
    </xf>
    <xf numFmtId="254" fontId="2" fillId="0" borderId="0" xfId="0" applyNumberFormat="1" applyFont="1" applyAlignment="1">
      <alignment horizontal="center"/>
    </xf>
    <xf numFmtId="255" fontId="1" fillId="19" borderId="1" xfId="0" applyNumberFormat="1" applyFont="1" applyFill="1" applyBorder="1" applyAlignment="1">
      <alignment horizontal="center"/>
    </xf>
    <xf numFmtId="255" fontId="1" fillId="19" borderId="4" xfId="0" applyNumberFormat="1" applyFont="1" applyFill="1" applyBorder="1" applyAlignment="1">
      <alignment horizontal="center"/>
    </xf>
    <xf numFmtId="10" fontId="36" fillId="0" borderId="0" xfId="0" applyNumberFormat="1" applyFont="1"/>
    <xf numFmtId="170" fontId="36" fillId="0" borderId="11" xfId="0" quotePrefix="1" applyNumberFormat="1" applyFont="1" applyBorder="1" applyAlignment="1">
      <alignment horizontal="right"/>
    </xf>
    <xf numFmtId="1" fontId="1" fillId="19" borderId="0" xfId="0" applyNumberFormat="1" applyFont="1" applyFill="1"/>
    <xf numFmtId="10" fontId="39" fillId="0" borderId="0" xfId="0" applyNumberFormat="1" applyFont="1"/>
    <xf numFmtId="10" fontId="27" fillId="0" borderId="0" xfId="0" applyNumberFormat="1" applyFont="1"/>
    <xf numFmtId="0" fontId="2" fillId="0" borderId="4" xfId="0" applyFont="1" applyBorder="1"/>
    <xf numFmtId="0" fontId="2" fillId="0" borderId="25" xfId="0" applyFont="1" applyBorder="1"/>
    <xf numFmtId="167" fontId="13" fillId="0" borderId="0" xfId="0" applyNumberFormat="1" applyFont="1"/>
    <xf numFmtId="185" fontId="13" fillId="0" borderId="0" xfId="0" applyNumberFormat="1" applyFont="1"/>
    <xf numFmtId="167" fontId="52" fillId="0" borderId="0" xfId="0" applyNumberFormat="1" applyFont="1"/>
    <xf numFmtId="167" fontId="52" fillId="0" borderId="10" xfId="0" applyNumberFormat="1" applyFont="1" applyBorder="1"/>
    <xf numFmtId="167" fontId="13" fillId="0" borderId="11" xfId="0" applyNumberFormat="1" applyFont="1" applyBorder="1"/>
    <xf numFmtId="167" fontId="13" fillId="0" borderId="38" xfId="0" applyNumberFormat="1" applyFont="1" applyBorder="1"/>
    <xf numFmtId="167" fontId="13" fillId="0" borderId="39" xfId="0" applyNumberFormat="1" applyFont="1" applyBorder="1"/>
    <xf numFmtId="3" fontId="22" fillId="0" borderId="1" xfId="0" applyNumberFormat="1" applyFont="1" applyBorder="1"/>
    <xf numFmtId="167" fontId="22" fillId="0" borderId="1" xfId="0" applyNumberFormat="1" applyFont="1" applyBorder="1"/>
    <xf numFmtId="203" fontId="22" fillId="0" borderId="0" xfId="0" applyNumberFormat="1" applyFont="1"/>
    <xf numFmtId="167" fontId="36" fillId="0" borderId="0" xfId="0" applyNumberFormat="1" applyFont="1" applyAlignment="1">
      <alignment horizontal="left" vertical="center"/>
    </xf>
    <xf numFmtId="256" fontId="0" fillId="0" borderId="20" xfId="0" applyNumberFormat="1" applyBorder="1"/>
    <xf numFmtId="256" fontId="3" fillId="4" borderId="20" xfId="0" applyNumberFormat="1" applyFont="1" applyFill="1" applyBorder="1" applyAlignment="1">
      <alignment horizontal="right"/>
    </xf>
    <xf numFmtId="256" fontId="0" fillId="0" borderId="28" xfId="0" applyNumberFormat="1" applyBorder="1"/>
    <xf numFmtId="256" fontId="0" fillId="0" borderId="0" xfId="0" applyNumberFormat="1"/>
    <xf numFmtId="256" fontId="0" fillId="0" borderId="24" xfId="0" applyNumberFormat="1" applyBorder="1"/>
    <xf numFmtId="256" fontId="3" fillId="4" borderId="24" xfId="0" applyNumberFormat="1" applyFont="1" applyFill="1" applyBorder="1" applyAlignment="1">
      <alignment horizontal="right"/>
    </xf>
    <xf numFmtId="256" fontId="0" fillId="0" borderId="29" xfId="0" applyNumberFormat="1" applyBorder="1"/>
    <xf numFmtId="0" fontId="0" fillId="0" borderId="57" xfId="0" applyBorder="1"/>
    <xf numFmtId="3" fontId="0" fillId="0" borderId="52" xfId="0" applyNumberFormat="1" applyBorder="1"/>
    <xf numFmtId="0" fontId="2" fillId="0" borderId="59" xfId="0" applyFont="1" applyBorder="1"/>
    <xf numFmtId="253" fontId="0" fillId="0" borderId="0" xfId="0" applyNumberFormat="1"/>
    <xf numFmtId="185" fontId="0" fillId="0" borderId="0" xfId="0" applyNumberFormat="1"/>
    <xf numFmtId="0" fontId="1" fillId="2" borderId="0" xfId="0" applyFont="1" applyFill="1" applyAlignment="1">
      <alignment horizontal="right" vertical="center"/>
    </xf>
    <xf numFmtId="3" fontId="1" fillId="2" borderId="0" xfId="0" applyNumberFormat="1" applyFont="1" applyFill="1" applyAlignment="1">
      <alignment horizontal="right" vertical="center"/>
    </xf>
    <xf numFmtId="0" fontId="1" fillId="2" borderId="0" xfId="0" applyFont="1" applyFill="1" applyAlignment="1">
      <alignment horizontal="right" vertical="center" wrapText="1"/>
    </xf>
    <xf numFmtId="0" fontId="0" fillId="22" borderId="0" xfId="0" applyFill="1"/>
    <xf numFmtId="167" fontId="0" fillId="22" borderId="0" xfId="0" applyNumberFormat="1" applyFill="1"/>
    <xf numFmtId="253" fontId="0" fillId="22" borderId="0" xfId="0" applyNumberFormat="1" applyFill="1"/>
    <xf numFmtId="185" fontId="0" fillId="22" borderId="0" xfId="0" applyNumberFormat="1" applyFill="1"/>
    <xf numFmtId="0" fontId="2" fillId="0" borderId="70" xfId="0" applyFont="1" applyBorder="1"/>
    <xf numFmtId="167" fontId="2" fillId="0" borderId="70" xfId="0" applyNumberFormat="1" applyFont="1" applyBorder="1"/>
    <xf numFmtId="253" fontId="2" fillId="0" borderId="70" xfId="0" applyNumberFormat="1" applyFont="1" applyBorder="1"/>
    <xf numFmtId="4" fontId="2" fillId="0" borderId="70" xfId="0" applyNumberFormat="1" applyFont="1" applyBorder="1"/>
    <xf numFmtId="3" fontId="0" fillId="0" borderId="57" xfId="0" applyNumberFormat="1" applyBorder="1"/>
    <xf numFmtId="0" fontId="0" fillId="0" borderId="70" xfId="0" applyBorder="1"/>
    <xf numFmtId="167" fontId="22" fillId="0" borderId="3" xfId="0" applyNumberFormat="1" applyFont="1" applyBorder="1"/>
    <xf numFmtId="167" fontId="13" fillId="0" borderId="10" xfId="0" applyNumberFormat="1" applyFont="1" applyBorder="1"/>
    <xf numFmtId="0" fontId="2" fillId="0" borderId="70" xfId="0" applyFont="1" applyBorder="1" applyAlignment="1">
      <alignment horizontal="center"/>
    </xf>
    <xf numFmtId="3" fontId="2" fillId="0" borderId="70" xfId="0" applyNumberFormat="1" applyFont="1" applyBorder="1" applyAlignment="1">
      <alignment horizontal="center"/>
    </xf>
    <xf numFmtId="9" fontId="2" fillId="0" borderId="70" xfId="0" applyNumberFormat="1" applyFont="1" applyBorder="1" applyAlignment="1">
      <alignment horizontal="center"/>
    </xf>
    <xf numFmtId="4" fontId="2" fillId="0" borderId="70" xfId="0" applyNumberFormat="1" applyFont="1" applyBorder="1" applyAlignment="1">
      <alignment horizontal="center"/>
    </xf>
    <xf numFmtId="9" fontId="2" fillId="0" borderId="1" xfId="0" applyNumberFormat="1" applyFont="1" applyBorder="1" applyAlignment="1">
      <alignment horizontal="center"/>
    </xf>
    <xf numFmtId="258" fontId="0" fillId="0" borderId="10" xfId="0" applyNumberFormat="1" applyBorder="1"/>
    <xf numFmtId="0" fontId="1" fillId="2" borderId="26" xfId="0" applyFont="1" applyFill="1" applyBorder="1"/>
    <xf numFmtId="0" fontId="1" fillId="2" borderId="22" xfId="0" applyFont="1" applyFill="1" applyBorder="1" applyAlignment="1">
      <alignment wrapText="1"/>
    </xf>
    <xf numFmtId="0" fontId="1" fillId="2" borderId="25" xfId="0" applyFont="1" applyFill="1" applyBorder="1" applyAlignment="1">
      <alignment wrapText="1"/>
    </xf>
    <xf numFmtId="3" fontId="0" fillId="0" borderId="12" xfId="0" applyNumberFormat="1" applyBorder="1" applyAlignment="1">
      <alignment horizontal="center"/>
    </xf>
    <xf numFmtId="259" fontId="0" fillId="0" borderId="0" xfId="0" applyNumberFormat="1"/>
    <xf numFmtId="260" fontId="0" fillId="0" borderId="0" xfId="0" applyNumberFormat="1"/>
    <xf numFmtId="261" fontId="52" fillId="0" borderId="0" xfId="0" applyNumberFormat="1" applyFont="1"/>
    <xf numFmtId="3" fontId="22" fillId="0" borderId="3" xfId="0" applyNumberFormat="1" applyFont="1" applyBorder="1"/>
    <xf numFmtId="167" fontId="22" fillId="0" borderId="4" xfId="0" applyNumberFormat="1" applyFont="1" applyBorder="1"/>
    <xf numFmtId="3" fontId="22" fillId="0" borderId="40" xfId="0" applyNumberFormat="1" applyFont="1" applyBorder="1"/>
    <xf numFmtId="167" fontId="22" fillId="0" borderId="40" xfId="0" applyNumberFormat="1" applyFont="1" applyBorder="1"/>
    <xf numFmtId="167" fontId="13" fillId="0" borderId="8" xfId="0" applyNumberFormat="1" applyFont="1" applyBorder="1"/>
    <xf numFmtId="167" fontId="22" fillId="0" borderId="41" xfId="0" applyNumberFormat="1" applyFont="1" applyBorder="1"/>
    <xf numFmtId="263" fontId="0" fillId="0" borderId="0" xfId="0" applyNumberFormat="1"/>
    <xf numFmtId="261" fontId="0" fillId="0" borderId="0" xfId="0" applyNumberFormat="1" applyAlignment="1">
      <alignment horizontal="left"/>
    </xf>
    <xf numFmtId="191" fontId="0" fillId="0" borderId="0" xfId="0" applyNumberFormat="1"/>
    <xf numFmtId="259" fontId="13" fillId="0" borderId="0" xfId="0" applyNumberFormat="1" applyFont="1"/>
    <xf numFmtId="262" fontId="0" fillId="0" borderId="0" xfId="0" applyNumberFormat="1"/>
    <xf numFmtId="0" fontId="2" fillId="11" borderId="26" xfId="0" applyFont="1" applyFill="1" applyBorder="1"/>
    <xf numFmtId="0" fontId="2" fillId="11" borderId="25" xfId="0" applyFont="1" applyFill="1" applyBorder="1"/>
    <xf numFmtId="174" fontId="0" fillId="0" borderId="11" xfId="0" applyNumberFormat="1" applyBorder="1"/>
    <xf numFmtId="174" fontId="0" fillId="0" borderId="13" xfId="0" applyNumberFormat="1" applyBorder="1"/>
    <xf numFmtId="174" fontId="2" fillId="0" borderId="4" xfId="0" applyNumberFormat="1" applyFont="1" applyBorder="1"/>
    <xf numFmtId="0" fontId="2" fillId="11" borderId="22" xfId="0" applyFont="1" applyFill="1" applyBorder="1"/>
    <xf numFmtId="0" fontId="2" fillId="11" borderId="3" xfId="0" applyFont="1" applyFill="1" applyBorder="1"/>
    <xf numFmtId="0" fontId="2" fillId="11" borderId="4" xfId="0" applyFont="1" applyFill="1" applyBorder="1"/>
    <xf numFmtId="0" fontId="2" fillId="0" borderId="26" xfId="0" applyFont="1" applyBorder="1"/>
    <xf numFmtId="174" fontId="2" fillId="0" borderId="25" xfId="0" applyNumberFormat="1" applyFont="1" applyBorder="1"/>
    <xf numFmtId="174" fontId="13" fillId="0" borderId="1" xfId="0" applyNumberFormat="1" applyFont="1" applyBorder="1"/>
    <xf numFmtId="10" fontId="3" fillId="4" borderId="20" xfId="0" applyNumberFormat="1" applyFont="1" applyFill="1" applyBorder="1"/>
    <xf numFmtId="172" fontId="3" fillId="4" borderId="20" xfId="0" applyNumberFormat="1" applyFont="1" applyFill="1" applyBorder="1" applyAlignment="1">
      <alignment horizontal="right"/>
    </xf>
    <xf numFmtId="172" fontId="3" fillId="4" borderId="24" xfId="0" applyNumberFormat="1" applyFont="1" applyFill="1" applyBorder="1" applyAlignment="1">
      <alignment horizontal="right"/>
    </xf>
    <xf numFmtId="172" fontId="0" fillId="0" borderId="20" xfId="0" applyNumberFormat="1" applyBorder="1"/>
    <xf numFmtId="172" fontId="0" fillId="0" borderId="24" xfId="0" applyNumberFormat="1" applyBorder="1"/>
    <xf numFmtId="3" fontId="3" fillId="4" borderId="27" xfId="0" applyNumberFormat="1" applyFont="1" applyFill="1" applyBorder="1" applyAlignment="1">
      <alignment horizontal="right"/>
    </xf>
    <xf numFmtId="3" fontId="3" fillId="4" borderId="19" xfId="0" applyNumberFormat="1" applyFont="1" applyFill="1" applyBorder="1" applyAlignment="1">
      <alignment horizontal="right"/>
    </xf>
    <xf numFmtId="4" fontId="3" fillId="4" borderId="21" xfId="0" applyNumberFormat="1" applyFont="1" applyFill="1" applyBorder="1" applyAlignment="1">
      <alignment horizontal="right"/>
    </xf>
    <xf numFmtId="167" fontId="3" fillId="4" borderId="10" xfId="0" applyNumberFormat="1" applyFont="1" applyFill="1" applyBorder="1"/>
    <xf numFmtId="167" fontId="3" fillId="4" borderId="24" xfId="0" applyNumberFormat="1" applyFont="1" applyFill="1" applyBorder="1"/>
    <xf numFmtId="167" fontId="3" fillId="4" borderId="20" xfId="0" applyNumberFormat="1" applyFont="1" applyFill="1" applyBorder="1"/>
    <xf numFmtId="167" fontId="0" fillId="0" borderId="28" xfId="0" applyNumberFormat="1" applyBorder="1"/>
    <xf numFmtId="167" fontId="0" fillId="0" borderId="29" xfId="0" applyNumberFormat="1" applyBorder="1"/>
    <xf numFmtId="167" fontId="0" fillId="0" borderId="22" xfId="0" applyNumberFormat="1" applyBorder="1"/>
    <xf numFmtId="167" fontId="0" fillId="0" borderId="15" xfId="0" applyNumberFormat="1" applyBorder="1"/>
    <xf numFmtId="253" fontId="10" fillId="0" borderId="22" xfId="0" applyNumberFormat="1" applyFont="1" applyBorder="1"/>
    <xf numFmtId="253" fontId="10" fillId="0" borderId="0" xfId="0" applyNumberFormat="1" applyFont="1"/>
    <xf numFmtId="218" fontId="10" fillId="0" borderId="32" xfId="0" applyNumberFormat="1" applyFont="1" applyBorder="1"/>
    <xf numFmtId="218" fontId="10" fillId="0" borderId="31" xfId="0" applyNumberFormat="1" applyFont="1" applyBorder="1"/>
    <xf numFmtId="264" fontId="0" fillId="0" borderId="10" xfId="0" applyNumberFormat="1" applyBorder="1"/>
    <xf numFmtId="264" fontId="0" fillId="0" borderId="0" xfId="0" applyNumberFormat="1"/>
    <xf numFmtId="167" fontId="10" fillId="0" borderId="14" xfId="0" applyNumberFormat="1" applyFont="1" applyBorder="1" applyAlignment="1">
      <alignment horizontal="center"/>
    </xf>
    <xf numFmtId="167" fontId="10" fillId="0" borderId="15" xfId="0" applyNumberFormat="1" applyFont="1" applyBorder="1" applyAlignment="1">
      <alignment horizontal="center"/>
    </xf>
    <xf numFmtId="259" fontId="10" fillId="0" borderId="14" xfId="0" applyNumberFormat="1" applyFont="1" applyBorder="1" applyAlignment="1">
      <alignment horizontal="center"/>
    </xf>
    <xf numFmtId="259" fontId="10" fillId="0" borderId="15" xfId="0" applyNumberFormat="1" applyFont="1" applyBorder="1" applyAlignment="1">
      <alignment horizontal="center"/>
    </xf>
    <xf numFmtId="218" fontId="0" fillId="20" borderId="15" xfId="0" applyNumberFormat="1" applyFill="1" applyBorder="1" applyAlignment="1">
      <alignment horizontal="center"/>
    </xf>
    <xf numFmtId="185" fontId="10" fillId="0" borderId="14" xfId="0" applyNumberFormat="1" applyFont="1" applyBorder="1" applyAlignment="1">
      <alignment horizontal="center"/>
    </xf>
    <xf numFmtId="185" fontId="10" fillId="0" borderId="15" xfId="0" applyNumberFormat="1" applyFont="1" applyBorder="1" applyAlignment="1">
      <alignment horizontal="center"/>
    </xf>
    <xf numFmtId="259" fontId="10" fillId="0" borderId="20" xfId="0" applyNumberFormat="1" applyFont="1" applyBorder="1"/>
    <xf numFmtId="259" fontId="10" fillId="0" borderId="24" xfId="0" applyNumberFormat="1" applyFont="1" applyBorder="1"/>
    <xf numFmtId="253" fontId="10" fillId="0" borderId="0" xfId="0" quotePrefix="1" applyNumberFormat="1" applyFont="1"/>
    <xf numFmtId="253" fontId="0" fillId="0" borderId="11" xfId="0" applyNumberFormat="1" applyBorder="1"/>
    <xf numFmtId="167" fontId="10" fillId="0" borderId="10" xfId="0" applyNumberFormat="1" applyFont="1" applyBorder="1"/>
    <xf numFmtId="167" fontId="0" fillId="0" borderId="20" xfId="0" applyNumberFormat="1" applyBorder="1"/>
    <xf numFmtId="167" fontId="0" fillId="0" borderId="24" xfId="0" applyNumberFormat="1" applyBorder="1"/>
    <xf numFmtId="265" fontId="0" fillId="0" borderId="0" xfId="0" applyNumberFormat="1"/>
    <xf numFmtId="265" fontId="0" fillId="0" borderId="28" xfId="0" applyNumberFormat="1" applyBorder="1"/>
    <xf numFmtId="265" fontId="0" fillId="0" borderId="29" xfId="0" applyNumberFormat="1" applyBorder="1"/>
    <xf numFmtId="265" fontId="0" fillId="0" borderId="22" xfId="0" applyNumberFormat="1" applyBorder="1"/>
    <xf numFmtId="265" fontId="0" fillId="0" borderId="25" xfId="0" applyNumberFormat="1" applyBorder="1"/>
    <xf numFmtId="265" fontId="0" fillId="0" borderId="11" xfId="0" applyNumberFormat="1" applyBorder="1"/>
    <xf numFmtId="262" fontId="0" fillId="0" borderId="25" xfId="0" applyNumberFormat="1" applyBorder="1"/>
    <xf numFmtId="262" fontId="0" fillId="0" borderId="11" xfId="0" applyNumberFormat="1" applyBorder="1"/>
    <xf numFmtId="265" fontId="10" fillId="0" borderId="27" xfId="0" applyNumberFormat="1" applyFont="1" applyBorder="1"/>
    <xf numFmtId="265" fontId="10" fillId="0" borderId="19" xfId="0" applyNumberFormat="1" applyFont="1" applyBorder="1"/>
    <xf numFmtId="265" fontId="13" fillId="0" borderId="28" xfId="0" applyNumberFormat="1" applyFont="1" applyBorder="1"/>
    <xf numFmtId="265" fontId="13" fillId="0" borderId="29" xfId="0" applyNumberFormat="1" applyFont="1" applyBorder="1"/>
    <xf numFmtId="253" fontId="0" fillId="0" borderId="25" xfId="0" applyNumberFormat="1" applyBorder="1"/>
    <xf numFmtId="174" fontId="10" fillId="0" borderId="22" xfId="0" applyNumberFormat="1" applyFont="1" applyBorder="1"/>
    <xf numFmtId="174" fontId="17" fillId="0" borderId="1" xfId="0" applyNumberFormat="1" applyFont="1" applyBorder="1"/>
    <xf numFmtId="173" fontId="10" fillId="0" borderId="0" xfId="0" applyNumberFormat="1" applyFont="1" applyAlignment="1">
      <alignment horizontal="center"/>
    </xf>
    <xf numFmtId="174" fontId="10" fillId="0" borderId="8" xfId="0" applyNumberFormat="1" applyFont="1" applyBorder="1"/>
    <xf numFmtId="167" fontId="10" fillId="0" borderId="0" xfId="0" applyNumberFormat="1" applyFont="1" applyAlignment="1">
      <alignment horizontal="center"/>
    </xf>
    <xf numFmtId="174" fontId="10" fillId="0" borderId="1" xfId="0" applyNumberFormat="1" applyFont="1" applyBorder="1"/>
    <xf numFmtId="174" fontId="62" fillId="0" borderId="22" xfId="0" applyNumberFormat="1" applyFont="1" applyBorder="1"/>
    <xf numFmtId="187" fontId="10" fillId="0" borderId="11" xfId="0" applyNumberFormat="1" applyFont="1" applyBorder="1" applyAlignment="1">
      <alignment horizontal="right"/>
    </xf>
    <xf numFmtId="189" fontId="10" fillId="0" borderId="11" xfId="0" applyNumberFormat="1" applyFont="1" applyBorder="1"/>
    <xf numFmtId="262" fontId="10" fillId="0" borderId="11" xfId="0" applyNumberFormat="1" applyFont="1" applyBorder="1" applyAlignment="1">
      <alignment horizontal="center"/>
    </xf>
    <xf numFmtId="190" fontId="10" fillId="0" borderId="0" xfId="0" applyNumberFormat="1" applyFont="1"/>
    <xf numFmtId="187" fontId="10" fillId="0" borderId="0" xfId="0" applyNumberFormat="1" applyFont="1" applyAlignment="1">
      <alignment horizontal="center"/>
    </xf>
    <xf numFmtId="257" fontId="10" fillId="0" borderId="0" xfId="0" applyNumberFormat="1" applyFont="1" applyAlignment="1">
      <alignment horizontal="right"/>
    </xf>
    <xf numFmtId="9" fontId="10" fillId="0" borderId="0" xfId="0" applyNumberFormat="1" applyFont="1"/>
    <xf numFmtId="166" fontId="10" fillId="0" borderId="0" xfId="0" applyNumberFormat="1" applyFont="1"/>
    <xf numFmtId="218" fontId="10" fillId="0" borderId="0" xfId="0" applyNumberFormat="1" applyFont="1" applyAlignment="1">
      <alignment horizontal="center"/>
    </xf>
    <xf numFmtId="167" fontId="10" fillId="0" borderId="11" xfId="0" applyNumberFormat="1" applyFont="1" applyBorder="1" applyAlignment="1">
      <alignment horizontal="center"/>
    </xf>
    <xf numFmtId="265" fontId="10" fillId="0" borderId="0" xfId="0" applyNumberFormat="1" applyFont="1"/>
    <xf numFmtId="265" fontId="10" fillId="0" borderId="10" xfId="0" applyNumberFormat="1" applyFont="1" applyBorder="1"/>
    <xf numFmtId="265" fontId="10" fillId="0" borderId="22" xfId="0" applyNumberFormat="1" applyFont="1" applyBorder="1"/>
    <xf numFmtId="191" fontId="10" fillId="0" borderId="27" xfId="0" applyNumberFormat="1" applyFont="1" applyBorder="1"/>
    <xf numFmtId="191" fontId="10" fillId="0" borderId="19" xfId="0" applyNumberFormat="1" applyFont="1" applyBorder="1"/>
    <xf numFmtId="222" fontId="10" fillId="0" borderId="27" xfId="0" applyNumberFormat="1" applyFont="1" applyBorder="1"/>
    <xf numFmtId="222" fontId="10" fillId="0" borderId="19" xfId="0" applyNumberFormat="1" applyFont="1" applyBorder="1"/>
    <xf numFmtId="167" fontId="10" fillId="0" borderId="32" xfId="0" applyNumberFormat="1" applyFont="1" applyBorder="1"/>
    <xf numFmtId="167" fontId="10" fillId="0" borderId="31" xfId="0" applyNumberFormat="1" applyFont="1" applyBorder="1"/>
    <xf numFmtId="239" fontId="10" fillId="0" borderId="22" xfId="0" applyNumberFormat="1" applyFont="1" applyBorder="1"/>
    <xf numFmtId="239" fontId="10" fillId="0" borderId="0" xfId="0" applyNumberFormat="1" applyFont="1"/>
    <xf numFmtId="176" fontId="10" fillId="0" borderId="27" xfId="0" applyNumberFormat="1" applyFont="1" applyBorder="1"/>
    <xf numFmtId="176" fontId="10" fillId="0" borderId="19" xfId="0" applyNumberFormat="1" applyFont="1" applyBorder="1"/>
    <xf numFmtId="176" fontId="10" fillId="0" borderId="0" xfId="0" applyNumberFormat="1" applyFont="1"/>
    <xf numFmtId="176" fontId="10" fillId="0" borderId="22" xfId="0" applyNumberFormat="1" applyFont="1" applyBorder="1"/>
    <xf numFmtId="176" fontId="10" fillId="0" borderId="22" xfId="0" quotePrefix="1" applyNumberFormat="1" applyFont="1" applyBorder="1"/>
    <xf numFmtId="176" fontId="10" fillId="0" borderId="0" xfId="0" quotePrefix="1" applyNumberFormat="1" applyFont="1"/>
    <xf numFmtId="224" fontId="10" fillId="0" borderId="32" xfId="0" applyNumberFormat="1" applyFont="1" applyBorder="1"/>
    <xf numFmtId="224" fontId="10" fillId="0" borderId="31" xfId="0" applyNumberFormat="1" applyFont="1" applyBorder="1"/>
    <xf numFmtId="266" fontId="10" fillId="0" borderId="32" xfId="0" applyNumberFormat="1" applyFont="1" applyBorder="1"/>
    <xf numFmtId="266" fontId="10" fillId="0" borderId="31" xfId="0" applyNumberFormat="1" applyFont="1" applyBorder="1"/>
    <xf numFmtId="267" fontId="10" fillId="0" borderId="0" xfId="0" applyNumberFormat="1" applyFont="1"/>
    <xf numFmtId="222" fontId="10" fillId="0" borderId="32" xfId="0" applyNumberFormat="1" applyFont="1" applyBorder="1"/>
    <xf numFmtId="222" fontId="10" fillId="0" borderId="31" xfId="0" applyNumberFormat="1" applyFont="1" applyBorder="1"/>
    <xf numFmtId="176" fontId="10" fillId="0" borderId="32" xfId="0" applyNumberFormat="1" applyFont="1" applyBorder="1"/>
    <xf numFmtId="176" fontId="10" fillId="0" borderId="31" xfId="0" applyNumberFormat="1" applyFont="1" applyBorder="1"/>
    <xf numFmtId="239" fontId="10" fillId="0" borderId="14" xfId="0" applyNumberFormat="1" applyFont="1" applyBorder="1" applyAlignment="1">
      <alignment horizontal="center"/>
    </xf>
    <xf numFmtId="239" fontId="10" fillId="0" borderId="15" xfId="0" applyNumberFormat="1" applyFont="1" applyBorder="1" applyAlignment="1">
      <alignment horizontal="center"/>
    </xf>
    <xf numFmtId="173" fontId="10" fillId="0" borderId="0" xfId="0" quotePrefix="1" applyNumberFormat="1" applyFont="1"/>
    <xf numFmtId="176" fontId="10" fillId="0" borderId="14" xfId="0" applyNumberFormat="1" applyFont="1" applyBorder="1"/>
    <xf numFmtId="176" fontId="10" fillId="0" borderId="15" xfId="0" applyNumberFormat="1" applyFont="1" applyBorder="1"/>
    <xf numFmtId="174" fontId="10" fillId="0" borderId="14" xfId="0" quotePrefix="1" applyNumberFormat="1" applyFont="1" applyBorder="1"/>
    <xf numFmtId="174" fontId="10" fillId="0" borderId="15" xfId="0" quotePrefix="1" applyNumberFormat="1" applyFont="1" applyBorder="1"/>
    <xf numFmtId="167" fontId="2" fillId="0" borderId="14" xfId="0" applyNumberFormat="1" applyFont="1" applyBorder="1" applyAlignment="1">
      <alignment vertical="top"/>
    </xf>
    <xf numFmtId="167" fontId="2" fillId="0" borderId="15" xfId="0" applyNumberFormat="1" applyFont="1" applyBorder="1" applyAlignment="1">
      <alignment vertical="top"/>
    </xf>
    <xf numFmtId="265" fontId="10" fillId="0" borderId="14" xfId="0" applyNumberFormat="1" applyFont="1" applyBorder="1" applyAlignment="1">
      <alignment horizontal="center"/>
    </xf>
    <xf numFmtId="265" fontId="10" fillId="0" borderId="15" xfId="0" applyNumberFormat="1" applyFont="1" applyBorder="1" applyAlignment="1">
      <alignment horizontal="center"/>
    </xf>
    <xf numFmtId="167" fontId="0" fillId="0" borderId="14" xfId="0" applyNumberFormat="1" applyBorder="1"/>
    <xf numFmtId="167" fontId="0" fillId="0" borderId="26" xfId="0" applyNumberFormat="1" applyBorder="1"/>
    <xf numFmtId="167" fontId="13" fillId="0" borderId="25" xfId="0" applyNumberFormat="1" applyFont="1" applyBorder="1"/>
    <xf numFmtId="167" fontId="10" fillId="0" borderId="14" xfId="0" applyNumberFormat="1" applyFont="1" applyBorder="1"/>
    <xf numFmtId="167" fontId="10" fillId="0" borderId="15" xfId="0" applyNumberFormat="1" applyFont="1" applyBorder="1"/>
    <xf numFmtId="249" fontId="10" fillId="0" borderId="15" xfId="0" applyNumberFormat="1" applyFont="1" applyBorder="1"/>
    <xf numFmtId="165" fontId="10" fillId="0" borderId="26" xfId="0" applyNumberFormat="1" applyFont="1" applyBorder="1"/>
    <xf numFmtId="9" fontId="10" fillId="0" borderId="25" xfId="0" applyNumberFormat="1" applyFont="1" applyBorder="1"/>
    <xf numFmtId="165" fontId="10" fillId="0" borderId="10" xfId="0" applyNumberFormat="1" applyFont="1" applyBorder="1"/>
    <xf numFmtId="9" fontId="10" fillId="0" borderId="11" xfId="0" applyNumberFormat="1" applyFont="1" applyBorder="1"/>
    <xf numFmtId="167" fontId="0" fillId="0" borderId="0" xfId="0" applyNumberFormat="1" applyAlignment="1">
      <alignment horizontal="center"/>
    </xf>
    <xf numFmtId="167" fontId="0" fillId="22" borderId="0" xfId="0" applyNumberFormat="1" applyFill="1" applyAlignment="1">
      <alignment horizontal="center"/>
    </xf>
    <xf numFmtId="268" fontId="0" fillId="0" borderId="0" xfId="0" applyNumberFormat="1" applyAlignment="1">
      <alignment horizontal="center"/>
    </xf>
    <xf numFmtId="268" fontId="0" fillId="22" borderId="0" xfId="0" applyNumberFormat="1" applyFill="1" applyAlignment="1">
      <alignment horizontal="center"/>
    </xf>
    <xf numFmtId="253" fontId="0" fillId="0" borderId="0" xfId="0" applyNumberFormat="1" applyAlignment="1">
      <alignment horizontal="center"/>
    </xf>
    <xf numFmtId="253" fontId="0" fillId="22" borderId="0" xfId="0" applyNumberFormat="1" applyFill="1" applyAlignment="1">
      <alignment horizontal="center"/>
    </xf>
    <xf numFmtId="185" fontId="0" fillId="0" borderId="0" xfId="0" applyNumberFormat="1" applyAlignment="1">
      <alignment horizontal="center"/>
    </xf>
    <xf numFmtId="185" fontId="0" fillId="22" borderId="0" xfId="0" applyNumberFormat="1" applyFill="1" applyAlignment="1">
      <alignment horizontal="center"/>
    </xf>
    <xf numFmtId="203" fontId="0" fillId="0" borderId="0" xfId="0" applyNumberFormat="1"/>
    <xf numFmtId="218" fontId="13" fillId="0" borderId="22" xfId="0" quotePrefix="1" applyNumberFormat="1" applyFont="1" applyBorder="1"/>
    <xf numFmtId="218" fontId="13" fillId="0" borderId="0" xfId="0" quotePrefix="1" applyNumberFormat="1" applyFont="1"/>
    <xf numFmtId="0" fontId="3" fillId="4" borderId="0" xfId="0" applyFont="1" applyFill="1"/>
    <xf numFmtId="0" fontId="2" fillId="18" borderId="0" xfId="0" applyFont="1" applyFill="1"/>
    <xf numFmtId="0" fontId="2" fillId="11" borderId="1" xfId="0" applyFont="1" applyFill="1" applyBorder="1"/>
    <xf numFmtId="37" fontId="28" fillId="0" borderId="0" xfId="0" applyNumberFormat="1" applyFont="1"/>
    <xf numFmtId="266" fontId="13" fillId="0" borderId="22" xfId="0" quotePrefix="1" applyNumberFormat="1" applyFont="1" applyBorder="1"/>
    <xf numFmtId="266" fontId="13" fillId="0" borderId="0" xfId="0" quotePrefix="1" applyNumberFormat="1" applyFont="1"/>
    <xf numFmtId="179" fontId="3" fillId="4" borderId="17" xfId="0" applyNumberFormat="1" applyFont="1" applyFill="1" applyBorder="1" applyAlignment="1">
      <alignment horizontal="center"/>
    </xf>
    <xf numFmtId="179" fontId="0" fillId="0" borderId="0" xfId="0" applyNumberFormat="1" applyAlignment="1">
      <alignment horizontal="center"/>
    </xf>
    <xf numFmtId="167" fontId="0" fillId="0" borderId="0" xfId="0" applyNumberFormat="1" applyAlignment="1">
      <alignment horizontal="right"/>
    </xf>
    <xf numFmtId="191" fontId="13" fillId="0" borderId="0" xfId="0" applyNumberFormat="1" applyFont="1"/>
    <xf numFmtId="0" fontId="0" fillId="0" borderId="0" xfId="0" quotePrefix="1"/>
    <xf numFmtId="0" fontId="1" fillId="0" borderId="0" xfId="0" applyFont="1" applyAlignment="1">
      <alignment horizontal="centerContinuous"/>
    </xf>
    <xf numFmtId="0" fontId="13" fillId="0" borderId="0" xfId="0" applyFont="1" applyAlignment="1">
      <alignment horizontal="left"/>
    </xf>
    <xf numFmtId="253" fontId="10" fillId="0" borderId="26" xfId="0" applyNumberFormat="1" applyFont="1" applyBorder="1"/>
    <xf numFmtId="253" fontId="10" fillId="0" borderId="10" xfId="0" applyNumberFormat="1" applyFont="1" applyBorder="1"/>
    <xf numFmtId="0" fontId="1" fillId="2" borderId="10" xfId="0" applyFont="1" applyFill="1" applyBorder="1" applyAlignment="1">
      <alignment horizontal="center" vertical="center"/>
    </xf>
    <xf numFmtId="0" fontId="1" fillId="2" borderId="0" xfId="0" applyFont="1" applyFill="1" applyAlignment="1">
      <alignment horizontal="center" vertical="center"/>
    </xf>
    <xf numFmtId="0" fontId="1" fillId="2" borderId="11" xfId="0" applyFont="1" applyFill="1" applyBorder="1" applyAlignment="1">
      <alignment horizontal="center" vertical="center"/>
    </xf>
    <xf numFmtId="3" fontId="0" fillId="0" borderId="0" xfId="0" applyNumberFormat="1" applyAlignment="1">
      <alignment horizontal="center" vertical="center"/>
    </xf>
    <xf numFmtId="252" fontId="0" fillId="0" borderId="0" xfId="0" applyNumberFormat="1" applyAlignment="1">
      <alignment horizontal="center" vertical="center"/>
    </xf>
    <xf numFmtId="0" fontId="0" fillId="22" borderId="10" xfId="0" applyFill="1" applyBorder="1" applyAlignment="1">
      <alignment horizontal="center" vertical="center"/>
    </xf>
    <xf numFmtId="0" fontId="0" fillId="22" borderId="0" xfId="0" applyFill="1" applyAlignment="1">
      <alignment horizontal="center" vertical="center"/>
    </xf>
    <xf numFmtId="3" fontId="0" fillId="22" borderId="0" xfId="0" applyNumberFormat="1" applyFill="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3" fontId="0" fillId="0" borderId="8" xfId="0" applyNumberFormat="1" applyBorder="1" applyAlignment="1">
      <alignment horizontal="center" vertical="center"/>
    </xf>
    <xf numFmtId="252" fontId="0" fillId="0" borderId="8" xfId="0" applyNumberFormat="1" applyBorder="1" applyAlignment="1">
      <alignment horizontal="center" vertical="center"/>
    </xf>
    <xf numFmtId="167" fontId="0" fillId="0" borderId="11" xfId="0" applyNumberFormat="1" applyBorder="1" applyAlignment="1">
      <alignment horizontal="center" vertical="center" wrapText="1"/>
    </xf>
    <xf numFmtId="167" fontId="0" fillId="22" borderId="11" xfId="0" applyNumberFormat="1" applyFill="1" applyBorder="1" applyAlignment="1">
      <alignment horizontal="center" vertical="center" wrapText="1"/>
    </xf>
    <xf numFmtId="167" fontId="0" fillId="0" borderId="13" xfId="0" applyNumberFormat="1" applyBorder="1" applyAlignment="1">
      <alignment horizontal="center" vertical="center" wrapText="1"/>
    </xf>
    <xf numFmtId="9" fontId="32" fillId="22" borderId="10" xfId="3" applyFont="1" applyFill="1" applyBorder="1" applyAlignment="1">
      <alignment horizontal="center"/>
    </xf>
    <xf numFmtId="9" fontId="32" fillId="22" borderId="0" xfId="3" applyFont="1" applyFill="1" applyAlignment="1">
      <alignment horizontal="center"/>
    </xf>
    <xf numFmtId="9" fontId="13" fillId="22" borderId="0" xfId="3" applyFont="1" applyFill="1" applyAlignment="1">
      <alignment horizontal="center"/>
    </xf>
    <xf numFmtId="9" fontId="13" fillId="22" borderId="10" xfId="3" applyFont="1" applyFill="1" applyBorder="1" applyAlignment="1">
      <alignment horizontal="center"/>
    </xf>
    <xf numFmtId="170" fontId="0" fillId="20" borderId="10" xfId="0" applyNumberFormat="1" applyFill="1" applyBorder="1" applyAlignment="1">
      <alignment horizontal="center"/>
    </xf>
    <xf numFmtId="167" fontId="2" fillId="20" borderId="51" xfId="0" applyNumberFormat="1" applyFont="1" applyFill="1" applyBorder="1" applyAlignment="1">
      <alignment horizontal="center"/>
    </xf>
    <xf numFmtId="243" fontId="55" fillId="0" borderId="0" xfId="0" applyNumberFormat="1" applyFont="1" applyAlignment="1">
      <alignment horizontal="right"/>
    </xf>
    <xf numFmtId="3" fontId="55" fillId="0" borderId="0" xfId="0" applyNumberFormat="1" applyFont="1" applyAlignment="1">
      <alignment horizontal="right"/>
    </xf>
    <xf numFmtId="167" fontId="55" fillId="0" borderId="0" xfId="0" applyNumberFormat="1" applyFont="1" applyAlignment="1">
      <alignment horizontal="right"/>
    </xf>
    <xf numFmtId="10" fontId="55" fillId="0" borderId="0" xfId="0" applyNumberFormat="1" applyFont="1" applyAlignment="1">
      <alignment horizontal="right"/>
    </xf>
    <xf numFmtId="269" fontId="0" fillId="0" borderId="0" xfId="0" applyNumberFormat="1"/>
    <xf numFmtId="0" fontId="0" fillId="0" borderId="0" xfId="0" applyAlignment="1">
      <alignment wrapText="1"/>
    </xf>
    <xf numFmtId="37" fontId="0" fillId="0" borderId="0" xfId="0" applyNumberFormat="1"/>
    <xf numFmtId="3" fontId="10" fillId="0" borderId="22" xfId="0" applyNumberFormat="1" applyFont="1" applyBorder="1"/>
    <xf numFmtId="3" fontId="10" fillId="0" borderId="0" xfId="0" applyNumberFormat="1" applyFont="1"/>
    <xf numFmtId="256" fontId="52" fillId="0" borderId="10" xfId="0" applyNumberFormat="1" applyFont="1" applyBorder="1"/>
    <xf numFmtId="256" fontId="52" fillId="0" borderId="0" xfId="0" applyNumberFormat="1" applyFont="1"/>
    <xf numFmtId="174" fontId="0" fillId="0" borderId="22" xfId="0" quotePrefix="1" applyNumberFormat="1" applyBorder="1"/>
    <xf numFmtId="3" fontId="2" fillId="0" borderId="22" xfId="0" applyNumberFormat="1" applyFont="1" applyBorder="1" applyAlignment="1">
      <alignment vertical="top"/>
    </xf>
    <xf numFmtId="0" fontId="3" fillId="0" borderId="22" xfId="0" applyFont="1" applyBorder="1" applyAlignment="1">
      <alignment horizontal="center"/>
    </xf>
    <xf numFmtId="0" fontId="10" fillId="0" borderId="22" xfId="0" applyFont="1" applyBorder="1" applyAlignment="1">
      <alignment horizontal="center"/>
    </xf>
    <xf numFmtId="0" fontId="10" fillId="0" borderId="22" xfId="0" applyFont="1" applyBorder="1"/>
    <xf numFmtId="0" fontId="3" fillId="0" borderId="1" xfId="0" applyFont="1" applyBorder="1" applyAlignment="1">
      <alignment horizontal="center"/>
    </xf>
    <xf numFmtId="0" fontId="10" fillId="0" borderId="1" xfId="0" applyFont="1" applyBorder="1" applyAlignment="1">
      <alignment horizontal="center"/>
    </xf>
    <xf numFmtId="0" fontId="10" fillId="0" borderId="1" xfId="0" applyFont="1" applyBorder="1"/>
    <xf numFmtId="258" fontId="52" fillId="0" borderId="0" xfId="0" applyNumberFormat="1" applyFont="1" applyAlignment="1">
      <alignment horizontal="right"/>
    </xf>
    <xf numFmtId="172" fontId="3" fillId="4" borderId="23" xfId="0" applyNumberFormat="1" applyFont="1" applyFill="1" applyBorder="1" applyAlignment="1">
      <alignment horizontal="right"/>
    </xf>
    <xf numFmtId="270" fontId="36" fillId="0" borderId="0" xfId="0" applyNumberFormat="1" applyFont="1"/>
    <xf numFmtId="170" fontId="36" fillId="0" borderId="0" xfId="0" applyNumberFormat="1" applyFont="1"/>
    <xf numFmtId="228" fontId="0" fillId="0" borderId="0" xfId="0" applyNumberFormat="1" applyAlignment="1">
      <alignment horizontal="right"/>
    </xf>
    <xf numFmtId="175" fontId="0" fillId="0" borderId="0" xfId="0" applyNumberFormat="1"/>
    <xf numFmtId="271" fontId="0" fillId="0" borderId="0" xfId="0" applyNumberFormat="1"/>
    <xf numFmtId="252" fontId="0" fillId="22" borderId="0" xfId="0" applyNumberFormat="1" applyFill="1" applyAlignment="1">
      <alignment horizontal="center" vertical="center"/>
    </xf>
    <xf numFmtId="273" fontId="3" fillId="4" borderId="23" xfId="0" applyNumberFormat="1" applyFont="1" applyFill="1" applyBorder="1" applyAlignment="1">
      <alignment horizontal="right"/>
    </xf>
    <xf numFmtId="273" fontId="3" fillId="4" borderId="24" xfId="0" applyNumberFormat="1" applyFont="1" applyFill="1" applyBorder="1" applyAlignment="1">
      <alignment horizontal="right"/>
    </xf>
    <xf numFmtId="242" fontId="13" fillId="0" borderId="0" xfId="0" applyNumberFormat="1" applyFont="1" applyAlignment="1">
      <alignment horizontal="left" indent="1"/>
    </xf>
    <xf numFmtId="191" fontId="0" fillId="22" borderId="0" xfId="0" applyNumberFormat="1" applyFill="1"/>
    <xf numFmtId="191" fontId="2" fillId="0" borderId="70" xfId="0" applyNumberFormat="1" applyFont="1" applyBorder="1"/>
    <xf numFmtId="191" fontId="0" fillId="0" borderId="0" xfId="0" applyNumberFormat="1" applyAlignment="1">
      <alignment horizontal="center"/>
    </xf>
    <xf numFmtId="191" fontId="0" fillId="22" borderId="0" xfId="0" applyNumberFormat="1" applyFill="1" applyAlignment="1">
      <alignment horizontal="center"/>
    </xf>
    <xf numFmtId="191" fontId="2" fillId="0" borderId="70" xfId="0" applyNumberFormat="1" applyFont="1" applyBorder="1" applyAlignment="1">
      <alignment horizontal="center"/>
    </xf>
    <xf numFmtId="191" fontId="2" fillId="0" borderId="1" xfId="0" applyNumberFormat="1" applyFont="1" applyBorder="1" applyAlignment="1">
      <alignment horizontal="center"/>
    </xf>
    <xf numFmtId="9" fontId="3" fillId="4" borderId="9" xfId="0" applyNumberFormat="1" applyFont="1" applyFill="1" applyBorder="1" applyAlignment="1">
      <alignment horizontal="left"/>
    </xf>
    <xf numFmtId="4" fontId="3" fillId="4" borderId="9" xfId="0" applyNumberFormat="1" applyFont="1" applyFill="1" applyBorder="1" applyAlignment="1">
      <alignment horizontal="left"/>
    </xf>
    <xf numFmtId="10" fontId="39" fillId="0" borderId="22" xfId="0" applyNumberFormat="1" applyFont="1" applyBorder="1"/>
    <xf numFmtId="275" fontId="0" fillId="0" borderId="0" xfId="0" applyNumberFormat="1"/>
    <xf numFmtId="276" fontId="36" fillId="0" borderId="0" xfId="0" applyNumberFormat="1" applyFont="1" applyAlignment="1">
      <alignment horizontal="left" vertical="center"/>
    </xf>
    <xf numFmtId="277" fontId="13" fillId="0" borderId="0" xfId="0" applyNumberFormat="1" applyFont="1"/>
    <xf numFmtId="277" fontId="2" fillId="0" borderId="1" xfId="0" applyNumberFormat="1" applyFont="1" applyBorder="1"/>
    <xf numFmtId="0" fontId="28" fillId="20" borderId="15" xfId="0" applyFont="1" applyFill="1" applyBorder="1"/>
    <xf numFmtId="278" fontId="0" fillId="0" borderId="0" xfId="0" applyNumberFormat="1"/>
    <xf numFmtId="279" fontId="13" fillId="0" borderId="0" xfId="0" applyNumberFormat="1" applyFont="1" applyAlignment="1">
      <alignment horizontal="left" vertical="center"/>
    </xf>
    <xf numFmtId="0" fontId="0" fillId="18" borderId="0" xfId="0" applyFill="1" applyAlignment="1">
      <alignment vertical="center"/>
    </xf>
    <xf numFmtId="9" fontId="0" fillId="18" borderId="0" xfId="0" applyNumberFormat="1" applyFill="1" applyAlignment="1">
      <alignment vertical="center"/>
    </xf>
    <xf numFmtId="247" fontId="0" fillId="18" borderId="0" xfId="0" applyNumberFormat="1" applyFill="1" applyAlignment="1">
      <alignment vertical="center"/>
    </xf>
    <xf numFmtId="172" fontId="0" fillId="18" borderId="0" xfId="0" applyNumberFormat="1" applyFill="1" applyAlignment="1">
      <alignment vertical="center"/>
    </xf>
    <xf numFmtId="251" fontId="0" fillId="18" borderId="0" xfId="0" applyNumberFormat="1" applyFill="1" applyAlignment="1">
      <alignment vertical="center"/>
    </xf>
    <xf numFmtId="9" fontId="0" fillId="0" borderId="0" xfId="0" applyNumberFormat="1" applyAlignment="1">
      <alignment horizontal="right" vertical="center"/>
    </xf>
    <xf numFmtId="9" fontId="0" fillId="0" borderId="0" xfId="0" applyNumberFormat="1" applyAlignment="1">
      <alignment vertical="center"/>
    </xf>
    <xf numFmtId="251" fontId="0" fillId="0" borderId="0" xfId="0" applyNumberFormat="1" applyAlignment="1">
      <alignment vertical="center"/>
    </xf>
    <xf numFmtId="171" fontId="0" fillId="18" borderId="0" xfId="0" applyNumberFormat="1" applyFill="1" applyAlignment="1">
      <alignment horizontal="right" vertical="center"/>
    </xf>
    <xf numFmtId="172" fontId="0" fillId="0" borderId="0" xfId="0" applyNumberFormat="1" applyAlignment="1">
      <alignment vertical="center"/>
    </xf>
    <xf numFmtId="171" fontId="0" fillId="0" borderId="0" xfId="0" applyNumberFormat="1" applyAlignment="1">
      <alignment vertical="center"/>
    </xf>
    <xf numFmtId="241" fontId="0" fillId="0" borderId="0" xfId="0" applyNumberFormat="1" applyAlignment="1">
      <alignment vertical="center"/>
    </xf>
    <xf numFmtId="274" fontId="0" fillId="18" borderId="0" xfId="0" applyNumberFormat="1" applyFill="1" applyAlignment="1">
      <alignment vertical="center"/>
    </xf>
    <xf numFmtId="171" fontId="0" fillId="18" borderId="0" xfId="0" applyNumberFormat="1" applyFill="1" applyAlignment="1">
      <alignment vertical="center"/>
    </xf>
    <xf numFmtId="251" fontId="0" fillId="18" borderId="0" xfId="0" applyNumberFormat="1" applyFill="1" applyAlignment="1">
      <alignment vertical="center" wrapText="1"/>
    </xf>
    <xf numFmtId="247" fontId="0" fillId="0" borderId="0" xfId="0" applyNumberFormat="1" applyAlignment="1">
      <alignment vertical="center"/>
    </xf>
    <xf numFmtId="240" fontId="0" fillId="18" borderId="0" xfId="0" applyNumberFormat="1" applyFill="1" applyAlignment="1">
      <alignment vertical="center"/>
    </xf>
    <xf numFmtId="10" fontId="0" fillId="0" borderId="0" xfId="0" applyNumberFormat="1" applyAlignment="1">
      <alignment vertical="center"/>
    </xf>
    <xf numFmtId="0" fontId="1" fillId="2" borderId="64" xfId="0" applyFont="1" applyFill="1" applyBorder="1" applyAlignment="1">
      <alignment horizontal="centerContinuous"/>
    </xf>
    <xf numFmtId="0" fontId="1" fillId="2" borderId="64" xfId="0" applyFont="1" applyFill="1" applyBorder="1"/>
    <xf numFmtId="0" fontId="1" fillId="2" borderId="64" xfId="0" applyFont="1" applyFill="1" applyBorder="1" applyAlignment="1">
      <alignment wrapText="1"/>
    </xf>
    <xf numFmtId="0" fontId="1" fillId="2" borderId="0" xfId="0" applyFont="1" applyFill="1" applyAlignment="1">
      <alignment wrapText="1"/>
    </xf>
    <xf numFmtId="170" fontId="27" fillId="0" borderId="64" xfId="0" applyNumberFormat="1" applyFont="1" applyBorder="1"/>
    <xf numFmtId="170" fontId="27" fillId="22" borderId="64" xfId="0" applyNumberFormat="1" applyFont="1" applyFill="1" applyBorder="1"/>
    <xf numFmtId="170" fontId="27" fillId="22" borderId="0" xfId="0" applyNumberFormat="1" applyFont="1" applyFill="1"/>
    <xf numFmtId="269" fontId="0" fillId="22" borderId="0" xfId="0" applyNumberFormat="1" applyFill="1"/>
    <xf numFmtId="170" fontId="2" fillId="0" borderId="70" xfId="0" applyNumberFormat="1" applyFont="1" applyBorder="1"/>
    <xf numFmtId="269" fontId="2" fillId="0" borderId="70" xfId="0" applyNumberFormat="1" applyFont="1" applyBorder="1"/>
    <xf numFmtId="280" fontId="0" fillId="0" borderId="0" xfId="0" applyNumberFormat="1"/>
    <xf numFmtId="280" fontId="0" fillId="22" borderId="0" xfId="0" applyNumberFormat="1" applyFill="1"/>
    <xf numFmtId="281" fontId="0" fillId="0" borderId="0" xfId="0" applyNumberFormat="1"/>
    <xf numFmtId="282" fontId="2" fillId="0" borderId="1" xfId="0" applyNumberFormat="1" applyFont="1" applyBorder="1"/>
    <xf numFmtId="283" fontId="2" fillId="0" borderId="1" xfId="0" applyNumberFormat="1" applyFont="1" applyBorder="1"/>
    <xf numFmtId="269" fontId="0" fillId="18" borderId="0" xfId="0" applyNumberFormat="1" applyFill="1" applyAlignment="1">
      <alignment vertical="center"/>
    </xf>
    <xf numFmtId="272" fontId="2" fillId="0" borderId="70" xfId="0" applyNumberFormat="1" applyFont="1" applyBorder="1"/>
    <xf numFmtId="280" fontId="2" fillId="0" borderId="1" xfId="0" applyNumberFormat="1" applyFont="1" applyBorder="1" applyAlignment="1">
      <alignment horizontal="center"/>
    </xf>
    <xf numFmtId="272" fontId="2" fillId="0" borderId="1" xfId="0" applyNumberFormat="1" applyFont="1" applyBorder="1" applyAlignment="1">
      <alignment horizontal="center"/>
    </xf>
    <xf numFmtId="284" fontId="2" fillId="0" borderId="1" xfId="0" applyNumberFormat="1" applyFont="1" applyBorder="1" applyAlignment="1">
      <alignment horizontal="center"/>
    </xf>
    <xf numFmtId="285" fontId="2" fillId="0" borderId="1" xfId="0" applyNumberFormat="1" applyFont="1" applyBorder="1" applyAlignment="1">
      <alignment horizontal="center"/>
    </xf>
    <xf numFmtId="286" fontId="0" fillId="20" borderId="15" xfId="0" applyNumberFormat="1" applyFill="1" applyBorder="1" applyAlignment="1">
      <alignment horizontal="center"/>
    </xf>
    <xf numFmtId="189" fontId="0" fillId="0" borderId="0" xfId="0" applyNumberFormat="1" applyAlignment="1">
      <alignment vertical="center"/>
    </xf>
    <xf numFmtId="245" fontId="55" fillId="0" borderId="0" xfId="0" applyNumberFormat="1" applyFont="1"/>
    <xf numFmtId="168" fontId="0" fillId="20" borderId="0" xfId="0" applyNumberFormat="1" applyFill="1" applyAlignment="1">
      <alignment horizontal="center"/>
    </xf>
    <xf numFmtId="168" fontId="0" fillId="20" borderId="11" xfId="0" applyNumberFormat="1" applyFill="1" applyBorder="1" applyAlignment="1">
      <alignment horizontal="center"/>
    </xf>
    <xf numFmtId="168" fontId="0" fillId="20" borderId="10" xfId="0" applyNumberFormat="1" applyFill="1" applyBorder="1" applyAlignment="1">
      <alignment horizontal="center"/>
    </xf>
    <xf numFmtId="168" fontId="28" fillId="20" borderId="0" xfId="0" applyNumberFormat="1" applyFont="1" applyFill="1" applyAlignment="1">
      <alignment horizontal="center"/>
    </xf>
    <xf numFmtId="168" fontId="28" fillId="20" borderId="11" xfId="0" applyNumberFormat="1" applyFont="1" applyFill="1" applyBorder="1" applyAlignment="1">
      <alignment horizontal="center"/>
    </xf>
    <xf numFmtId="286" fontId="2" fillId="0" borderId="1" xfId="0" applyNumberFormat="1" applyFont="1" applyBorder="1" applyAlignment="1">
      <alignment horizontal="center"/>
    </xf>
    <xf numFmtId="287" fontId="0" fillId="0" borderId="0" xfId="0" applyNumberFormat="1"/>
    <xf numFmtId="288" fontId="0" fillId="0" borderId="0" xfId="0" applyNumberFormat="1"/>
    <xf numFmtId="289" fontId="0" fillId="0" borderId="0" xfId="0" applyNumberFormat="1"/>
    <xf numFmtId="288" fontId="0" fillId="22" borderId="0" xfId="0" applyNumberFormat="1" applyFill="1"/>
    <xf numFmtId="287" fontId="0" fillId="22" borderId="0" xfId="0" applyNumberFormat="1" applyFill="1"/>
    <xf numFmtId="167" fontId="13" fillId="22" borderId="0" xfId="0" applyNumberFormat="1" applyFont="1" applyFill="1"/>
    <xf numFmtId="289" fontId="0" fillId="22" borderId="0" xfId="0" applyNumberFormat="1" applyFill="1"/>
    <xf numFmtId="167" fontId="0" fillId="22" borderId="0" xfId="0" applyNumberFormat="1" applyFill="1" applyAlignment="1">
      <alignment horizontal="right"/>
    </xf>
    <xf numFmtId="281" fontId="0" fillId="0" borderId="8" xfId="0" applyNumberFormat="1" applyBorder="1"/>
    <xf numFmtId="171" fontId="0" fillId="0" borderId="8" xfId="0" applyNumberFormat="1" applyBorder="1"/>
    <xf numFmtId="172" fontId="26" fillId="23" borderId="0" xfId="0" applyNumberFormat="1" applyFont="1" applyFill="1" applyAlignment="1">
      <alignment horizontal="right"/>
    </xf>
    <xf numFmtId="9" fontId="3" fillId="4" borderId="71" xfId="0" applyNumberFormat="1" applyFont="1" applyFill="1" applyBorder="1" applyAlignment="1">
      <alignment horizontal="center"/>
    </xf>
    <xf numFmtId="167" fontId="10" fillId="0" borderId="11" xfId="0" applyNumberFormat="1" applyFont="1" applyBorder="1"/>
    <xf numFmtId="0" fontId="1" fillId="2" borderId="0" xfId="0" applyFont="1" applyFill="1" applyAlignment="1">
      <alignment horizontal="center" vertical="center" wrapText="1"/>
    </xf>
    <xf numFmtId="220" fontId="2" fillId="0" borderId="70" xfId="0" applyNumberFormat="1" applyFont="1" applyBorder="1"/>
    <xf numFmtId="286" fontId="0" fillId="0" borderId="0" xfId="0" applyNumberFormat="1"/>
    <xf numFmtId="286" fontId="2" fillId="0" borderId="70" xfId="0" applyNumberFormat="1" applyFont="1" applyBorder="1"/>
    <xf numFmtId="0" fontId="1" fillId="19" borderId="4" xfId="0" applyFont="1" applyFill="1" applyBorder="1"/>
    <xf numFmtId="0" fontId="58" fillId="18" borderId="0" xfId="0" applyFont="1" applyFill="1" applyAlignment="1">
      <alignment horizontal="center" vertical="center"/>
    </xf>
    <xf numFmtId="0" fontId="58" fillId="0" borderId="0" xfId="0" applyFont="1" applyAlignment="1">
      <alignment horizontal="center" vertical="center"/>
    </xf>
    <xf numFmtId="248" fontId="2" fillId="0" borderId="1" xfId="0" applyNumberFormat="1" applyFont="1" applyBorder="1"/>
    <xf numFmtId="10" fontId="0" fillId="18" borderId="0" xfId="0" applyNumberFormat="1" applyFill="1" applyAlignment="1">
      <alignment horizontal="right" vertical="center"/>
    </xf>
    <xf numFmtId="171" fontId="3" fillId="4" borderId="9" xfId="0" applyNumberFormat="1" applyFont="1" applyFill="1" applyBorder="1" applyAlignment="1">
      <alignment horizontal="left"/>
    </xf>
    <xf numFmtId="10" fontId="3" fillId="4" borderId="9" xfId="0" applyNumberFormat="1" applyFont="1" applyFill="1" applyBorder="1" applyAlignment="1">
      <alignment horizontal="left"/>
    </xf>
    <xf numFmtId="0" fontId="2" fillId="22" borderId="0" xfId="0" applyFont="1" applyFill="1"/>
    <xf numFmtId="251" fontId="0" fillId="22" borderId="0" xfId="0" applyNumberFormat="1" applyFill="1"/>
    <xf numFmtId="251" fontId="0" fillId="0" borderId="0" xfId="0" applyNumberFormat="1" applyAlignment="1">
      <alignment vertical="center" wrapText="1"/>
    </xf>
    <xf numFmtId="172" fontId="0" fillId="0" borderId="0" xfId="0" applyNumberFormat="1" applyAlignment="1">
      <alignment horizontal="right" vertical="center"/>
    </xf>
    <xf numFmtId="171" fontId="0" fillId="0" borderId="0" xfId="0" applyNumberFormat="1" applyAlignment="1">
      <alignment horizontal="right" vertical="center"/>
    </xf>
    <xf numFmtId="10" fontId="0" fillId="0" borderId="0" xfId="0" applyNumberFormat="1" applyAlignment="1">
      <alignment horizontal="right" vertical="center"/>
    </xf>
    <xf numFmtId="9" fontId="0" fillId="18" borderId="0" xfId="0" applyNumberFormat="1" applyFill="1" applyAlignment="1">
      <alignment horizontal="right" vertical="center"/>
    </xf>
    <xf numFmtId="241" fontId="0" fillId="18" borderId="0" xfId="0" applyNumberFormat="1" applyFill="1" applyAlignment="1">
      <alignment vertical="center"/>
    </xf>
    <xf numFmtId="291" fontId="36" fillId="0" borderId="0" xfId="0" applyNumberFormat="1" applyFont="1" applyAlignment="1">
      <alignment horizontal="left" vertical="center"/>
    </xf>
    <xf numFmtId="169" fontId="63" fillId="0" borderId="11" xfId="0" applyNumberFormat="1" applyFont="1" applyBorder="1" applyAlignment="1">
      <alignment horizontal="left" indent="1"/>
    </xf>
    <xf numFmtId="170" fontId="38" fillId="0" borderId="0" xfId="0" applyNumberFormat="1" applyFont="1" applyAlignment="1">
      <alignment horizontal="left" indent="1"/>
    </xf>
    <xf numFmtId="169" fontId="63" fillId="0" borderId="0" xfId="0" applyNumberFormat="1" applyFont="1" applyAlignment="1">
      <alignment horizontal="left" indent="1"/>
    </xf>
    <xf numFmtId="170" fontId="38" fillId="0" borderId="8" xfId="0" applyNumberFormat="1" applyFont="1" applyBorder="1" applyAlignment="1">
      <alignment horizontal="left" indent="1"/>
    </xf>
    <xf numFmtId="169" fontId="63" fillId="0" borderId="8" xfId="0" applyNumberFormat="1" applyFont="1" applyBorder="1" applyAlignment="1">
      <alignment horizontal="left" indent="1"/>
    </xf>
    <xf numFmtId="169" fontId="63" fillId="0" borderId="13" xfId="0" applyNumberFormat="1" applyFont="1" applyBorder="1" applyAlignment="1">
      <alignment horizontal="left" indent="1"/>
    </xf>
    <xf numFmtId="169" fontId="28" fillId="0" borderId="11" xfId="0" applyNumberFormat="1" applyFont="1" applyBorder="1" applyAlignment="1">
      <alignment horizontal="left" indent="1"/>
    </xf>
    <xf numFmtId="172" fontId="10" fillId="0" borderId="0" xfId="0" applyNumberFormat="1" applyFont="1"/>
    <xf numFmtId="0" fontId="1" fillId="2" borderId="15" xfId="0" applyFont="1" applyFill="1" applyBorder="1" applyAlignment="1">
      <alignment horizontal="center" vertical="center" wrapText="1"/>
    </xf>
    <xf numFmtId="0" fontId="10" fillId="0" borderId="19" xfId="0" applyFont="1" applyBorder="1"/>
    <xf numFmtId="0" fontId="10" fillId="0" borderId="24" xfId="0" applyFont="1" applyBorder="1"/>
    <xf numFmtId="0" fontId="64" fillId="18" borderId="0" xfId="0" applyFont="1" applyFill="1" applyAlignment="1">
      <alignment horizontal="centerContinuous" wrapText="1"/>
    </xf>
    <xf numFmtId="0" fontId="65" fillId="24" borderId="72" xfId="0" applyFont="1" applyFill="1" applyBorder="1" applyAlignment="1">
      <alignment horizontal="center"/>
    </xf>
    <xf numFmtId="0" fontId="65" fillId="24" borderId="72" xfId="0" applyFont="1" applyFill="1" applyBorder="1" applyAlignment="1">
      <alignment horizontal="right"/>
    </xf>
    <xf numFmtId="0" fontId="19" fillId="24" borderId="1" xfId="0" applyFont="1" applyFill="1" applyBorder="1"/>
    <xf numFmtId="170" fontId="19" fillId="24" borderId="1" xfId="0" applyNumberFormat="1" applyFont="1" applyFill="1" applyBorder="1" applyAlignment="1">
      <alignment horizontal="right"/>
    </xf>
    <xf numFmtId="177" fontId="19" fillId="24" borderId="1" xfId="0" applyNumberFormat="1" applyFont="1" applyFill="1" applyBorder="1" applyAlignment="1">
      <alignment horizontal="right"/>
    </xf>
    <xf numFmtId="0" fontId="66" fillId="0" borderId="0" xfId="0" applyFont="1"/>
    <xf numFmtId="0" fontId="67" fillId="0" borderId="0" xfId="0" applyFont="1" applyAlignment="1">
      <alignment horizontal="center"/>
    </xf>
    <xf numFmtId="0" fontId="19" fillId="0" borderId="0" xfId="0" applyFont="1"/>
    <xf numFmtId="0" fontId="68" fillId="4" borderId="9" xfId="2" applyFont="1" applyAlignment="1">
      <alignment horizontal="center"/>
    </xf>
    <xf numFmtId="292" fontId="5" fillId="0" borderId="0" xfId="0" applyNumberFormat="1" applyFont="1"/>
    <xf numFmtId="0" fontId="5" fillId="2" borderId="0" xfId="0" applyFont="1" applyFill="1"/>
    <xf numFmtId="0" fontId="15" fillId="2" borderId="0" xfId="0" applyFont="1" applyFill="1"/>
    <xf numFmtId="0" fontId="69" fillId="18" borderId="0" xfId="0" applyFont="1" applyFill="1" applyAlignment="1">
      <alignment horizontal="centerContinuous"/>
    </xf>
    <xf numFmtId="0" fontId="67" fillId="0" borderId="0" xfId="0" applyFont="1" applyAlignment="1">
      <alignment horizontal="left" indent="1"/>
    </xf>
    <xf numFmtId="186" fontId="67" fillId="0" borderId="0" xfId="0" applyNumberFormat="1" applyFont="1" applyAlignment="1">
      <alignment horizontal="right"/>
    </xf>
    <xf numFmtId="0" fontId="19" fillId="0" borderId="73" xfId="0" applyFont="1" applyBorder="1"/>
    <xf numFmtId="0" fontId="0" fillId="0" borderId="73" xfId="0" applyBorder="1"/>
    <xf numFmtId="0" fontId="66" fillId="0" borderId="8" xfId="0" applyFont="1" applyBorder="1"/>
    <xf numFmtId="186" fontId="67" fillId="0" borderId="0" xfId="0" applyNumberFormat="1" applyFont="1"/>
    <xf numFmtId="189" fontId="0" fillId="0" borderId="0" xfId="0" applyNumberFormat="1"/>
    <xf numFmtId="293" fontId="19" fillId="0" borderId="73" xfId="0" applyNumberFormat="1" applyFont="1" applyBorder="1"/>
    <xf numFmtId="177" fontId="67" fillId="0" borderId="0" xfId="0" applyNumberFormat="1" applyFont="1"/>
    <xf numFmtId="293" fontId="0" fillId="0" borderId="0" xfId="0" applyNumberFormat="1"/>
    <xf numFmtId="0" fontId="70" fillId="0" borderId="0" xfId="0" applyFont="1"/>
    <xf numFmtId="0" fontId="67" fillId="0" borderId="0" xfId="0" applyFont="1"/>
    <xf numFmtId="0" fontId="71" fillId="0" borderId="0" xfId="0" applyFont="1"/>
    <xf numFmtId="0" fontId="5" fillId="0" borderId="0" xfId="4"/>
    <xf numFmtId="0" fontId="19" fillId="0" borderId="0" xfId="4" applyFont="1"/>
    <xf numFmtId="0" fontId="67" fillId="0" borderId="0" xfId="4" applyFont="1" applyAlignment="1">
      <alignment horizontal="left" indent="1"/>
    </xf>
    <xf numFmtId="186" fontId="5" fillId="0" borderId="0" xfId="4" applyNumberFormat="1" applyAlignment="1">
      <alignment horizontal="right"/>
    </xf>
    <xf numFmtId="295" fontId="5" fillId="0" borderId="0" xfId="4" applyNumberFormat="1" applyAlignment="1">
      <alignment horizontal="right"/>
    </xf>
    <xf numFmtId="0" fontId="69" fillId="18" borderId="0" xfId="4" applyFont="1" applyFill="1" applyAlignment="1">
      <alignment horizontal="centerContinuous"/>
    </xf>
    <xf numFmtId="0" fontId="66" fillId="0" borderId="0" xfId="4" applyFont="1"/>
    <xf numFmtId="0" fontId="66" fillId="0" borderId="8" xfId="4" applyFont="1" applyBorder="1"/>
    <xf numFmtId="293" fontId="19" fillId="0" borderId="0" xfId="4" applyNumberFormat="1" applyFont="1" applyAlignment="1">
      <alignment horizontal="right"/>
    </xf>
    <xf numFmtId="170" fontId="67" fillId="0" borderId="0" xfId="4" applyNumberFormat="1" applyFont="1" applyAlignment="1">
      <alignment horizontal="right"/>
    </xf>
    <xf numFmtId="9" fontId="5" fillId="0" borderId="0" xfId="3" applyFont="1"/>
    <xf numFmtId="9" fontId="5" fillId="0" borderId="0" xfId="0" applyNumberFormat="1" applyFont="1"/>
    <xf numFmtId="292" fontId="0" fillId="0" borderId="0" xfId="0" applyNumberFormat="1" applyAlignment="1">
      <alignment horizontal="left"/>
    </xf>
    <xf numFmtId="292" fontId="5" fillId="0" borderId="0" xfId="0" applyNumberFormat="1" applyFont="1" applyAlignment="1">
      <alignment horizontal="left"/>
    </xf>
    <xf numFmtId="296" fontId="3" fillId="4" borderId="9" xfId="2" applyNumberFormat="1" applyAlignment="1">
      <alignment horizontal="center"/>
    </xf>
    <xf numFmtId="0" fontId="24" fillId="0" borderId="0" xfId="0" applyFont="1" applyAlignment="1">
      <alignment horizontal="center"/>
    </xf>
    <xf numFmtId="0" fontId="24" fillId="0" borderId="0" xfId="0" applyFont="1" applyAlignment="1">
      <alignment horizontal="center" textRotation="90"/>
    </xf>
    <xf numFmtId="171" fontId="0" fillId="0" borderId="0" xfId="3" applyNumberFormat="1" applyFont="1"/>
    <xf numFmtId="0" fontId="0" fillId="11" borderId="10" xfId="0" applyFill="1" applyBorder="1"/>
    <xf numFmtId="174" fontId="13" fillId="0" borderId="22" xfId="0" applyNumberFormat="1" applyFont="1" applyBorder="1"/>
    <xf numFmtId="174" fontId="13" fillId="0" borderId="25" xfId="0" applyNumberFormat="1" applyFont="1" applyBorder="1"/>
    <xf numFmtId="174" fontId="13" fillId="0" borderId="11" xfId="0" applyNumberFormat="1" applyFont="1" applyBorder="1"/>
    <xf numFmtId="4" fontId="0" fillId="0" borderId="10" xfId="0" applyNumberFormat="1" applyBorder="1"/>
    <xf numFmtId="0" fontId="3" fillId="4" borderId="9" xfId="2" applyAlignment="1">
      <alignment horizontal="center"/>
    </xf>
    <xf numFmtId="0" fontId="0" fillId="11" borderId="0" xfId="0" applyFill="1"/>
    <xf numFmtId="174" fontId="13" fillId="11" borderId="0" xfId="0" applyNumberFormat="1" applyFont="1" applyFill="1"/>
    <xf numFmtId="174" fontId="13" fillId="11" borderId="11" xfId="0" applyNumberFormat="1" applyFont="1" applyFill="1" applyBorder="1"/>
    <xf numFmtId="0" fontId="28" fillId="0" borderId="10" xfId="0" applyFont="1" applyBorder="1"/>
    <xf numFmtId="0" fontId="0" fillId="11" borderId="12" xfId="0" applyFill="1" applyBorder="1"/>
    <xf numFmtId="0" fontId="0" fillId="11" borderId="8" xfId="0" applyFill="1" applyBorder="1"/>
    <xf numFmtId="174" fontId="13" fillId="11" borderId="8" xfId="0" applyNumberFormat="1" applyFont="1" applyFill="1" applyBorder="1"/>
    <xf numFmtId="174" fontId="13" fillId="11" borderId="13" xfId="0" applyNumberFormat="1" applyFont="1" applyFill="1" applyBorder="1"/>
    <xf numFmtId="171" fontId="0" fillId="0" borderId="10" xfId="3" applyNumberFormat="1" applyFont="1" applyBorder="1"/>
    <xf numFmtId="171" fontId="0" fillId="0" borderId="0" xfId="3" applyNumberFormat="1" applyFont="1" applyBorder="1"/>
    <xf numFmtId="174" fontId="13" fillId="0" borderId="13" xfId="0" applyNumberFormat="1" applyFont="1" applyBorder="1"/>
    <xf numFmtId="171" fontId="22" fillId="0" borderId="0" xfId="3" applyNumberFormat="1" applyFont="1" applyBorder="1"/>
    <xf numFmtId="0" fontId="2" fillId="11" borderId="12" xfId="0" applyFont="1" applyFill="1" applyBorder="1"/>
    <xf numFmtId="171" fontId="2" fillId="11" borderId="8" xfId="0" applyNumberFormat="1" applyFont="1" applyFill="1" applyBorder="1"/>
    <xf numFmtId="0" fontId="2" fillId="11" borderId="8" xfId="0" applyFont="1" applyFill="1" applyBorder="1"/>
    <xf numFmtId="171" fontId="22" fillId="11" borderId="8" xfId="3" applyNumberFormat="1" applyFont="1" applyFill="1" applyBorder="1"/>
    <xf numFmtId="174" fontId="22" fillId="11" borderId="8" xfId="0" applyNumberFormat="1" applyFont="1" applyFill="1" applyBorder="1"/>
    <xf numFmtId="298" fontId="0" fillId="0" borderId="0" xfId="0" applyNumberFormat="1"/>
    <xf numFmtId="297" fontId="0" fillId="0" borderId="0" xfId="0" applyNumberFormat="1"/>
    <xf numFmtId="172" fontId="2" fillId="0" borderId="70" xfId="0" applyNumberFormat="1" applyFont="1" applyBorder="1"/>
    <xf numFmtId="0" fontId="1" fillId="2" borderId="0" xfId="0" applyFont="1" applyFill="1" applyAlignment="1">
      <alignment horizontal="right"/>
    </xf>
    <xf numFmtId="299" fontId="3" fillId="4" borderId="9" xfId="10" applyNumberFormat="1" applyFont="1" applyFill="1" applyBorder="1" applyAlignment="1">
      <alignment horizontal="left"/>
    </xf>
    <xf numFmtId="299" fontId="0" fillId="0" borderId="0" xfId="0" applyNumberFormat="1"/>
    <xf numFmtId="171" fontId="0" fillId="0" borderId="0" xfId="0" applyNumberFormat="1" applyAlignment="1">
      <alignment horizontal="left" vertical="center"/>
    </xf>
    <xf numFmtId="0" fontId="0" fillId="2" borderId="0" xfId="0" applyFill="1" applyAlignment="1">
      <alignment horizontal="left"/>
    </xf>
    <xf numFmtId="0" fontId="0" fillId="22" borderId="0" xfId="0" applyFill="1" applyAlignment="1">
      <alignment horizontal="left"/>
    </xf>
    <xf numFmtId="0" fontId="58" fillId="0" borderId="0" xfId="0" applyFont="1" applyAlignment="1">
      <alignment horizontal="left" vertical="center"/>
    </xf>
    <xf numFmtId="0" fontId="58" fillId="18" borderId="0" xfId="0" applyFont="1" applyFill="1" applyAlignment="1">
      <alignment horizontal="left" vertical="center"/>
    </xf>
    <xf numFmtId="299" fontId="3" fillId="4" borderId="17" xfId="10" applyNumberFormat="1" applyFont="1" applyFill="1" applyBorder="1" applyAlignment="1">
      <alignment horizontal="center"/>
    </xf>
    <xf numFmtId="0" fontId="73" fillId="0" borderId="0" xfId="0" applyFont="1" applyAlignment="1">
      <alignment horizontal="left" vertical="center" indent="3" readingOrder="1"/>
    </xf>
    <xf numFmtId="3" fontId="55" fillId="0" borderId="65" xfId="0" applyNumberFormat="1" applyFont="1" applyBorder="1" applyAlignment="1">
      <alignment horizontal="right" vertical="center"/>
    </xf>
    <xf numFmtId="0" fontId="55" fillId="0" borderId="65" xfId="0" applyFont="1" applyBorder="1" applyAlignment="1">
      <alignment horizontal="right"/>
    </xf>
    <xf numFmtId="3" fontId="55" fillId="0" borderId="0" xfId="0" applyNumberFormat="1" applyFont="1" applyAlignment="1">
      <alignment horizontal="right" vertical="center"/>
    </xf>
    <xf numFmtId="171" fontId="0" fillId="0" borderId="11" xfId="3" applyNumberFormat="1" applyFont="1" applyBorder="1"/>
    <xf numFmtId="3" fontId="3" fillId="4" borderId="1" xfId="0" applyNumberFormat="1" applyFont="1" applyFill="1" applyBorder="1"/>
    <xf numFmtId="166" fontId="1" fillId="2" borderId="22" xfId="0" applyNumberFormat="1" applyFont="1" applyFill="1" applyBorder="1" applyAlignment="1">
      <alignment horizontal="center"/>
    </xf>
    <xf numFmtId="0" fontId="1" fillId="2" borderId="22" xfId="0" applyFont="1" applyFill="1" applyBorder="1"/>
    <xf numFmtId="166" fontId="1" fillId="2" borderId="25" xfId="0" applyNumberFormat="1" applyFont="1" applyFill="1" applyBorder="1" applyAlignment="1">
      <alignment horizontal="center"/>
    </xf>
    <xf numFmtId="0" fontId="1" fillId="2" borderId="10" xfId="0" applyFont="1" applyFill="1" applyBorder="1"/>
    <xf numFmtId="0" fontId="1" fillId="2" borderId="11" xfId="0" applyFont="1" applyFill="1" applyBorder="1" applyAlignment="1">
      <alignment horizontal="center"/>
    </xf>
    <xf numFmtId="171" fontId="13" fillId="0" borderId="0" xfId="3" applyNumberFormat="1" applyFont="1" applyBorder="1"/>
    <xf numFmtId="171" fontId="13" fillId="0" borderId="11" xfId="3" applyNumberFormat="1" applyFont="1" applyBorder="1"/>
    <xf numFmtId="168" fontId="0" fillId="0" borderId="11" xfId="0" applyNumberFormat="1" applyBorder="1"/>
    <xf numFmtId="185" fontId="0" fillId="0" borderId="11" xfId="0" applyNumberFormat="1" applyBorder="1"/>
    <xf numFmtId="185" fontId="0" fillId="0" borderId="13" xfId="0" applyNumberFormat="1" applyBorder="1"/>
    <xf numFmtId="170" fontId="0" fillId="0" borderId="25" xfId="0" applyNumberFormat="1" applyBorder="1"/>
    <xf numFmtId="170" fontId="0" fillId="0" borderId="11" xfId="0" applyNumberFormat="1" applyBorder="1"/>
    <xf numFmtId="170" fontId="32" fillId="0" borderId="0" xfId="0" applyNumberFormat="1" applyFont="1"/>
    <xf numFmtId="3" fontId="2" fillId="0" borderId="0" xfId="0" applyNumberFormat="1" applyFont="1"/>
    <xf numFmtId="283" fontId="2" fillId="0" borderId="0" xfId="0" applyNumberFormat="1" applyFont="1"/>
    <xf numFmtId="282" fontId="2" fillId="0" borderId="0" xfId="0" applyNumberFormat="1" applyFont="1"/>
    <xf numFmtId="167" fontId="2" fillId="0" borderId="0" xfId="0" applyNumberFormat="1" applyFont="1"/>
    <xf numFmtId="242" fontId="0" fillId="0" borderId="0" xfId="0" applyNumberFormat="1"/>
    <xf numFmtId="174" fontId="13" fillId="0" borderId="4" xfId="0" applyNumberFormat="1" applyFont="1" applyBorder="1"/>
    <xf numFmtId="171" fontId="22" fillId="0" borderId="11" xfId="3" applyNumberFormat="1" applyFont="1" applyBorder="1"/>
    <xf numFmtId="171" fontId="22" fillId="11" borderId="13" xfId="3" applyNumberFormat="1" applyFont="1" applyFill="1" applyBorder="1"/>
    <xf numFmtId="171" fontId="2" fillId="0" borderId="1" xfId="3" applyNumberFormat="1" applyFont="1" applyBorder="1"/>
    <xf numFmtId="0" fontId="2" fillId="6" borderId="0" xfId="0" applyFont="1" applyFill="1"/>
    <xf numFmtId="0" fontId="2" fillId="6" borderId="0" xfId="0" applyFont="1" applyFill="1" applyAlignment="1">
      <alignment horizontal="center"/>
    </xf>
    <xf numFmtId="167" fontId="0" fillId="0" borderId="0" xfId="0" applyNumberFormat="1" applyAlignment="1">
      <alignment horizontal="left"/>
    </xf>
    <xf numFmtId="14" fontId="5" fillId="0" borderId="0" xfId="0" applyNumberFormat="1" applyFont="1" applyAlignment="1">
      <alignment horizontal="right"/>
    </xf>
    <xf numFmtId="300" fontId="5" fillId="0" borderId="0" xfId="0" applyNumberFormat="1" applyFont="1"/>
    <xf numFmtId="167" fontId="0" fillId="22" borderId="0" xfId="0" applyNumberFormat="1" applyFill="1" applyAlignment="1">
      <alignment horizontal="left"/>
    </xf>
    <xf numFmtId="203" fontId="36" fillId="0" borderId="26" xfId="0" applyNumberFormat="1" applyFont="1" applyBorder="1" applyAlignment="1">
      <alignment horizontal="left" vertical="top" wrapText="1"/>
    </xf>
    <xf numFmtId="203" fontId="36" fillId="0" borderId="22" xfId="0" applyNumberFormat="1" applyFont="1" applyBorder="1" applyAlignment="1">
      <alignment horizontal="left" vertical="top" wrapText="1"/>
    </xf>
    <xf numFmtId="203" fontId="36" fillId="0" borderId="25" xfId="0" applyNumberFormat="1" applyFont="1" applyBorder="1" applyAlignment="1">
      <alignment horizontal="left" vertical="top" wrapText="1"/>
    </xf>
    <xf numFmtId="203" fontId="36" fillId="0" borderId="10" xfId="0" applyNumberFormat="1" applyFont="1" applyBorder="1" applyAlignment="1">
      <alignment horizontal="left" vertical="top" wrapText="1"/>
    </xf>
    <xf numFmtId="203" fontId="36" fillId="0" borderId="0" xfId="0" applyNumberFormat="1" applyFont="1" applyAlignment="1">
      <alignment horizontal="left" vertical="top" wrapText="1"/>
    </xf>
    <xf numFmtId="203" fontId="36" fillId="0" borderId="11" xfId="0" applyNumberFormat="1" applyFont="1" applyBorder="1" applyAlignment="1">
      <alignment horizontal="left" vertical="top" wrapText="1"/>
    </xf>
    <xf numFmtId="203" fontId="36" fillId="0" borderId="12" xfId="0" applyNumberFormat="1" applyFont="1" applyBorder="1" applyAlignment="1">
      <alignment horizontal="left" vertical="top" wrapText="1"/>
    </xf>
    <xf numFmtId="203" fontId="36" fillId="0" borderId="8" xfId="0" applyNumberFormat="1" applyFont="1" applyBorder="1" applyAlignment="1">
      <alignment horizontal="left" vertical="top" wrapText="1"/>
    </xf>
    <xf numFmtId="203" fontId="36" fillId="0" borderId="13" xfId="0" applyNumberFormat="1" applyFont="1" applyBorder="1" applyAlignment="1">
      <alignment horizontal="left" vertical="top" wrapText="1"/>
    </xf>
    <xf numFmtId="3" fontId="22" fillId="0" borderId="22" xfId="0" applyNumberFormat="1" applyFont="1" applyBorder="1" applyAlignment="1">
      <alignment horizontal="center" vertical="center" textRotation="90"/>
    </xf>
    <xf numFmtId="0" fontId="2" fillId="0" borderId="0" xfId="0" applyFont="1" applyAlignment="1">
      <alignment horizontal="center" vertical="center" textRotation="90"/>
    </xf>
    <xf numFmtId="243" fontId="55" fillId="0" borderId="0" xfId="0" applyNumberFormat="1" applyFont="1" applyAlignment="1">
      <alignment horizontal="right"/>
    </xf>
    <xf numFmtId="290" fontId="55" fillId="0" borderId="0" xfId="0" applyNumberFormat="1" applyFont="1" applyAlignment="1">
      <alignment horizontal="right" vertical="center"/>
    </xf>
    <xf numFmtId="239" fontId="55" fillId="0" borderId="0" xfId="0" applyNumberFormat="1" applyFont="1" applyAlignment="1">
      <alignment horizontal="right" vertical="center"/>
    </xf>
    <xf numFmtId="251" fontId="55" fillId="0" borderId="0" xfId="0" applyNumberFormat="1" applyFont="1" applyAlignment="1">
      <alignment horizontal="left" vertical="center"/>
    </xf>
    <xf numFmtId="0" fontId="55" fillId="0" borderId="0" xfId="0" applyFont="1" applyAlignment="1">
      <alignment horizontal="left" vertical="center" wrapText="1"/>
    </xf>
    <xf numFmtId="0" fontId="55" fillId="0" borderId="0" xfId="0" applyFont="1" applyAlignment="1">
      <alignment horizontal="left" vertical="center"/>
    </xf>
  </cellXfs>
  <cellStyles count="11">
    <cellStyle name="_TableSuperHead" xfId="9" xr:uid="{48859ABB-B3FE-4213-A0A4-44B12CE6667C}"/>
    <cellStyle name="Comma 2" xfId="5" xr:uid="{628BF69D-748E-4982-B787-C1D7B5DD2053}"/>
    <cellStyle name="Comma 6" xfId="7" xr:uid="{DE0A458E-AFA8-4274-9B51-66CDA64F3C24}"/>
    <cellStyle name="Input / Assumption" xfId="2" xr:uid="{81CD29C2-4D39-4A6F-AC87-6D98BCAD6832}"/>
    <cellStyle name="Komma" xfId="10" builtinId="3"/>
    <cellStyle name="Normal 2" xfId="4" xr:uid="{6F09CD33-93EB-470A-9430-0B2193673039}"/>
    <cellStyle name="Notice" xfId="1" xr:uid="{D3F607B1-2B83-4EB8-B485-8AC785BC2EF2}"/>
    <cellStyle name="Prozent" xfId="3" builtinId="5"/>
    <cellStyle name="Prozent 2" xfId="8" xr:uid="{A3201E71-CF2F-40D9-8818-2CB18E92E6BA}"/>
    <cellStyle name="Standard" xfId="0" builtinId="0"/>
    <cellStyle name="Standard 4" xfId="6" xr:uid="{4C8D587F-8AF3-44AB-B1DB-F2E01A223354}"/>
  </cellStyles>
  <dxfs count="274">
    <dxf>
      <fill>
        <patternFill>
          <bgColor theme="0" tint="-0.14996795556505021"/>
        </patternFill>
      </fill>
    </dxf>
    <dxf>
      <font>
        <color auto="1"/>
      </font>
      <fill>
        <patternFill>
          <bgColor theme="0" tint="-0.14996795556505021"/>
        </patternFill>
      </fill>
    </dxf>
    <dxf>
      <font>
        <color rgb="FFC00000"/>
      </font>
      <fill>
        <patternFill patternType="none">
          <bgColor auto="1"/>
        </patternFill>
      </fill>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C00000"/>
      </font>
      <fill>
        <patternFill patternType="none">
          <bgColor auto="1"/>
        </patternFill>
      </fill>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FF0000"/>
      </font>
    </dxf>
    <dxf>
      <font>
        <color rgb="FF89BD3A"/>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fill>
        <patternFill>
          <bgColor rgb="FFFF0000"/>
        </patternFill>
      </fill>
    </dxf>
    <dxf>
      <fill>
        <patternFill>
          <bgColor rgb="FFFF0000"/>
        </patternFill>
      </fill>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302" formatCode="&quot;NPV&quot;"/>
    </dxf>
    <dxf>
      <numFmt numFmtId="303" formatCode="&quot;MV&quot;"/>
    </dxf>
    <dxf>
      <numFmt numFmtId="296" formatCode="&quot;ON&quot;"/>
    </dxf>
    <dxf>
      <numFmt numFmtId="301" formatCode="&quot;OFF&quot;"/>
    </dxf>
    <dxf>
      <numFmt numFmtId="304" formatCode="&quot;Yes&quot;"/>
    </dxf>
    <dxf>
      <numFmt numFmtId="305" formatCode="&quot;No&quot;"/>
      <fill>
        <patternFill>
          <bgColor rgb="FFFFFF00"/>
        </patternFill>
      </fill>
    </dxf>
    <dxf>
      <font>
        <color rgb="FF006100"/>
      </font>
      <fill>
        <patternFill>
          <bgColor rgb="FFC6EFCE"/>
        </patternFill>
      </fill>
    </dxf>
    <dxf>
      <font>
        <color rgb="FF9C0006"/>
      </font>
      <fill>
        <patternFill>
          <bgColor rgb="FFFFC7CE"/>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b/>
        <i val="0"/>
        <color auto="1"/>
      </font>
      <fill>
        <patternFill>
          <bgColor rgb="FF00B050"/>
        </patternFill>
      </fill>
    </dxf>
    <dxf>
      <font>
        <b/>
        <i val="0"/>
        <color auto="1"/>
      </font>
      <fill>
        <patternFill>
          <bgColor rgb="FFC00000"/>
        </patternFill>
      </fill>
    </dxf>
    <dxf>
      <font>
        <color auto="1"/>
      </font>
      <fill>
        <patternFill>
          <bgColor rgb="FF00B050"/>
        </patternFill>
      </fill>
    </dxf>
    <dxf>
      <font>
        <color auto="1"/>
      </font>
      <fill>
        <patternFill>
          <bgColor rgb="FFC000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numFmt numFmtId="296" formatCode="&quot;ON&quot;"/>
    </dxf>
    <dxf>
      <numFmt numFmtId="301" formatCode="&quot;OFF&quo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auto="1"/>
      </font>
      <fill>
        <patternFill>
          <bgColor theme="0" tint="-0.14996795556505021"/>
        </patternFill>
      </fill>
    </dxf>
    <dxf>
      <fill>
        <patternFill>
          <bgColor theme="0" tint="-0.14996795556505021"/>
        </patternFill>
      </fill>
    </dxf>
    <dxf>
      <fill>
        <patternFill>
          <bgColor theme="0" tint="-0.14996795556505021"/>
        </patternFill>
      </fill>
    </dxf>
    <dxf>
      <font>
        <color auto="1"/>
      </font>
      <fill>
        <patternFill>
          <bgColor theme="0"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89BD3A"/>
      <color rgb="FF435D1D"/>
      <color rgb="FF638A2A"/>
      <color rgb="FFDFEECA"/>
      <color rgb="FFE7E6E6"/>
      <color rgb="FFCCECFF"/>
      <color rgb="FF0000FF"/>
      <color rgb="FF99BFDB"/>
      <color rgb="FF89FFFF"/>
      <color rgb="FF3267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Static FFO Yield</c:v>
          </c:tx>
          <c:spPr>
            <a:solidFill>
              <a:schemeClr val="accent1"/>
            </a:solidFill>
            <a:ln>
              <a:noFill/>
            </a:ln>
            <a:effectLst/>
          </c:spPr>
          <c:invertIfNegative val="0"/>
          <c:cat>
            <c:numRef>
              <c:f>FO!$H$3:$S$3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FO!$H$35:$S$35</c:f>
              <c:numCache>
                <c:formatCode>#,#00%</c:formatCode>
                <c:ptCount val="12"/>
                <c:pt idx="0">
                  <c:v>5.8936987665193638E-3</c:v>
                </c:pt>
                <c:pt idx="1">
                  <c:v>3.7934691624854439E-2</c:v>
                </c:pt>
                <c:pt idx="2">
                  <c:v>6.8208735791395039E-2</c:v>
                </c:pt>
                <c:pt idx="3">
                  <c:v>6.8594807037468758E-2</c:v>
                </c:pt>
                <c:pt idx="4">
                  <c:v>6.8381210574669712E-2</c:v>
                </c:pt>
                <c:pt idx="5">
                  <c:v>6.8567686641241035E-2</c:v>
                </c:pt>
                <c:pt idx="6">
                  <c:v>6.8951049513502713E-2</c:v>
                </c:pt>
                <c:pt idx="7">
                  <c:v>6.9332156901835168E-2</c:v>
                </c:pt>
                <c:pt idx="8">
                  <c:v>6.9125717164271655E-2</c:v>
                </c:pt>
                <c:pt idx="9">
                  <c:v>6.9311253238075576E-2</c:v>
                </c:pt>
                <c:pt idx="10">
                  <c:v>6.9689622789658609E-2</c:v>
                </c:pt>
                <c:pt idx="11">
                  <c:v>6.9410788234833556E-2</c:v>
                </c:pt>
              </c:numCache>
            </c:numRef>
          </c:val>
          <c:extLst>
            <c:ext xmlns:c16="http://schemas.microsoft.com/office/drawing/2014/chart" uri="{C3380CC4-5D6E-409C-BE32-E72D297353CC}">
              <c16:uniqueId val="{00000000-1BA3-4A0C-A0D9-952E2D7B7DFF}"/>
            </c:ext>
          </c:extLst>
        </c:ser>
        <c:ser>
          <c:idx val="1"/>
          <c:order val="1"/>
          <c:tx>
            <c:v>Amortized Equity FFO Yield</c:v>
          </c:tx>
          <c:spPr>
            <a:solidFill>
              <a:schemeClr val="accent2"/>
            </a:solidFill>
            <a:ln>
              <a:noFill/>
            </a:ln>
            <a:effectLst/>
          </c:spPr>
          <c:invertIfNegative val="0"/>
          <c:cat>
            <c:numRef>
              <c:f>FO!$H$3:$S$3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FO!$H$36:$S$36</c:f>
              <c:numCache>
                <c:formatCode>#,#00%</c:formatCode>
                <c:ptCount val="12"/>
                <c:pt idx="0">
                  <c:v>5.8936987665193638E-3</c:v>
                </c:pt>
                <c:pt idx="1">
                  <c:v>3.7934691624854439E-2</c:v>
                </c:pt>
                <c:pt idx="2">
                  <c:v>6.8502264798727827E-2</c:v>
                </c:pt>
                <c:pt idx="3">
                  <c:v>6.971997715019726E-2</c:v>
                </c:pt>
                <c:pt idx="4">
                  <c:v>7.0357438439411363E-2</c:v>
                </c:pt>
                <c:pt idx="5">
                  <c:v>7.1423556321783696E-2</c:v>
                </c:pt>
                <c:pt idx="6">
                  <c:v>7.2727665165743541E-2</c:v>
                </c:pt>
                <c:pt idx="7">
                  <c:v>7.4070223780303757E-2</c:v>
                </c:pt>
                <c:pt idx="8">
                  <c:v>7.4819604875178594E-2</c:v>
                </c:pt>
                <c:pt idx="9">
                  <c:v>7.6014538883164409E-2</c:v>
                </c:pt>
                <c:pt idx="10">
                  <c:v>7.7459883236908E-2</c:v>
                </c:pt>
                <c:pt idx="11">
                  <c:v>7.8212602812071305E-2</c:v>
                </c:pt>
              </c:numCache>
            </c:numRef>
          </c:val>
          <c:extLst>
            <c:ext xmlns:c16="http://schemas.microsoft.com/office/drawing/2014/chart" uri="{C3380CC4-5D6E-409C-BE32-E72D297353CC}">
              <c16:uniqueId val="{00000001-1BA3-4A0C-A0D9-952E2D7B7DFF}"/>
            </c:ext>
          </c:extLst>
        </c:ser>
        <c:dLbls>
          <c:showLegendKey val="0"/>
          <c:showVal val="0"/>
          <c:showCatName val="0"/>
          <c:showSerName val="0"/>
          <c:showPercent val="0"/>
          <c:showBubbleSize val="0"/>
        </c:dLbls>
        <c:gapWidth val="219"/>
        <c:overlap val="-27"/>
        <c:axId val="1809624591"/>
        <c:axId val="1809627919"/>
      </c:barChart>
      <c:catAx>
        <c:axId val="1809624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Deal 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09627919"/>
        <c:crosses val="autoZero"/>
        <c:auto val="1"/>
        <c:lblAlgn val="ctr"/>
        <c:lblOffset val="100"/>
        <c:noMultiLvlLbl val="0"/>
      </c:catAx>
      <c:valAx>
        <c:axId val="1809627919"/>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FFO</a:t>
                </a:r>
                <a:r>
                  <a:rPr lang="en-US" baseline="0"/>
                  <a:t> Yield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09624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89BD3A"/>
              </a:solidFill>
              <a:ln w="19050">
                <a:solidFill>
                  <a:schemeClr val="lt1"/>
                </a:solidFill>
              </a:ln>
              <a:effectLst/>
            </c:spPr>
            <c:extLst>
              <c:ext xmlns:c16="http://schemas.microsoft.com/office/drawing/2014/chart" uri="{C3380CC4-5D6E-409C-BE32-E72D297353CC}">
                <c16:uniqueId val="{00000002-053C-4E0B-A22B-D945A1D1CD9D}"/>
              </c:ext>
            </c:extLst>
          </c:dPt>
          <c:dPt>
            <c:idx val="1"/>
            <c:bubble3D val="0"/>
            <c:spPr>
              <a:solidFill>
                <a:srgbClr val="E7E6E6"/>
              </a:solidFill>
              <a:ln w="19050">
                <a:solidFill>
                  <a:schemeClr val="lt1"/>
                </a:solidFill>
              </a:ln>
              <a:effectLst/>
            </c:spPr>
            <c:extLst>
              <c:ext xmlns:c16="http://schemas.microsoft.com/office/drawing/2014/chart" uri="{C3380CC4-5D6E-409C-BE32-E72D297353CC}">
                <c16:uniqueId val="{00000001-053C-4E0B-A22B-D945A1D1CD9D}"/>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de-D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3C-4E0B-A22B-D945A1D1CD9D}"/>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3C-4E0B-A22B-D945A1D1CD9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s>
          <c:cat>
            <c:strRef>
              <c:f>OV!$B$30:$B$31</c:f>
              <c:strCache>
                <c:ptCount val="2"/>
                <c:pt idx="0">
                  <c:v>FMCG</c:v>
                </c:pt>
                <c:pt idx="1">
                  <c:v>Other</c:v>
                </c:pt>
              </c:strCache>
            </c:strRef>
          </c:cat>
          <c:val>
            <c:numRef>
              <c:f>OV!$C$30:$C$31</c:f>
              <c:numCache>
                <c:formatCode>#,##0</c:formatCode>
                <c:ptCount val="2"/>
                <c:pt idx="0">
                  <c:v>300000</c:v>
                </c:pt>
                <c:pt idx="1">
                  <c:v>0</c:v>
                </c:pt>
              </c:numCache>
            </c:numRef>
          </c:val>
          <c:extLst>
            <c:ext xmlns:c16="http://schemas.microsoft.com/office/drawing/2014/chart" uri="{C3380CC4-5D6E-409C-BE32-E72D297353CC}">
              <c16:uniqueId val="{00000000-053C-4E0B-A22B-D945A1D1CD9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RE!$C$37</c:f>
              <c:strCache>
                <c:ptCount val="1"/>
                <c:pt idx="0">
                  <c:v>NRI</c:v>
                </c:pt>
              </c:strCache>
            </c:strRef>
          </c:tx>
          <c:spPr>
            <a:solidFill>
              <a:srgbClr val="89BD3A"/>
            </a:solidFill>
            <a:ln>
              <a:noFill/>
            </a:ln>
            <a:effectLst/>
          </c:spPr>
          <c:invertIfNegative val="0"/>
          <c:cat>
            <c:numRef>
              <c:f>RE!$B$38:$B$59</c:f>
              <c:numCache>
                <c:formatCode>General</c:formatCode>
                <c:ptCount val="2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numCache>
            </c:numRef>
          </c:cat>
          <c:val>
            <c:numRef>
              <c:f>RE!$C$38:$C$59</c:f>
              <c:numCache>
                <c:formatCode>#.##0;;\-_)</c:formatCode>
                <c:ptCount val="22"/>
                <c:pt idx="0">
                  <c:v>300000</c:v>
                </c:pt>
                <c:pt idx="1">
                  <c:v>300000</c:v>
                </c:pt>
                <c:pt idx="2">
                  <c:v>300000</c:v>
                </c:pt>
                <c:pt idx="3">
                  <c:v>300000</c:v>
                </c:pt>
                <c:pt idx="4">
                  <c:v>300000</c:v>
                </c:pt>
                <c:pt idx="5">
                  <c:v>300000</c:v>
                </c:pt>
                <c:pt idx="6">
                  <c:v>300000</c:v>
                </c:pt>
                <c:pt idx="7">
                  <c:v>300000</c:v>
                </c:pt>
                <c:pt idx="8">
                  <c:v>300000</c:v>
                </c:pt>
                <c:pt idx="9">
                  <c:v>300000</c:v>
                </c:pt>
                <c:pt idx="10">
                  <c:v>300000</c:v>
                </c:pt>
                <c:pt idx="11">
                  <c:v>300000</c:v>
                </c:pt>
                <c:pt idx="12">
                  <c:v>300000</c:v>
                </c:pt>
                <c:pt idx="13">
                  <c:v>300000</c:v>
                </c:pt>
                <c:pt idx="14">
                  <c:v>300000</c:v>
                </c:pt>
                <c:pt idx="15">
                  <c:v>300000</c:v>
                </c:pt>
                <c:pt idx="16">
                  <c:v>300000</c:v>
                </c:pt>
                <c:pt idx="17">
                  <c:v>300000</c:v>
                </c:pt>
                <c:pt idx="18">
                  <c:v>300000</c:v>
                </c:pt>
                <c:pt idx="19">
                  <c:v>300000</c:v>
                </c:pt>
                <c:pt idx="20">
                  <c:v>0</c:v>
                </c:pt>
                <c:pt idx="21">
                  <c:v>0</c:v>
                </c:pt>
              </c:numCache>
            </c:numRef>
          </c:val>
          <c:extLst>
            <c:ext xmlns:c16="http://schemas.microsoft.com/office/drawing/2014/chart" uri="{C3380CC4-5D6E-409C-BE32-E72D297353CC}">
              <c16:uniqueId val="{00000000-1BD3-4BC9-9559-3FC1EEEAD167}"/>
            </c:ext>
          </c:extLst>
        </c:ser>
        <c:ser>
          <c:idx val="1"/>
          <c:order val="1"/>
          <c:tx>
            <c:strRef>
              <c:f>RE!$D$37</c:f>
              <c:strCache>
                <c:ptCount val="1"/>
                <c:pt idx="0">
                  <c:v>NRI+Options</c:v>
                </c:pt>
              </c:strCache>
            </c:strRef>
          </c:tx>
          <c:spPr>
            <a:solidFill>
              <a:srgbClr val="E7E6E6"/>
            </a:solidFill>
            <a:ln>
              <a:noFill/>
            </a:ln>
            <a:effectLst/>
          </c:spPr>
          <c:invertIfNegative val="0"/>
          <c:cat>
            <c:numRef>
              <c:f>RE!$B$38:$B$59</c:f>
              <c:numCache>
                <c:formatCode>General</c:formatCode>
                <c:ptCount val="2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numCache>
            </c:numRef>
          </c:cat>
          <c:val>
            <c:numRef>
              <c:f>RE!$D$38:$D$59</c:f>
              <c:numCache>
                <c:formatCode>#.##0;;\-_)</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extLst>
            <c:ext xmlns:c16="http://schemas.microsoft.com/office/drawing/2014/chart" uri="{C3380CC4-5D6E-409C-BE32-E72D297353CC}">
              <c16:uniqueId val="{00000001-1BD3-4BC9-9559-3FC1EEEAD167}"/>
            </c:ext>
          </c:extLst>
        </c:ser>
        <c:dLbls>
          <c:showLegendKey val="0"/>
          <c:showVal val="0"/>
          <c:showCatName val="0"/>
          <c:showSerName val="0"/>
          <c:showPercent val="0"/>
          <c:showBubbleSize val="0"/>
        </c:dLbls>
        <c:gapWidth val="219"/>
        <c:overlap val="-27"/>
        <c:axId val="846680320"/>
        <c:axId val="854724064"/>
      </c:barChart>
      <c:catAx>
        <c:axId val="84668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54724064"/>
        <c:crosses val="autoZero"/>
        <c:auto val="1"/>
        <c:lblAlgn val="ctr"/>
        <c:lblOffset val="100"/>
        <c:noMultiLvlLbl val="0"/>
      </c:catAx>
      <c:valAx>
        <c:axId val="854724064"/>
        <c:scaling>
          <c:orientation val="minMax"/>
        </c:scaling>
        <c:delete val="0"/>
        <c:axPos val="l"/>
        <c:majorGridlines>
          <c:spPr>
            <a:ln w="9525" cap="flat" cmpd="sng" algn="ctr">
              <a:solidFill>
                <a:schemeClr val="tx1">
                  <a:lumMod val="15000"/>
                  <a:lumOff val="85000"/>
                </a:schemeClr>
              </a:solidFill>
              <a:round/>
            </a:ln>
            <a:effectLst/>
          </c:spPr>
        </c:majorGridlines>
        <c:numFmt formatCode="#.##0;;\-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46680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E7E6E6"/>
              </a:solidFill>
              <a:ln w="19050">
                <a:solidFill>
                  <a:schemeClr val="lt1"/>
                </a:solidFill>
              </a:ln>
              <a:effectLst/>
            </c:spPr>
            <c:extLst>
              <c:ext xmlns:c16="http://schemas.microsoft.com/office/drawing/2014/chart" uri="{C3380CC4-5D6E-409C-BE32-E72D297353CC}">
                <c16:uniqueId val="{00000001-2544-4D07-B243-034CFC6B87E7}"/>
              </c:ext>
            </c:extLst>
          </c:dPt>
          <c:dPt>
            <c:idx val="1"/>
            <c:bubble3D val="0"/>
            <c:spPr>
              <a:solidFill>
                <a:srgbClr val="89BD3A"/>
              </a:solidFill>
              <a:ln w="19050">
                <a:solidFill>
                  <a:schemeClr val="lt1"/>
                </a:solidFill>
              </a:ln>
              <a:effectLst/>
            </c:spPr>
            <c:extLst>
              <c:ext xmlns:c16="http://schemas.microsoft.com/office/drawing/2014/chart" uri="{C3380CC4-5D6E-409C-BE32-E72D297353CC}">
                <c16:uniqueId val="{00000002-2544-4D07-B243-034CFC6B87E7}"/>
              </c:ext>
            </c:extLst>
          </c:dPt>
          <c:dLbls>
            <c:dLbl>
              <c:idx val="0"/>
              <c:layout>
                <c:manualLayout>
                  <c:x val="0.12077294685990338"/>
                  <c:y val="-0.121935030878241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544-4D07-B243-034CFC6B87E7}"/>
                </c:ext>
              </c:extLst>
            </c:dLbl>
            <c:dLbl>
              <c:idx val="1"/>
              <c:layout>
                <c:manualLayout>
                  <c:x val="-0.1111111111111111"/>
                  <c:y val="0.127236553959903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544-4D07-B243-034CFC6B87E7}"/>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PD!$B$23:$B$24</c:f>
              <c:strCache>
                <c:ptCount val="2"/>
                <c:pt idx="0">
                  <c:v>East</c:v>
                </c:pt>
                <c:pt idx="1">
                  <c:v>West</c:v>
                </c:pt>
              </c:strCache>
            </c:strRef>
          </c:cat>
          <c:val>
            <c:numRef>
              <c:f>PD!$C$23:$C$24</c:f>
              <c:numCache>
                <c:formatCode>#.##0;;\-_)</c:formatCode>
                <c:ptCount val="2"/>
                <c:pt idx="0">
                  <c:v>0</c:v>
                </c:pt>
                <c:pt idx="1">
                  <c:v>300000</c:v>
                </c:pt>
              </c:numCache>
            </c:numRef>
          </c:val>
          <c:extLst>
            <c:ext xmlns:c16="http://schemas.microsoft.com/office/drawing/2014/chart" uri="{C3380CC4-5D6E-409C-BE32-E72D297353CC}">
              <c16:uniqueId val="{00000000-2544-4D07-B243-034CFC6B87E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89BD3A"/>
              </a:solidFill>
              <a:ln w="19050">
                <a:solidFill>
                  <a:schemeClr val="lt1"/>
                </a:solidFill>
              </a:ln>
              <a:effectLst/>
            </c:spPr>
            <c:extLst>
              <c:ext xmlns:c16="http://schemas.microsoft.com/office/drawing/2014/chart" uri="{C3380CC4-5D6E-409C-BE32-E72D297353CC}">
                <c16:uniqueId val="{00000001-5FE7-4D61-81EC-BD13166B0FED}"/>
              </c:ext>
            </c:extLst>
          </c:dPt>
          <c:dPt>
            <c:idx val="1"/>
            <c:bubble3D val="0"/>
            <c:spPr>
              <a:solidFill>
                <a:srgbClr val="E7E6E6"/>
              </a:solidFill>
              <a:ln w="19050">
                <a:solidFill>
                  <a:schemeClr val="lt1"/>
                </a:solidFill>
              </a:ln>
              <a:effectLst/>
            </c:spPr>
            <c:extLst>
              <c:ext xmlns:c16="http://schemas.microsoft.com/office/drawing/2014/chart" uri="{C3380CC4-5D6E-409C-BE32-E72D297353CC}">
                <c16:uniqueId val="{00000002-5FE7-4D61-81EC-BD13166B0FED}"/>
              </c:ext>
            </c:extLst>
          </c:dPt>
          <c:dLbls>
            <c:dLbl>
              <c:idx val="0"/>
              <c:layout>
                <c:manualLayout>
                  <c:x val="0.15030303030303038"/>
                  <c:y val="6.2622296331664676E-2"/>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FE7-4D61-81EC-BD13166B0FED}"/>
                </c:ext>
              </c:extLst>
            </c:dLbl>
            <c:dLbl>
              <c:idx val="1"/>
              <c:layout>
                <c:manualLayout>
                  <c:x val="-0.10666647578143641"/>
                  <c:y val="-6.7840615572242052E-2"/>
                </c:manualLayout>
              </c:layout>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extLst>
                <c:ext xmlns:c15="http://schemas.microsoft.com/office/drawing/2012/chart" uri="{CE6537A1-D6FC-4f65-9D91-7224C49458BB}">
                  <c15:layout>
                    <c:manualLayout>
                      <c:w val="0.30210909090909088"/>
                      <c:h val="0.18763226083747869"/>
                    </c:manualLayout>
                  </c15:layout>
                </c:ext>
                <c:ext xmlns:c16="http://schemas.microsoft.com/office/drawing/2014/chart" uri="{C3380CC4-5D6E-409C-BE32-E72D297353CC}">
                  <c16:uniqueId val="{00000002-5FE7-4D61-81EC-BD13166B0FED}"/>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PD!$G$23:$G$24</c:f>
              <c:strCache>
                <c:ptCount val="2"/>
                <c:pt idx="0">
                  <c:v>FMCG</c:v>
                </c:pt>
                <c:pt idx="1">
                  <c:v>Non-FMCG</c:v>
                </c:pt>
              </c:strCache>
            </c:strRef>
          </c:cat>
          <c:val>
            <c:numRef>
              <c:f>PD!$H$23:$H$24</c:f>
              <c:numCache>
                <c:formatCode>#.##0;;\-_)</c:formatCode>
                <c:ptCount val="2"/>
                <c:pt idx="0">
                  <c:v>300000</c:v>
                </c:pt>
                <c:pt idx="1">
                  <c:v>0</c:v>
                </c:pt>
              </c:numCache>
            </c:numRef>
          </c:val>
          <c:extLst>
            <c:ext xmlns:c16="http://schemas.microsoft.com/office/drawing/2014/chart" uri="{C3380CC4-5D6E-409C-BE32-E72D297353CC}">
              <c16:uniqueId val="{00000000-5FE7-4D61-81EC-BD13166B0FE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dPt>
            <c:idx val="0"/>
            <c:bubble3D val="0"/>
            <c:spPr>
              <a:solidFill>
                <a:srgbClr val="89BD3A"/>
              </a:solidFill>
              <a:ln w="19050">
                <a:solidFill>
                  <a:schemeClr val="lt1"/>
                </a:solidFill>
              </a:ln>
              <a:effectLst/>
            </c:spPr>
            <c:extLst>
              <c:ext xmlns:c16="http://schemas.microsoft.com/office/drawing/2014/chart" uri="{C3380CC4-5D6E-409C-BE32-E72D297353CC}">
                <c16:uniqueId val="{00000001-5FE7-4D61-81EC-BD13166B0FED}"/>
              </c:ext>
            </c:extLst>
          </c:dPt>
          <c:dPt>
            <c:idx val="1"/>
            <c:bubble3D val="0"/>
            <c:spPr>
              <a:solidFill>
                <a:srgbClr val="E7E6E6"/>
              </a:solidFill>
              <a:ln w="19050">
                <a:solidFill>
                  <a:schemeClr val="lt1"/>
                </a:solidFill>
              </a:ln>
              <a:effectLst/>
            </c:spPr>
            <c:extLst>
              <c:ext xmlns:c16="http://schemas.microsoft.com/office/drawing/2014/chart" uri="{C3380CC4-5D6E-409C-BE32-E72D297353CC}">
                <c16:uniqueId val="{00000002-5FE7-4D61-81EC-BD13166B0F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C7-4BF5-8D40-B232E6C763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1C7-4BF5-8D40-B232E6C763EE}"/>
              </c:ext>
            </c:extLst>
          </c:dPt>
          <c:dLbls>
            <c:dLbl>
              <c:idx val="0"/>
              <c:layout>
                <c:manualLayout>
                  <c:x val="0.15030303030303038"/>
                  <c:y val="6.26222963316646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FE7-4D61-81EC-BD13166B0FED}"/>
                </c:ext>
              </c:extLst>
            </c:dLbl>
            <c:dLbl>
              <c:idx val="1"/>
              <c:layout>
                <c:manualLayout>
                  <c:x val="-0.10666647578143641"/>
                  <c:y val="-6.7840615572242052E-2"/>
                </c:manualLayout>
              </c:layout>
              <c:showLegendKey val="0"/>
              <c:showVal val="0"/>
              <c:showCatName val="1"/>
              <c:showSerName val="0"/>
              <c:showPercent val="1"/>
              <c:showBubbleSize val="0"/>
              <c:extLst>
                <c:ext xmlns:c15="http://schemas.microsoft.com/office/drawing/2012/chart" uri="{CE6537A1-D6FC-4f65-9D91-7224C49458BB}">
                  <c15:layout>
                    <c:manualLayout>
                      <c:w val="0.30210909090909088"/>
                      <c:h val="0.18763226083747869"/>
                    </c:manualLayout>
                  </c15:layout>
                </c:ext>
                <c:ext xmlns:c16="http://schemas.microsoft.com/office/drawing/2014/chart" uri="{C3380CC4-5D6E-409C-BE32-E72D297353CC}">
                  <c16:uniqueId val="{00000002-5FE7-4D61-81EC-BD13166B0FED}"/>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de-DE"/>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PD!$AU$72:$AU$75</c:f>
              <c:strCache>
                <c:ptCount val="4"/>
                <c:pt idx="0">
                  <c:v>AVC1</c:v>
                </c:pt>
                <c:pt idx="1">
                  <c:v>PTS</c:v>
                </c:pt>
                <c:pt idx="2">
                  <c:v>LTS</c:v>
                </c:pt>
                <c:pt idx="3">
                  <c:v>AVC2</c:v>
                </c:pt>
              </c:strCache>
            </c:strRef>
          </c:cat>
          <c:val>
            <c:numRef>
              <c:f>PD!$BB$72:$BB$75</c:f>
              <c:numCache>
                <c:formatCode>General</c:formatCode>
                <c:ptCount val="4"/>
                <c:pt idx="0">
                  <c:v>100000</c:v>
                </c:pt>
                <c:pt idx="1">
                  <c:v>100000</c:v>
                </c:pt>
                <c:pt idx="2">
                  <c:v>100000</c:v>
                </c:pt>
                <c:pt idx="3">
                  <c:v>0</c:v>
                </c:pt>
              </c:numCache>
            </c:numRef>
          </c:val>
          <c:extLst>
            <c:ext xmlns:c16="http://schemas.microsoft.com/office/drawing/2014/chart" uri="{C3380CC4-5D6E-409C-BE32-E72D297353CC}">
              <c16:uniqueId val="{00000000-5FE7-4D61-81EC-BD13166B0FE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de-D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rgbClr val="E7E6E6"/>
              </a:solidFill>
              <a:ln w="19050">
                <a:solidFill>
                  <a:schemeClr val="lt1"/>
                </a:solidFill>
              </a:ln>
              <a:effectLst/>
            </c:spPr>
            <c:extLst>
              <c:ext xmlns:c16="http://schemas.microsoft.com/office/drawing/2014/chart" uri="{C3380CC4-5D6E-409C-BE32-E72D297353CC}">
                <c16:uniqueId val="{00000002-CF9D-438A-980D-CB3F99B61E1D}"/>
              </c:ext>
            </c:extLst>
          </c:dPt>
          <c:dPt>
            <c:idx val="1"/>
            <c:bubble3D val="0"/>
            <c:spPr>
              <a:solidFill>
                <a:srgbClr val="89BD3A"/>
              </a:solidFill>
              <a:ln w="19050">
                <a:solidFill>
                  <a:schemeClr val="lt1"/>
                </a:solidFill>
              </a:ln>
              <a:effectLst/>
            </c:spPr>
            <c:extLst>
              <c:ext xmlns:c16="http://schemas.microsoft.com/office/drawing/2014/chart" uri="{C3380CC4-5D6E-409C-BE32-E72D297353CC}">
                <c16:uniqueId val="{00000001-CF9D-438A-980D-CB3F99B61E1D}"/>
              </c:ext>
            </c:extLst>
          </c:dPt>
          <c:dLbls>
            <c:dLbl>
              <c:idx val="1"/>
              <c:layout>
                <c:manualLayout>
                  <c:x val="-0.12824081364829396"/>
                  <c:y val="-0.130925925925926"/>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9D-438A-980D-CB3F99B61E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LE!$K$7:$K$8</c:f>
              <c:strCache>
                <c:ptCount val="2"/>
                <c:pt idx="0">
                  <c:v>Expiring within 5 years</c:v>
                </c:pt>
                <c:pt idx="1">
                  <c:v>Not Expiring</c:v>
                </c:pt>
              </c:strCache>
            </c:strRef>
          </c:cat>
          <c:val>
            <c:numRef>
              <c:f>LE!$L$7:$L$8</c:f>
              <c:numCache>
                <c:formatCode>#,##0</c:formatCode>
                <c:ptCount val="2"/>
                <c:pt idx="0">
                  <c:v>0</c:v>
                </c:pt>
                <c:pt idx="1">
                  <c:v>300000</c:v>
                </c:pt>
              </c:numCache>
            </c:numRef>
          </c:val>
          <c:extLst>
            <c:ext xmlns:c16="http://schemas.microsoft.com/office/drawing/2014/chart" uri="{C3380CC4-5D6E-409C-BE32-E72D297353CC}">
              <c16:uniqueId val="{00000000-CF9D-438A-980D-CB3F99B61E1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89BD3A"/>
            </a:solidFill>
          </c:spPr>
          <c:dPt>
            <c:idx val="0"/>
            <c:bubble3D val="0"/>
            <c:spPr>
              <a:solidFill>
                <a:srgbClr val="89BD3A"/>
              </a:solidFill>
              <a:ln w="19050">
                <a:solidFill>
                  <a:schemeClr val="lt1"/>
                </a:solidFill>
              </a:ln>
              <a:effectLst/>
            </c:spPr>
            <c:extLst>
              <c:ext xmlns:c16="http://schemas.microsoft.com/office/drawing/2014/chart" uri="{C3380CC4-5D6E-409C-BE32-E72D297353CC}">
                <c16:uniqueId val="{00000001-F091-4C28-ACD0-11ADBAC04B10}"/>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2-D005-42EE-948D-DA8EA6C43326}"/>
              </c:ext>
            </c:extLst>
          </c:dPt>
          <c:cat>
            <c:strRef>
              <c:f>BB!$M$43:$M$44</c:f>
              <c:strCache>
                <c:ptCount val="2"/>
                <c:pt idx="0">
                  <c:v>FMCG</c:v>
                </c:pt>
                <c:pt idx="1">
                  <c:v>Sonstige</c:v>
                </c:pt>
              </c:strCache>
            </c:strRef>
          </c:cat>
          <c:val>
            <c:numRef>
              <c:f>BB!$N$43:$N$44</c:f>
              <c:numCache>
                <c:formatCode>0%</c:formatCode>
                <c:ptCount val="2"/>
                <c:pt idx="0">
                  <c:v>1</c:v>
                </c:pt>
                <c:pt idx="1">
                  <c:v>0</c:v>
                </c:pt>
              </c:numCache>
            </c:numRef>
          </c:val>
          <c:extLst>
            <c:ext xmlns:c16="http://schemas.microsoft.com/office/drawing/2014/chart" uri="{C3380CC4-5D6E-409C-BE32-E72D297353CC}">
              <c16:uniqueId val="{00000000-D005-42EE-948D-DA8EA6C4332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VO!$O$23:$O$28</c:f>
              <c:strCache>
                <c:ptCount val="6"/>
                <c:pt idx="0">
                  <c:v>Purchase Price</c:v>
                </c:pt>
                <c:pt idx="1">
                  <c:v>Multiple/WALT improvement</c:v>
                </c:pt>
                <c:pt idx="2">
                  <c:v>Lease - up of vacant areas</c:v>
                </c:pt>
                <c:pt idx="3">
                  <c:v>Rent Indexation</c:v>
                </c:pt>
                <c:pt idx="4">
                  <c:v>Area Expansion</c:v>
                </c:pt>
                <c:pt idx="5">
                  <c:v>GDP</c:v>
                </c:pt>
              </c:strCache>
            </c:strRef>
          </c:cat>
          <c:val>
            <c:numRef>
              <c:f>VO!$P$23:$P$28</c:f>
              <c:numCache>
                <c:formatCode>#,##0</c:formatCode>
                <c:ptCount val="6"/>
                <c:pt idx="0">
                  <c:v>0</c:v>
                </c:pt>
                <c:pt idx="1">
                  <c:v>5000000</c:v>
                </c:pt>
                <c:pt idx="2">
                  <c:v>3600000</c:v>
                </c:pt>
                <c:pt idx="3">
                  <c:v>3600000</c:v>
                </c:pt>
                <c:pt idx="4">
                  <c:v>3681609.018749997</c:v>
                </c:pt>
                <c:pt idx="5" formatCode="General">
                  <c:v>0</c:v>
                </c:pt>
              </c:numCache>
            </c:numRef>
          </c:val>
          <c:extLst>
            <c:ext xmlns:c16="http://schemas.microsoft.com/office/drawing/2014/chart" uri="{C3380CC4-5D6E-409C-BE32-E72D297353CC}">
              <c16:uniqueId val="{00000000-B8C4-45A7-925F-12DE7BA07931}"/>
            </c:ext>
          </c:extLst>
        </c:ser>
        <c:ser>
          <c:idx val="1"/>
          <c:order val="1"/>
          <c:spPr>
            <a:solidFill>
              <a:srgbClr val="89BD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VO!$O$23:$O$28</c:f>
              <c:strCache>
                <c:ptCount val="6"/>
                <c:pt idx="0">
                  <c:v>Purchase Price</c:v>
                </c:pt>
                <c:pt idx="1">
                  <c:v>Multiple/WALT improvement</c:v>
                </c:pt>
                <c:pt idx="2">
                  <c:v>Lease - up of vacant areas</c:v>
                </c:pt>
                <c:pt idx="3">
                  <c:v>Rent Indexation</c:v>
                </c:pt>
                <c:pt idx="4">
                  <c:v>Area Expansion</c:v>
                </c:pt>
                <c:pt idx="5">
                  <c:v>GDP</c:v>
                </c:pt>
              </c:strCache>
            </c:strRef>
          </c:cat>
          <c:val>
            <c:numRef>
              <c:f>VO!$Q$23:$Q$28</c:f>
              <c:numCache>
                <c:formatCode>#,##0</c:formatCode>
                <c:ptCount val="6"/>
                <c:pt idx="0">
                  <c:v>5000000</c:v>
                </c:pt>
                <c:pt idx="1">
                  <c:v>-1400000</c:v>
                </c:pt>
                <c:pt idx="2">
                  <c:v>0</c:v>
                </c:pt>
                <c:pt idx="3">
                  <c:v>81609.018749996962</c:v>
                </c:pt>
                <c:pt idx="4" formatCode="General">
                  <c:v>0</c:v>
                </c:pt>
                <c:pt idx="5">
                  <c:v>3681609.018749997</c:v>
                </c:pt>
              </c:numCache>
            </c:numRef>
          </c:val>
          <c:extLst>
            <c:ext xmlns:c16="http://schemas.microsoft.com/office/drawing/2014/chart" uri="{C3380CC4-5D6E-409C-BE32-E72D297353CC}">
              <c16:uniqueId val="{00000001-B8C4-45A7-925F-12DE7BA07931}"/>
            </c:ext>
          </c:extLst>
        </c:ser>
        <c:dLbls>
          <c:showLegendKey val="0"/>
          <c:showVal val="0"/>
          <c:showCatName val="0"/>
          <c:showSerName val="0"/>
          <c:showPercent val="0"/>
          <c:showBubbleSize val="0"/>
        </c:dLbls>
        <c:gapWidth val="150"/>
        <c:overlap val="100"/>
        <c:axId val="1578347743"/>
        <c:axId val="1385635199"/>
      </c:barChart>
      <c:catAx>
        <c:axId val="157834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85635199"/>
        <c:crosses val="autoZero"/>
        <c:auto val="1"/>
        <c:lblAlgn val="ctr"/>
        <c:lblOffset val="100"/>
        <c:noMultiLvlLbl val="0"/>
      </c:catAx>
      <c:valAx>
        <c:axId val="1385635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7834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VO!$S$21:$S$30</c:f>
              <c:strCache>
                <c:ptCount val="10"/>
                <c:pt idx="0">
                  <c:v>AIC</c:v>
                </c:pt>
                <c:pt idx="1">
                  <c:v>Acquisition Costs</c:v>
                </c:pt>
                <c:pt idx="2">
                  <c:v>Purchase Price</c:v>
                </c:pt>
                <c:pt idx="3">
                  <c:v>Multiple/WALT improvement</c:v>
                </c:pt>
                <c:pt idx="4">
                  <c:v>Lease - up of vacant areas</c:v>
                </c:pt>
                <c:pt idx="5">
                  <c:v>Rent Indexation</c:v>
                </c:pt>
                <c:pt idx="6">
                  <c:v>Area Expansion</c:v>
                </c:pt>
                <c:pt idx="7">
                  <c:v>GDP</c:v>
                </c:pt>
                <c:pt idx="8">
                  <c:v>Disposal costs/deductions</c:v>
                </c:pt>
                <c:pt idx="9">
                  <c:v>NDP</c:v>
                </c:pt>
              </c:strCache>
            </c:strRef>
          </c:cat>
          <c:val>
            <c:numRef>
              <c:f>VO!$T$21:$T$30</c:f>
              <c:numCache>
                <c:formatCode>#,##0</c:formatCode>
                <c:ptCount val="10"/>
                <c:pt idx="0" formatCode="General">
                  <c:v>0</c:v>
                </c:pt>
                <c:pt idx="1">
                  <c:v>1703388.2092934325</c:v>
                </c:pt>
                <c:pt idx="2">
                  <c:v>0</c:v>
                </c:pt>
                <c:pt idx="3">
                  <c:v>5000000</c:v>
                </c:pt>
                <c:pt idx="4">
                  <c:v>3600000</c:v>
                </c:pt>
                <c:pt idx="5">
                  <c:v>3600000</c:v>
                </c:pt>
                <c:pt idx="6">
                  <c:v>3681609.018749997</c:v>
                </c:pt>
                <c:pt idx="7" formatCode="General">
                  <c:v>0</c:v>
                </c:pt>
                <c:pt idx="8">
                  <c:v>3676822.9270256222</c:v>
                </c:pt>
                <c:pt idx="9" formatCode="General">
                  <c:v>0</c:v>
                </c:pt>
              </c:numCache>
            </c:numRef>
          </c:val>
          <c:extLst>
            <c:ext xmlns:c16="http://schemas.microsoft.com/office/drawing/2014/chart" uri="{C3380CC4-5D6E-409C-BE32-E72D297353CC}">
              <c16:uniqueId val="{00000000-AFCC-4F0B-B2C5-AF9E019684DF}"/>
            </c:ext>
          </c:extLst>
        </c:ser>
        <c:ser>
          <c:idx val="1"/>
          <c:order val="1"/>
          <c:spPr>
            <a:solidFill>
              <a:srgbClr val="89BD3A"/>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2-AFCC-4F0B-B2C5-AF9E019684DF}"/>
              </c:ext>
            </c:extLst>
          </c:dPt>
          <c:dLbls>
            <c:dLbl>
              <c:idx val="1"/>
              <c:numFmt formatCode="\-#,##0;;\-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extLst>
                <c:ext xmlns:c16="http://schemas.microsoft.com/office/drawing/2014/chart" uri="{C3380CC4-5D6E-409C-BE32-E72D297353CC}">
                  <c16:uniqueId val="{00000002-AFCC-4F0B-B2C5-AF9E019684DF}"/>
                </c:ext>
              </c:extLst>
            </c:dLbl>
            <c:dLbl>
              <c:idx val="8"/>
              <c:numFmt formatCode="\-#,##0;;\-_)" sourceLinked="0"/>
              <c:spPr>
                <a:solidFill>
                  <a:srgbClr val="FF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extLst>
                <c:ext xmlns:c16="http://schemas.microsoft.com/office/drawing/2014/chart" uri="{C3380CC4-5D6E-409C-BE32-E72D297353CC}">
                  <c16:uniqueId val="{00000003-AFCC-4F0B-B2C5-AF9E019684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VO!$S$21:$S$30</c:f>
              <c:strCache>
                <c:ptCount val="10"/>
                <c:pt idx="0">
                  <c:v>AIC</c:v>
                </c:pt>
                <c:pt idx="1">
                  <c:v>Acquisition Costs</c:v>
                </c:pt>
                <c:pt idx="2">
                  <c:v>Purchase Price</c:v>
                </c:pt>
                <c:pt idx="3">
                  <c:v>Multiple/WALT improvement</c:v>
                </c:pt>
                <c:pt idx="4">
                  <c:v>Lease - up of vacant areas</c:v>
                </c:pt>
                <c:pt idx="5">
                  <c:v>Rent Indexation</c:v>
                </c:pt>
                <c:pt idx="6">
                  <c:v>Area Expansion</c:v>
                </c:pt>
                <c:pt idx="7">
                  <c:v>GDP</c:v>
                </c:pt>
                <c:pt idx="8">
                  <c:v>Disposal costs/deductions</c:v>
                </c:pt>
                <c:pt idx="9">
                  <c:v>NDP</c:v>
                </c:pt>
              </c:strCache>
            </c:strRef>
          </c:cat>
          <c:val>
            <c:numRef>
              <c:f>VO!$U$21:$U$30</c:f>
              <c:numCache>
                <c:formatCode>#,##0_);\(#,##0\)</c:formatCode>
                <c:ptCount val="10"/>
                <c:pt idx="0" formatCode="#,##0">
                  <c:v>2357438.2092934325</c:v>
                </c:pt>
                <c:pt idx="1">
                  <c:v>654050</c:v>
                </c:pt>
                <c:pt idx="2" formatCode="#,##0">
                  <c:v>5000000</c:v>
                </c:pt>
                <c:pt idx="3" formatCode="#,##0">
                  <c:v>-1400000</c:v>
                </c:pt>
                <c:pt idx="4" formatCode="#,##0">
                  <c:v>0</c:v>
                </c:pt>
                <c:pt idx="5" formatCode="#,##0">
                  <c:v>81609.018749996962</c:v>
                </c:pt>
                <c:pt idx="6" formatCode="General">
                  <c:v>0</c:v>
                </c:pt>
                <c:pt idx="7" formatCode="#,##0">
                  <c:v>3681609.018749997</c:v>
                </c:pt>
                <c:pt idx="8" formatCode="#,##0">
                  <c:v>4786.0917243749955</c:v>
                </c:pt>
                <c:pt idx="9" formatCode="#,##0">
                  <c:v>3676822.9270256222</c:v>
                </c:pt>
              </c:numCache>
            </c:numRef>
          </c:val>
          <c:extLst>
            <c:ext xmlns:c16="http://schemas.microsoft.com/office/drawing/2014/chart" uri="{C3380CC4-5D6E-409C-BE32-E72D297353CC}">
              <c16:uniqueId val="{00000001-AFCC-4F0B-B2C5-AF9E019684DF}"/>
            </c:ext>
          </c:extLst>
        </c:ser>
        <c:dLbls>
          <c:showLegendKey val="0"/>
          <c:showVal val="0"/>
          <c:showCatName val="0"/>
          <c:showSerName val="0"/>
          <c:showPercent val="0"/>
          <c:showBubbleSize val="0"/>
        </c:dLbls>
        <c:gapWidth val="150"/>
        <c:overlap val="100"/>
        <c:axId val="1593438287"/>
        <c:axId val="1584921823"/>
      </c:barChart>
      <c:catAx>
        <c:axId val="159343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84921823"/>
        <c:crosses val="autoZero"/>
        <c:auto val="1"/>
        <c:lblAlgn val="ctr"/>
        <c:lblOffset val="100"/>
        <c:noMultiLvlLbl val="0"/>
      </c:catAx>
      <c:valAx>
        <c:axId val="158492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9343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4754A3A0-FC9A-4E9C-B2C6-33E1D5E4EBFC}">
          <cx:dataLabels pos="outEnd">
            <cx:visibility seriesName="0" categoryName="0" value="1"/>
          </cx:dataLabels>
          <cx:dataId val="0"/>
          <cx:layoutPr>
            <cx:subtotals/>
          </cx:layoutPr>
        </cx:series>
      </cx:plotAreaRegion>
      <cx:axis id="0">
        <cx:catScaling gapWidth="0.5"/>
        <cx:tickLabels/>
      </cx:axis>
      <cx:axis id="1">
        <cx:valScaling/>
        <cx:title>
          <cx:tx>
            <cx:txData>
              <cx:v>k€</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k€</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4</xdr:col>
      <xdr:colOff>1225844</xdr:colOff>
      <xdr:row>12</xdr:row>
      <xdr:rowOff>44679</xdr:rowOff>
    </xdr:to>
    <xdr:pic>
      <xdr:nvPicPr>
        <xdr:cNvPr id="2" name="Grafik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a:fillRect/>
        </a:stretch>
      </xdr:blipFill>
      <xdr:spPr>
        <a:xfrm>
          <a:off x="201706" y="1176618"/>
          <a:ext cx="3511844" cy="1187679"/>
        </a:xfrm>
        <a:custGeom>
          <a:avLst/>
          <a:gdLst>
            <a:gd name="connsiteX0" fmla="*/ 0 w 3511844"/>
            <a:gd name="connsiteY0" fmla="*/ 0 h 1187679"/>
            <a:gd name="connsiteX1" fmla="*/ 3511844 w 3511844"/>
            <a:gd name="connsiteY1" fmla="*/ 0 h 1187679"/>
            <a:gd name="connsiteX2" fmla="*/ 3511844 w 3511844"/>
            <a:gd name="connsiteY2" fmla="*/ 931790 h 1187679"/>
            <a:gd name="connsiteX3" fmla="*/ 990657 w 3511844"/>
            <a:gd name="connsiteY3" fmla="*/ 931790 h 1187679"/>
            <a:gd name="connsiteX4" fmla="*/ 990657 w 3511844"/>
            <a:gd name="connsiteY4" fmla="*/ 1187679 h 1187679"/>
            <a:gd name="connsiteX5" fmla="*/ 0 w 3511844"/>
            <a:gd name="connsiteY5" fmla="*/ 1187679 h 11876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511844" h="1187679">
              <a:moveTo>
                <a:pt x="0" y="0"/>
              </a:moveTo>
              <a:lnTo>
                <a:pt x="3511844" y="0"/>
              </a:lnTo>
              <a:lnTo>
                <a:pt x="3511844" y="931790"/>
              </a:lnTo>
              <a:lnTo>
                <a:pt x="990657" y="931790"/>
              </a:lnTo>
              <a:lnTo>
                <a:pt x="990657" y="1187679"/>
              </a:lnTo>
              <a:lnTo>
                <a:pt x="0" y="1187679"/>
              </a:lnTo>
              <a:close/>
            </a:path>
          </a:pathLst>
        </a:custGeom>
      </xdr:spPr>
    </xdr:pic>
    <xdr:clientData/>
  </xdr:twoCellAnchor>
  <xdr:twoCellAnchor>
    <xdr:from>
      <xdr:col>0</xdr:col>
      <xdr:colOff>193862</xdr:colOff>
      <xdr:row>12</xdr:row>
      <xdr:rowOff>24092</xdr:rowOff>
    </xdr:from>
    <xdr:to>
      <xdr:col>4</xdr:col>
      <xdr:colOff>7322484</xdr:colOff>
      <xdr:row>28</xdr:row>
      <xdr:rowOff>12886</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193862" y="2348192"/>
          <a:ext cx="9614647" cy="303679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0" i="0">
              <a:solidFill>
                <a:schemeClr val="dk1"/>
              </a:solidFill>
              <a:effectLst/>
              <a:latin typeface="+mn-lt"/>
              <a:ea typeface="+mn-ea"/>
              <a:cs typeface="+mn-cs"/>
            </a:rPr>
            <a:t>This financial model (“Model”) was developed by x+bricks group (“x+bricks”) its contents are strictly confidential.</a:t>
          </a:r>
          <a:br>
            <a:rPr lang="en-US"/>
          </a:br>
          <a:r>
            <a:rPr lang="en-US" sz="1100" b="0" i="0">
              <a:solidFill>
                <a:schemeClr val="dk1"/>
              </a:solidFill>
              <a:effectLst/>
              <a:latin typeface="+mn-lt"/>
              <a:ea typeface="+mn-ea"/>
              <a:cs typeface="+mn-cs"/>
            </a:rPr>
            <a:t>The Model has not been audited. Accordingly, each recipient undertakes to receive and to use the Model entirely at its own risk and is advised to and undertakes to make its own review of the Model and the assumptions underpinning the Model before making any decision or entering into any commitment based on the information provided.</a:t>
          </a:r>
          <a:br>
            <a:rPr lang="en-US"/>
          </a:br>
          <a:r>
            <a:rPr lang="en-US" sz="1100" b="0" i="0">
              <a:solidFill>
                <a:schemeClr val="dk1"/>
              </a:solidFill>
              <a:effectLst/>
              <a:latin typeface="+mn-lt"/>
              <a:ea typeface="+mn-ea"/>
              <a:cs typeface="+mn-cs"/>
            </a:rPr>
            <a:t>The contents of this Model are subject to amendment or change at any time and x+bricks will not notify any party of any such amendment or change.</a:t>
          </a:r>
          <a:br>
            <a:rPr lang="en-US"/>
          </a:br>
          <a:r>
            <a:rPr lang="en-US" sz="1100" b="0" i="0">
              <a:solidFill>
                <a:schemeClr val="dk1"/>
              </a:solidFill>
              <a:effectLst/>
              <a:latin typeface="+mn-lt"/>
              <a:ea typeface="+mn-ea"/>
              <a:cs typeface="+mn-cs"/>
            </a:rPr>
            <a:t>Accordingly no representation or warranty of any kind (whether express or implied) is given by x+bricks as to the internal consistency or  accuracy of the Model nor any output from it.  Moreover the Model is not intended to form the basis of any investment decision and does not absolve any third party from conducting its own audit in order to verify its functionality and/or performance.</a:t>
          </a:r>
          <a:br>
            <a:rPr lang="en-US"/>
          </a:br>
          <a:r>
            <a:rPr lang="en-US" sz="1100" b="0" i="0">
              <a:solidFill>
                <a:schemeClr val="dk1"/>
              </a:solidFill>
              <a:effectLst/>
              <a:latin typeface="+mn-lt"/>
              <a:ea typeface="+mn-ea"/>
              <a:cs typeface="+mn-cs"/>
            </a:rPr>
            <a:t>Neither this Model nor any of its contents is to be taken as the giving of investment advice by x+bricks nor as constituting a recommendation, commitment, offer or invitation to enter any transaction, any such offer or commitment being subject to contract, the completion of satisfactory due diligence and all necessary credit, management and other approvals. In particular, any quotations or other related information included in this Model are indicative only and may not necessarily reflect the final terms of any agreement, such agreement again being subject to contract, the completion of satisfactory due diligence and all necessary credit, management and other approvals. Any such indicative quotations provided do not necessarily reflect those in the relevant market for similar transactions.</a:t>
          </a:r>
          <a:br>
            <a:rPr lang="en-US"/>
          </a:br>
          <a:r>
            <a:rPr lang="en-US" sz="1100" b="0" i="0">
              <a:solidFill>
                <a:schemeClr val="dk1"/>
              </a:solidFill>
              <a:effectLst/>
              <a:latin typeface="+mn-lt"/>
              <a:ea typeface="+mn-ea"/>
              <a:cs typeface="+mn-cs"/>
            </a:rPr>
            <a:t>x+bricks accept no duty of care to any person  for the development of the Model.  Accordingly, regardless of the form of action, whether in contract, tort or otherwise, and to the extent permitted by applicable law, x+bricks accept no liability of any kind and disclaims all responsibility for the consequences of any person  acting or refraining to act in reliance on the Model and/or its output or for any decisions made or not made which are based upon such Model and/or its output.</a:t>
          </a:r>
          <a:br>
            <a:rPr lang="en-US"/>
          </a:br>
          <a:r>
            <a:rPr lang="en-US" sz="1100" b="0" i="0">
              <a:solidFill>
                <a:schemeClr val="dk1"/>
              </a:solidFill>
              <a:effectLst/>
              <a:latin typeface="+mn-lt"/>
              <a:ea typeface="+mn-ea"/>
              <a:cs typeface="+mn-cs"/>
            </a:rPr>
            <a:t>This Model is to be treated in the strictest confidentiality and is not to be disclosed directly or indirectly to any third party. This Model is not to be reproduced in whole or in part by any recipient, nor used for any purpose. In particular, no express or implied representation or warranty as to the accuracy or completeness of such information is made to any recipient.</a:t>
          </a:r>
          <a:r>
            <a:rPr lang="en-DE" sz="1100" baseline="0"/>
            <a:t>.</a:t>
          </a:r>
          <a:endParaRPr lang="de-DE"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28</xdr:col>
      <xdr:colOff>0</xdr:colOff>
      <xdr:row>43</xdr:row>
      <xdr:rowOff>0</xdr:rowOff>
    </xdr:from>
    <xdr:to>
      <xdr:col>35</xdr:col>
      <xdr:colOff>344805</xdr:colOff>
      <xdr:row>57</xdr:row>
      <xdr:rowOff>76200</xdr:rowOff>
    </xdr:to>
    <xdr:graphicFrame macro="">
      <xdr:nvGraphicFramePr>
        <xdr:cNvPr id="2" name="Chart 1">
          <a:extLst>
            <a:ext uri="{FF2B5EF4-FFF2-40B4-BE49-F238E27FC236}">
              <a16:creationId xmlns:a16="http://schemas.microsoft.com/office/drawing/2014/main" id="{E8504DC2-4B96-4B25-87B4-A1EDAAD9A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581025</xdr:colOff>
      <xdr:row>5</xdr:row>
      <xdr:rowOff>382400</xdr:rowOff>
    </xdr:from>
    <xdr:to>
      <xdr:col>8</xdr:col>
      <xdr:colOff>0</xdr:colOff>
      <xdr:row>20</xdr:row>
      <xdr:rowOff>66394</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xdr:colOff>
      <xdr:row>6</xdr:row>
      <xdr:rowOff>4761</xdr:rowOff>
    </xdr:from>
    <xdr:to>
      <xdr:col>20</xdr:col>
      <xdr:colOff>123825</xdr:colOff>
      <xdr:row>30</xdr:row>
      <xdr:rowOff>180974</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600075</xdr:colOff>
      <xdr:row>7</xdr:row>
      <xdr:rowOff>14287</xdr:rowOff>
    </xdr:from>
    <xdr:to>
      <xdr:col>5</xdr:col>
      <xdr:colOff>9525</xdr:colOff>
      <xdr:row>19</xdr:row>
      <xdr:rowOff>123825</xdr:rowOff>
    </xdr:to>
    <xdr:graphicFrame macro="">
      <xdr:nvGraphicFramePr>
        <xdr:cNvPr id="2" name="Chart GEO">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7</xdr:row>
      <xdr:rowOff>4762</xdr:rowOff>
    </xdr:from>
    <xdr:to>
      <xdr:col>10</xdr:col>
      <xdr:colOff>9525</xdr:colOff>
      <xdr:row>19</xdr:row>
      <xdr:rowOff>152400</xdr:rowOff>
    </xdr:to>
    <xdr:graphicFrame macro="">
      <xdr:nvGraphicFramePr>
        <xdr:cNvPr id="4" name="Chart FMCG">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2110740</xdr:colOff>
      <xdr:row>7</xdr:row>
      <xdr:rowOff>7620</xdr:rowOff>
    </xdr:from>
    <xdr:to>
      <xdr:col>15</xdr:col>
      <xdr:colOff>558165</xdr:colOff>
      <xdr:row>19</xdr:row>
      <xdr:rowOff>155258</xdr:rowOff>
    </xdr:to>
    <xdr:graphicFrame macro="">
      <xdr:nvGraphicFramePr>
        <xdr:cNvPr id="5" name="Chart Strategy">
          <a:extLst>
            <a:ext uri="{FF2B5EF4-FFF2-40B4-BE49-F238E27FC236}">
              <a16:creationId xmlns:a16="http://schemas.microsoft.com/office/drawing/2014/main" id="{10788FF6-64DE-4BD0-81AD-553C98D4A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285750</xdr:colOff>
      <xdr:row>15</xdr:row>
      <xdr:rowOff>185737</xdr:rowOff>
    </xdr:from>
    <xdr:to>
      <xdr:col>7</xdr:col>
      <xdr:colOff>400050</xdr:colOff>
      <xdr:row>31</xdr:row>
      <xdr:rowOff>71437</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16</xdr:col>
      <xdr:colOff>119380</xdr:colOff>
      <xdr:row>22</xdr:row>
      <xdr:rowOff>22860</xdr:rowOff>
    </xdr:from>
    <xdr:to>
      <xdr:col>19</xdr:col>
      <xdr:colOff>88974</xdr:colOff>
      <xdr:row>39</xdr:row>
      <xdr:rowOff>21590</xdr:rowOff>
    </xdr:to>
    <xdr:grpSp>
      <xdr:nvGrpSpPr>
        <xdr:cNvPr id="3" name="Group BB">
          <a:extLst>
            <a:ext uri="{FF2B5EF4-FFF2-40B4-BE49-F238E27FC236}">
              <a16:creationId xmlns:a16="http://schemas.microsoft.com/office/drawing/2014/main" id="{D454A02E-39CE-4577-88B7-2020FCD153ED}"/>
            </a:ext>
          </a:extLst>
        </xdr:cNvPr>
        <xdr:cNvGrpSpPr/>
      </xdr:nvGrpSpPr>
      <xdr:grpSpPr>
        <a:xfrm>
          <a:off x="12042775" y="4103370"/>
          <a:ext cx="2461334" cy="2620010"/>
          <a:chOff x="12418060" y="4168140"/>
          <a:chExt cx="2522294" cy="2642870"/>
        </a:xfrm>
      </xdr:grpSpPr>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12418060" y="4168140"/>
          <a:ext cx="2489200" cy="2642870"/>
        </xdr:xfrm>
        <a:graphic>
          <a:graphicData uri="http://schemas.openxmlformats.org/drawingml/2006/chart">
            <c:chart xmlns:c="http://schemas.openxmlformats.org/drawingml/2006/chart" xmlns:r="http://schemas.openxmlformats.org/officeDocument/2006/relationships" r:id="rId1"/>
          </a:graphicData>
        </a:graphic>
      </xdr:graphicFrame>
      <xdr:sp macro="" textlink="$N$45">
        <xdr:nvSpPr>
          <xdr:cNvPr id="4" name="Rectangle 3">
            <a:extLst>
              <a:ext uri="{FF2B5EF4-FFF2-40B4-BE49-F238E27FC236}">
                <a16:creationId xmlns:a16="http://schemas.microsoft.com/office/drawing/2014/main" id="{00000000-0008-0000-2000-000004000000}"/>
              </a:ext>
            </a:extLst>
          </xdr:cNvPr>
          <xdr:cNvSpPr/>
        </xdr:nvSpPr>
        <xdr:spPr>
          <a:xfrm>
            <a:off x="12428220" y="4899660"/>
            <a:ext cx="2512134" cy="7943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0" tIns="0" rIns="0" bIns="0" rtlCol="0" anchor="ctr" anchorCtr="1"/>
          <a:lstStyle/>
          <a:p>
            <a:pPr marL="0" indent="0" algn="ctr"/>
            <a:fld id="{6C712A36-6F07-4BF1-A9B3-23B3318E9DA4}" type="TxLink">
              <a:rPr lang="en-US" sz="1400" b="1" i="0" u="none" strike="noStrike">
                <a:solidFill>
                  <a:srgbClr val="89BD3A"/>
                </a:solidFill>
                <a:latin typeface="ARial"/>
                <a:ea typeface="+mn-ea"/>
                <a:cs typeface="ARial"/>
              </a:rPr>
              <a:pPr marL="0" indent="0" algn="ctr"/>
              <a:t>NKM €100k p.a.</a:t>
            </a:fld>
            <a:endParaRPr lang="en-GB" sz="2800" b="1" i="0" u="none" strike="noStrike">
              <a:solidFill>
                <a:srgbClr val="89BD3A"/>
              </a:solidFill>
              <a:latin typeface="Arial" panose="020B0604020202020204" pitchFamily="34" charset="0"/>
              <a:ea typeface="+mn-ea"/>
              <a:cs typeface="Arial" panose="020B0604020202020204" pitchFamily="34"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6802</xdr:colOff>
      <xdr:row>7</xdr:row>
      <xdr:rowOff>2721</xdr:rowOff>
    </xdr:from>
    <xdr:to>
      <xdr:col>11</xdr:col>
      <xdr:colOff>381000</xdr:colOff>
      <xdr:row>31</xdr:row>
      <xdr:rowOff>176893</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415017</xdr:colOff>
      <xdr:row>9</xdr:row>
      <xdr:rowOff>43542</xdr:rowOff>
    </xdr:from>
    <xdr:to>
      <xdr:col>40</xdr:col>
      <xdr:colOff>598715</xdr:colOff>
      <xdr:row>32</xdr:row>
      <xdr:rowOff>95250</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373206</xdr:colOff>
      <xdr:row>37</xdr:row>
      <xdr:rowOff>56029</xdr:rowOff>
    </xdr:from>
    <xdr:to>
      <xdr:col>40</xdr:col>
      <xdr:colOff>560294</xdr:colOff>
      <xdr:row>55</xdr:row>
      <xdr:rowOff>30306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729911" y="7138819"/>
              <a:ext cx="10611248" cy="3782372"/>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70C0"/>
  </sheetPr>
  <dimension ref="B1:E82"/>
  <sheetViews>
    <sheetView workbookViewId="0"/>
  </sheetViews>
  <sheetFormatPr baseColWidth="10" defaultColWidth="8.7109375" defaultRowHeight="15"/>
  <cols>
    <col min="1" max="1" width="3" customWidth="1"/>
    <col min="2" max="2" width="13" customWidth="1"/>
    <col min="3" max="3" width="12.42578125" customWidth="1"/>
    <col min="5" max="5" width="109.7109375" customWidth="1"/>
  </cols>
  <sheetData>
    <row r="1" spans="2:5">
      <c r="B1" s="15" t="s">
        <v>23</v>
      </c>
    </row>
    <row r="3" spans="2:5" ht="18.75" customHeight="1">
      <c r="B3" s="16" t="str">
        <f ca="1">UPPER(MID(CELL("filename",B3),FIND("[",CELL("filename",B3))+1,FIND("]",CELL("filename",B3))-FIND("[",CELL("filename",B3))-5))</f>
        <v>VORLAGE.</v>
      </c>
      <c r="C3" s="17"/>
      <c r="D3" s="17"/>
      <c r="E3" s="17"/>
    </row>
    <row r="5" spans="2:5">
      <c r="B5" s="18">
        <f ca="1">TODAY()</f>
        <v>44831</v>
      </c>
    </row>
    <row r="6" spans="2:5">
      <c r="B6" s="18"/>
    </row>
    <row r="7" spans="2:5">
      <c r="B7" s="18"/>
    </row>
    <row r="8" spans="2:5">
      <c r="B8" s="18"/>
    </row>
    <row r="9" spans="2:5">
      <c r="B9" s="18"/>
    </row>
    <row r="10" spans="2:5">
      <c r="B10" s="18"/>
    </row>
    <row r="11" spans="2:5">
      <c r="B11" s="18"/>
    </row>
    <row r="12" spans="2:5">
      <c r="B12" s="18"/>
    </row>
    <row r="13" spans="2:5">
      <c r="B13" s="18"/>
    </row>
    <row r="14" spans="2:5">
      <c r="B14" s="18"/>
    </row>
    <row r="15" spans="2:5">
      <c r="B15" s="18"/>
    </row>
    <row r="16" spans="2:5">
      <c r="B16" s="18"/>
    </row>
    <row r="17" spans="2:5">
      <c r="B17" s="18"/>
    </row>
    <row r="18" spans="2:5">
      <c r="B18" s="18"/>
    </row>
    <row r="19" spans="2:5">
      <c r="B19" s="18"/>
    </row>
    <row r="20" spans="2:5">
      <c r="B20" s="18"/>
    </row>
    <row r="21" spans="2:5">
      <c r="B21" s="18"/>
    </row>
    <row r="22" spans="2:5">
      <c r="B22" s="18"/>
    </row>
    <row r="23" spans="2:5">
      <c r="B23" s="18"/>
    </row>
    <row r="24" spans="2:5">
      <c r="B24" s="18"/>
    </row>
    <row r="25" spans="2:5">
      <c r="B25" s="18"/>
    </row>
    <row r="26" spans="2:5">
      <c r="B26" s="18"/>
    </row>
    <row r="27" spans="2:5">
      <c r="B27" s="18"/>
    </row>
    <row r="28" spans="2:5">
      <c r="B28" s="18"/>
    </row>
    <row r="29" spans="2:5">
      <c r="B29" s="18"/>
    </row>
    <row r="31" spans="2:5">
      <c r="B31" s="19" t="s">
        <v>24</v>
      </c>
      <c r="C31" s="19"/>
      <c r="D31" s="19"/>
      <c r="E31" s="19"/>
    </row>
    <row r="33" spans="2:4">
      <c r="B33" t="s">
        <v>27</v>
      </c>
      <c r="D33" s="257" t="b">
        <f>COUNTIF(D35:D53,TRUE)=COUNTA(D35:D53)</f>
        <v>0</v>
      </c>
    </row>
    <row r="35" spans="2:4">
      <c r="B35" t="s">
        <v>0</v>
      </c>
      <c r="D35" s="257" t="b">
        <f>COUNTIFS(RR!B23:B25,TRUE)=COUNTA(RR!B23:B25)</f>
        <v>1</v>
      </c>
    </row>
    <row r="37" spans="2:4">
      <c r="B37" t="s">
        <v>1293</v>
      </c>
      <c r="D37" s="257" t="b">
        <f>TA!EB9</f>
        <v>1</v>
      </c>
    </row>
    <row r="39" spans="2:4">
      <c r="B39" t="s">
        <v>1326</v>
      </c>
      <c r="D39" s="257" t="b">
        <f>COUNTIFS(PCF!$M$303:$M$394,TRUE)=COUNTA(PCF!$M$303:$M$394)</f>
        <v>1</v>
      </c>
    </row>
    <row r="41" spans="2:4">
      <c r="B41" t="s">
        <v>1327</v>
      </c>
      <c r="D41" s="257" t="b">
        <f>DCF!BK26</f>
        <v>0</v>
      </c>
    </row>
    <row r="43" spans="2:4">
      <c r="B43" t="s">
        <v>26</v>
      </c>
      <c r="D43" s="257" t="b">
        <f>ACF!E119</f>
        <v>1</v>
      </c>
    </row>
    <row r="45" spans="2:4">
      <c r="B45" t="s">
        <v>25</v>
      </c>
      <c r="D45" s="257" t="b">
        <f>TDCF!M178=TDCF!M185=TRUE</f>
        <v>1</v>
      </c>
    </row>
    <row r="47" spans="2:4">
      <c r="B47" t="s">
        <v>1318</v>
      </c>
      <c r="D47" s="257" t="b">
        <f>ICF!E48</f>
        <v>0</v>
      </c>
    </row>
    <row r="49" spans="2:5">
      <c r="B49" t="s">
        <v>1367</v>
      </c>
      <c r="D49" s="257" t="b">
        <f>DCF!P464</f>
        <v>0</v>
      </c>
    </row>
    <row r="51" spans="2:5">
      <c r="B51" t="s">
        <v>1257</v>
      </c>
      <c r="D51" s="257" t="b">
        <f>DCF!W453</f>
        <v>0</v>
      </c>
    </row>
    <row r="53" spans="2:5">
      <c r="B53" t="s">
        <v>65</v>
      </c>
      <c r="D53" s="257" t="b">
        <f>DAY(GA!G53)=1</f>
        <v>1</v>
      </c>
    </row>
    <row r="55" spans="2:5">
      <c r="B55" t="s">
        <v>28</v>
      </c>
      <c r="D55" s="8"/>
    </row>
    <row r="57" spans="2:5">
      <c r="B57" s="19" t="s">
        <v>1400</v>
      </c>
      <c r="C57" s="19"/>
      <c r="D57" s="19"/>
      <c r="E57" s="19"/>
    </row>
    <row r="58" spans="2:5">
      <c r="B58" s="1438" t="s">
        <v>1401</v>
      </c>
      <c r="C58" s="1437"/>
      <c r="D58" s="1437"/>
      <c r="E58" s="1437"/>
    </row>
    <row r="61" spans="2:5">
      <c r="B61" s="19" t="s">
        <v>29</v>
      </c>
      <c r="C61" s="19"/>
      <c r="D61" s="19"/>
      <c r="E61" s="19"/>
    </row>
    <row r="63" spans="2:5">
      <c r="B63" s="40" t="s">
        <v>30</v>
      </c>
      <c r="C63" t="s">
        <v>31</v>
      </c>
    </row>
    <row r="64" spans="2:5">
      <c r="B64" t="s">
        <v>32</v>
      </c>
      <c r="C64" t="s">
        <v>33</v>
      </c>
    </row>
    <row r="65" spans="2:5">
      <c r="B65" s="21" t="s">
        <v>35</v>
      </c>
      <c r="C65" t="s">
        <v>36</v>
      </c>
    </row>
    <row r="66" spans="2:5">
      <c r="B66" s="8"/>
      <c r="C66" t="s">
        <v>34</v>
      </c>
    </row>
    <row r="67" spans="2:5">
      <c r="B67" s="22" t="s">
        <v>41</v>
      </c>
      <c r="C67" t="s">
        <v>42</v>
      </c>
    </row>
    <row r="68" spans="2:5">
      <c r="B68" s="23" t="s">
        <v>43</v>
      </c>
      <c r="C68" t="s">
        <v>44</v>
      </c>
    </row>
    <row r="69" spans="2:5">
      <c r="B69" s="389" t="s">
        <v>45</v>
      </c>
      <c r="C69" t="s">
        <v>46</v>
      </c>
    </row>
    <row r="70" spans="2:5">
      <c r="B70" s="24"/>
    </row>
    <row r="72" spans="2:5">
      <c r="B72" s="19" t="s">
        <v>37</v>
      </c>
      <c r="C72" s="19" t="s">
        <v>39</v>
      </c>
      <c r="D72" s="19"/>
      <c r="E72" s="19" t="s">
        <v>38</v>
      </c>
    </row>
    <row r="82" spans="2:5">
      <c r="B82" s="19" t="s">
        <v>37</v>
      </c>
      <c r="C82" s="19" t="s">
        <v>39</v>
      </c>
      <c r="D82" s="19"/>
      <c r="E82" s="19" t="s">
        <v>40</v>
      </c>
    </row>
  </sheetData>
  <conditionalFormatting sqref="D39">
    <cfRule type="cellIs" dxfId="273" priority="21" operator="equal">
      <formula>FALSE</formula>
    </cfRule>
    <cfRule type="cellIs" dxfId="272" priority="22" operator="equal">
      <formula>TRUE</formula>
    </cfRule>
  </conditionalFormatting>
  <conditionalFormatting sqref="D45">
    <cfRule type="cellIs" dxfId="271" priority="19" operator="equal">
      <formula>FALSE</formula>
    </cfRule>
    <cfRule type="cellIs" dxfId="270" priority="20" operator="equal">
      <formula>TRUE</formula>
    </cfRule>
  </conditionalFormatting>
  <conditionalFormatting sqref="D43">
    <cfRule type="cellIs" dxfId="269" priority="17" operator="equal">
      <formula>FALSE</formula>
    </cfRule>
    <cfRule type="cellIs" dxfId="268" priority="18" operator="equal">
      <formula>TRUE</formula>
    </cfRule>
  </conditionalFormatting>
  <conditionalFormatting sqref="D37">
    <cfRule type="cellIs" dxfId="267" priority="15" operator="equal">
      <formula>FALSE</formula>
    </cfRule>
    <cfRule type="cellIs" dxfId="266" priority="16" operator="equal">
      <formula>TRUE</formula>
    </cfRule>
  </conditionalFormatting>
  <conditionalFormatting sqref="D47">
    <cfRule type="cellIs" dxfId="265" priority="13" operator="equal">
      <formula>FALSE</formula>
    </cfRule>
    <cfRule type="cellIs" dxfId="264" priority="14" operator="equal">
      <formula>TRUE</formula>
    </cfRule>
  </conditionalFormatting>
  <conditionalFormatting sqref="D41">
    <cfRule type="cellIs" dxfId="263" priority="11" operator="equal">
      <formula>FALSE</formula>
    </cfRule>
    <cfRule type="cellIs" dxfId="262" priority="12" operator="equal">
      <formula>TRUE</formula>
    </cfRule>
  </conditionalFormatting>
  <conditionalFormatting sqref="D33">
    <cfRule type="cellIs" dxfId="261" priority="9" operator="equal">
      <formula>FALSE</formula>
    </cfRule>
    <cfRule type="cellIs" dxfId="260" priority="10" operator="equal">
      <formula>TRUE</formula>
    </cfRule>
  </conditionalFormatting>
  <conditionalFormatting sqref="D49">
    <cfRule type="cellIs" dxfId="259" priority="7" operator="equal">
      <formula>FALSE</formula>
    </cfRule>
    <cfRule type="cellIs" dxfId="258" priority="8" operator="equal">
      <formula>TRUE</formula>
    </cfRule>
  </conditionalFormatting>
  <conditionalFormatting sqref="D51">
    <cfRule type="cellIs" dxfId="257" priority="5" operator="equal">
      <formula>FALSE</formula>
    </cfRule>
    <cfRule type="cellIs" dxfId="256" priority="6" operator="equal">
      <formula>TRUE</formula>
    </cfRule>
  </conditionalFormatting>
  <conditionalFormatting sqref="D35">
    <cfRule type="cellIs" dxfId="255" priority="3" operator="equal">
      <formula>FALSE</formula>
    </cfRule>
    <cfRule type="cellIs" dxfId="254" priority="4" operator="equal">
      <formula>TRUE</formula>
    </cfRule>
  </conditionalFormatting>
  <conditionalFormatting sqref="D53">
    <cfRule type="cellIs" dxfId="253" priority="1" operator="equal">
      <formula>FALSE</formula>
    </cfRule>
    <cfRule type="cellIs" dxfId="252" priority="2" operator="equal">
      <formula>TRUE</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5CE9E-4C1F-4BCC-BCA5-F2FA25F7B8B1}">
  <sheetPr codeName="Sheet2">
    <tabColor theme="7" tint="0.39997558519241921"/>
  </sheetPr>
  <dimension ref="A1:AM135"/>
  <sheetViews>
    <sheetView topLeftCell="A36" workbookViewId="0">
      <selection activeCell="O80" sqref="O80"/>
    </sheetView>
  </sheetViews>
  <sheetFormatPr baseColWidth="10" defaultColWidth="8" defaultRowHeight="15" outlineLevelRow="1" outlineLevelCol="1"/>
  <cols>
    <col min="1" max="3" width="2.7109375" customWidth="1"/>
    <col min="4" max="4" width="35.42578125" customWidth="1"/>
    <col min="5" max="5" width="18.7109375" customWidth="1"/>
    <col min="6" max="6" width="5.5703125" customWidth="1"/>
    <col min="7" max="9" width="11.42578125" customWidth="1"/>
    <col min="10" max="10" width="14.42578125" customWidth="1"/>
    <col min="11" max="11" width="5.5703125" customWidth="1"/>
    <col min="12" max="13" width="11.42578125" customWidth="1"/>
    <col min="14" max="14" width="16.5703125" customWidth="1"/>
    <col min="15" max="15" width="14.42578125" customWidth="1"/>
    <col min="16" max="16" width="5.5703125" customWidth="1"/>
    <col min="18" max="18" width="18" bestFit="1" customWidth="1"/>
    <col min="19" max="19" width="17.5703125" customWidth="1" outlineLevel="1"/>
    <col min="20" max="25" width="13.5703125" customWidth="1" outlineLevel="1"/>
    <col min="26" max="32" width="18.28515625" customWidth="1"/>
    <col min="33" max="39" width="13.5703125" customWidth="1" outlineLevel="1"/>
  </cols>
  <sheetData>
    <row r="1" spans="1:21" s="1" customFormat="1">
      <c r="A1" s="1" t="str">
        <f ca="1">UPPER(MID(CELL("filename",A1),FIND("[",CELL("filename",A1))+1,FIND("]",CELL("filename",A1))-FIND("[",CELL("filename",A1))-5))</f>
        <v>VORLAGE.</v>
      </c>
    </row>
    <row r="2" spans="1:21" s="1" customFormat="1">
      <c r="A2" s="1" t="s">
        <v>995</v>
      </c>
      <c r="T2" s="89"/>
      <c r="U2" s="89"/>
    </row>
    <row r="4" spans="1:21" s="90" customFormat="1">
      <c r="B4" s="91">
        <f ca="1">MAX(A$1:$B3)+1</f>
        <v>1</v>
      </c>
      <c r="D4" s="92" t="s">
        <v>996</v>
      </c>
      <c r="E4" s="92"/>
      <c r="O4" s="91"/>
      <c r="P4" s="92"/>
      <c r="Q4" s="92"/>
    </row>
    <row r="7" spans="1:21">
      <c r="D7" s="582" t="s">
        <v>944</v>
      </c>
      <c r="E7" s="1573"/>
      <c r="G7" s="581" t="s">
        <v>945</v>
      </c>
      <c r="H7" s="500"/>
      <c r="I7" s="500"/>
      <c r="J7" s="501"/>
      <c r="K7" s="501"/>
      <c r="L7" s="501"/>
      <c r="M7" s="501"/>
      <c r="N7" s="501"/>
      <c r="O7" s="502"/>
    </row>
    <row r="8" spans="1:21" ht="17.25">
      <c r="D8" s="765"/>
      <c r="E8" s="766"/>
      <c r="G8" s="77"/>
      <c r="J8" s="767" t="s">
        <v>152</v>
      </c>
      <c r="O8" s="151"/>
    </row>
    <row r="9" spans="1:21">
      <c r="D9" s="768" t="s">
        <v>946</v>
      </c>
      <c r="E9" s="769">
        <f>AO!E22</f>
        <v>3</v>
      </c>
      <c r="G9" s="517" t="s">
        <v>1476</v>
      </c>
      <c r="H9" s="499"/>
      <c r="I9" s="499"/>
      <c r="J9" s="770">
        <f>O40-O39</f>
        <v>5701050</v>
      </c>
      <c r="O9" s="151"/>
    </row>
    <row r="10" spans="1:21">
      <c r="D10" s="768" t="s">
        <v>331</v>
      </c>
      <c r="E10" s="771">
        <f>AO!Q22</f>
        <v>3000</v>
      </c>
      <c r="G10" s="517" t="s">
        <v>947</v>
      </c>
      <c r="H10" s="499"/>
      <c r="I10" s="499"/>
      <c r="J10" s="772">
        <f>O44</f>
        <v>2500000</v>
      </c>
      <c r="O10" s="151"/>
    </row>
    <row r="11" spans="1:21">
      <c r="D11" s="773"/>
      <c r="E11" s="774"/>
      <c r="G11" s="517" t="s">
        <v>948</v>
      </c>
      <c r="H11" s="499"/>
      <c r="I11" s="499"/>
      <c r="J11" s="772">
        <f>O43</f>
        <v>3216257.241372929</v>
      </c>
      <c r="O11" s="151"/>
    </row>
    <row r="12" spans="1:21">
      <c r="D12" s="768" t="s">
        <v>1000</v>
      </c>
      <c r="E12" s="775">
        <f>AO!Y22</f>
        <v>300000</v>
      </c>
      <c r="G12" s="517"/>
      <c r="H12" s="499"/>
      <c r="I12" s="499"/>
      <c r="J12" s="772"/>
      <c r="L12" s="776" t="s">
        <v>950</v>
      </c>
      <c r="M12" s="776" t="s">
        <v>950</v>
      </c>
      <c r="N12" s="49" t="s">
        <v>951</v>
      </c>
      <c r="O12" s="52" t="s">
        <v>951</v>
      </c>
    </row>
    <row r="13" spans="1:21" ht="17.25">
      <c r="D13" s="768" t="s">
        <v>1001</v>
      </c>
      <c r="E13" s="775">
        <f>AO!AI22</f>
        <v>274300</v>
      </c>
      <c r="G13" s="542"/>
      <c r="H13" s="258"/>
      <c r="I13" s="258"/>
      <c r="J13" s="777"/>
      <c r="L13" s="778" t="s">
        <v>953</v>
      </c>
      <c r="M13" s="778" t="s">
        <v>745</v>
      </c>
      <c r="N13" s="778" t="s">
        <v>953</v>
      </c>
      <c r="O13" s="779" t="s">
        <v>745</v>
      </c>
    </row>
    <row r="14" spans="1:21">
      <c r="D14" s="780" t="s">
        <v>954</v>
      </c>
      <c r="E14" s="781">
        <f>AO!U22</f>
        <v>1</v>
      </c>
      <c r="G14" s="517" t="s">
        <v>949</v>
      </c>
      <c r="H14" s="499"/>
      <c r="I14" s="499"/>
      <c r="J14" s="770">
        <f>E12</f>
        <v>300000</v>
      </c>
      <c r="L14" s="782">
        <f>$J$14/($O$33)</f>
        <v>0.06</v>
      </c>
      <c r="M14" s="783">
        <f>IFERROR(1/L14,0)</f>
        <v>16.666666666666668</v>
      </c>
      <c r="N14" s="782">
        <f>$J$14/($J$9)</f>
        <v>5.2621885442155396E-2</v>
      </c>
      <c r="O14" s="784">
        <f>IFERROR(1/N14,0)</f>
        <v>19.003499999999999</v>
      </c>
      <c r="S14" s="794"/>
    </row>
    <row r="15" spans="1:21">
      <c r="D15" s="780" t="s">
        <v>908</v>
      </c>
      <c r="E15" s="785">
        <f>AO!AP22</f>
        <v>17.846575342465758</v>
      </c>
      <c r="G15" s="532" t="s">
        <v>952</v>
      </c>
      <c r="H15" s="533"/>
      <c r="I15" s="533"/>
      <c r="J15" s="786">
        <f>E13</f>
        <v>274300</v>
      </c>
      <c r="K15" s="17"/>
      <c r="L15" s="787">
        <f>$J$15/($O$33)</f>
        <v>5.4859999999999999E-2</v>
      </c>
      <c r="M15" s="788">
        <f>IFERROR(1/L15,0)</f>
        <v>18.22821728034998</v>
      </c>
      <c r="N15" s="787">
        <f>$J$15/($J$9)</f>
        <v>4.8113943922610744E-2</v>
      </c>
      <c r="O15" s="789">
        <f>IFERROR(1/N15,0)</f>
        <v>20.783995625227853</v>
      </c>
      <c r="R15" s="259"/>
      <c r="T15" s="790"/>
    </row>
    <row r="16" spans="1:21">
      <c r="D16" s="77"/>
      <c r="E16" s="151"/>
      <c r="L16" s="510"/>
    </row>
    <row r="17" spans="4:22">
      <c r="D17" s="768" t="s">
        <v>1002</v>
      </c>
      <c r="E17" s="775">
        <f>AO!AN22</f>
        <v>300000</v>
      </c>
      <c r="G17" s="582" t="s">
        <v>955</v>
      </c>
      <c r="H17" s="503"/>
      <c r="I17" s="503"/>
      <c r="J17" s="504"/>
      <c r="K17" s="504"/>
      <c r="L17" s="504"/>
      <c r="M17" s="504"/>
      <c r="N17" s="504"/>
      <c r="O17" s="505"/>
      <c r="Q17" s="581" t="s">
        <v>1449</v>
      </c>
      <c r="R17" s="500"/>
      <c r="S17" s="500"/>
      <c r="T17" s="502"/>
      <c r="V17" s="310"/>
    </row>
    <row r="18" spans="4:22" ht="17.25">
      <c r="D18" s="791"/>
      <c r="E18" s="792"/>
      <c r="G18" s="793"/>
      <c r="H18" s="510"/>
      <c r="I18" s="510"/>
      <c r="J18" s="767" t="s">
        <v>152</v>
      </c>
      <c r="O18" s="151"/>
      <c r="Q18" s="802"/>
      <c r="R18" s="803" t="s">
        <v>1445</v>
      </c>
      <c r="S18" s="803" t="s">
        <v>1447</v>
      </c>
      <c r="T18" s="449"/>
    </row>
    <row r="19" spans="4:22">
      <c r="D19" s="791" t="s">
        <v>998</v>
      </c>
      <c r="E19" s="792">
        <f>AO!CE22</f>
        <v>306800.75156249973</v>
      </c>
      <c r="G19" s="517" t="s">
        <v>474</v>
      </c>
      <c r="H19" s="499"/>
      <c r="I19" s="499"/>
      <c r="J19" s="772">
        <f>E25</f>
        <v>3681609.018749997</v>
      </c>
      <c r="N19" s="49"/>
      <c r="O19" s="151"/>
      <c r="P19" s="794"/>
      <c r="Q19" s="804"/>
      <c r="R19" s="808" t="s">
        <v>1446</v>
      </c>
      <c r="S19" s="808" t="s">
        <v>1448</v>
      </c>
      <c r="T19" s="451" t="s">
        <v>1287</v>
      </c>
      <c r="U19" s="259"/>
    </row>
    <row r="20" spans="4:22" ht="17.25">
      <c r="D20" s="791" t="s">
        <v>999</v>
      </c>
      <c r="E20" s="792">
        <f>AO!CN22</f>
        <v>280053.76096640597</v>
      </c>
      <c r="G20" s="542"/>
      <c r="H20" s="258"/>
      <c r="I20" s="258"/>
      <c r="J20" s="777"/>
      <c r="L20" s="767" t="s">
        <v>953</v>
      </c>
      <c r="M20" s="778" t="s">
        <v>745</v>
      </c>
      <c r="N20" s="778"/>
      <c r="O20" s="151"/>
      <c r="Q20" s="804" t="s">
        <v>309</v>
      </c>
      <c r="R20" s="1491">
        <f>($J$9-$E$44)/E12</f>
        <v>19.003499999999999</v>
      </c>
      <c r="S20" s="1491">
        <f>$J$19/E12</f>
        <v>12.27203006249999</v>
      </c>
      <c r="T20" s="810">
        <f>S20-R20</f>
        <v>-6.7314699375000089</v>
      </c>
      <c r="U20" s="259"/>
    </row>
    <row r="21" spans="4:22">
      <c r="D21" s="791" t="s">
        <v>1452</v>
      </c>
      <c r="E21" s="792">
        <f>AO!CS22</f>
        <v>210031.21096640592</v>
      </c>
      <c r="G21" s="517" t="s">
        <v>956</v>
      </c>
      <c r="H21" s="499"/>
      <c r="I21" s="499"/>
      <c r="J21" s="770">
        <f>E19</f>
        <v>306800.75156249973</v>
      </c>
      <c r="L21" s="782">
        <f>$J$21/$J$19</f>
        <v>8.3333333333333329E-2</v>
      </c>
      <c r="M21" s="783">
        <f>IFERROR(1/L21,0)</f>
        <v>12</v>
      </c>
      <c r="N21" s="795"/>
      <c r="O21" s="151"/>
      <c r="Q21" s="804" t="s">
        <v>435</v>
      </c>
      <c r="R21" s="1491">
        <f t="shared" ref="R21" si="0">($J$9-$E$44)/E13</f>
        <v>20.783995625227853</v>
      </c>
      <c r="S21" s="1491">
        <f>$J$19/E13</f>
        <v>13.421833827014208</v>
      </c>
      <c r="T21" s="810">
        <f t="shared" ref="T21" si="1">S21-R21</f>
        <v>-7.3621617982136449</v>
      </c>
      <c r="U21" s="259"/>
    </row>
    <row r="22" spans="4:22">
      <c r="D22" s="780" t="s">
        <v>958</v>
      </c>
      <c r="E22" s="781">
        <f>AO!CC22</f>
        <v>1</v>
      </c>
      <c r="G22" s="532" t="s">
        <v>957</v>
      </c>
      <c r="H22" s="533"/>
      <c r="I22" s="533"/>
      <c r="J22" s="796">
        <f>E20</f>
        <v>280053.76096640597</v>
      </c>
      <c r="K22" s="17"/>
      <c r="L22" s="787">
        <f>$J$22/$J$19</f>
        <v>7.606830587933848E-2</v>
      </c>
      <c r="M22" s="788">
        <f>IFERROR(1/L22,0)</f>
        <v>13.146079545747028</v>
      </c>
      <c r="N22" s="797"/>
      <c r="O22" s="317"/>
      <c r="Q22" s="817"/>
      <c r="R22" s="818"/>
      <c r="S22" s="818"/>
      <c r="T22" s="816"/>
      <c r="U22" s="259"/>
    </row>
    <row r="23" spans="4:22">
      <c r="D23" s="780" t="s">
        <v>911</v>
      </c>
      <c r="E23" s="798">
        <f>AO!CT22</f>
        <v>14.846575342465755</v>
      </c>
      <c r="S23" s="259"/>
      <c r="T23" s="799"/>
      <c r="U23" s="259"/>
    </row>
    <row r="24" spans="4:22">
      <c r="D24" s="780" t="s">
        <v>1605</v>
      </c>
      <c r="E24" s="781">
        <f>FO!F36</f>
        <v>7.4385689189320578E-2</v>
      </c>
      <c r="G24" s="581" t="s">
        <v>959</v>
      </c>
      <c r="H24" s="500"/>
      <c r="I24" s="500"/>
      <c r="J24" s="502"/>
      <c r="L24" s="581" t="s">
        <v>983</v>
      </c>
      <c r="M24" s="500"/>
      <c r="N24" s="500"/>
      <c r="O24" s="502"/>
      <c r="Q24" s="581" t="s">
        <v>984</v>
      </c>
      <c r="R24" s="500"/>
      <c r="S24" s="500"/>
      <c r="T24" s="502"/>
    </row>
    <row r="25" spans="4:22">
      <c r="D25" s="768" t="s">
        <v>920</v>
      </c>
      <c r="E25" s="775">
        <f>AO!DJ22</f>
        <v>3681609.018749997</v>
      </c>
      <c r="G25" s="800" t="s">
        <v>743</v>
      </c>
      <c r="H25" s="801"/>
      <c r="I25" s="801"/>
      <c r="J25" s="449">
        <f>DCF!P321</f>
        <v>4238576.0951175252</v>
      </c>
      <c r="K25" s="258"/>
      <c r="L25" s="802" t="s">
        <v>743</v>
      </c>
      <c r="M25" s="803"/>
      <c r="N25" s="803"/>
      <c r="O25" s="449">
        <f>DCF!U321</f>
        <v>1614134.7666131514</v>
      </c>
      <c r="Q25" s="802" t="s">
        <v>743</v>
      </c>
      <c r="R25" s="803"/>
      <c r="S25" s="803"/>
      <c r="T25" s="449">
        <f>DCF!Y321</f>
        <v>1614134.7666131514</v>
      </c>
    </row>
    <row r="26" spans="4:22">
      <c r="D26" s="804" t="s">
        <v>960</v>
      </c>
      <c r="E26" s="805">
        <f>E25/AO!CA22</f>
        <v>1227.2030062499989</v>
      </c>
      <c r="G26" s="806" t="s">
        <v>744</v>
      </c>
      <c r="H26" s="807"/>
      <c r="I26" s="807"/>
      <c r="J26" s="451">
        <f>DCF!P322</f>
        <v>-1415473.9048824757</v>
      </c>
      <c r="K26" s="258"/>
      <c r="L26" s="804" t="s">
        <v>744</v>
      </c>
      <c r="M26" s="808"/>
      <c r="N26" s="808"/>
      <c r="O26" s="451">
        <f>DCF!U322</f>
        <v>-1602122.4747597778</v>
      </c>
      <c r="Q26" s="804" t="s">
        <v>744</v>
      </c>
      <c r="R26" s="808"/>
      <c r="S26" s="808"/>
      <c r="T26" s="451">
        <f>DCF!Y322</f>
        <v>-1602122.4747597778</v>
      </c>
    </row>
    <row r="27" spans="4:22">
      <c r="D27" s="780" t="s">
        <v>922</v>
      </c>
      <c r="E27" s="809">
        <f>(E19)/E25</f>
        <v>8.3333333333333329E-2</v>
      </c>
      <c r="G27" s="806" t="s">
        <v>745</v>
      </c>
      <c r="H27" s="807"/>
      <c r="I27" s="807"/>
      <c r="J27" s="810">
        <f>DCF!P323</f>
        <v>0.74965309735809282</v>
      </c>
      <c r="K27" s="258"/>
      <c r="L27" s="804" t="s">
        <v>745</v>
      </c>
      <c r="M27" s="808"/>
      <c r="N27" s="808"/>
      <c r="O27" s="810">
        <f>DCF!U323</f>
        <v>0.50186743331641059</v>
      </c>
      <c r="Q27" s="804" t="s">
        <v>745</v>
      </c>
      <c r="R27" s="808"/>
      <c r="S27" s="808"/>
      <c r="T27" s="810">
        <f>DCF!Y323</f>
        <v>0.50186743331641059</v>
      </c>
    </row>
    <row r="28" spans="4:22">
      <c r="D28" s="780" t="s">
        <v>1453</v>
      </c>
      <c r="E28" s="811">
        <f>IFERROR(1/E27,"n/a")</f>
        <v>12</v>
      </c>
      <c r="G28" s="806" t="s">
        <v>746</v>
      </c>
      <c r="H28" s="807"/>
      <c r="I28" s="807"/>
      <c r="J28" s="812">
        <f>DCF!P324</f>
        <v>2.9802322387695314E-9</v>
      </c>
      <c r="K28" s="258"/>
      <c r="L28" s="804" t="s">
        <v>746</v>
      </c>
      <c r="M28" s="808"/>
      <c r="N28" s="808"/>
      <c r="O28" s="812">
        <f>DCF!U324</f>
        <v>2.9802322387695314E-9</v>
      </c>
      <c r="Q28" s="804" t="s">
        <v>746</v>
      </c>
      <c r="R28" s="808"/>
      <c r="S28" s="808"/>
      <c r="T28" s="812">
        <f>DCF!Y324</f>
        <v>2.9802322387695314E-9</v>
      </c>
    </row>
    <row r="29" spans="4:22" outlineLevel="1">
      <c r="D29" s="780" t="s">
        <v>923</v>
      </c>
      <c r="E29" s="809">
        <f>(E20)/E25</f>
        <v>7.606830587933848E-2</v>
      </c>
      <c r="G29" s="806" t="s">
        <v>747</v>
      </c>
      <c r="H29" s="807"/>
      <c r="I29" s="807"/>
      <c r="J29" s="813">
        <f>DCF!P325</f>
        <v>4.5791961888722268</v>
      </c>
      <c r="K29" s="258"/>
      <c r="L29" s="804" t="s">
        <v>747</v>
      </c>
      <c r="M29" s="808"/>
      <c r="N29" s="808"/>
      <c r="O29" s="813">
        <f>DCF!U325</f>
        <v>1.3969162635392878</v>
      </c>
      <c r="Q29" s="804" t="s">
        <v>747</v>
      </c>
      <c r="R29" s="808"/>
      <c r="S29" s="808"/>
      <c r="T29" s="813">
        <f>DCF!Y325</f>
        <v>1.3969162635392878</v>
      </c>
    </row>
    <row r="30" spans="4:22">
      <c r="D30" s="780" t="s">
        <v>1455</v>
      </c>
      <c r="E30" s="811">
        <f>IFERROR(1/E29,"n/a")</f>
        <v>13.146079545747028</v>
      </c>
      <c r="G30" s="814" t="s">
        <v>748</v>
      </c>
      <c r="H30" s="815"/>
      <c r="I30" s="815"/>
      <c r="J30" s="816">
        <f>DCF!P326</f>
        <v>2.54688645933085</v>
      </c>
      <c r="K30" s="258"/>
      <c r="L30" s="817" t="s">
        <v>748</v>
      </c>
      <c r="M30" s="818"/>
      <c r="N30" s="818"/>
      <c r="O30" s="816">
        <f>DCF!U326</f>
        <v>2.7834367619916445</v>
      </c>
      <c r="Q30" s="817" t="s">
        <v>748</v>
      </c>
      <c r="R30" s="818"/>
      <c r="S30" s="818"/>
      <c r="T30" s="816">
        <f>DCF!Y326</f>
        <v>2.7834367619916445</v>
      </c>
    </row>
    <row r="31" spans="4:22">
      <c r="D31" s="780" t="s">
        <v>1454</v>
      </c>
      <c r="E31" s="809">
        <f>E21/E25</f>
        <v>5.7048755013566606E-2</v>
      </c>
      <c r="J31" s="258"/>
      <c r="K31" s="258"/>
      <c r="L31" s="258"/>
      <c r="M31" s="258"/>
      <c r="N31" s="258"/>
      <c r="O31" s="258"/>
      <c r="Q31" s="258"/>
      <c r="R31" s="258"/>
      <c r="S31" s="258"/>
      <c r="T31" s="258"/>
    </row>
    <row r="32" spans="4:22">
      <c r="D32" s="780" t="s">
        <v>1456</v>
      </c>
      <c r="E32" s="811">
        <f>IFERROR(E25/E21,"n/a")</f>
        <v>17.528866313773065</v>
      </c>
      <c r="G32" s="581" t="s">
        <v>749</v>
      </c>
      <c r="H32" s="500"/>
      <c r="I32" s="500"/>
      <c r="J32" s="502"/>
      <c r="K32" s="258"/>
      <c r="L32" s="581" t="s">
        <v>749</v>
      </c>
      <c r="M32" s="500"/>
      <c r="N32" s="500"/>
      <c r="O32" s="502"/>
      <c r="Q32" s="581" t="s">
        <v>749</v>
      </c>
      <c r="R32" s="500"/>
      <c r="S32" s="500"/>
      <c r="T32" s="502"/>
    </row>
    <row r="33" spans="4:20">
      <c r="D33" s="780"/>
      <c r="E33" s="811"/>
      <c r="G33" s="806" t="s">
        <v>56</v>
      </c>
      <c r="H33" s="807"/>
      <c r="I33" s="807"/>
      <c r="J33" s="451">
        <f>DCF!P329</f>
        <v>5000000</v>
      </c>
      <c r="K33" s="258"/>
      <c r="L33" s="804" t="s">
        <v>56</v>
      </c>
      <c r="M33" s="808"/>
      <c r="N33" s="808"/>
      <c r="O33" s="451">
        <f>DCF!U329</f>
        <v>5000000</v>
      </c>
      <c r="Q33" s="804" t="s">
        <v>56</v>
      </c>
      <c r="R33" s="808"/>
      <c r="S33" s="808"/>
      <c r="T33" s="451">
        <f>DCF!Y329</f>
        <v>5000000</v>
      </c>
    </row>
    <row r="34" spans="4:20">
      <c r="D34" s="804" t="s">
        <v>994</v>
      </c>
      <c r="E34" s="819">
        <f>AO!DN22</f>
        <v>0</v>
      </c>
      <c r="G34" s="806" t="s">
        <v>114</v>
      </c>
      <c r="H34" s="807"/>
      <c r="I34" s="807"/>
      <c r="J34" s="451">
        <f>DCF!P330</f>
        <v>250000</v>
      </c>
      <c r="K34" s="258"/>
      <c r="L34" s="804" t="s">
        <v>114</v>
      </c>
      <c r="M34" s="808"/>
      <c r="N34" s="808"/>
      <c r="O34" s="451">
        <f>DCF!U330</f>
        <v>250000</v>
      </c>
      <c r="Q34" s="804" t="s">
        <v>114</v>
      </c>
      <c r="R34" s="808"/>
      <c r="S34" s="808"/>
      <c r="T34" s="451">
        <f>DCF!Y330</f>
        <v>250000</v>
      </c>
    </row>
    <row r="35" spans="4:20">
      <c r="D35" s="77"/>
      <c r="E35" s="151"/>
      <c r="G35" s="806" t="s">
        <v>623</v>
      </c>
      <c r="H35" s="807"/>
      <c r="I35" s="807"/>
      <c r="J35" s="451">
        <f>DCF!P331</f>
        <v>404050</v>
      </c>
      <c r="K35" s="258"/>
      <c r="L35" s="804" t="s">
        <v>623</v>
      </c>
      <c r="M35" s="808"/>
      <c r="N35" s="808"/>
      <c r="O35" s="451">
        <f>DCF!U331</f>
        <v>404050</v>
      </c>
      <c r="Q35" s="804" t="s">
        <v>623</v>
      </c>
      <c r="R35" s="808"/>
      <c r="S35" s="808"/>
      <c r="T35" s="451">
        <f>DCF!Y331</f>
        <v>404050</v>
      </c>
    </row>
    <row r="36" spans="4:20">
      <c r="D36" s="768" t="s">
        <v>961</v>
      </c>
      <c r="E36" s="775">
        <f>PP</f>
        <v>5000000</v>
      </c>
      <c r="G36" s="804" t="s">
        <v>750</v>
      </c>
      <c r="H36" s="807"/>
      <c r="I36" s="807"/>
      <c r="J36" s="451">
        <f>DCF!P332</f>
        <v>0</v>
      </c>
      <c r="K36" s="258"/>
      <c r="L36" s="804" t="s">
        <v>750</v>
      </c>
      <c r="M36" s="808"/>
      <c r="N36" s="808"/>
      <c r="O36" s="451">
        <f>DCF!U332</f>
        <v>0</v>
      </c>
      <c r="Q36" s="804" t="s">
        <v>750</v>
      </c>
      <c r="R36" s="808"/>
      <c r="S36" s="808"/>
      <c r="T36" s="451">
        <f>DCF!Y332</f>
        <v>0</v>
      </c>
    </row>
    <row r="37" spans="4:20">
      <c r="D37" s="804" t="s">
        <v>962</v>
      </c>
      <c r="E37" s="805">
        <f>E36/E10</f>
        <v>1666.6666666666667</v>
      </c>
      <c r="G37" s="804" t="s">
        <v>760</v>
      </c>
      <c r="J37" s="451">
        <f>DCF!P333</f>
        <v>0</v>
      </c>
      <c r="K37" s="258"/>
      <c r="L37" s="804" t="s">
        <v>760</v>
      </c>
      <c r="O37" s="451">
        <f>DCF!U333</f>
        <v>0</v>
      </c>
      <c r="Q37" s="804" t="s">
        <v>760</v>
      </c>
      <c r="T37" s="451">
        <f>DCF!Y333</f>
        <v>0</v>
      </c>
    </row>
    <row r="38" spans="4:20">
      <c r="D38" s="773"/>
      <c r="E38" s="774"/>
      <c r="G38" s="804" t="s">
        <v>729</v>
      </c>
      <c r="H38" s="807"/>
      <c r="I38" s="807"/>
      <c r="J38" s="451">
        <f>DCF!P334</f>
        <v>0</v>
      </c>
      <c r="K38" s="258"/>
      <c r="L38" s="804" t="s">
        <v>729</v>
      </c>
      <c r="M38" s="808"/>
      <c r="N38" s="808"/>
      <c r="O38" s="451">
        <f>DCF!U334</f>
        <v>47000</v>
      </c>
      <c r="Q38" s="804" t="s">
        <v>729</v>
      </c>
      <c r="R38" s="808"/>
      <c r="S38" s="808"/>
      <c r="T38" s="451">
        <f>DCF!Y334</f>
        <v>47000</v>
      </c>
    </row>
    <row r="39" spans="4:20">
      <c r="D39" s="804" t="s">
        <v>963</v>
      </c>
      <c r="E39" s="819">
        <f>AO!DB22</f>
        <v>0</v>
      </c>
      <c r="G39" s="806" t="s">
        <v>767</v>
      </c>
      <c r="H39" s="807"/>
      <c r="I39" s="807"/>
      <c r="J39" s="451">
        <f>DCF!P335</f>
        <v>0</v>
      </c>
      <c r="K39" s="258"/>
      <c r="L39" s="806" t="s">
        <v>767</v>
      </c>
      <c r="M39" s="808"/>
      <c r="N39" s="808"/>
      <c r="O39" s="451">
        <f>DCF!U335</f>
        <v>811819.03207949619</v>
      </c>
      <c r="Q39" s="806" t="s">
        <v>767</v>
      </c>
      <c r="R39" s="808"/>
      <c r="S39" s="808"/>
      <c r="T39" s="451">
        <f>DCF!Y335</f>
        <v>811819.03207949619</v>
      </c>
    </row>
    <row r="40" spans="4:20">
      <c r="D40" s="804" t="s">
        <v>982</v>
      </c>
      <c r="E40" s="819">
        <f>AO!CZ22</f>
        <v>0</v>
      </c>
      <c r="G40" s="820" t="s">
        <v>152</v>
      </c>
      <c r="H40" s="821"/>
      <c r="I40" s="821"/>
      <c r="J40" s="822">
        <f>SUM(J33:J39)</f>
        <v>5654050</v>
      </c>
      <c r="K40" s="258"/>
      <c r="L40" s="823" t="s">
        <v>152</v>
      </c>
      <c r="M40" s="824"/>
      <c r="N40" s="824"/>
      <c r="O40" s="822">
        <f>SUM(O33:O39)</f>
        <v>6512869.0320794964</v>
      </c>
      <c r="Q40" s="823" t="s">
        <v>152</v>
      </c>
      <c r="R40" s="824"/>
      <c r="S40" s="824"/>
      <c r="T40" s="822">
        <f>SUM(T33:T39)</f>
        <v>6512869.0320794964</v>
      </c>
    </row>
    <row r="41" spans="4:20">
      <c r="D41" s="804"/>
      <c r="E41" s="819"/>
      <c r="J41" s="258"/>
      <c r="K41" s="258"/>
      <c r="L41" s="258"/>
      <c r="M41" s="258"/>
      <c r="N41" s="258"/>
      <c r="O41" s="258"/>
      <c r="Q41" s="258"/>
      <c r="R41" s="258"/>
      <c r="S41" s="258"/>
      <c r="T41" s="258"/>
    </row>
    <row r="42" spans="4:20">
      <c r="D42" s="804" t="s">
        <v>964</v>
      </c>
      <c r="E42" s="819">
        <f>AO!CV22</f>
        <v>0</v>
      </c>
      <c r="G42" s="581" t="s">
        <v>751</v>
      </c>
      <c r="H42" s="500"/>
      <c r="I42" s="500"/>
      <c r="J42" s="502"/>
      <c r="K42" s="258"/>
      <c r="L42" s="581" t="s">
        <v>751</v>
      </c>
      <c r="M42" s="500"/>
      <c r="N42" s="500"/>
      <c r="O42" s="502"/>
      <c r="Q42" s="581" t="s">
        <v>751</v>
      </c>
      <c r="R42" s="500"/>
      <c r="S42" s="500"/>
      <c r="T42" s="502"/>
    </row>
    <row r="43" spans="4:20">
      <c r="D43" s="804" t="s">
        <v>965</v>
      </c>
      <c r="E43" s="819">
        <f>AO!DD22</f>
        <v>0</v>
      </c>
      <c r="G43" s="806" t="s">
        <v>753</v>
      </c>
      <c r="H43" s="807"/>
      <c r="I43" s="825">
        <f>J43/$J$46</f>
        <v>1</v>
      </c>
      <c r="J43" s="451">
        <f>DCF!O339</f>
        <v>5654050</v>
      </c>
      <c r="K43" s="258"/>
      <c r="L43" s="804" t="s">
        <v>753</v>
      </c>
      <c r="M43" s="808"/>
      <c r="N43" s="825">
        <f>O43/$O$46</f>
        <v>0.56265089298193471</v>
      </c>
      <c r="O43" s="451">
        <f>DCF!T339</f>
        <v>3216257.241372929</v>
      </c>
      <c r="Q43" s="804" t="s">
        <v>753</v>
      </c>
      <c r="R43" s="808"/>
      <c r="S43" s="825">
        <f>T43/$O$46</f>
        <v>0.56265089298193471</v>
      </c>
      <c r="T43" s="451">
        <f>DCF!X339</f>
        <v>3216257.241372929</v>
      </c>
    </row>
    <row r="44" spans="4:20">
      <c r="D44" s="768" t="s">
        <v>966</v>
      </c>
      <c r="E44" s="826">
        <f>SUM(E39:E43)</f>
        <v>0</v>
      </c>
      <c r="G44" s="806" t="s">
        <v>754</v>
      </c>
      <c r="H44" s="807"/>
      <c r="I44" s="825">
        <f>J44/$J$46</f>
        <v>0</v>
      </c>
      <c r="J44" s="451">
        <f>DCF!O340</f>
        <v>0</v>
      </c>
      <c r="K44" s="258"/>
      <c r="L44" s="804" t="s">
        <v>754</v>
      </c>
      <c r="M44" s="808"/>
      <c r="N44" s="825">
        <f>O44/$O$46</f>
        <v>0.43734910701806534</v>
      </c>
      <c r="O44" s="451">
        <f>DCF!T340</f>
        <v>2500000</v>
      </c>
      <c r="Q44" s="804" t="s">
        <v>754</v>
      </c>
      <c r="R44" s="808"/>
      <c r="S44" s="825">
        <f>T44/$O$46</f>
        <v>0.43734910701806534</v>
      </c>
      <c r="T44" s="451">
        <f>DCF!X340</f>
        <v>2500000</v>
      </c>
    </row>
    <row r="45" spans="4:20">
      <c r="D45" s="77"/>
      <c r="E45" s="151"/>
      <c r="G45" s="814" t="s">
        <v>755</v>
      </c>
      <c r="H45" s="815"/>
      <c r="I45" s="825">
        <f>J45/$J$46</f>
        <v>0</v>
      </c>
      <c r="J45" s="827">
        <f>DCF!O341</f>
        <v>0</v>
      </c>
      <c r="K45" s="258"/>
      <c r="L45" s="817" t="s">
        <v>755</v>
      </c>
      <c r="M45" s="818"/>
      <c r="N45" s="825">
        <f>O45/$O$46</f>
        <v>0</v>
      </c>
      <c r="O45" s="827">
        <f>DCF!T341</f>
        <v>0</v>
      </c>
      <c r="Q45" s="817" t="s">
        <v>755</v>
      </c>
      <c r="R45" s="818"/>
      <c r="S45" s="825">
        <f>T45/$O$46</f>
        <v>0</v>
      </c>
      <c r="T45" s="827">
        <f>DCF!X341</f>
        <v>0</v>
      </c>
    </row>
    <row r="46" spans="4:20">
      <c r="D46" s="1218" t="str">
        <f>"* WALT (excluding leases with unlimited term) as of "&amp;TEXT(GA!$G$56,"DD-MMM-YY")&amp;"."</f>
        <v>* WALT (excluding leases with unlimited term) as of DD-Mrz-YY.</v>
      </c>
      <c r="E46" s="828"/>
      <c r="G46" s="820" t="s">
        <v>152</v>
      </c>
      <c r="H46" s="821"/>
      <c r="I46" s="829">
        <f>J46/$J$46</f>
        <v>1</v>
      </c>
      <c r="J46" s="822">
        <f>SUM(J43:J44)</f>
        <v>5654050</v>
      </c>
      <c r="L46" s="823" t="s">
        <v>152</v>
      </c>
      <c r="M46" s="824"/>
      <c r="N46" s="829">
        <f>O46/$O$46</f>
        <v>1</v>
      </c>
      <c r="O46" s="822">
        <f>SUM(O43:O45)</f>
        <v>5716257.241372929</v>
      </c>
      <c r="Q46" s="823" t="s">
        <v>152</v>
      </c>
      <c r="R46" s="824"/>
      <c r="S46" s="829">
        <f>T46/$T$46</f>
        <v>1</v>
      </c>
      <c r="T46" s="822">
        <f>SUM(T43:T45)</f>
        <v>5716257.241372929</v>
      </c>
    </row>
    <row r="49" spans="2:39" s="90" customFormat="1">
      <c r="B49" s="91">
        <f ca="1">MAX(A$1:$B48)+1</f>
        <v>2</v>
      </c>
      <c r="D49" s="92" t="s">
        <v>997</v>
      </c>
      <c r="E49" s="92"/>
      <c r="O49" s="91"/>
      <c r="P49" s="92"/>
      <c r="Q49" s="92"/>
    </row>
    <row r="50" spans="2:39">
      <c r="B50" s="228"/>
      <c r="D50" s="229"/>
      <c r="E50" s="1239"/>
      <c r="O50" s="228"/>
      <c r="P50" s="229"/>
      <c r="Q50" s="229"/>
    </row>
    <row r="51" spans="2:39">
      <c r="E51" s="155"/>
    </row>
    <row r="52" spans="2:39">
      <c r="Q52" s="830" t="str">
        <f ca="1">Cov!B3&amp;" - Sensitivites"</f>
        <v>VORLAGE. - Sensitivites</v>
      </c>
      <c r="R52" s="504"/>
      <c r="S52" s="504"/>
      <c r="T52" s="504"/>
      <c r="U52" s="504"/>
      <c r="V52" s="504"/>
      <c r="W52" s="504"/>
      <c r="X52" s="504"/>
      <c r="Y52" s="504"/>
      <c r="Z52" s="504"/>
      <c r="AA52" s="504"/>
      <c r="AB52" s="504"/>
      <c r="AC52" s="504"/>
      <c r="AD52" s="504"/>
      <c r="AE52" s="504"/>
      <c r="AF52" s="504"/>
      <c r="AG52" s="504"/>
      <c r="AH52" s="504"/>
      <c r="AI52" s="504"/>
      <c r="AJ52" s="504"/>
      <c r="AK52" s="504"/>
      <c r="AL52" s="504"/>
      <c r="AM52" s="858"/>
    </row>
    <row r="53" spans="2:39">
      <c r="Q53" s="258"/>
      <c r="R53" s="258"/>
      <c r="S53" s="258"/>
      <c r="T53" s="258"/>
      <c r="U53" s="258"/>
      <c r="V53" s="258"/>
      <c r="W53" s="258"/>
      <c r="X53" s="258"/>
      <c r="Y53" s="258"/>
      <c r="Z53" s="258"/>
      <c r="AA53" s="258"/>
      <c r="AB53" s="258"/>
      <c r="AC53" s="258"/>
      <c r="AD53" s="258"/>
      <c r="AE53" s="258"/>
      <c r="AF53" s="258"/>
    </row>
    <row r="54" spans="2:39">
      <c r="Q54" s="830" t="s">
        <v>967</v>
      </c>
      <c r="R54" s="504"/>
      <c r="S54" s="504"/>
      <c r="T54" s="504"/>
      <c r="U54" s="504"/>
      <c r="V54" s="504"/>
      <c r="W54" s="504"/>
      <c r="X54" s="504"/>
      <c r="Y54" s="504"/>
      <c r="Z54" s="504"/>
      <c r="AA54" s="504"/>
      <c r="AB54" s="504"/>
      <c r="AC54" s="504"/>
      <c r="AD54" s="504"/>
      <c r="AE54" s="504"/>
      <c r="AF54" s="504"/>
      <c r="AG54" s="504"/>
      <c r="AH54" s="504"/>
      <c r="AI54" s="504"/>
      <c r="AJ54" s="504"/>
      <c r="AK54" s="504"/>
      <c r="AL54" s="504"/>
      <c r="AM54" s="858"/>
    </row>
    <row r="55" spans="2:39">
      <c r="Q55" s="499" t="s">
        <v>968</v>
      </c>
      <c r="R55" s="258"/>
      <c r="S55" s="258"/>
      <c r="T55" s="258"/>
      <c r="U55" s="258"/>
      <c r="V55" s="258"/>
      <c r="W55" s="258"/>
      <c r="X55" s="258"/>
      <c r="Y55" s="499"/>
      <c r="Z55" s="258"/>
      <c r="AA55" s="258"/>
      <c r="AB55" s="258"/>
      <c r="AC55" s="258"/>
      <c r="AD55" s="258"/>
      <c r="AE55" s="258"/>
      <c r="AF55" s="258"/>
    </row>
    <row r="56" spans="2:39" ht="17.25">
      <c r="Q56" s="258"/>
      <c r="R56" s="258"/>
      <c r="S56" s="831" t="s">
        <v>969</v>
      </c>
      <c r="T56" s="832"/>
      <c r="U56" s="832"/>
      <c r="V56" s="832"/>
      <c r="W56" s="832"/>
      <c r="X56" s="832"/>
      <c r="Y56" s="832"/>
      <c r="Z56" s="832"/>
      <c r="AA56" s="832"/>
      <c r="AB56" s="832"/>
      <c r="AC56" s="832"/>
      <c r="AD56" s="832"/>
      <c r="AE56" s="832"/>
      <c r="AF56" s="832"/>
      <c r="AG56" s="832"/>
      <c r="AH56" s="832"/>
      <c r="AI56" s="832"/>
      <c r="AJ56" s="832"/>
      <c r="AK56" s="832"/>
      <c r="AL56" s="832"/>
      <c r="AM56" s="832"/>
    </row>
    <row r="57" spans="2:39" ht="24" customHeight="1">
      <c r="Q57" s="833"/>
      <c r="R57" s="834" t="s">
        <v>970</v>
      </c>
      <c r="S57" s="835" t="s">
        <v>971</v>
      </c>
      <c r="T57" s="836"/>
      <c r="U57" s="836"/>
      <c r="V57" s="836"/>
      <c r="W57" s="836"/>
      <c r="X57" s="836"/>
      <c r="Y57" s="833"/>
      <c r="Z57" s="835" t="s">
        <v>972</v>
      </c>
      <c r="AA57" s="836"/>
      <c r="AB57" s="836"/>
      <c r="AC57" s="836"/>
      <c r="AD57" s="836"/>
      <c r="AE57" s="836"/>
      <c r="AF57" s="836"/>
      <c r="AG57" s="835" t="s">
        <v>1174</v>
      </c>
      <c r="AH57" s="836"/>
      <c r="AI57" s="836"/>
      <c r="AJ57" s="836"/>
      <c r="AK57" s="836"/>
      <c r="AL57" s="836"/>
      <c r="AM57" s="836"/>
    </row>
    <row r="58" spans="2:39">
      <c r="Q58" s="837"/>
      <c r="R58" s="838" t="s">
        <v>973</v>
      </c>
      <c r="S58" s="708">
        <f>GA!I729</f>
        <v>10.199999999999999</v>
      </c>
      <c r="T58" s="708">
        <f>GA!J729</f>
        <v>10.799999999999999</v>
      </c>
      <c r="U58" s="708">
        <f>GA!K729</f>
        <v>11.4</v>
      </c>
      <c r="V58" s="708">
        <f>GA!L729</f>
        <v>12</v>
      </c>
      <c r="W58" s="708">
        <f>GA!M729</f>
        <v>12.600000000000001</v>
      </c>
      <c r="X58" s="708">
        <f>GA!N729</f>
        <v>13.200000000000001</v>
      </c>
      <c r="Y58" s="708">
        <f>GA!O729</f>
        <v>13.8</v>
      </c>
      <c r="Z58" s="708">
        <f>GA!S729</f>
        <v>10.199999999999999</v>
      </c>
      <c r="AA58" s="708">
        <f>GA!T729</f>
        <v>10.799999999999999</v>
      </c>
      <c r="AB58" s="708">
        <f>GA!U729</f>
        <v>11.4</v>
      </c>
      <c r="AC58" s="708">
        <f>GA!V729</f>
        <v>12</v>
      </c>
      <c r="AD58" s="708">
        <f>GA!W729</f>
        <v>12.600000000000001</v>
      </c>
      <c r="AE58" s="708">
        <f>GA!X729</f>
        <v>13.200000000000001</v>
      </c>
      <c r="AF58" s="708">
        <f>GA!Y729</f>
        <v>13.8</v>
      </c>
      <c r="AG58" s="708">
        <f>GA!AC729</f>
        <v>10.199999999999999</v>
      </c>
      <c r="AH58" s="708">
        <f>GA!AD729</f>
        <v>10.799999999999999</v>
      </c>
      <c r="AI58" s="708">
        <f>GA!AE729</f>
        <v>11.4</v>
      </c>
      <c r="AJ58" s="708">
        <f>GA!AF729</f>
        <v>12</v>
      </c>
      <c r="AK58" s="708">
        <f>GA!AG729</f>
        <v>12.600000000000001</v>
      </c>
      <c r="AL58" s="708">
        <f>GA!AH729</f>
        <v>13.200000000000001</v>
      </c>
      <c r="AM58" s="708">
        <f>GA!AI729</f>
        <v>13.8</v>
      </c>
    </row>
    <row r="59" spans="2:39">
      <c r="Q59" s="837"/>
      <c r="R59" s="838" t="s">
        <v>474</v>
      </c>
      <c r="S59" s="839">
        <f>GA!I731</f>
        <v>0.84999999999999987</v>
      </c>
      <c r="T59" s="839">
        <f>GA!J731</f>
        <v>0.89999999999999991</v>
      </c>
      <c r="U59" s="839">
        <f>GA!K731</f>
        <v>0.95</v>
      </c>
      <c r="V59" s="839">
        <f>GA!L731</f>
        <v>1</v>
      </c>
      <c r="W59" s="839">
        <f>GA!M731</f>
        <v>1.05</v>
      </c>
      <c r="X59" s="839">
        <f>GA!N731</f>
        <v>1.1000000000000001</v>
      </c>
      <c r="Y59" s="839">
        <f>GA!O731</f>
        <v>1.1500000000000001</v>
      </c>
      <c r="Z59" s="839">
        <f>GA!S731</f>
        <v>0.84999999999999987</v>
      </c>
      <c r="AA59" s="839">
        <f>GA!T731</f>
        <v>0.89999999999999991</v>
      </c>
      <c r="AB59" s="839">
        <f>GA!U731</f>
        <v>0.95</v>
      </c>
      <c r="AC59" s="839">
        <f>GA!V731</f>
        <v>1</v>
      </c>
      <c r="AD59" s="839">
        <f>GA!W731</f>
        <v>1.05</v>
      </c>
      <c r="AE59" s="839">
        <f>GA!X731</f>
        <v>1.1000000000000001</v>
      </c>
      <c r="AF59" s="839">
        <f>GA!Y731</f>
        <v>1.1500000000000001</v>
      </c>
      <c r="AG59" s="839">
        <f>GA!AC731</f>
        <v>0.84999999999999987</v>
      </c>
      <c r="AH59" s="839">
        <f>GA!AD731</f>
        <v>0.89999999999999991</v>
      </c>
      <c r="AI59" s="839">
        <f>GA!AE731</f>
        <v>0.95</v>
      </c>
      <c r="AJ59" s="839">
        <f>GA!AF731</f>
        <v>1</v>
      </c>
      <c r="AK59" s="839">
        <f>GA!AG731</f>
        <v>1.05</v>
      </c>
      <c r="AL59" s="839">
        <f>GA!AH731</f>
        <v>1.1000000000000001</v>
      </c>
      <c r="AM59" s="839">
        <f>GA!AI731</f>
        <v>1.1500000000000001</v>
      </c>
    </row>
    <row r="60" spans="2:39">
      <c r="Q60" s="840"/>
      <c r="R60" s="841">
        <f>GA!H732</f>
        <v>0.84999999999999987</v>
      </c>
      <c r="S60" s="842">
        <f>GA!I732</f>
        <v>0</v>
      </c>
      <c r="T60" s="843">
        <f>GA!J732</f>
        <v>0</v>
      </c>
      <c r="U60" s="843">
        <f>GA!K732</f>
        <v>0</v>
      </c>
      <c r="V60" s="843">
        <f>GA!L732</f>
        <v>0</v>
      </c>
      <c r="W60" s="843">
        <f>GA!M732</f>
        <v>0</v>
      </c>
      <c r="X60" s="843">
        <f>GA!N732</f>
        <v>0</v>
      </c>
      <c r="Y60" s="843">
        <f>GA!O732</f>
        <v>0</v>
      </c>
      <c r="Z60" s="842">
        <f>GA!S732</f>
        <v>0</v>
      </c>
      <c r="AA60" s="843">
        <f>GA!T732</f>
        <v>0</v>
      </c>
      <c r="AB60" s="843">
        <f>GA!U732</f>
        <v>0</v>
      </c>
      <c r="AC60" s="843">
        <f>GA!V732</f>
        <v>0</v>
      </c>
      <c r="AD60" s="843">
        <f>GA!W732</f>
        <v>0</v>
      </c>
      <c r="AE60" s="843">
        <f>GA!X732</f>
        <v>0</v>
      </c>
      <c r="AF60" s="843">
        <f>GA!Y732</f>
        <v>0</v>
      </c>
      <c r="AG60" s="842">
        <f>GA!AC732</f>
        <v>0</v>
      </c>
      <c r="AH60" s="843">
        <f>GA!AD732</f>
        <v>0</v>
      </c>
      <c r="AI60" s="843">
        <f>GA!AE732</f>
        <v>0</v>
      </c>
      <c r="AJ60" s="843">
        <f>GA!AF732</f>
        <v>0</v>
      </c>
      <c r="AK60" s="843">
        <f>GA!AG732</f>
        <v>0</v>
      </c>
      <c r="AL60" s="843">
        <f>GA!AH732</f>
        <v>0</v>
      </c>
      <c r="AM60" s="843">
        <f>GA!AI732</f>
        <v>0</v>
      </c>
    </row>
    <row r="61" spans="2:39">
      <c r="Q61" s="844"/>
      <c r="R61" s="841">
        <f>GA!H733</f>
        <v>0.89999999999999991</v>
      </c>
      <c r="S61" s="846">
        <f>GA!I733</f>
        <v>0</v>
      </c>
      <c r="T61" s="847">
        <f>GA!J733</f>
        <v>0</v>
      </c>
      <c r="U61" s="847">
        <f>GA!K733</f>
        <v>0</v>
      </c>
      <c r="V61" s="847">
        <f>GA!L733</f>
        <v>0</v>
      </c>
      <c r="W61" s="847">
        <f>GA!M733</f>
        <v>0</v>
      </c>
      <c r="X61" s="847">
        <f>GA!N733</f>
        <v>0</v>
      </c>
      <c r="Y61" s="847">
        <f>GA!O733</f>
        <v>0</v>
      </c>
      <c r="Z61" s="846">
        <f>GA!S733</f>
        <v>0</v>
      </c>
      <c r="AA61" s="847">
        <f>GA!T733</f>
        <v>0</v>
      </c>
      <c r="AB61" s="847">
        <f>GA!U733</f>
        <v>0</v>
      </c>
      <c r="AC61" s="847">
        <f>GA!V733</f>
        <v>0</v>
      </c>
      <c r="AD61" s="847">
        <f>GA!W733</f>
        <v>0</v>
      </c>
      <c r="AE61" s="847">
        <f>GA!X733</f>
        <v>0</v>
      </c>
      <c r="AF61" s="847">
        <f>GA!Y733</f>
        <v>0</v>
      </c>
      <c r="AG61" s="846">
        <f>GA!AC733</f>
        <v>0</v>
      </c>
      <c r="AH61" s="847">
        <f>GA!AD733</f>
        <v>0</v>
      </c>
      <c r="AI61" s="847">
        <f>GA!AE733</f>
        <v>0</v>
      </c>
      <c r="AJ61" s="847">
        <f>GA!AF733</f>
        <v>0</v>
      </c>
      <c r="AK61" s="847">
        <f>GA!AG733</f>
        <v>0</v>
      </c>
      <c r="AL61" s="847">
        <f>GA!AH733</f>
        <v>0</v>
      </c>
      <c r="AM61" s="847">
        <f>GA!AI733</f>
        <v>0</v>
      </c>
    </row>
    <row r="62" spans="2:39">
      <c r="Q62" s="844"/>
      <c r="R62" s="841">
        <f>GA!H734</f>
        <v>0.95</v>
      </c>
      <c r="S62" s="846">
        <f>GA!I734</f>
        <v>0</v>
      </c>
      <c r="T62" s="847">
        <f>GA!J734</f>
        <v>0</v>
      </c>
      <c r="U62" s="847">
        <f>GA!K734</f>
        <v>0</v>
      </c>
      <c r="V62" s="847">
        <f>GA!L734</f>
        <v>0</v>
      </c>
      <c r="W62" s="847">
        <f>GA!M734</f>
        <v>0</v>
      </c>
      <c r="X62" s="847">
        <f>GA!N734</f>
        <v>0</v>
      </c>
      <c r="Y62" s="847">
        <f>GA!O734</f>
        <v>0</v>
      </c>
      <c r="Z62" s="846">
        <f>GA!S734</f>
        <v>0</v>
      </c>
      <c r="AA62" s="847">
        <f>GA!T734</f>
        <v>0</v>
      </c>
      <c r="AB62" s="847">
        <f>GA!U734</f>
        <v>0</v>
      </c>
      <c r="AC62" s="847">
        <f>GA!V734</f>
        <v>0</v>
      </c>
      <c r="AD62" s="847">
        <f>GA!W734</f>
        <v>0</v>
      </c>
      <c r="AE62" s="847">
        <f>GA!X734</f>
        <v>0</v>
      </c>
      <c r="AF62" s="847">
        <f>GA!Y734</f>
        <v>0</v>
      </c>
      <c r="AG62" s="846">
        <f>GA!AC734</f>
        <v>0</v>
      </c>
      <c r="AH62" s="847">
        <f>GA!AD734</f>
        <v>0</v>
      </c>
      <c r="AI62" s="847">
        <f>GA!AE734</f>
        <v>0</v>
      </c>
      <c r="AJ62" s="847">
        <f>GA!AF734</f>
        <v>0</v>
      </c>
      <c r="AK62" s="847">
        <f>GA!AG734</f>
        <v>0</v>
      </c>
      <c r="AL62" s="847">
        <f>GA!AH734</f>
        <v>0</v>
      </c>
      <c r="AM62" s="847">
        <f>GA!AI734</f>
        <v>0</v>
      </c>
    </row>
    <row r="63" spans="2:39">
      <c r="Q63" s="844"/>
      <c r="R63" s="841">
        <f>GA!H735</f>
        <v>1</v>
      </c>
      <c r="S63" s="1456">
        <f>GA!I735</f>
        <v>0</v>
      </c>
      <c r="T63" s="1457">
        <f>GA!J735</f>
        <v>0</v>
      </c>
      <c r="U63" s="1457">
        <f>GA!K735</f>
        <v>0</v>
      </c>
      <c r="V63" s="856">
        <f>GA!L735</f>
        <v>0</v>
      </c>
      <c r="W63" s="1457">
        <f>GA!M735</f>
        <v>0</v>
      </c>
      <c r="X63" s="1457">
        <f>GA!N735</f>
        <v>0</v>
      </c>
      <c r="Y63" s="1457">
        <f>GA!O735</f>
        <v>0</v>
      </c>
      <c r="Z63" s="1456">
        <f>GA!S735</f>
        <v>0</v>
      </c>
      <c r="AA63" s="1457">
        <f>GA!T735</f>
        <v>0</v>
      </c>
      <c r="AB63" s="1457">
        <f>GA!U735</f>
        <v>0</v>
      </c>
      <c r="AC63" s="856">
        <f>GA!V735</f>
        <v>0</v>
      </c>
      <c r="AD63" s="1457">
        <f>GA!W735</f>
        <v>0</v>
      </c>
      <c r="AE63" s="1457">
        <f>GA!X735</f>
        <v>0</v>
      </c>
      <c r="AF63" s="1457">
        <f>GA!Y735</f>
        <v>0</v>
      </c>
      <c r="AG63" s="1456">
        <f>GA!AC735</f>
        <v>0</v>
      </c>
      <c r="AH63" s="1457">
        <f>GA!AD735</f>
        <v>0</v>
      </c>
      <c r="AI63" s="1457">
        <f>GA!AE735</f>
        <v>0</v>
      </c>
      <c r="AJ63" s="856">
        <f>GA!AF735</f>
        <v>0</v>
      </c>
      <c r="AK63" s="1457">
        <f>GA!AG735</f>
        <v>0</v>
      </c>
      <c r="AL63" s="1457">
        <f>GA!AH735</f>
        <v>0</v>
      </c>
      <c r="AM63" s="1457">
        <f>GA!AI735</f>
        <v>0</v>
      </c>
    </row>
    <row r="64" spans="2:39">
      <c r="Q64" s="844"/>
      <c r="R64" s="841">
        <f>GA!H736</f>
        <v>1.05</v>
      </c>
      <c r="S64" s="846">
        <f>GA!I736</f>
        <v>0</v>
      </c>
      <c r="T64" s="847">
        <f>GA!J736</f>
        <v>0</v>
      </c>
      <c r="U64" s="847">
        <f>GA!K736</f>
        <v>0</v>
      </c>
      <c r="V64" s="847">
        <f>GA!L736</f>
        <v>0</v>
      </c>
      <c r="W64" s="847">
        <f>GA!M736</f>
        <v>0</v>
      </c>
      <c r="X64" s="847">
        <f>GA!N736</f>
        <v>0</v>
      </c>
      <c r="Y64" s="847">
        <f>GA!O736</f>
        <v>0</v>
      </c>
      <c r="Z64" s="846">
        <f>GA!S736</f>
        <v>0</v>
      </c>
      <c r="AA64" s="847">
        <f>GA!T736</f>
        <v>0</v>
      </c>
      <c r="AB64" s="847">
        <f>GA!U736</f>
        <v>0</v>
      </c>
      <c r="AC64" s="847">
        <f>GA!V736</f>
        <v>0</v>
      </c>
      <c r="AD64" s="847">
        <f>GA!W736</f>
        <v>0</v>
      </c>
      <c r="AE64" s="847">
        <f>GA!X736</f>
        <v>0</v>
      </c>
      <c r="AF64" s="847">
        <f>GA!Y736</f>
        <v>0</v>
      </c>
      <c r="AG64" s="846">
        <f>GA!AC736</f>
        <v>0</v>
      </c>
      <c r="AH64" s="847">
        <f>GA!AD736</f>
        <v>0</v>
      </c>
      <c r="AI64" s="847">
        <f>GA!AE736</f>
        <v>0</v>
      </c>
      <c r="AJ64" s="847">
        <f>GA!AF736</f>
        <v>0</v>
      </c>
      <c r="AK64" s="847">
        <f>GA!AG736</f>
        <v>0</v>
      </c>
      <c r="AL64" s="847">
        <f>GA!AH736</f>
        <v>0</v>
      </c>
      <c r="AM64" s="847">
        <f>GA!AI736</f>
        <v>0</v>
      </c>
    </row>
    <row r="65" spans="17:39">
      <c r="Q65" s="844"/>
      <c r="R65" s="841">
        <f>GA!H737</f>
        <v>1.1000000000000001</v>
      </c>
      <c r="S65" s="846">
        <f>GA!I737</f>
        <v>0</v>
      </c>
      <c r="T65" s="847">
        <f>GA!J737</f>
        <v>0</v>
      </c>
      <c r="U65" s="847">
        <f>GA!K737</f>
        <v>0</v>
      </c>
      <c r="V65" s="847">
        <f>GA!L737</f>
        <v>0</v>
      </c>
      <c r="W65" s="847">
        <f>GA!M737</f>
        <v>0</v>
      </c>
      <c r="X65" s="847">
        <f>GA!N737</f>
        <v>0</v>
      </c>
      <c r="Y65" s="847">
        <f>GA!O737</f>
        <v>0</v>
      </c>
      <c r="Z65" s="846">
        <f>GA!S737</f>
        <v>0</v>
      </c>
      <c r="AA65" s="847">
        <f>GA!T737</f>
        <v>0</v>
      </c>
      <c r="AB65" s="847">
        <f>GA!U737</f>
        <v>0</v>
      </c>
      <c r="AC65" s="847">
        <f>GA!V737</f>
        <v>0</v>
      </c>
      <c r="AD65" s="847">
        <f>GA!W737</f>
        <v>0</v>
      </c>
      <c r="AE65" s="847">
        <f>GA!X737</f>
        <v>0</v>
      </c>
      <c r="AF65" s="847">
        <f>GA!Y737</f>
        <v>0</v>
      </c>
      <c r="AG65" s="846">
        <f>GA!AC737</f>
        <v>0</v>
      </c>
      <c r="AH65" s="847">
        <f>GA!AD737</f>
        <v>0</v>
      </c>
      <c r="AI65" s="847">
        <f>GA!AE737</f>
        <v>0</v>
      </c>
      <c r="AJ65" s="847">
        <f>GA!AF737</f>
        <v>0</v>
      </c>
      <c r="AK65" s="847">
        <f>GA!AG737</f>
        <v>0</v>
      </c>
      <c r="AL65" s="847">
        <f>GA!AH737</f>
        <v>0</v>
      </c>
      <c r="AM65" s="847">
        <f>GA!AI737</f>
        <v>0</v>
      </c>
    </row>
    <row r="66" spans="17:39">
      <c r="Q66" s="844"/>
      <c r="R66" s="841">
        <f>GA!H738</f>
        <v>1.1500000000000001</v>
      </c>
      <c r="S66" s="846">
        <f>GA!I738</f>
        <v>0</v>
      </c>
      <c r="T66" s="847">
        <f>GA!J738</f>
        <v>0</v>
      </c>
      <c r="U66" s="847">
        <f>GA!K738</f>
        <v>0</v>
      </c>
      <c r="V66" s="847">
        <f>GA!L738</f>
        <v>0</v>
      </c>
      <c r="W66" s="847">
        <f>GA!M738</f>
        <v>0</v>
      </c>
      <c r="X66" s="847">
        <f>GA!N738</f>
        <v>0</v>
      </c>
      <c r="Y66" s="847">
        <f>GA!O738</f>
        <v>0</v>
      </c>
      <c r="Z66" s="846">
        <f>GA!S738</f>
        <v>0</v>
      </c>
      <c r="AA66" s="847">
        <f>GA!T738</f>
        <v>0</v>
      </c>
      <c r="AB66" s="847">
        <f>GA!U738</f>
        <v>0</v>
      </c>
      <c r="AC66" s="847">
        <f>GA!V738</f>
        <v>0</v>
      </c>
      <c r="AD66" s="847">
        <f>GA!W738</f>
        <v>0</v>
      </c>
      <c r="AE66" s="847">
        <f>GA!X738</f>
        <v>0</v>
      </c>
      <c r="AF66" s="847">
        <f>GA!Y738</f>
        <v>0</v>
      </c>
      <c r="AG66" s="846">
        <f>GA!AC738</f>
        <v>0</v>
      </c>
      <c r="AH66" s="847">
        <f>GA!AD738</f>
        <v>0</v>
      </c>
      <c r="AI66" s="847">
        <f>GA!AE738</f>
        <v>0</v>
      </c>
      <c r="AJ66" s="847">
        <f>GA!AF738</f>
        <v>0</v>
      </c>
      <c r="AK66" s="847">
        <f>GA!AG738</f>
        <v>0</v>
      </c>
      <c r="AL66" s="847">
        <f>GA!AH738</f>
        <v>0</v>
      </c>
      <c r="AM66" s="847">
        <f>GA!AI738</f>
        <v>0</v>
      </c>
    </row>
    <row r="68" spans="17:39">
      <c r="Q68" s="582" t="s">
        <v>974</v>
      </c>
      <c r="R68" s="504"/>
      <c r="S68" s="504"/>
      <c r="T68" s="504"/>
      <c r="U68" s="504"/>
      <c r="V68" s="504"/>
      <c r="W68" s="504"/>
      <c r="X68" s="504"/>
      <c r="Y68" s="504"/>
      <c r="Z68" s="504"/>
      <c r="AA68" s="504"/>
      <c r="AB68" s="504"/>
      <c r="AC68" s="504"/>
      <c r="AD68" s="504"/>
      <c r="AE68" s="504"/>
      <c r="AF68" s="504"/>
      <c r="AG68" s="504"/>
      <c r="AH68" s="504"/>
      <c r="AI68" s="504"/>
      <c r="AJ68" s="504"/>
      <c r="AK68" s="504"/>
      <c r="AL68" s="504"/>
      <c r="AM68" s="858"/>
    </row>
    <row r="69" spans="17:39">
      <c r="Q69" s="258" t="s">
        <v>968</v>
      </c>
      <c r="R69" s="258"/>
      <c r="S69" s="258"/>
      <c r="T69" s="258"/>
      <c r="U69" s="258"/>
      <c r="V69" s="258"/>
      <c r="W69" s="258"/>
      <c r="X69" s="258"/>
      <c r="Y69" s="258"/>
      <c r="Z69" s="258"/>
      <c r="AA69" s="258"/>
      <c r="AB69" s="258"/>
      <c r="AC69" s="258"/>
      <c r="AD69" s="258"/>
      <c r="AE69" s="258"/>
      <c r="AF69" s="258"/>
      <c r="AG69" s="258"/>
      <c r="AH69" s="258"/>
      <c r="AI69" s="258"/>
      <c r="AJ69" s="258"/>
      <c r="AK69" s="258"/>
      <c r="AL69" s="258"/>
      <c r="AM69" s="258"/>
    </row>
    <row r="70" spans="17:39" ht="17.25">
      <c r="Q70" s="258"/>
      <c r="R70" s="258"/>
      <c r="S70" s="833" t="s">
        <v>975</v>
      </c>
      <c r="T70" s="832"/>
      <c r="U70" s="832"/>
      <c r="V70" s="832"/>
      <c r="W70" s="832"/>
      <c r="X70" s="832"/>
      <c r="Y70" s="832"/>
      <c r="Z70" s="131"/>
      <c r="AA70" s="131"/>
      <c r="AB70" s="131"/>
      <c r="AC70" s="131"/>
      <c r="AD70" s="131"/>
      <c r="AE70" s="131"/>
      <c r="AF70" s="131"/>
      <c r="AG70" s="131"/>
      <c r="AH70" s="131"/>
      <c r="AI70" s="131"/>
      <c r="AJ70" s="131"/>
      <c r="AK70" s="131"/>
      <c r="AL70" s="131"/>
      <c r="AM70" s="131"/>
    </row>
    <row r="71" spans="17:39" ht="24" customHeight="1">
      <c r="Q71" s="848" t="s">
        <v>969</v>
      </c>
      <c r="R71" s="848"/>
      <c r="S71" s="849" t="s">
        <v>971</v>
      </c>
      <c r="T71" s="836"/>
      <c r="U71" s="836"/>
      <c r="V71" s="836"/>
      <c r="W71" s="836"/>
      <c r="X71" s="836"/>
      <c r="Y71" s="836"/>
      <c r="Z71" s="849" t="s">
        <v>972</v>
      </c>
      <c r="AA71" s="836"/>
      <c r="AB71" s="836"/>
      <c r="AC71" s="836"/>
      <c r="AD71" s="836"/>
      <c r="AE71" s="836"/>
      <c r="AF71" s="836"/>
      <c r="AG71" s="835" t="s">
        <v>1174</v>
      </c>
      <c r="AH71" s="836"/>
      <c r="AI71" s="836"/>
      <c r="AJ71" s="836"/>
      <c r="AK71" s="836"/>
      <c r="AL71" s="836"/>
      <c r="AM71" s="836"/>
    </row>
    <row r="72" spans="17:39">
      <c r="Q72" s="837"/>
      <c r="R72" s="837" t="s">
        <v>976</v>
      </c>
      <c r="S72" s="708">
        <f>GA!I741</f>
        <v>6.666666666666667</v>
      </c>
      <c r="T72" s="708">
        <f>GA!J741</f>
        <v>10</v>
      </c>
      <c r="U72" s="708">
        <f>GA!K741</f>
        <v>13.333333333333334</v>
      </c>
      <c r="V72" s="708">
        <f>GA!L741</f>
        <v>16.666666666666668</v>
      </c>
      <c r="W72" s="708">
        <f>GA!M741</f>
        <v>20</v>
      </c>
      <c r="X72" s="708">
        <f>GA!N741</f>
        <v>23.333333333333332</v>
      </c>
      <c r="Y72" s="708">
        <f>GA!O741</f>
        <v>26.666666666666668</v>
      </c>
      <c r="Z72" s="708">
        <f>GA!S741</f>
        <v>6.666666666666667</v>
      </c>
      <c r="AA72" s="708">
        <f>GA!T741</f>
        <v>10</v>
      </c>
      <c r="AB72" s="708">
        <f>GA!U741</f>
        <v>13.333333333333334</v>
      </c>
      <c r="AC72" s="708">
        <f>GA!V741</f>
        <v>16.666666666666668</v>
      </c>
      <c r="AD72" s="708">
        <f>GA!W741</f>
        <v>20</v>
      </c>
      <c r="AE72" s="708">
        <f>GA!X741</f>
        <v>23.333333333333332</v>
      </c>
      <c r="AF72" s="708">
        <f>GA!Y741</f>
        <v>26.666666666666668</v>
      </c>
      <c r="AG72" s="708">
        <f>GA!AC741</f>
        <v>6.666666666666667</v>
      </c>
      <c r="AH72" s="708">
        <f>GA!AD741</f>
        <v>10</v>
      </c>
      <c r="AI72" s="708">
        <f>GA!AE741</f>
        <v>13.333333333333334</v>
      </c>
      <c r="AJ72" s="708">
        <f>GA!AF741</f>
        <v>16.666666666666668</v>
      </c>
      <c r="AK72" s="708">
        <f>GA!AG741</f>
        <v>20</v>
      </c>
      <c r="AL72" s="708">
        <f>GA!AH741</f>
        <v>23.333333333333332</v>
      </c>
      <c r="AM72" s="708">
        <f>GA!AI741</f>
        <v>26.666666666666668</v>
      </c>
    </row>
    <row r="73" spans="17:39">
      <c r="Q73" s="837"/>
      <c r="R73" s="837" t="s">
        <v>977</v>
      </c>
      <c r="S73" s="850">
        <f>GA!I742</f>
        <v>2000000</v>
      </c>
      <c r="T73" s="850">
        <f>GA!J742</f>
        <v>3000000</v>
      </c>
      <c r="U73" s="850">
        <f>GA!K742</f>
        <v>4000000</v>
      </c>
      <c r="V73" s="850">
        <f>GA!L742</f>
        <v>5000000</v>
      </c>
      <c r="W73" s="850">
        <f>GA!M742</f>
        <v>6000000</v>
      </c>
      <c r="X73" s="850">
        <f>GA!N742</f>
        <v>7000000</v>
      </c>
      <c r="Y73" s="850">
        <f>GA!O742</f>
        <v>8000000</v>
      </c>
      <c r="Z73" s="850">
        <f>GA!S742</f>
        <v>2000000</v>
      </c>
      <c r="AA73" s="850">
        <f>GA!T742</f>
        <v>3000000</v>
      </c>
      <c r="AB73" s="850">
        <f>GA!U742</f>
        <v>4000000</v>
      </c>
      <c r="AC73" s="850">
        <f>GA!V742</f>
        <v>5000000</v>
      </c>
      <c r="AD73" s="850">
        <f>GA!W742</f>
        <v>6000000</v>
      </c>
      <c r="AE73" s="850">
        <f>GA!X742</f>
        <v>7000000</v>
      </c>
      <c r="AF73" s="850">
        <f>GA!Y742</f>
        <v>8000000</v>
      </c>
      <c r="AG73" s="850">
        <f>GA!AC742</f>
        <v>2000000</v>
      </c>
      <c r="AH73" s="850">
        <f>GA!AD742</f>
        <v>3000000</v>
      </c>
      <c r="AI73" s="850">
        <f>GA!AE742</f>
        <v>4000000</v>
      </c>
      <c r="AJ73" s="850">
        <f>GA!AF742</f>
        <v>5000000</v>
      </c>
      <c r="AK73" s="850">
        <f>GA!AG742</f>
        <v>6000000</v>
      </c>
      <c r="AL73" s="850">
        <f>GA!AH742</f>
        <v>7000000</v>
      </c>
      <c r="AM73" s="850">
        <f>GA!AI742</f>
        <v>8000000</v>
      </c>
    </row>
    <row r="74" spans="17:39">
      <c r="Q74" s="708">
        <f t="shared" ref="Q74:Q75" si="2">$Q$77*R74</f>
        <v>10.199999999999999</v>
      </c>
      <c r="R74" s="845">
        <f>GA!H743</f>
        <v>0.84999999999999987</v>
      </c>
      <c r="S74" s="851" t="str">
        <f>GA!I743</f>
        <v>15.7% / 1.49x</v>
      </c>
      <c r="T74" s="852" t="str">
        <f>GA!J743</f>
        <v>1.9% / 1.05x</v>
      </c>
      <c r="U74" s="852" t="str">
        <f>GA!K743</f>
        <v>0.0% / 0.81x</v>
      </c>
      <c r="V74" s="852" t="str">
        <f>GA!L743</f>
        <v>0.0% / 0.66x</v>
      </c>
      <c r="W74" s="852" t="str">
        <f>GA!M743</f>
        <v>0.0% / 0.56x</v>
      </c>
      <c r="X74" s="852" t="str">
        <f>GA!N743</f>
        <v>0.0% / 0.48x</v>
      </c>
      <c r="Y74" s="852" t="str">
        <f>GA!O743</f>
        <v>0.0% / 0.42x</v>
      </c>
      <c r="Z74" s="851" t="str">
        <f>GA!S743</f>
        <v>26.6% / 14.2% / 1.89x</v>
      </c>
      <c r="AA74" s="852" t="str">
        <f>GA!T743</f>
        <v>0.5% / 10.2% / 1.01x</v>
      </c>
      <c r="AB74" s="852" t="str">
        <f>GA!U743</f>
        <v>0.0% / 7.8% / 0.49x</v>
      </c>
      <c r="AC74" s="852" t="str">
        <f>GA!V743</f>
        <v>0.0% / 6.1% / 0.13x</v>
      </c>
      <c r="AD74" s="852" t="str">
        <f>GA!W743</f>
        <v>0.0% / 4.8% / 0.05x</v>
      </c>
      <c r="AE74" s="852" t="str">
        <f>GA!X743</f>
        <v>0.0% / 3.7% / 0.02x</v>
      </c>
      <c r="AF74" s="852" t="str">
        <f>GA!Y743</f>
        <v>0.0% / 2.9% / 0.00x</v>
      </c>
      <c r="AG74" s="851" t="str">
        <f>GA!AC743</f>
        <v>26.6% / 14.2% / 1.89x</v>
      </c>
      <c r="AH74" s="852" t="str">
        <f>GA!AD743</f>
        <v>0.5% / 10.2% / 1.01x</v>
      </c>
      <c r="AI74" s="852" t="str">
        <f>GA!AE743</f>
        <v>0.0% / 7.8% / 0.49x</v>
      </c>
      <c r="AJ74" s="852" t="str">
        <f>GA!AF743</f>
        <v>0.0% / 6.1% / 0.13x</v>
      </c>
      <c r="AK74" s="852" t="str">
        <f>GA!AG743</f>
        <v>0.0% / 4.8% / 0.05x</v>
      </c>
      <c r="AL74" s="852" t="str">
        <f>GA!AH743</f>
        <v>0.0% / 3.7% / 0.02x</v>
      </c>
      <c r="AM74" s="852" t="str">
        <f>GA!AI743</f>
        <v>0.0% / 2.9% / 0.00x</v>
      </c>
    </row>
    <row r="75" spans="17:39">
      <c r="Q75" s="708">
        <f t="shared" si="2"/>
        <v>10.799999999999999</v>
      </c>
      <c r="R75" s="845">
        <f>GA!H744</f>
        <v>0.89999999999999991</v>
      </c>
      <c r="S75" s="853" t="str">
        <f>GA!I744</f>
        <v>17.7% / 1.57x</v>
      </c>
      <c r="T75" s="854" t="str">
        <f>GA!J744</f>
        <v>3.7% / 1.11x</v>
      </c>
      <c r="U75" s="713" t="str">
        <f>GA!K744</f>
        <v>0.0% / 0.85x</v>
      </c>
      <c r="V75" s="713" t="str">
        <f>GA!L744</f>
        <v>0.0% / 0.70x</v>
      </c>
      <c r="W75" s="713" t="str">
        <f>GA!M744</f>
        <v>0.0% / 0.59x</v>
      </c>
      <c r="X75" s="713" t="str">
        <f>GA!N744</f>
        <v>0.0% / 0.50x</v>
      </c>
      <c r="Y75" s="713" t="str">
        <f>GA!O744</f>
        <v>0.0% / 0.44x</v>
      </c>
      <c r="Z75" s="855" t="str">
        <f>GA!S744</f>
        <v>30.0% / 14.2% / 2.03x</v>
      </c>
      <c r="AA75" s="713" t="str">
        <f>GA!T744</f>
        <v>4.4% / 10.2% / 1.12x</v>
      </c>
      <c r="AB75" s="713" t="str">
        <f>GA!U744</f>
        <v>0.0% / 7.8% / 0.58x</v>
      </c>
      <c r="AC75" s="713" t="str">
        <f>GA!V744</f>
        <v>0.0% / 6.1% / 0.21x</v>
      </c>
      <c r="AD75" s="713" t="str">
        <f>GA!W744</f>
        <v>0.0% / 4.8% / 0.06x</v>
      </c>
      <c r="AE75" s="713" t="str">
        <f>GA!X744</f>
        <v>0.0% / 3.7% / 0.02x</v>
      </c>
      <c r="AF75" s="713" t="str">
        <f>GA!Y744</f>
        <v>0.0% / 2.9% / 0.00x</v>
      </c>
      <c r="AG75" s="855" t="str">
        <f>GA!AC744</f>
        <v>30.0% / 14.2% / 2.03x</v>
      </c>
      <c r="AH75" s="713" t="str">
        <f>GA!AD744</f>
        <v>4.4% / 10.2% / 1.12x</v>
      </c>
      <c r="AI75" s="713" t="str">
        <f>GA!AE744</f>
        <v>0.0% / 7.8% / 0.58x</v>
      </c>
      <c r="AJ75" s="713" t="str">
        <f>GA!AF744</f>
        <v>0.0% / 6.1% / 0.21x</v>
      </c>
      <c r="AK75" s="713" t="str">
        <f>GA!AG744</f>
        <v>0.0% / 4.8% / 0.06x</v>
      </c>
      <c r="AL75" s="713" t="str">
        <f>GA!AH744</f>
        <v>0.0% / 3.7% / 0.02x</v>
      </c>
      <c r="AM75" s="713" t="str">
        <f>GA!AI744</f>
        <v>0.0% / 2.9% / 0.00x</v>
      </c>
    </row>
    <row r="76" spans="17:39">
      <c r="Q76" s="708">
        <f>$Q$77*R76</f>
        <v>11.399999999999999</v>
      </c>
      <c r="R76" s="845">
        <f>GA!H745</f>
        <v>0.95</v>
      </c>
      <c r="S76" s="853" t="str">
        <f>GA!I745</f>
        <v>19.6% / 1.64x</v>
      </c>
      <c r="T76" s="854" t="str">
        <f>GA!J745</f>
        <v>5.4% / 1.16x</v>
      </c>
      <c r="U76" s="713" t="str">
        <f>GA!K745</f>
        <v>0.0% / 0.89x</v>
      </c>
      <c r="V76" s="713" t="str">
        <f>GA!L745</f>
        <v>0.0% / 0.73x</v>
      </c>
      <c r="W76" s="713" t="str">
        <f>GA!M745</f>
        <v>0.0% / 0.61x</v>
      </c>
      <c r="X76" s="713" t="str">
        <f>GA!N745</f>
        <v>0.0% / 0.53x</v>
      </c>
      <c r="Y76" s="713" t="str">
        <f>GA!O745</f>
        <v>0.0% / 0.46x</v>
      </c>
      <c r="Z76" s="855" t="str">
        <f>GA!S745</f>
        <v>33.2% / 14.2% / 2.18x</v>
      </c>
      <c r="AA76" s="713" t="str">
        <f>GA!T745</f>
        <v>8.0% / 10.2% / 1.24x</v>
      </c>
      <c r="AB76" s="713" t="str">
        <f>GA!U745</f>
        <v>0.0% / 7.8% / 0.67x</v>
      </c>
      <c r="AC76" s="713" t="str">
        <f>GA!V745</f>
        <v>0.0% / 6.1% / 0.28x</v>
      </c>
      <c r="AD76" s="713" t="str">
        <f>GA!W745</f>
        <v>0.0% / 4.8% / 0.06x</v>
      </c>
      <c r="AE76" s="713" t="str">
        <f>GA!X745</f>
        <v>0.0% / 3.7% / 0.02x</v>
      </c>
      <c r="AF76" s="713" t="str">
        <f>GA!Y745</f>
        <v>0.0% / 2.9% / 0.00x</v>
      </c>
      <c r="AG76" s="855" t="str">
        <f>GA!AC745</f>
        <v>33.2% / 14.2% / 2.18x</v>
      </c>
      <c r="AH76" s="713" t="str">
        <f>GA!AD745</f>
        <v>8.0% / 10.2% / 1.24x</v>
      </c>
      <c r="AI76" s="713" t="str">
        <f>GA!AE745</f>
        <v>0.0% / 7.8% / 0.67x</v>
      </c>
      <c r="AJ76" s="713" t="str">
        <f>GA!AF745</f>
        <v>0.0% / 6.1% / 0.28x</v>
      </c>
      <c r="AK76" s="713" t="str">
        <f>GA!AG745</f>
        <v>0.0% / 4.8% / 0.06x</v>
      </c>
      <c r="AL76" s="713" t="str">
        <f>GA!AH745</f>
        <v>0.0% / 3.7% / 0.02x</v>
      </c>
      <c r="AM76" s="713" t="str">
        <f>GA!AI745</f>
        <v>0.0% / 2.9% / 0.00x</v>
      </c>
    </row>
    <row r="77" spans="17:39">
      <c r="Q77" s="708">
        <f>E28</f>
        <v>12</v>
      </c>
      <c r="R77" s="845">
        <f>GA!H746</f>
        <v>1</v>
      </c>
      <c r="S77" s="1459" t="str">
        <f>GA!I746</f>
        <v>21.4% / 1.72x</v>
      </c>
      <c r="T77" s="1458" t="str">
        <f>GA!J746</f>
        <v>7.0% / 1.21x</v>
      </c>
      <c r="U77" s="1458" t="str">
        <f>GA!K746</f>
        <v>0.0% / 0.93x</v>
      </c>
      <c r="V77" s="856" t="str">
        <f>GA!L746</f>
        <v>0.0% / 0.76x</v>
      </c>
      <c r="W77" s="1458" t="str">
        <f>GA!M746</f>
        <v>0.0% / 0.64x</v>
      </c>
      <c r="X77" s="1458" t="str">
        <f>GA!N746</f>
        <v>0.0% / 0.55x</v>
      </c>
      <c r="Y77" s="1458" t="str">
        <f>GA!O746</f>
        <v>0.0% / 0.48x</v>
      </c>
      <c r="Z77" s="1459" t="str">
        <f>GA!S746</f>
        <v>36.2% / 14.2% / 2.33x</v>
      </c>
      <c r="AA77" s="1458" t="str">
        <f>GA!T746</f>
        <v>11.4% / 10.2% / 1.35x</v>
      </c>
      <c r="AB77" s="1458" t="str">
        <f>GA!U746</f>
        <v>0.0% / 7.8% / 0.75x</v>
      </c>
      <c r="AC77" s="856" t="str">
        <f>GA!V746</f>
        <v>0.0% / 6.1% / 0.36x</v>
      </c>
      <c r="AD77" s="1458" t="str">
        <f>GA!W746</f>
        <v>0.0% / 4.8% / 0.07x</v>
      </c>
      <c r="AE77" s="1458" t="str">
        <f>GA!X746</f>
        <v>0.0% / 3.7% / 0.03x</v>
      </c>
      <c r="AF77" s="1458" t="str">
        <f>GA!Y746</f>
        <v>0.0% / 2.9% / 0.00x</v>
      </c>
      <c r="AG77" s="1459" t="str">
        <f>GA!AC746</f>
        <v>36.2% / 14.2% / 2.33x</v>
      </c>
      <c r="AH77" s="1458" t="str">
        <f>GA!AD746</f>
        <v>11.4% / 10.2% / 1.35x</v>
      </c>
      <c r="AI77" s="1458" t="str">
        <f>GA!AE746</f>
        <v>0.0% / 7.8% / 0.75x</v>
      </c>
      <c r="AJ77" s="856" t="str">
        <f>GA!AF746</f>
        <v>0.0% / 6.1% / 0.36x</v>
      </c>
      <c r="AK77" s="1458" t="str">
        <f>GA!AG746</f>
        <v>0.0% / 4.8% / 0.07x</v>
      </c>
      <c r="AL77" s="1458" t="str">
        <f>GA!AH746</f>
        <v>0.0% / 3.7% / 0.03x</v>
      </c>
      <c r="AM77" s="1458" t="str">
        <f>GA!AI746</f>
        <v>0.0% / 2.9% / 0.00x</v>
      </c>
    </row>
    <row r="78" spans="17:39">
      <c r="Q78" s="708">
        <f t="shared" ref="Q78:Q80" si="3">$Q$77*R78</f>
        <v>12.600000000000001</v>
      </c>
      <c r="R78" s="845">
        <f>GA!H747</f>
        <v>1.05</v>
      </c>
      <c r="S78" s="853" t="str">
        <f>GA!I747</f>
        <v>23.2% / 1.79x</v>
      </c>
      <c r="T78" s="854" t="str">
        <f>GA!J747</f>
        <v>8.6% / 1.26x</v>
      </c>
      <c r="U78" s="713" t="str">
        <f>GA!K747</f>
        <v>-0.9% / 0.97x</v>
      </c>
      <c r="V78" s="713" t="str">
        <f>GA!L747</f>
        <v>0.0% / 0.79x</v>
      </c>
      <c r="W78" s="713" t="str">
        <f>GA!M747</f>
        <v>0.0% / 0.67x</v>
      </c>
      <c r="X78" s="713" t="str">
        <f>GA!N747</f>
        <v>0.0% / 0.58x</v>
      </c>
      <c r="Y78" s="713" t="str">
        <f>GA!O747</f>
        <v>0.0% / 0.51x</v>
      </c>
      <c r="Z78" s="855" t="str">
        <f>GA!S747</f>
        <v>39.2% / 14.2% / 2.47x</v>
      </c>
      <c r="AA78" s="713" t="str">
        <f>GA!T747</f>
        <v>14.6% / 10.2% / 1.46x</v>
      </c>
      <c r="AB78" s="713" t="str">
        <f>GA!U747</f>
        <v>0.0% / 7.8% / 0.84x</v>
      </c>
      <c r="AC78" s="713" t="str">
        <f>GA!V747</f>
        <v>0.0% / 6.1% / 0.43x</v>
      </c>
      <c r="AD78" s="713" t="str">
        <f>GA!W747</f>
        <v>0.0% / 4.8% / 0.13x</v>
      </c>
      <c r="AE78" s="713" t="str">
        <f>GA!X747</f>
        <v>0.0% / 3.7% / 0.03x</v>
      </c>
      <c r="AF78" s="713" t="str">
        <f>GA!Y747</f>
        <v>0.0% / 2.9% / 0.00x</v>
      </c>
      <c r="AG78" s="855" t="str">
        <f>GA!AC747</f>
        <v>39.2% / 14.2% / 2.47x</v>
      </c>
      <c r="AH78" s="713" t="str">
        <f>GA!AD747</f>
        <v>14.6% / 10.2% / 1.46x</v>
      </c>
      <c r="AI78" s="713" t="str">
        <f>GA!AE747</f>
        <v>0.0% / 7.8% / 0.84x</v>
      </c>
      <c r="AJ78" s="713" t="str">
        <f>GA!AF747</f>
        <v>0.0% / 6.1% / 0.43x</v>
      </c>
      <c r="AK78" s="713" t="str">
        <f>GA!AG747</f>
        <v>0.0% / 4.8% / 0.13x</v>
      </c>
      <c r="AL78" s="713" t="str">
        <f>GA!AH747</f>
        <v>0.0% / 3.7% / 0.03x</v>
      </c>
      <c r="AM78" s="713" t="str">
        <f>GA!AI747</f>
        <v>0.0% / 2.9% / 0.00x</v>
      </c>
    </row>
    <row r="79" spans="17:39">
      <c r="Q79" s="708">
        <f t="shared" si="3"/>
        <v>13.200000000000001</v>
      </c>
      <c r="R79" s="845">
        <f>GA!H748</f>
        <v>1.1000000000000001</v>
      </c>
      <c r="S79" s="853" t="str">
        <f>GA!I748</f>
        <v>25.0% / 1.86x</v>
      </c>
      <c r="T79" s="854" t="str">
        <f>GA!J748</f>
        <v>10.2% / 1.31x</v>
      </c>
      <c r="U79" s="713" t="str">
        <f>GA!K748</f>
        <v>0.5% / 1.01x</v>
      </c>
      <c r="V79" s="713" t="str">
        <f>GA!L748</f>
        <v>0.0% / 0.83x</v>
      </c>
      <c r="W79" s="713" t="str">
        <f>GA!M748</f>
        <v>0.0% / 0.69x</v>
      </c>
      <c r="X79" s="713" t="str">
        <f>GA!N748</f>
        <v>0.0% / 0.60x</v>
      </c>
      <c r="Y79" s="713" t="str">
        <f>GA!O748</f>
        <v>0.0% / 0.53x</v>
      </c>
      <c r="Z79" s="855" t="str">
        <f>GA!S748</f>
        <v>41.9% / 14.2% / 2.62x</v>
      </c>
      <c r="AA79" s="713" t="str">
        <f>GA!T748</f>
        <v>17.6% / 10.2% / 1.57x</v>
      </c>
      <c r="AB79" s="713" t="str">
        <f>GA!U748</f>
        <v>-2.5% / 7.8% / 0.93x</v>
      </c>
      <c r="AC79" s="713" t="str">
        <f>GA!V748</f>
        <v>0.0% / 6.1% / 0.50x</v>
      </c>
      <c r="AD79" s="713" t="str">
        <f>GA!W748</f>
        <v>0.0% / 4.8% / 0.19x</v>
      </c>
      <c r="AE79" s="713" t="str">
        <f>GA!X748</f>
        <v>0.0% / 3.7% / 0.03x</v>
      </c>
      <c r="AF79" s="713" t="str">
        <f>GA!Y748</f>
        <v>0.0% / 2.9% / 0.00x</v>
      </c>
      <c r="AG79" s="855" t="str">
        <f>GA!AC748</f>
        <v>41.9% / 14.2% / 2.62x</v>
      </c>
      <c r="AH79" s="713" t="str">
        <f>GA!AD748</f>
        <v>17.6% / 10.2% / 1.57x</v>
      </c>
      <c r="AI79" s="713" t="str">
        <f>GA!AE748</f>
        <v>-2.5% / 7.8% / 0.93x</v>
      </c>
      <c r="AJ79" s="713" t="str">
        <f>GA!AF748</f>
        <v>0.0% / 6.1% / 0.50x</v>
      </c>
      <c r="AK79" s="713" t="str">
        <f>GA!AG748</f>
        <v>0.0% / 4.8% / 0.19x</v>
      </c>
      <c r="AL79" s="713" t="str">
        <f>GA!AH748</f>
        <v>0.0% / 3.7% / 0.03x</v>
      </c>
      <c r="AM79" s="713" t="str">
        <f>GA!AI748</f>
        <v>0.0% / 2.9% / 0.00x</v>
      </c>
    </row>
    <row r="80" spans="17:39">
      <c r="Q80" s="708">
        <f t="shared" si="3"/>
        <v>13.8</v>
      </c>
      <c r="R80" s="845">
        <f>GA!H749</f>
        <v>1.1500000000000001</v>
      </c>
      <c r="S80" s="853" t="str">
        <f>GA!I749</f>
        <v>26.7% / 1.94x</v>
      </c>
      <c r="T80" s="854" t="str">
        <f>GA!J749</f>
        <v>11.7% / 1.36x</v>
      </c>
      <c r="U80" s="854" t="str">
        <f>GA!K749</f>
        <v>1.9% / 1.05x</v>
      </c>
      <c r="V80" s="854" t="str">
        <f>GA!L749</f>
        <v>0.0% / 0.86x</v>
      </c>
      <c r="W80" s="854" t="str">
        <f>GA!M749</f>
        <v>0.0% / 0.72x</v>
      </c>
      <c r="X80" s="854" t="str">
        <f>GA!N749</f>
        <v>0.0% / 0.62x</v>
      </c>
      <c r="Y80" s="854" t="str">
        <f>GA!O749</f>
        <v>0.0% / 0.55x</v>
      </c>
      <c r="Z80" s="853" t="str">
        <f>GA!S749</f>
        <v>44.6% / 14.2% / 2.77x</v>
      </c>
      <c r="AA80" s="854" t="str">
        <f>GA!T749</f>
        <v>20.4% / 10.2% / 1.68x</v>
      </c>
      <c r="AB80" s="854" t="str">
        <f>GA!U749</f>
        <v>0.7% / 7.8% / 1.02x</v>
      </c>
      <c r="AC80" s="854" t="str">
        <f>GA!V749</f>
        <v>0.0% / 6.1% / 0.58x</v>
      </c>
      <c r="AD80" s="854" t="str">
        <f>GA!W749</f>
        <v>0.0% / 4.8% / 0.26x</v>
      </c>
      <c r="AE80" s="854" t="str">
        <f>GA!X749</f>
        <v>0.0% / 3.7% / 0.03x</v>
      </c>
      <c r="AF80" s="854" t="str">
        <f>GA!Y749</f>
        <v>0.0% / 2.9% / 0.00x</v>
      </c>
      <c r="AG80" s="853" t="str">
        <f>GA!AC749</f>
        <v>44.6% / 14.2% / 2.77x</v>
      </c>
      <c r="AH80" s="854" t="str">
        <f>GA!AD749</f>
        <v>20.4% / 10.2% / 1.68x</v>
      </c>
      <c r="AI80" s="854" t="str">
        <f>GA!AE749</f>
        <v>0.7% / 7.8% / 1.02x</v>
      </c>
      <c r="AJ80" s="854" t="str">
        <f>GA!AF749</f>
        <v>0.0% / 6.1% / 0.58x</v>
      </c>
      <c r="AK80" s="854" t="str">
        <f>GA!AG749</f>
        <v>0.0% / 4.8% / 0.26x</v>
      </c>
      <c r="AL80" s="854" t="str">
        <f>GA!AH749</f>
        <v>0.0% / 3.7% / 0.03x</v>
      </c>
      <c r="AM80" s="854" t="str">
        <f>GA!AI749</f>
        <v>0.0% / 2.9% / 0.00x</v>
      </c>
    </row>
    <row r="81" spans="17:39">
      <c r="Q81" s="844"/>
      <c r="R81" s="845"/>
      <c r="S81" s="854"/>
      <c r="T81" s="854"/>
      <c r="U81" s="854"/>
      <c r="V81" s="854"/>
      <c r="W81" s="854"/>
      <c r="X81" s="854"/>
      <c r="Y81" s="854"/>
      <c r="Z81" s="854"/>
      <c r="AA81" s="854"/>
      <c r="AB81" s="854"/>
      <c r="AC81" s="854"/>
      <c r="AD81" s="854"/>
      <c r="AE81" s="854"/>
      <c r="AF81" s="854"/>
      <c r="AG81" s="854"/>
      <c r="AH81" s="854"/>
      <c r="AI81" s="854"/>
      <c r="AJ81" s="854"/>
      <c r="AK81" s="854"/>
      <c r="AL81" s="854"/>
      <c r="AM81" s="854"/>
    </row>
    <row r="82" spans="17:39">
      <c r="Q82" s="582" t="s">
        <v>978</v>
      </c>
      <c r="R82" s="504"/>
      <c r="S82" s="504"/>
      <c r="T82" s="504"/>
      <c r="U82" s="504"/>
      <c r="V82" s="504"/>
      <c r="W82" s="504"/>
      <c r="X82" s="504"/>
      <c r="Y82" s="504"/>
      <c r="Z82" s="857"/>
      <c r="AA82" s="857"/>
      <c r="AB82" s="857"/>
      <c r="AC82" s="857"/>
      <c r="AD82" s="857"/>
      <c r="AE82" s="857"/>
      <c r="AF82" s="857"/>
      <c r="AG82" s="857"/>
      <c r="AH82" s="857"/>
      <c r="AI82" s="857"/>
      <c r="AJ82" s="857"/>
      <c r="AK82" s="857"/>
      <c r="AL82" s="857"/>
      <c r="AM82" s="858"/>
    </row>
    <row r="83" spans="17:39">
      <c r="Q83" s="258" t="s">
        <v>968</v>
      </c>
      <c r="R83" s="258"/>
      <c r="S83" s="258"/>
      <c r="T83" s="258"/>
      <c r="U83" s="258"/>
      <c r="V83" s="258"/>
      <c r="W83" s="258"/>
      <c r="X83" s="258"/>
      <c r="Y83" s="258"/>
    </row>
    <row r="84" spans="17:39" ht="17.25">
      <c r="Q84" s="258"/>
      <c r="R84" s="258"/>
      <c r="S84" s="833" t="s">
        <v>975</v>
      </c>
      <c r="T84" s="832"/>
      <c r="U84" s="832"/>
      <c r="V84" s="832"/>
      <c r="W84" s="832"/>
      <c r="X84" s="832"/>
      <c r="Y84" s="832"/>
      <c r="Z84" s="131"/>
      <c r="AA84" s="131"/>
      <c r="AB84" s="131"/>
      <c r="AC84" s="131"/>
      <c r="AD84" s="131"/>
      <c r="AE84" s="131"/>
      <c r="AF84" s="131"/>
      <c r="AG84" s="131"/>
      <c r="AH84" s="131"/>
      <c r="AI84" s="131"/>
      <c r="AJ84" s="131"/>
      <c r="AK84" s="131"/>
      <c r="AL84" s="131"/>
      <c r="AM84" s="131"/>
    </row>
    <row r="85" spans="17:39" ht="17.25">
      <c r="Q85" s="833"/>
      <c r="R85" s="848" t="s">
        <v>979</v>
      </c>
      <c r="S85" s="849" t="s">
        <v>971</v>
      </c>
      <c r="T85" s="836"/>
      <c r="U85" s="836"/>
      <c r="V85" s="836"/>
      <c r="W85" s="836"/>
      <c r="X85" s="836"/>
      <c r="Y85" s="836"/>
      <c r="Z85" s="849" t="s">
        <v>972</v>
      </c>
      <c r="AA85" s="836"/>
      <c r="AB85" s="836"/>
      <c r="AC85" s="836"/>
      <c r="AD85" s="836"/>
      <c r="AE85" s="836"/>
      <c r="AF85" s="836"/>
      <c r="AG85" s="835" t="s">
        <v>1174</v>
      </c>
      <c r="AH85" s="836"/>
      <c r="AI85" s="836"/>
      <c r="AJ85" s="836"/>
      <c r="AK85" s="836"/>
      <c r="AL85" s="836"/>
      <c r="AM85" s="836"/>
    </row>
    <row r="86" spans="17:39">
      <c r="Q86" s="837"/>
      <c r="R86" s="837" t="s">
        <v>976</v>
      </c>
      <c r="S86" s="708">
        <f>GA!I752</f>
        <v>6.666666666666667</v>
      </c>
      <c r="T86" s="708">
        <f>GA!J752</f>
        <v>10</v>
      </c>
      <c r="U86" s="708">
        <f>GA!K752</f>
        <v>13.333333333333334</v>
      </c>
      <c r="V86" s="708">
        <f>GA!L752</f>
        <v>16.666666666666668</v>
      </c>
      <c r="W86" s="708">
        <f>GA!M752</f>
        <v>20</v>
      </c>
      <c r="X86" s="708">
        <f>GA!N752</f>
        <v>23.333333333333332</v>
      </c>
      <c r="Y86" s="708">
        <f>GA!O752</f>
        <v>26.666666666666668</v>
      </c>
      <c r="Z86" s="708">
        <f>GA!S752</f>
        <v>6.666666666666667</v>
      </c>
      <c r="AA86" s="708">
        <f>GA!T752</f>
        <v>10</v>
      </c>
      <c r="AB86" s="708">
        <f>GA!U752</f>
        <v>13.333333333333334</v>
      </c>
      <c r="AC86" s="708">
        <f>GA!V752</f>
        <v>16.666666666666668</v>
      </c>
      <c r="AD86" s="708">
        <f>GA!W752</f>
        <v>20</v>
      </c>
      <c r="AE86" s="708">
        <f>GA!X752</f>
        <v>23.333333333333332</v>
      </c>
      <c r="AF86" s="708">
        <f>GA!Y752</f>
        <v>26.666666666666668</v>
      </c>
      <c r="AG86" s="708">
        <f>GA!AC752</f>
        <v>6.666666666666667</v>
      </c>
      <c r="AH86" s="708">
        <f>GA!AD752</f>
        <v>10</v>
      </c>
      <c r="AI86" s="708">
        <f>GA!AE752</f>
        <v>13.333333333333334</v>
      </c>
      <c r="AJ86" s="708">
        <f>GA!AF752</f>
        <v>16.666666666666668</v>
      </c>
      <c r="AK86" s="708">
        <f>GA!AG752</f>
        <v>20</v>
      </c>
      <c r="AL86" s="708">
        <f>GA!AH752</f>
        <v>23.333333333333332</v>
      </c>
      <c r="AM86" s="708">
        <f>GA!AI752</f>
        <v>26.666666666666668</v>
      </c>
    </row>
    <row r="87" spans="17:39">
      <c r="Q87" s="837"/>
      <c r="R87" s="837" t="s">
        <v>977</v>
      </c>
      <c r="S87" s="850">
        <f>GA!I753</f>
        <v>2000000</v>
      </c>
      <c r="T87" s="850">
        <f>GA!J753</f>
        <v>3000000</v>
      </c>
      <c r="U87" s="850">
        <f>GA!K753</f>
        <v>4000000</v>
      </c>
      <c r="V87" s="850">
        <f>GA!L753</f>
        <v>5000000</v>
      </c>
      <c r="W87" s="850">
        <f>GA!M753</f>
        <v>6000000</v>
      </c>
      <c r="X87" s="850">
        <f>GA!N753</f>
        <v>7000000</v>
      </c>
      <c r="Y87" s="850">
        <f>GA!O753</f>
        <v>8000000</v>
      </c>
      <c r="Z87" s="850">
        <f>GA!S753</f>
        <v>2000000</v>
      </c>
      <c r="AA87" s="850">
        <f>GA!T753</f>
        <v>3000000</v>
      </c>
      <c r="AB87" s="850">
        <f>GA!U753</f>
        <v>4000000</v>
      </c>
      <c r="AC87" s="850">
        <f>GA!V753</f>
        <v>5000000</v>
      </c>
      <c r="AD87" s="850">
        <f>GA!W753</f>
        <v>6000000</v>
      </c>
      <c r="AE87" s="850">
        <f>GA!X753</f>
        <v>7000000</v>
      </c>
      <c r="AF87" s="850">
        <f>GA!Y753</f>
        <v>8000000</v>
      </c>
      <c r="AG87" s="850">
        <f>GA!AC753</f>
        <v>2000000</v>
      </c>
      <c r="AH87" s="850">
        <f>GA!AD753</f>
        <v>3000000</v>
      </c>
      <c r="AI87" s="850">
        <f>GA!AE753</f>
        <v>4000000</v>
      </c>
      <c r="AJ87" s="850">
        <f>GA!AF753</f>
        <v>5000000</v>
      </c>
      <c r="AK87" s="850">
        <f>GA!AG753</f>
        <v>6000000</v>
      </c>
      <c r="AL87" s="850">
        <f>GA!AH753</f>
        <v>7000000</v>
      </c>
      <c r="AM87" s="850">
        <f>GA!AI753</f>
        <v>8000000</v>
      </c>
    </row>
    <row r="88" spans="17:39">
      <c r="Q88" s="840"/>
      <c r="R88" s="845">
        <f>GA!H754</f>
        <v>0.84999999999999987</v>
      </c>
      <c r="S88" s="851">
        <f>GA!I754</f>
        <v>0</v>
      </c>
      <c r="T88" s="852">
        <f>GA!J754</f>
        <v>0</v>
      </c>
      <c r="U88" s="852">
        <f>GA!K754</f>
        <v>0</v>
      </c>
      <c r="V88" s="852">
        <f>GA!L754</f>
        <v>0</v>
      </c>
      <c r="W88" s="852">
        <f>GA!M754</f>
        <v>0</v>
      </c>
      <c r="X88" s="852">
        <f>GA!N754</f>
        <v>0</v>
      </c>
      <c r="Y88" s="852">
        <f>GA!O754</f>
        <v>0</v>
      </c>
      <c r="Z88" s="851">
        <f>GA!S754</f>
        <v>0</v>
      </c>
      <c r="AA88" s="852">
        <f>GA!T754</f>
        <v>0</v>
      </c>
      <c r="AB88" s="852">
        <f>GA!U754</f>
        <v>0</v>
      </c>
      <c r="AC88" s="852">
        <f>GA!V754</f>
        <v>0</v>
      </c>
      <c r="AD88" s="852">
        <f>GA!W754</f>
        <v>0</v>
      </c>
      <c r="AE88" s="852">
        <f>GA!X754</f>
        <v>0</v>
      </c>
      <c r="AF88" s="852">
        <f>GA!Y754</f>
        <v>0</v>
      </c>
      <c r="AG88" s="851">
        <f>GA!AC754</f>
        <v>0</v>
      </c>
      <c r="AH88" s="852">
        <f>GA!AD754</f>
        <v>0</v>
      </c>
      <c r="AI88" s="852">
        <f>GA!AE754</f>
        <v>0</v>
      </c>
      <c r="AJ88" s="852">
        <f>GA!AF754</f>
        <v>0</v>
      </c>
      <c r="AK88" s="852">
        <f>GA!AG754</f>
        <v>0</v>
      </c>
      <c r="AL88" s="852">
        <f>GA!AH754</f>
        <v>0</v>
      </c>
      <c r="AM88" s="852">
        <f>GA!AI754</f>
        <v>0</v>
      </c>
    </row>
    <row r="89" spans="17:39">
      <c r="Q89" s="844"/>
      <c r="R89" s="845">
        <f>GA!H755</f>
        <v>0.89999999999999991</v>
      </c>
      <c r="S89" s="853">
        <f>GA!I755</f>
        <v>0</v>
      </c>
      <c r="T89" s="854">
        <f>GA!J755</f>
        <v>0</v>
      </c>
      <c r="U89" s="713">
        <f>GA!K755</f>
        <v>0</v>
      </c>
      <c r="V89" s="713">
        <f>GA!L755</f>
        <v>0</v>
      </c>
      <c r="W89" s="713">
        <f>GA!M755</f>
        <v>0</v>
      </c>
      <c r="X89" s="713">
        <f>GA!N755</f>
        <v>0</v>
      </c>
      <c r="Y89" s="713">
        <f>GA!O755</f>
        <v>0</v>
      </c>
      <c r="Z89" s="855">
        <f>GA!S755</f>
        <v>0</v>
      </c>
      <c r="AA89" s="713">
        <f>GA!T755</f>
        <v>0</v>
      </c>
      <c r="AB89" s="713">
        <f>GA!U755</f>
        <v>0</v>
      </c>
      <c r="AC89" s="713">
        <f>GA!V755</f>
        <v>0</v>
      </c>
      <c r="AD89" s="713">
        <f>GA!W755</f>
        <v>0</v>
      </c>
      <c r="AE89" s="713">
        <f>GA!X755</f>
        <v>0</v>
      </c>
      <c r="AF89" s="713">
        <f>GA!Y755</f>
        <v>0</v>
      </c>
      <c r="AG89" s="855">
        <f>GA!AC755</f>
        <v>0</v>
      </c>
      <c r="AH89" s="713">
        <f>GA!AD755</f>
        <v>0</v>
      </c>
      <c r="AI89" s="713">
        <f>GA!AE755</f>
        <v>0</v>
      </c>
      <c r="AJ89" s="713">
        <f>GA!AF755</f>
        <v>0</v>
      </c>
      <c r="AK89" s="713">
        <f>GA!AG755</f>
        <v>0</v>
      </c>
      <c r="AL89" s="713">
        <f>GA!AH755</f>
        <v>0</v>
      </c>
      <c r="AM89" s="713">
        <f>GA!AI755</f>
        <v>0</v>
      </c>
    </row>
    <row r="90" spans="17:39">
      <c r="Q90" s="844"/>
      <c r="R90" s="845">
        <f>GA!H756</f>
        <v>0.95</v>
      </c>
      <c r="S90" s="853">
        <f>GA!I756</f>
        <v>0</v>
      </c>
      <c r="T90" s="854">
        <f>GA!J756</f>
        <v>0</v>
      </c>
      <c r="U90" s="713">
        <f>GA!K756</f>
        <v>0</v>
      </c>
      <c r="V90" s="713">
        <f>GA!L756</f>
        <v>0</v>
      </c>
      <c r="W90" s="713">
        <f>GA!M756</f>
        <v>0</v>
      </c>
      <c r="X90" s="713">
        <f>GA!N756</f>
        <v>0</v>
      </c>
      <c r="Y90" s="713">
        <f>GA!O756</f>
        <v>0</v>
      </c>
      <c r="Z90" s="855">
        <f>GA!S756</f>
        <v>0</v>
      </c>
      <c r="AA90" s="713">
        <f>GA!T756</f>
        <v>0</v>
      </c>
      <c r="AB90" s="713">
        <f>GA!U756</f>
        <v>0</v>
      </c>
      <c r="AC90" s="713">
        <f>GA!V756</f>
        <v>0</v>
      </c>
      <c r="AD90" s="713">
        <f>GA!W756</f>
        <v>0</v>
      </c>
      <c r="AE90" s="713">
        <f>GA!X756</f>
        <v>0</v>
      </c>
      <c r="AF90" s="713">
        <f>GA!Y756</f>
        <v>0</v>
      </c>
      <c r="AG90" s="855">
        <f>GA!AC756</f>
        <v>0</v>
      </c>
      <c r="AH90" s="713">
        <f>GA!AD756</f>
        <v>0</v>
      </c>
      <c r="AI90" s="713">
        <f>GA!AE756</f>
        <v>0</v>
      </c>
      <c r="AJ90" s="713">
        <f>GA!AF756</f>
        <v>0</v>
      </c>
      <c r="AK90" s="713">
        <f>GA!AG756</f>
        <v>0</v>
      </c>
      <c r="AL90" s="713">
        <f>GA!AH756</f>
        <v>0</v>
      </c>
      <c r="AM90" s="713">
        <f>GA!AI756</f>
        <v>0</v>
      </c>
    </row>
    <row r="91" spans="17:39">
      <c r="Q91" s="844"/>
      <c r="R91" s="845">
        <f>GA!H757</f>
        <v>1</v>
      </c>
      <c r="S91" s="1459">
        <f>GA!I757</f>
        <v>0</v>
      </c>
      <c r="T91" s="1458">
        <f>GA!J757</f>
        <v>0</v>
      </c>
      <c r="U91" s="1458">
        <f>GA!K757</f>
        <v>0</v>
      </c>
      <c r="V91" s="856">
        <f>GA!L757</f>
        <v>0</v>
      </c>
      <c r="W91" s="1458">
        <f>GA!M757</f>
        <v>0</v>
      </c>
      <c r="X91" s="1458">
        <f>GA!N757</f>
        <v>0</v>
      </c>
      <c r="Y91" s="1458">
        <f>GA!O757</f>
        <v>0</v>
      </c>
      <c r="Z91" s="1459">
        <f>GA!S757</f>
        <v>0</v>
      </c>
      <c r="AA91" s="1458">
        <f>GA!T757</f>
        <v>0</v>
      </c>
      <c r="AB91" s="1458">
        <f>GA!U757</f>
        <v>0</v>
      </c>
      <c r="AC91" s="856">
        <f>GA!V757</f>
        <v>0</v>
      </c>
      <c r="AD91" s="1458">
        <f>GA!W757</f>
        <v>0</v>
      </c>
      <c r="AE91" s="1458">
        <f>GA!X757</f>
        <v>0</v>
      </c>
      <c r="AF91" s="1458">
        <f>GA!Y757</f>
        <v>0</v>
      </c>
      <c r="AG91" s="1459">
        <f>GA!AC757</f>
        <v>0</v>
      </c>
      <c r="AH91" s="1458">
        <f>GA!AD757</f>
        <v>0</v>
      </c>
      <c r="AI91" s="1458">
        <f>GA!AE757</f>
        <v>0</v>
      </c>
      <c r="AJ91" s="856">
        <f>GA!AF757</f>
        <v>0</v>
      </c>
      <c r="AK91" s="1458">
        <f>GA!AG757</f>
        <v>0</v>
      </c>
      <c r="AL91" s="1458">
        <f>GA!AH757</f>
        <v>0</v>
      </c>
      <c r="AM91" s="1458">
        <f>GA!AI757</f>
        <v>0</v>
      </c>
    </row>
    <row r="92" spans="17:39">
      <c r="Q92" s="844"/>
      <c r="R92" s="845">
        <f>GA!H758</f>
        <v>1.05</v>
      </c>
      <c r="S92" s="853">
        <f>GA!I758</f>
        <v>0</v>
      </c>
      <c r="T92" s="854">
        <f>GA!J758</f>
        <v>0</v>
      </c>
      <c r="U92" s="713">
        <f>GA!K758</f>
        <v>0</v>
      </c>
      <c r="V92" s="713">
        <f>GA!L758</f>
        <v>0</v>
      </c>
      <c r="W92" s="713">
        <f>GA!M758</f>
        <v>0</v>
      </c>
      <c r="X92" s="713">
        <f>GA!N758</f>
        <v>0</v>
      </c>
      <c r="Y92" s="713">
        <f>GA!O758</f>
        <v>0</v>
      </c>
      <c r="Z92" s="855">
        <f>GA!S758</f>
        <v>0</v>
      </c>
      <c r="AA92" s="713">
        <f>GA!T758</f>
        <v>0</v>
      </c>
      <c r="AB92" s="713">
        <f>GA!U758</f>
        <v>0</v>
      </c>
      <c r="AC92" s="713">
        <f>GA!V758</f>
        <v>0</v>
      </c>
      <c r="AD92" s="713">
        <f>GA!W758</f>
        <v>0</v>
      </c>
      <c r="AE92" s="713">
        <f>GA!X758</f>
        <v>0</v>
      </c>
      <c r="AF92" s="713">
        <f>GA!Y758</f>
        <v>0</v>
      </c>
      <c r="AG92" s="855">
        <f>GA!AC758</f>
        <v>0</v>
      </c>
      <c r="AH92" s="713">
        <f>GA!AD758</f>
        <v>0</v>
      </c>
      <c r="AI92" s="713">
        <f>GA!AE758</f>
        <v>0</v>
      </c>
      <c r="AJ92" s="713">
        <f>GA!AF758</f>
        <v>0</v>
      </c>
      <c r="AK92" s="713">
        <f>GA!AG758</f>
        <v>0</v>
      </c>
      <c r="AL92" s="713">
        <f>GA!AH758</f>
        <v>0</v>
      </c>
      <c r="AM92" s="713">
        <f>GA!AI758</f>
        <v>0</v>
      </c>
    </row>
    <row r="93" spans="17:39">
      <c r="Q93" s="844"/>
      <c r="R93" s="845">
        <f>GA!H759</f>
        <v>1.1000000000000001</v>
      </c>
      <c r="S93" s="853">
        <f>GA!I759</f>
        <v>0</v>
      </c>
      <c r="T93" s="854">
        <f>GA!J759</f>
        <v>0</v>
      </c>
      <c r="U93" s="713">
        <f>GA!K759</f>
        <v>0</v>
      </c>
      <c r="V93" s="713">
        <f>GA!L759</f>
        <v>0</v>
      </c>
      <c r="W93" s="713">
        <f>GA!M759</f>
        <v>0</v>
      </c>
      <c r="X93" s="713">
        <f>GA!N759</f>
        <v>0</v>
      </c>
      <c r="Y93" s="713">
        <f>GA!O759</f>
        <v>0</v>
      </c>
      <c r="Z93" s="855">
        <f>GA!S759</f>
        <v>0</v>
      </c>
      <c r="AA93" s="713">
        <f>GA!T759</f>
        <v>0</v>
      </c>
      <c r="AB93" s="713">
        <f>GA!U759</f>
        <v>0</v>
      </c>
      <c r="AC93" s="713">
        <f>GA!V759</f>
        <v>0</v>
      </c>
      <c r="AD93" s="713">
        <f>GA!W759</f>
        <v>0</v>
      </c>
      <c r="AE93" s="713">
        <f>GA!X759</f>
        <v>0</v>
      </c>
      <c r="AF93" s="713">
        <f>GA!Y759</f>
        <v>0</v>
      </c>
      <c r="AG93" s="855">
        <f>GA!AC759</f>
        <v>0</v>
      </c>
      <c r="AH93" s="713">
        <f>GA!AD759</f>
        <v>0</v>
      </c>
      <c r="AI93" s="713">
        <f>GA!AE759</f>
        <v>0</v>
      </c>
      <c r="AJ93" s="713">
        <f>GA!AF759</f>
        <v>0</v>
      </c>
      <c r="AK93" s="713">
        <f>GA!AG759</f>
        <v>0</v>
      </c>
      <c r="AL93" s="713">
        <f>GA!AH759</f>
        <v>0</v>
      </c>
      <c r="AM93" s="713">
        <f>GA!AI759</f>
        <v>0</v>
      </c>
    </row>
    <row r="94" spans="17:39">
      <c r="Q94" s="844"/>
      <c r="R94" s="845">
        <f>GA!H760</f>
        <v>1.1500000000000001</v>
      </c>
      <c r="S94" s="853">
        <f>GA!I760</f>
        <v>0</v>
      </c>
      <c r="T94" s="854">
        <f>GA!J760</f>
        <v>0</v>
      </c>
      <c r="U94" s="854">
        <f>GA!K760</f>
        <v>0</v>
      </c>
      <c r="V94" s="854">
        <f>GA!L760</f>
        <v>0</v>
      </c>
      <c r="W94" s="854">
        <f>GA!M760</f>
        <v>0</v>
      </c>
      <c r="X94" s="854">
        <f>GA!N760</f>
        <v>0</v>
      </c>
      <c r="Y94" s="854">
        <f>GA!O760</f>
        <v>0</v>
      </c>
      <c r="Z94" s="853">
        <f>GA!S760</f>
        <v>0</v>
      </c>
      <c r="AA94" s="854">
        <f>GA!T760</f>
        <v>0</v>
      </c>
      <c r="AB94" s="854">
        <f>GA!U760</f>
        <v>0</v>
      </c>
      <c r="AC94" s="854">
        <f>GA!V760</f>
        <v>0</v>
      </c>
      <c r="AD94" s="854">
        <f>GA!W760</f>
        <v>0</v>
      </c>
      <c r="AE94" s="854">
        <f>GA!X760</f>
        <v>0</v>
      </c>
      <c r="AF94" s="854">
        <f>GA!Y760</f>
        <v>0</v>
      </c>
      <c r="AG94" s="853">
        <f>GA!AC760</f>
        <v>0</v>
      </c>
      <c r="AH94" s="854">
        <f>GA!AD760</f>
        <v>0</v>
      </c>
      <c r="AI94" s="854">
        <f>GA!AE760</f>
        <v>0</v>
      </c>
      <c r="AJ94" s="854">
        <f>GA!AF760</f>
        <v>0</v>
      </c>
      <c r="AK94" s="854">
        <f>GA!AG760</f>
        <v>0</v>
      </c>
      <c r="AL94" s="854">
        <f>GA!AH760</f>
        <v>0</v>
      </c>
      <c r="AM94" s="854">
        <f>GA!AI760</f>
        <v>0</v>
      </c>
    </row>
    <row r="96" spans="17:39">
      <c r="Q96" s="582" t="s">
        <v>1313</v>
      </c>
      <c r="R96" s="504"/>
      <c r="S96" s="504"/>
      <c r="T96" s="504"/>
      <c r="U96" s="504"/>
      <c r="V96" s="504"/>
      <c r="W96" s="504"/>
      <c r="X96" s="504"/>
      <c r="Y96" s="504"/>
      <c r="Z96" s="857"/>
      <c r="AA96" s="857"/>
      <c r="AB96" s="857"/>
      <c r="AC96" s="857"/>
      <c r="AD96" s="857"/>
      <c r="AE96" s="857"/>
      <c r="AF96" s="857"/>
      <c r="AG96" s="857"/>
      <c r="AH96" s="857"/>
      <c r="AI96" s="857"/>
      <c r="AJ96" s="857"/>
      <c r="AK96" s="857"/>
      <c r="AL96" s="857"/>
      <c r="AM96" s="858"/>
    </row>
    <row r="97" spans="17:39">
      <c r="Q97" s="258" t="s">
        <v>968</v>
      </c>
      <c r="R97" s="258"/>
      <c r="S97" s="258"/>
      <c r="T97" s="258"/>
      <c r="U97" s="258"/>
      <c r="V97" s="258"/>
      <c r="W97" s="258"/>
      <c r="X97" s="258"/>
      <c r="Y97" s="258"/>
    </row>
    <row r="98" spans="17:39" ht="17.25">
      <c r="Z98" s="833" t="s">
        <v>1171</v>
      </c>
      <c r="AA98" s="131"/>
      <c r="AB98" s="131"/>
      <c r="AC98" s="131"/>
      <c r="AD98" s="131"/>
      <c r="AE98" s="131"/>
      <c r="AF98" s="131"/>
      <c r="AG98" s="131"/>
      <c r="AH98" s="131"/>
      <c r="AI98" s="131"/>
      <c r="AJ98" s="131"/>
      <c r="AK98" s="131"/>
      <c r="AL98" s="131"/>
      <c r="AM98" s="131"/>
    </row>
    <row r="99" spans="17:39" ht="17.25">
      <c r="Y99" s="39" t="s">
        <v>573</v>
      </c>
      <c r="Z99" s="849" t="s">
        <v>972</v>
      </c>
      <c r="AA99" s="836"/>
      <c r="AB99" s="836"/>
      <c r="AC99" s="836"/>
      <c r="AD99" s="836"/>
      <c r="AE99" s="836"/>
      <c r="AF99" s="836"/>
      <c r="AG99" s="835" t="s">
        <v>1174</v>
      </c>
      <c r="AH99" s="836"/>
      <c r="AI99" s="836"/>
      <c r="AJ99" s="836"/>
      <c r="AK99" s="836"/>
      <c r="AL99" s="836"/>
      <c r="AM99" s="836"/>
    </row>
    <row r="100" spans="17:39">
      <c r="Y100" s="39" t="s">
        <v>1314</v>
      </c>
      <c r="Z100" s="1219">
        <f>$AC$100+GA!S763</f>
        <v>0.35</v>
      </c>
      <c r="AA100" s="1219">
        <f>$AC$100+GA!T763</f>
        <v>0.4</v>
      </c>
      <c r="AB100" s="1219">
        <f>$AC$100+GA!U763</f>
        <v>0.45</v>
      </c>
      <c r="AC100" s="1219">
        <f>GA!G500</f>
        <v>0.5</v>
      </c>
      <c r="AD100" s="1219">
        <f>$AC$100+GA!W763</f>
        <v>0.55000000000000004</v>
      </c>
      <c r="AE100" s="1219">
        <f>$AC$100+GA!X763</f>
        <v>0.6</v>
      </c>
      <c r="AF100" s="1219">
        <f>$AC$100+GA!Y763</f>
        <v>0.65</v>
      </c>
      <c r="AG100" s="1219">
        <f>Z100</f>
        <v>0.35</v>
      </c>
      <c r="AH100" s="1219">
        <f t="shared" ref="AH100:AM100" si="4">AA100</f>
        <v>0.4</v>
      </c>
      <c r="AI100" s="1219">
        <f t="shared" si="4"/>
        <v>0.45</v>
      </c>
      <c r="AJ100" s="1219">
        <f t="shared" si="4"/>
        <v>0.5</v>
      </c>
      <c r="AK100" s="1219">
        <f t="shared" si="4"/>
        <v>0.55000000000000004</v>
      </c>
      <c r="AL100" s="1219">
        <f t="shared" si="4"/>
        <v>0.6</v>
      </c>
      <c r="AM100" s="1219">
        <f t="shared" si="4"/>
        <v>0.65</v>
      </c>
    </row>
    <row r="101" spans="17:39">
      <c r="Y101" s="1220">
        <f>GA!R764*10000</f>
        <v>-30</v>
      </c>
      <c r="Z101" s="851">
        <f>GA!S764</f>
        <v>0</v>
      </c>
      <c r="AA101" s="852">
        <f>GA!T764</f>
        <v>0</v>
      </c>
      <c r="AB101" s="852">
        <f>GA!U764</f>
        <v>0</v>
      </c>
      <c r="AC101" s="852">
        <f>GA!V764</f>
        <v>0</v>
      </c>
      <c r="AD101" s="852">
        <f>GA!W764</f>
        <v>0</v>
      </c>
      <c r="AE101" s="852">
        <f>GA!X764</f>
        <v>0</v>
      </c>
      <c r="AF101" s="852">
        <f>GA!Y764</f>
        <v>0</v>
      </c>
      <c r="AG101" s="851">
        <f>GA!AC764</f>
        <v>0</v>
      </c>
      <c r="AH101" s="852">
        <f>GA!AD764</f>
        <v>0</v>
      </c>
      <c r="AI101" s="852">
        <f>GA!AE764</f>
        <v>0</v>
      </c>
      <c r="AJ101" s="852">
        <f>GA!AF764</f>
        <v>0</v>
      </c>
      <c r="AK101" s="852">
        <f>GA!AG764</f>
        <v>0</v>
      </c>
      <c r="AL101" s="852">
        <f>GA!AH764</f>
        <v>0</v>
      </c>
      <c r="AM101" s="852">
        <f>GA!AI764</f>
        <v>0</v>
      </c>
    </row>
    <row r="102" spans="17:39">
      <c r="Y102" s="1220">
        <f>GA!R765*10000</f>
        <v>-20</v>
      </c>
      <c r="Z102" s="855">
        <f>GA!S765</f>
        <v>0</v>
      </c>
      <c r="AA102" s="713">
        <f>GA!T765</f>
        <v>0</v>
      </c>
      <c r="AB102" s="713">
        <f>GA!U765</f>
        <v>0</v>
      </c>
      <c r="AC102" s="713">
        <f>GA!V765</f>
        <v>0</v>
      </c>
      <c r="AD102" s="713">
        <f>GA!W765</f>
        <v>0</v>
      </c>
      <c r="AE102" s="713">
        <f>GA!X765</f>
        <v>0</v>
      </c>
      <c r="AF102" s="713">
        <f>GA!Y765</f>
        <v>0</v>
      </c>
      <c r="AG102" s="855">
        <f>GA!AC765</f>
        <v>0</v>
      </c>
      <c r="AH102" s="713">
        <f>GA!AD765</f>
        <v>0</v>
      </c>
      <c r="AI102" s="713">
        <f>GA!AE765</f>
        <v>0</v>
      </c>
      <c r="AJ102" s="713">
        <f>GA!AF765</f>
        <v>0</v>
      </c>
      <c r="AK102" s="713">
        <f>GA!AG765</f>
        <v>0</v>
      </c>
      <c r="AL102" s="713">
        <f>GA!AH765</f>
        <v>0</v>
      </c>
      <c r="AM102" s="713">
        <f>GA!AI765</f>
        <v>0</v>
      </c>
    </row>
    <row r="103" spans="17:39">
      <c r="Y103" s="1220">
        <f>GA!R766*10000</f>
        <v>-10</v>
      </c>
      <c r="Z103" s="855">
        <f>GA!S766</f>
        <v>0</v>
      </c>
      <c r="AA103" s="713">
        <f>GA!T766</f>
        <v>0</v>
      </c>
      <c r="AB103" s="713">
        <f>GA!U766</f>
        <v>0</v>
      </c>
      <c r="AC103" s="713">
        <f>GA!V766</f>
        <v>0</v>
      </c>
      <c r="AD103" s="713">
        <f>GA!W766</f>
        <v>0</v>
      </c>
      <c r="AE103" s="713">
        <f>GA!X766</f>
        <v>0</v>
      </c>
      <c r="AF103" s="713">
        <f>GA!Y766</f>
        <v>0</v>
      </c>
      <c r="AG103" s="855">
        <f>GA!AC766</f>
        <v>0</v>
      </c>
      <c r="AH103" s="713">
        <f>GA!AD766</f>
        <v>0</v>
      </c>
      <c r="AI103" s="713">
        <f>GA!AE766</f>
        <v>0</v>
      </c>
      <c r="AJ103" s="713">
        <f>GA!AF766</f>
        <v>0</v>
      </c>
      <c r="AK103" s="713">
        <f>GA!AG766</f>
        <v>0</v>
      </c>
      <c r="AL103" s="713">
        <f>GA!AH766</f>
        <v>0</v>
      </c>
      <c r="AM103" s="713">
        <f>GA!AI766</f>
        <v>0</v>
      </c>
    </row>
    <row r="104" spans="17:39">
      <c r="Y104" s="1220">
        <f>GA!R767*10000</f>
        <v>0</v>
      </c>
      <c r="Z104" s="1459">
        <f>GA!S767</f>
        <v>0</v>
      </c>
      <c r="AA104" s="1458">
        <f>GA!T767</f>
        <v>0</v>
      </c>
      <c r="AB104" s="1458">
        <f>GA!U767</f>
        <v>0</v>
      </c>
      <c r="AC104" s="856">
        <f>GA!V767</f>
        <v>0</v>
      </c>
      <c r="AD104" s="1458">
        <f>GA!W767</f>
        <v>0</v>
      </c>
      <c r="AE104" s="1458">
        <f>GA!X767</f>
        <v>0</v>
      </c>
      <c r="AF104" s="1458">
        <f>GA!Y767</f>
        <v>0</v>
      </c>
      <c r="AG104" s="1459">
        <f>GA!AC767</f>
        <v>0</v>
      </c>
      <c r="AH104" s="1458">
        <f>GA!AD767</f>
        <v>0</v>
      </c>
      <c r="AI104" s="1458">
        <f>GA!AE767</f>
        <v>0</v>
      </c>
      <c r="AJ104" s="856">
        <f>GA!AF767</f>
        <v>0</v>
      </c>
      <c r="AK104" s="1458">
        <f>GA!AG767</f>
        <v>0</v>
      </c>
      <c r="AL104" s="1458">
        <f>GA!AH767</f>
        <v>0</v>
      </c>
      <c r="AM104" s="1458">
        <f>GA!AI767</f>
        <v>0</v>
      </c>
    </row>
    <row r="105" spans="17:39">
      <c r="Y105" s="1220">
        <f>GA!R768*10000</f>
        <v>10</v>
      </c>
      <c r="Z105" s="855">
        <f>GA!S768</f>
        <v>0</v>
      </c>
      <c r="AA105" s="713">
        <f>GA!T768</f>
        <v>0</v>
      </c>
      <c r="AB105" s="713">
        <f>GA!U768</f>
        <v>0</v>
      </c>
      <c r="AC105" s="713">
        <f>GA!V768</f>
        <v>0</v>
      </c>
      <c r="AD105" s="713">
        <f>GA!W768</f>
        <v>0</v>
      </c>
      <c r="AE105" s="713">
        <f>GA!X768</f>
        <v>0</v>
      </c>
      <c r="AF105" s="713">
        <f>GA!Y768</f>
        <v>0</v>
      </c>
      <c r="AG105" s="855">
        <f>GA!AC768</f>
        <v>0</v>
      </c>
      <c r="AH105" s="713">
        <f>GA!AD768</f>
        <v>0</v>
      </c>
      <c r="AI105" s="713">
        <f>GA!AE768</f>
        <v>0</v>
      </c>
      <c r="AJ105" s="713">
        <f>GA!AF768</f>
        <v>0</v>
      </c>
      <c r="AK105" s="713">
        <f>GA!AG768</f>
        <v>0</v>
      </c>
      <c r="AL105" s="713">
        <f>GA!AH768</f>
        <v>0</v>
      </c>
      <c r="AM105" s="713">
        <f>GA!AI768</f>
        <v>0</v>
      </c>
    </row>
    <row r="106" spans="17:39">
      <c r="Y106" s="1220">
        <f>GA!R769*10000</f>
        <v>20</v>
      </c>
      <c r="Z106" s="855">
        <f>GA!S769</f>
        <v>0</v>
      </c>
      <c r="AA106" s="713">
        <f>GA!T769</f>
        <v>0</v>
      </c>
      <c r="AB106" s="713">
        <f>GA!U769</f>
        <v>0</v>
      </c>
      <c r="AC106" s="713">
        <f>GA!V769</f>
        <v>0</v>
      </c>
      <c r="AD106" s="713">
        <f>GA!W769</f>
        <v>0</v>
      </c>
      <c r="AE106" s="713">
        <f>GA!X769</f>
        <v>0</v>
      </c>
      <c r="AF106" s="713">
        <f>GA!Y769</f>
        <v>0</v>
      </c>
      <c r="AG106" s="855">
        <f>GA!AC769</f>
        <v>0</v>
      </c>
      <c r="AH106" s="713">
        <f>GA!AD769</f>
        <v>0</v>
      </c>
      <c r="AI106" s="713">
        <f>GA!AE769</f>
        <v>0</v>
      </c>
      <c r="AJ106" s="713">
        <f>GA!AF769</f>
        <v>0</v>
      </c>
      <c r="AK106" s="713">
        <f>GA!AG769</f>
        <v>0</v>
      </c>
      <c r="AL106" s="713">
        <f>GA!AH769</f>
        <v>0</v>
      </c>
      <c r="AM106" s="713">
        <f>GA!AI769</f>
        <v>0</v>
      </c>
    </row>
    <row r="107" spans="17:39">
      <c r="Y107" s="1220">
        <f>GA!R770*10000</f>
        <v>30</v>
      </c>
      <c r="Z107" s="853">
        <f>GA!S770</f>
        <v>0</v>
      </c>
      <c r="AA107" s="854">
        <f>GA!T770</f>
        <v>0</v>
      </c>
      <c r="AB107" s="854">
        <f>GA!U770</f>
        <v>0</v>
      </c>
      <c r="AC107" s="854">
        <f>GA!V770</f>
        <v>0</v>
      </c>
      <c r="AD107" s="854">
        <f>GA!W770</f>
        <v>0</v>
      </c>
      <c r="AE107" s="854">
        <f>GA!X770</f>
        <v>0</v>
      </c>
      <c r="AF107" s="854">
        <f>GA!Y770</f>
        <v>0</v>
      </c>
      <c r="AG107" s="853">
        <f>GA!AC770</f>
        <v>0</v>
      </c>
      <c r="AH107" s="854">
        <f>GA!AD770</f>
        <v>0</v>
      </c>
      <c r="AI107" s="854">
        <f>GA!AE770</f>
        <v>0</v>
      </c>
      <c r="AJ107" s="854">
        <f>GA!AF770</f>
        <v>0</v>
      </c>
      <c r="AK107" s="854">
        <f>GA!AG770</f>
        <v>0</v>
      </c>
      <c r="AL107" s="854">
        <f>GA!AH770</f>
        <v>0</v>
      </c>
      <c r="AM107" s="854">
        <f>GA!AI770</f>
        <v>0</v>
      </c>
    </row>
    <row r="109" spans="17:39">
      <c r="Q109" s="582" t="s">
        <v>1172</v>
      </c>
      <c r="R109" s="504"/>
      <c r="S109" s="504"/>
      <c r="T109" s="504"/>
      <c r="U109" s="504"/>
      <c r="V109" s="504"/>
      <c r="W109" s="504"/>
      <c r="X109" s="504"/>
      <c r="Y109" s="504"/>
      <c r="Z109" s="857"/>
      <c r="AA109" s="857"/>
      <c r="AB109" s="857"/>
      <c r="AC109" s="857"/>
      <c r="AD109" s="857"/>
      <c r="AE109" s="857"/>
      <c r="AF109" s="857"/>
      <c r="AG109" s="857"/>
      <c r="AH109" s="857"/>
      <c r="AI109" s="857"/>
      <c r="AJ109" s="857"/>
      <c r="AK109" s="857"/>
      <c r="AL109" s="857"/>
      <c r="AM109" s="858"/>
    </row>
    <row r="110" spans="17:39">
      <c r="Q110" s="258" t="s">
        <v>968</v>
      </c>
      <c r="R110" s="258"/>
      <c r="S110" s="258"/>
      <c r="T110" s="258"/>
      <c r="U110" s="258"/>
      <c r="V110" s="258"/>
      <c r="W110" s="258"/>
      <c r="X110" s="258"/>
      <c r="Y110" s="258"/>
    </row>
    <row r="111" spans="17:39" ht="17.25">
      <c r="Q111" s="258"/>
      <c r="R111" s="258"/>
      <c r="S111" s="833" t="s">
        <v>975</v>
      </c>
      <c r="T111" s="832"/>
      <c r="U111" s="832"/>
      <c r="V111" s="832"/>
      <c r="W111" s="832"/>
      <c r="X111" s="832"/>
      <c r="Y111" s="832"/>
      <c r="Z111" s="131"/>
      <c r="AA111" s="131"/>
      <c r="AB111" s="131"/>
      <c r="AC111" s="131"/>
      <c r="AD111" s="131"/>
      <c r="AE111" s="131"/>
      <c r="AF111" s="131"/>
      <c r="AG111" s="131"/>
      <c r="AH111" s="131"/>
      <c r="AI111" s="131"/>
      <c r="AJ111" s="131"/>
      <c r="AK111" s="131"/>
      <c r="AL111" s="131"/>
      <c r="AM111" s="131"/>
    </row>
    <row r="112" spans="17:39" ht="17.25">
      <c r="Q112" s="833"/>
      <c r="R112" s="848" t="s">
        <v>1173</v>
      </c>
      <c r="S112" s="849" t="s">
        <v>971</v>
      </c>
      <c r="T112" s="836"/>
      <c r="U112" s="836"/>
      <c r="V112" s="836"/>
      <c r="W112" s="836"/>
      <c r="X112" s="836"/>
      <c r="Y112" s="836"/>
      <c r="Z112" s="849" t="s">
        <v>972</v>
      </c>
      <c r="AA112" s="836"/>
      <c r="AB112" s="836"/>
      <c r="AC112" s="836"/>
      <c r="AD112" s="836"/>
      <c r="AE112" s="836"/>
      <c r="AF112" s="836"/>
      <c r="AG112" s="835" t="s">
        <v>1174</v>
      </c>
      <c r="AH112" s="836"/>
      <c r="AI112" s="836"/>
      <c r="AJ112" s="836"/>
      <c r="AK112" s="836"/>
      <c r="AL112" s="836"/>
      <c r="AM112" s="836"/>
    </row>
    <row r="113" spans="17:39" ht="17.25">
      <c r="Q113" s="833"/>
      <c r="R113" s="848"/>
      <c r="S113" s="708">
        <f>GA!I773</f>
        <v>6.666666666666667</v>
      </c>
      <c r="T113" s="708">
        <f>GA!J773</f>
        <v>10</v>
      </c>
      <c r="U113" s="708">
        <f>GA!K773</f>
        <v>13.333333333333334</v>
      </c>
      <c r="V113" s="708">
        <f>GA!L773</f>
        <v>16.666666666666668</v>
      </c>
      <c r="W113" s="708">
        <f>GA!M773</f>
        <v>20</v>
      </c>
      <c r="X113" s="708">
        <f>GA!N773</f>
        <v>23.333333333333332</v>
      </c>
      <c r="Y113" s="708">
        <f>GA!O773</f>
        <v>26.666666666666668</v>
      </c>
      <c r="Z113" s="708">
        <f>GA!S773</f>
        <v>6.666666666666667</v>
      </c>
      <c r="AA113" s="708">
        <f>GA!T773</f>
        <v>10</v>
      </c>
      <c r="AB113" s="708">
        <f>GA!U773</f>
        <v>13.333333333333334</v>
      </c>
      <c r="AC113" s="708">
        <f>GA!V773</f>
        <v>16.666666666666668</v>
      </c>
      <c r="AD113" s="708">
        <f>GA!W773</f>
        <v>20</v>
      </c>
      <c r="AE113" s="708">
        <f>GA!X773</f>
        <v>23.333333333333332</v>
      </c>
      <c r="AF113" s="708">
        <f>GA!Y773</f>
        <v>26.666666666666668</v>
      </c>
      <c r="AG113" s="708">
        <f>GA!AC773</f>
        <v>6.666666666666667</v>
      </c>
      <c r="AH113" s="708">
        <f>GA!AD773</f>
        <v>10</v>
      </c>
      <c r="AI113" s="708">
        <f>GA!AE773</f>
        <v>13.333333333333334</v>
      </c>
      <c r="AJ113" s="708">
        <f>GA!AF773</f>
        <v>16.666666666666668</v>
      </c>
      <c r="AK113" s="708">
        <f>GA!AG773</f>
        <v>20</v>
      </c>
      <c r="AL113" s="708">
        <f>GA!AH773</f>
        <v>23.333333333333332</v>
      </c>
      <c r="AM113" s="708">
        <f>GA!AI773</f>
        <v>26.666666666666668</v>
      </c>
    </row>
    <row r="114" spans="17:39">
      <c r="Q114" s="837"/>
      <c r="R114" s="837" t="s">
        <v>977</v>
      </c>
      <c r="S114" s="850">
        <f>GA!I774</f>
        <v>2000000</v>
      </c>
      <c r="T114" s="850">
        <f>GA!J774</f>
        <v>3000000</v>
      </c>
      <c r="U114" s="850">
        <f>GA!K774</f>
        <v>4000000</v>
      </c>
      <c r="V114" s="850">
        <f>GA!L774</f>
        <v>5000000</v>
      </c>
      <c r="W114" s="850">
        <f>GA!M774</f>
        <v>6000000</v>
      </c>
      <c r="X114" s="850">
        <f>GA!N774</f>
        <v>7000000</v>
      </c>
      <c r="Y114" s="850">
        <f>GA!O774</f>
        <v>8000000</v>
      </c>
      <c r="Z114" s="850">
        <f>GA!S774</f>
        <v>2000000</v>
      </c>
      <c r="AA114" s="850">
        <f>GA!T774</f>
        <v>3000000</v>
      </c>
      <c r="AB114" s="850">
        <f>GA!U774</f>
        <v>4000000</v>
      </c>
      <c r="AC114" s="850">
        <f>GA!V774</f>
        <v>5000000</v>
      </c>
      <c r="AD114" s="850">
        <f>GA!W774</f>
        <v>6000000</v>
      </c>
      <c r="AE114" s="850">
        <f>GA!X774</f>
        <v>7000000</v>
      </c>
      <c r="AF114" s="850">
        <f>GA!Y774</f>
        <v>8000000</v>
      </c>
      <c r="AG114" s="850">
        <f>GA!AC774</f>
        <v>2000000</v>
      </c>
      <c r="AH114" s="850">
        <f>GA!AD774</f>
        <v>3000000</v>
      </c>
      <c r="AI114" s="850">
        <f>GA!AE774</f>
        <v>4000000</v>
      </c>
      <c r="AJ114" s="850">
        <f>GA!AF774</f>
        <v>5000000</v>
      </c>
      <c r="AK114" s="850">
        <f>GA!AG774</f>
        <v>6000000</v>
      </c>
      <c r="AL114" s="850">
        <f>GA!AH774</f>
        <v>7000000</v>
      </c>
      <c r="AM114" s="850">
        <f>GA!AI774</f>
        <v>8000000</v>
      </c>
    </row>
    <row r="115" spans="17:39">
      <c r="Q115" s="840"/>
      <c r="R115" s="1118">
        <f>GA!H775</f>
        <v>-1.5</v>
      </c>
      <c r="S115" s="851">
        <f>GA!I775</f>
        <v>0</v>
      </c>
      <c r="T115" s="852">
        <f>GA!J775</f>
        <v>0</v>
      </c>
      <c r="U115" s="852">
        <f>GA!K775</f>
        <v>0</v>
      </c>
      <c r="V115" s="852">
        <f>GA!L775</f>
        <v>0</v>
      </c>
      <c r="W115" s="852">
        <f>GA!M775</f>
        <v>0</v>
      </c>
      <c r="X115" s="852">
        <f>GA!N775</f>
        <v>0</v>
      </c>
      <c r="Y115" s="852">
        <f>GA!O775</f>
        <v>0</v>
      </c>
      <c r="Z115" s="851">
        <f>GA!S775</f>
        <v>0</v>
      </c>
      <c r="AA115" s="852">
        <f>GA!T775</f>
        <v>0</v>
      </c>
      <c r="AB115" s="852">
        <f>GA!U775</f>
        <v>0</v>
      </c>
      <c r="AC115" s="852">
        <f>GA!V775</f>
        <v>0</v>
      </c>
      <c r="AD115" s="852">
        <f>GA!W775</f>
        <v>0</v>
      </c>
      <c r="AE115" s="852">
        <f>GA!X775</f>
        <v>0</v>
      </c>
      <c r="AF115" s="852">
        <f>GA!Y775</f>
        <v>0</v>
      </c>
      <c r="AG115" s="851">
        <f>GA!AC775</f>
        <v>0</v>
      </c>
      <c r="AH115" s="852">
        <f>GA!AD775</f>
        <v>0</v>
      </c>
      <c r="AI115" s="852">
        <f>GA!AE775</f>
        <v>0</v>
      </c>
      <c r="AJ115" s="852">
        <f>GA!AF775</f>
        <v>0</v>
      </c>
      <c r="AK115" s="852">
        <f>GA!AG775</f>
        <v>0</v>
      </c>
      <c r="AL115" s="852">
        <f>GA!AH775</f>
        <v>0</v>
      </c>
      <c r="AM115" s="852">
        <f>GA!AI775</f>
        <v>0</v>
      </c>
    </row>
    <row r="116" spans="17:39">
      <c r="Q116" s="844"/>
      <c r="R116" s="1118">
        <f>GA!H776</f>
        <v>-1</v>
      </c>
      <c r="S116" s="853">
        <f>GA!I776</f>
        <v>0</v>
      </c>
      <c r="T116" s="854">
        <f>GA!J776</f>
        <v>0</v>
      </c>
      <c r="U116" s="713">
        <f>GA!K776</f>
        <v>0</v>
      </c>
      <c r="V116" s="713">
        <f>GA!L776</f>
        <v>0</v>
      </c>
      <c r="W116" s="713">
        <f>GA!M776</f>
        <v>0</v>
      </c>
      <c r="X116" s="713">
        <f>GA!N776</f>
        <v>0</v>
      </c>
      <c r="Y116" s="713">
        <f>GA!O776</f>
        <v>0</v>
      </c>
      <c r="Z116" s="855">
        <f>GA!S776</f>
        <v>0</v>
      </c>
      <c r="AA116" s="713">
        <f>GA!T776</f>
        <v>0</v>
      </c>
      <c r="AB116" s="713">
        <f>GA!U776</f>
        <v>0</v>
      </c>
      <c r="AC116" s="713">
        <f>GA!V776</f>
        <v>0</v>
      </c>
      <c r="AD116" s="713">
        <f>GA!W776</f>
        <v>0</v>
      </c>
      <c r="AE116" s="713">
        <f>GA!X776</f>
        <v>0</v>
      </c>
      <c r="AF116" s="713">
        <f>GA!Y776</f>
        <v>0</v>
      </c>
      <c r="AG116" s="855">
        <f>GA!AC776</f>
        <v>0</v>
      </c>
      <c r="AH116" s="713">
        <f>GA!AD776</f>
        <v>0</v>
      </c>
      <c r="AI116" s="713">
        <f>GA!AE776</f>
        <v>0</v>
      </c>
      <c r="AJ116" s="713">
        <f>GA!AF776</f>
        <v>0</v>
      </c>
      <c r="AK116" s="713">
        <f>GA!AG776</f>
        <v>0</v>
      </c>
      <c r="AL116" s="713">
        <f>GA!AH776</f>
        <v>0</v>
      </c>
      <c r="AM116" s="713">
        <f>GA!AI776</f>
        <v>0</v>
      </c>
    </row>
    <row r="117" spans="17:39">
      <c r="Q117" s="844"/>
      <c r="R117" s="1118">
        <f>GA!H777</f>
        <v>-0.5</v>
      </c>
      <c r="S117" s="853">
        <f>GA!I777</f>
        <v>0</v>
      </c>
      <c r="T117" s="854">
        <f>GA!J777</f>
        <v>0</v>
      </c>
      <c r="U117" s="713">
        <f>GA!K777</f>
        <v>0</v>
      </c>
      <c r="V117" s="713">
        <f>GA!L777</f>
        <v>0</v>
      </c>
      <c r="W117" s="713">
        <f>GA!M777</f>
        <v>0</v>
      </c>
      <c r="X117" s="713">
        <f>GA!N777</f>
        <v>0</v>
      </c>
      <c r="Y117" s="713">
        <f>GA!O777</f>
        <v>0</v>
      </c>
      <c r="Z117" s="855">
        <f>GA!S777</f>
        <v>0</v>
      </c>
      <c r="AA117" s="713">
        <f>GA!T777</f>
        <v>0</v>
      </c>
      <c r="AB117" s="713">
        <f>GA!U777</f>
        <v>0</v>
      </c>
      <c r="AC117" s="713">
        <f>GA!V777</f>
        <v>0</v>
      </c>
      <c r="AD117" s="713">
        <f>GA!W777</f>
        <v>0</v>
      </c>
      <c r="AE117" s="713">
        <f>GA!X777</f>
        <v>0</v>
      </c>
      <c r="AF117" s="713">
        <f>GA!Y777</f>
        <v>0</v>
      </c>
      <c r="AG117" s="855">
        <f>GA!AC777</f>
        <v>0</v>
      </c>
      <c r="AH117" s="713">
        <f>GA!AD777</f>
        <v>0</v>
      </c>
      <c r="AI117" s="713">
        <f>GA!AE777</f>
        <v>0</v>
      </c>
      <c r="AJ117" s="713">
        <f>GA!AF777</f>
        <v>0</v>
      </c>
      <c r="AK117" s="713">
        <f>GA!AG777</f>
        <v>0</v>
      </c>
      <c r="AL117" s="713">
        <f>GA!AH777</f>
        <v>0</v>
      </c>
      <c r="AM117" s="713">
        <f>GA!AI777</f>
        <v>0</v>
      </c>
    </row>
    <row r="118" spans="17:39">
      <c r="Q118" s="844"/>
      <c r="R118" s="1118">
        <f>GA!H778</f>
        <v>0</v>
      </c>
      <c r="S118" s="1459">
        <f>GA!I778</f>
        <v>0</v>
      </c>
      <c r="T118" s="1458">
        <f>GA!J778</f>
        <v>0</v>
      </c>
      <c r="U118" s="1458">
        <f>GA!K778</f>
        <v>0</v>
      </c>
      <c r="V118" s="856">
        <f>GA!L778</f>
        <v>0</v>
      </c>
      <c r="W118" s="1458">
        <f>GA!M778</f>
        <v>0</v>
      </c>
      <c r="X118" s="1458">
        <f>GA!N778</f>
        <v>0</v>
      </c>
      <c r="Y118" s="1458">
        <f>GA!O778</f>
        <v>0</v>
      </c>
      <c r="Z118" s="1459">
        <f>GA!S778</f>
        <v>0</v>
      </c>
      <c r="AA118" s="1458">
        <f>GA!T778</f>
        <v>0</v>
      </c>
      <c r="AB118" s="1458">
        <f>GA!U778</f>
        <v>0</v>
      </c>
      <c r="AC118" s="856">
        <f>GA!V778</f>
        <v>0</v>
      </c>
      <c r="AD118" s="1458">
        <f>GA!W778</f>
        <v>0</v>
      </c>
      <c r="AE118" s="1458">
        <f>GA!X778</f>
        <v>0</v>
      </c>
      <c r="AF118" s="1458">
        <f>GA!Y778</f>
        <v>0</v>
      </c>
      <c r="AG118" s="1459">
        <f>GA!AC778</f>
        <v>0</v>
      </c>
      <c r="AH118" s="1458">
        <f>GA!AD778</f>
        <v>0</v>
      </c>
      <c r="AI118" s="1458">
        <f>GA!AE778</f>
        <v>0</v>
      </c>
      <c r="AJ118" s="856">
        <f>GA!AF778</f>
        <v>0</v>
      </c>
      <c r="AK118" s="1458">
        <f>GA!AG778</f>
        <v>0</v>
      </c>
      <c r="AL118" s="1458">
        <f>GA!AH778</f>
        <v>0</v>
      </c>
      <c r="AM118" s="1458">
        <f>GA!AI778</f>
        <v>0</v>
      </c>
    </row>
    <row r="119" spans="17:39">
      <c r="Q119" s="844"/>
      <c r="R119" s="1118">
        <f>GA!H779</f>
        <v>0.5</v>
      </c>
      <c r="S119" s="853">
        <f>GA!I779</f>
        <v>0</v>
      </c>
      <c r="T119" s="854">
        <f>GA!J779</f>
        <v>0</v>
      </c>
      <c r="U119" s="713">
        <f>GA!K779</f>
        <v>0</v>
      </c>
      <c r="V119" s="713">
        <f>GA!L779</f>
        <v>0</v>
      </c>
      <c r="W119" s="713">
        <f>GA!M779</f>
        <v>0</v>
      </c>
      <c r="X119" s="713">
        <f>GA!N779</f>
        <v>0</v>
      </c>
      <c r="Y119" s="713">
        <f>GA!O779</f>
        <v>0</v>
      </c>
      <c r="Z119" s="855">
        <f>GA!S779</f>
        <v>0</v>
      </c>
      <c r="AA119" s="713">
        <f>GA!T779</f>
        <v>0</v>
      </c>
      <c r="AB119" s="713">
        <f>GA!U779</f>
        <v>0</v>
      </c>
      <c r="AC119" s="713">
        <f>GA!V779</f>
        <v>0</v>
      </c>
      <c r="AD119" s="713">
        <f>GA!W779</f>
        <v>0</v>
      </c>
      <c r="AE119" s="713">
        <f>GA!X779</f>
        <v>0</v>
      </c>
      <c r="AF119" s="713">
        <f>GA!Y779</f>
        <v>0</v>
      </c>
      <c r="AG119" s="855">
        <f>GA!AC779</f>
        <v>0</v>
      </c>
      <c r="AH119" s="713">
        <f>GA!AD779</f>
        <v>0</v>
      </c>
      <c r="AI119" s="713">
        <f>GA!AE779</f>
        <v>0</v>
      </c>
      <c r="AJ119" s="713">
        <f>GA!AF779</f>
        <v>0</v>
      </c>
      <c r="AK119" s="713">
        <f>GA!AG779</f>
        <v>0</v>
      </c>
      <c r="AL119" s="713">
        <f>GA!AH779</f>
        <v>0</v>
      </c>
      <c r="AM119" s="713">
        <f>GA!AI779</f>
        <v>0</v>
      </c>
    </row>
    <row r="120" spans="17:39">
      <c r="Q120" s="844"/>
      <c r="R120" s="1118">
        <f>GA!H780</f>
        <v>1</v>
      </c>
      <c r="S120" s="853">
        <f>GA!I780</f>
        <v>0</v>
      </c>
      <c r="T120" s="854">
        <f>GA!J780</f>
        <v>0</v>
      </c>
      <c r="U120" s="713">
        <f>GA!K780</f>
        <v>0</v>
      </c>
      <c r="V120" s="713">
        <f>GA!L780</f>
        <v>0</v>
      </c>
      <c r="W120" s="713">
        <f>GA!M780</f>
        <v>0</v>
      </c>
      <c r="X120" s="713">
        <f>GA!N780</f>
        <v>0</v>
      </c>
      <c r="Y120" s="713">
        <f>GA!O780</f>
        <v>0</v>
      </c>
      <c r="Z120" s="855">
        <f>GA!S780</f>
        <v>0</v>
      </c>
      <c r="AA120" s="713">
        <f>GA!T780</f>
        <v>0</v>
      </c>
      <c r="AB120" s="713">
        <f>GA!U780</f>
        <v>0</v>
      </c>
      <c r="AC120" s="713">
        <f>GA!V780</f>
        <v>0</v>
      </c>
      <c r="AD120" s="713">
        <f>GA!W780</f>
        <v>0</v>
      </c>
      <c r="AE120" s="713">
        <f>GA!X780</f>
        <v>0</v>
      </c>
      <c r="AF120" s="713">
        <f>GA!Y780</f>
        <v>0</v>
      </c>
      <c r="AG120" s="855">
        <f>GA!AC780</f>
        <v>0</v>
      </c>
      <c r="AH120" s="713">
        <f>GA!AD780</f>
        <v>0</v>
      </c>
      <c r="AI120" s="713">
        <f>GA!AE780</f>
        <v>0</v>
      </c>
      <c r="AJ120" s="713">
        <f>GA!AF780</f>
        <v>0</v>
      </c>
      <c r="AK120" s="713">
        <f>GA!AG780</f>
        <v>0</v>
      </c>
      <c r="AL120" s="713">
        <f>GA!AH780</f>
        <v>0</v>
      </c>
      <c r="AM120" s="713">
        <f>GA!AI780</f>
        <v>0</v>
      </c>
    </row>
    <row r="121" spans="17:39">
      <c r="Q121" s="844"/>
      <c r="R121" s="1118">
        <f>GA!H781</f>
        <v>1.5</v>
      </c>
      <c r="S121" s="853">
        <f>GA!I781</f>
        <v>0</v>
      </c>
      <c r="T121" s="854">
        <f>GA!J781</f>
        <v>0</v>
      </c>
      <c r="U121" s="854">
        <f>GA!K781</f>
        <v>0</v>
      </c>
      <c r="V121" s="854">
        <f>GA!L781</f>
        <v>0</v>
      </c>
      <c r="W121" s="854">
        <f>GA!M781</f>
        <v>0</v>
      </c>
      <c r="X121" s="854">
        <f>GA!N781</f>
        <v>0</v>
      </c>
      <c r="Y121" s="854">
        <f>GA!O781</f>
        <v>0</v>
      </c>
      <c r="Z121" s="853">
        <f>GA!S781</f>
        <v>0</v>
      </c>
      <c r="AA121" s="854">
        <f>GA!T781</f>
        <v>0</v>
      </c>
      <c r="AB121" s="854">
        <f>GA!U781</f>
        <v>0</v>
      </c>
      <c r="AC121" s="854">
        <f>GA!V781</f>
        <v>0</v>
      </c>
      <c r="AD121" s="854">
        <f>GA!W781</f>
        <v>0</v>
      </c>
      <c r="AE121" s="854">
        <f>GA!X781</f>
        <v>0</v>
      </c>
      <c r="AF121" s="854">
        <f>GA!Y781</f>
        <v>0</v>
      </c>
      <c r="AG121" s="853">
        <f>GA!AC781</f>
        <v>0</v>
      </c>
      <c r="AH121" s="854">
        <f>GA!AD781</f>
        <v>0</v>
      </c>
      <c r="AI121" s="854">
        <f>GA!AE781</f>
        <v>0</v>
      </c>
      <c r="AJ121" s="854">
        <f>GA!AF781</f>
        <v>0</v>
      </c>
      <c r="AK121" s="854">
        <f>GA!AG781</f>
        <v>0</v>
      </c>
      <c r="AL121" s="854">
        <f>GA!AH781</f>
        <v>0</v>
      </c>
      <c r="AM121" s="854">
        <f>GA!AI781</f>
        <v>0</v>
      </c>
    </row>
    <row r="123" spans="17:39">
      <c r="Q123" s="582" t="s">
        <v>980</v>
      </c>
      <c r="R123" s="504"/>
      <c r="S123" s="504"/>
      <c r="T123" s="504"/>
      <c r="U123" s="504"/>
      <c r="V123" s="504"/>
      <c r="W123" s="504"/>
      <c r="X123" s="504"/>
      <c r="Y123" s="504"/>
      <c r="Z123" s="857"/>
      <c r="AA123" s="857"/>
      <c r="AB123" s="857"/>
      <c r="AC123" s="857"/>
      <c r="AD123" s="857"/>
      <c r="AE123" s="857"/>
      <c r="AF123" s="857"/>
      <c r="AG123" s="857"/>
      <c r="AH123" s="857"/>
      <c r="AI123" s="857"/>
      <c r="AJ123" s="857"/>
      <c r="AK123" s="857"/>
      <c r="AL123" s="857"/>
      <c r="AM123" s="858"/>
    </row>
    <row r="124" spans="17:39">
      <c r="Q124" s="258" t="s">
        <v>968</v>
      </c>
      <c r="R124" s="258"/>
      <c r="S124" s="258"/>
      <c r="T124" s="258"/>
      <c r="U124" s="258"/>
      <c r="V124" s="258"/>
      <c r="W124" s="258"/>
      <c r="X124" s="258"/>
      <c r="Y124" s="258"/>
    </row>
    <row r="125" spans="17:39" ht="17.25">
      <c r="Q125" s="258"/>
      <c r="R125" s="258"/>
      <c r="S125" s="833" t="s">
        <v>975</v>
      </c>
      <c r="T125" s="832"/>
      <c r="U125" s="832"/>
      <c r="V125" s="832"/>
      <c r="W125" s="832"/>
      <c r="X125" s="832"/>
      <c r="Y125" s="832"/>
      <c r="Z125" s="131"/>
      <c r="AA125" s="131"/>
      <c r="AB125" s="131"/>
      <c r="AC125" s="131"/>
      <c r="AD125" s="131"/>
      <c r="AE125" s="131"/>
      <c r="AF125" s="131"/>
      <c r="AG125" s="131"/>
      <c r="AH125" s="131"/>
      <c r="AI125" s="131"/>
      <c r="AJ125" s="131"/>
      <c r="AK125" s="131"/>
      <c r="AL125" s="131"/>
      <c r="AM125" s="131"/>
    </row>
    <row r="126" spans="17:39" ht="17.25">
      <c r="Q126" s="833"/>
      <c r="R126" s="848" t="s">
        <v>981</v>
      </c>
      <c r="S126" s="849" t="s">
        <v>971</v>
      </c>
      <c r="T126" s="836"/>
      <c r="U126" s="836"/>
      <c r="V126" s="836"/>
      <c r="W126" s="836"/>
      <c r="X126" s="836"/>
      <c r="Y126" s="836"/>
      <c r="Z126" s="849" t="s">
        <v>972</v>
      </c>
      <c r="AA126" s="836"/>
      <c r="AB126" s="836"/>
      <c r="AC126" s="836"/>
      <c r="AD126" s="836"/>
      <c r="AE126" s="836"/>
      <c r="AF126" s="836"/>
      <c r="AG126" s="835" t="s">
        <v>1174</v>
      </c>
      <c r="AH126" s="836"/>
      <c r="AI126" s="836"/>
      <c r="AJ126" s="836"/>
      <c r="AK126" s="836"/>
      <c r="AL126" s="836"/>
      <c r="AM126" s="836"/>
    </row>
    <row r="127" spans="17:39" ht="17.25">
      <c r="Q127" s="833"/>
      <c r="R127" s="848"/>
      <c r="S127" s="708">
        <f>GA!I785</f>
        <v>6.666666666666667</v>
      </c>
      <c r="T127" s="708">
        <f>GA!J785</f>
        <v>10</v>
      </c>
      <c r="U127" s="708">
        <f>GA!K785</f>
        <v>13.333333333333334</v>
      </c>
      <c r="V127" s="708">
        <f>GA!L785</f>
        <v>16.666666666666668</v>
      </c>
      <c r="W127" s="708">
        <f>GA!M785</f>
        <v>20</v>
      </c>
      <c r="X127" s="708">
        <f>GA!N785</f>
        <v>23.333333333333332</v>
      </c>
      <c r="Y127" s="708">
        <f>GA!O785</f>
        <v>26.666666666666668</v>
      </c>
      <c r="Z127" s="708">
        <f>GA!S785</f>
        <v>6.666666666666667</v>
      </c>
      <c r="AA127" s="708">
        <f>GA!T785</f>
        <v>10</v>
      </c>
      <c r="AB127" s="708">
        <f>GA!U785</f>
        <v>13.333333333333334</v>
      </c>
      <c r="AC127" s="708">
        <f>GA!V785</f>
        <v>16.666666666666668</v>
      </c>
      <c r="AD127" s="708">
        <f>GA!W785</f>
        <v>20</v>
      </c>
      <c r="AE127" s="708">
        <f>GA!X785</f>
        <v>23.333333333333332</v>
      </c>
      <c r="AF127" s="708">
        <f>GA!Y785</f>
        <v>26.666666666666668</v>
      </c>
      <c r="AG127" s="708">
        <f>GA!AC785</f>
        <v>6.666666666666667</v>
      </c>
      <c r="AH127" s="708">
        <f>GA!AD785</f>
        <v>10</v>
      </c>
      <c r="AI127" s="708">
        <f>GA!AE785</f>
        <v>13.333333333333334</v>
      </c>
      <c r="AJ127" s="708">
        <f>GA!AF785</f>
        <v>16.666666666666668</v>
      </c>
      <c r="AK127" s="708">
        <f>GA!AG785</f>
        <v>20</v>
      </c>
      <c r="AL127" s="708">
        <f>GA!AH785</f>
        <v>23.333333333333332</v>
      </c>
      <c r="AM127" s="708">
        <f>GA!AI785</f>
        <v>26.666666666666668</v>
      </c>
    </row>
    <row r="128" spans="17:39">
      <c r="Q128" s="837"/>
      <c r="R128" s="837" t="s">
        <v>977</v>
      </c>
      <c r="S128" s="850">
        <f>GA!I786</f>
        <v>2000000</v>
      </c>
      <c r="T128" s="850">
        <f>GA!J786</f>
        <v>3000000</v>
      </c>
      <c r="U128" s="850">
        <f>GA!K786</f>
        <v>4000000</v>
      </c>
      <c r="V128" s="850">
        <f>GA!L786</f>
        <v>5000000</v>
      </c>
      <c r="W128" s="850">
        <f>GA!M786</f>
        <v>6000000</v>
      </c>
      <c r="X128" s="850">
        <f>GA!N786</f>
        <v>7000000</v>
      </c>
      <c r="Y128" s="850">
        <f>GA!O786</f>
        <v>8000000</v>
      </c>
      <c r="Z128" s="850">
        <f>GA!S786</f>
        <v>2000000</v>
      </c>
      <c r="AA128" s="850">
        <f>GA!T786</f>
        <v>3000000</v>
      </c>
      <c r="AB128" s="850">
        <f>GA!U786</f>
        <v>4000000</v>
      </c>
      <c r="AC128" s="850">
        <f>GA!V786</f>
        <v>5000000</v>
      </c>
      <c r="AD128" s="850">
        <f>GA!W786</f>
        <v>6000000</v>
      </c>
      <c r="AE128" s="850">
        <f>GA!X786</f>
        <v>7000000</v>
      </c>
      <c r="AF128" s="850">
        <f>GA!Y786</f>
        <v>8000000</v>
      </c>
      <c r="AG128" s="850">
        <f>GA!AC786</f>
        <v>2000000</v>
      </c>
      <c r="AH128" s="850">
        <f>GA!AD786</f>
        <v>3000000</v>
      </c>
      <c r="AI128" s="850">
        <f>GA!AE786</f>
        <v>4000000</v>
      </c>
      <c r="AJ128" s="850">
        <f>GA!AF786</f>
        <v>5000000</v>
      </c>
      <c r="AK128" s="850">
        <f>GA!AG786</f>
        <v>6000000</v>
      </c>
      <c r="AL128" s="850">
        <f>GA!AH786</f>
        <v>7000000</v>
      </c>
      <c r="AM128" s="850">
        <f>GA!AI786</f>
        <v>8000000</v>
      </c>
    </row>
    <row r="129" spans="17:39">
      <c r="Q129" s="840"/>
      <c r="R129" s="859">
        <f>GA!H787</f>
        <v>3</v>
      </c>
      <c r="S129" s="851">
        <f>GA!I787</f>
        <v>0</v>
      </c>
      <c r="T129" s="852">
        <f>GA!J787</f>
        <v>0</v>
      </c>
      <c r="U129" s="852">
        <f>GA!K787</f>
        <v>0</v>
      </c>
      <c r="V129" s="852">
        <f>GA!L787</f>
        <v>0</v>
      </c>
      <c r="W129" s="852">
        <f>GA!M787</f>
        <v>0</v>
      </c>
      <c r="X129" s="852">
        <f>GA!N787</f>
        <v>0</v>
      </c>
      <c r="Y129" s="852">
        <f>GA!O787</f>
        <v>0</v>
      </c>
      <c r="Z129" s="851">
        <f>GA!S787</f>
        <v>0</v>
      </c>
      <c r="AA129" s="852">
        <f>GA!T787</f>
        <v>0</v>
      </c>
      <c r="AB129" s="852">
        <f>GA!U787</f>
        <v>0</v>
      </c>
      <c r="AC129" s="852">
        <f>GA!V787</f>
        <v>0</v>
      </c>
      <c r="AD129" s="852">
        <f>GA!W787</f>
        <v>0</v>
      </c>
      <c r="AE129" s="852">
        <f>GA!X787</f>
        <v>0</v>
      </c>
      <c r="AF129" s="852">
        <f>GA!Y787</f>
        <v>0</v>
      </c>
      <c r="AG129" s="851">
        <f>GA!AC787</f>
        <v>0</v>
      </c>
      <c r="AH129" s="852">
        <f>GA!AD787</f>
        <v>0</v>
      </c>
      <c r="AI129" s="852">
        <f>GA!AE787</f>
        <v>0</v>
      </c>
      <c r="AJ129" s="852">
        <f>GA!AF787</f>
        <v>0</v>
      </c>
      <c r="AK129" s="852">
        <f>GA!AG787</f>
        <v>0</v>
      </c>
      <c r="AL129" s="852">
        <f>GA!AH787</f>
        <v>0</v>
      </c>
      <c r="AM129" s="852">
        <f>GA!AI787</f>
        <v>0</v>
      </c>
    </row>
    <row r="130" spans="17:39">
      <c r="Q130" s="844"/>
      <c r="R130" s="859">
        <f>GA!H788</f>
        <v>2</v>
      </c>
      <c r="S130" s="853">
        <f>GA!I788</f>
        <v>0</v>
      </c>
      <c r="T130" s="854">
        <f>GA!J788</f>
        <v>0</v>
      </c>
      <c r="U130" s="713">
        <f>GA!K788</f>
        <v>0</v>
      </c>
      <c r="V130" s="713">
        <f>GA!L788</f>
        <v>0</v>
      </c>
      <c r="W130" s="713">
        <f>GA!M788</f>
        <v>0</v>
      </c>
      <c r="X130" s="713">
        <f>GA!N788</f>
        <v>0</v>
      </c>
      <c r="Y130" s="713">
        <f>GA!O788</f>
        <v>0</v>
      </c>
      <c r="Z130" s="855">
        <f>GA!S788</f>
        <v>0</v>
      </c>
      <c r="AA130" s="713">
        <f>GA!T788</f>
        <v>0</v>
      </c>
      <c r="AB130" s="713">
        <f>GA!U788</f>
        <v>0</v>
      </c>
      <c r="AC130" s="713">
        <f>GA!V788</f>
        <v>0</v>
      </c>
      <c r="AD130" s="713">
        <f>GA!W788</f>
        <v>0</v>
      </c>
      <c r="AE130" s="713">
        <f>GA!X788</f>
        <v>0</v>
      </c>
      <c r="AF130" s="713">
        <f>GA!Y788</f>
        <v>0</v>
      </c>
      <c r="AG130" s="855">
        <f>GA!AC788</f>
        <v>0</v>
      </c>
      <c r="AH130" s="713">
        <f>GA!AD788</f>
        <v>0</v>
      </c>
      <c r="AI130" s="713">
        <f>GA!AE788</f>
        <v>0</v>
      </c>
      <c r="AJ130" s="713">
        <f>GA!AF788</f>
        <v>0</v>
      </c>
      <c r="AK130" s="713">
        <f>GA!AG788</f>
        <v>0</v>
      </c>
      <c r="AL130" s="713">
        <f>GA!AH788</f>
        <v>0</v>
      </c>
      <c r="AM130" s="713">
        <f>GA!AI788</f>
        <v>0</v>
      </c>
    </row>
    <row r="131" spans="17:39">
      <c r="Q131" s="844"/>
      <c r="R131" s="859">
        <f>GA!H789</f>
        <v>1</v>
      </c>
      <c r="S131" s="853">
        <f>GA!I789</f>
        <v>0</v>
      </c>
      <c r="T131" s="854">
        <f>GA!J789</f>
        <v>0</v>
      </c>
      <c r="U131" s="713">
        <f>GA!K789</f>
        <v>0</v>
      </c>
      <c r="V131" s="713">
        <f>GA!L789</f>
        <v>0</v>
      </c>
      <c r="W131" s="713">
        <f>GA!M789</f>
        <v>0</v>
      </c>
      <c r="X131" s="713">
        <f>GA!N789</f>
        <v>0</v>
      </c>
      <c r="Y131" s="713">
        <f>GA!O789</f>
        <v>0</v>
      </c>
      <c r="Z131" s="855">
        <f>GA!S789</f>
        <v>0</v>
      </c>
      <c r="AA131" s="713">
        <f>GA!T789</f>
        <v>0</v>
      </c>
      <c r="AB131" s="713">
        <f>GA!U789</f>
        <v>0</v>
      </c>
      <c r="AC131" s="713">
        <f>GA!V789</f>
        <v>0</v>
      </c>
      <c r="AD131" s="713">
        <f>GA!W789</f>
        <v>0</v>
      </c>
      <c r="AE131" s="713">
        <f>GA!X789</f>
        <v>0</v>
      </c>
      <c r="AF131" s="713">
        <f>GA!Y789</f>
        <v>0</v>
      </c>
      <c r="AG131" s="855">
        <f>GA!AC789</f>
        <v>0</v>
      </c>
      <c r="AH131" s="713">
        <f>GA!AD789</f>
        <v>0</v>
      </c>
      <c r="AI131" s="713">
        <f>GA!AE789</f>
        <v>0</v>
      </c>
      <c r="AJ131" s="713">
        <f>GA!AF789</f>
        <v>0</v>
      </c>
      <c r="AK131" s="713">
        <f>GA!AG789</f>
        <v>0</v>
      </c>
      <c r="AL131" s="713">
        <f>GA!AH789</f>
        <v>0</v>
      </c>
      <c r="AM131" s="713">
        <f>GA!AI789</f>
        <v>0</v>
      </c>
    </row>
    <row r="132" spans="17:39">
      <c r="Q132" s="844"/>
      <c r="R132" s="859">
        <f>GA!H790</f>
        <v>0</v>
      </c>
      <c r="S132" s="1459">
        <f>GA!I790</f>
        <v>0</v>
      </c>
      <c r="T132" s="1458">
        <f>GA!J790</f>
        <v>0</v>
      </c>
      <c r="U132" s="1458">
        <f>GA!K790</f>
        <v>0</v>
      </c>
      <c r="V132" s="856">
        <f>GA!L790</f>
        <v>0</v>
      </c>
      <c r="W132" s="1458">
        <f>GA!M790</f>
        <v>0</v>
      </c>
      <c r="X132" s="1458">
        <f>GA!N790</f>
        <v>0</v>
      </c>
      <c r="Y132" s="1458">
        <f>GA!O790</f>
        <v>0</v>
      </c>
      <c r="Z132" s="1459">
        <f>GA!S790</f>
        <v>0</v>
      </c>
      <c r="AA132" s="1458">
        <f>GA!T790</f>
        <v>0</v>
      </c>
      <c r="AB132" s="1458">
        <f>GA!U790</f>
        <v>0</v>
      </c>
      <c r="AC132" s="856">
        <f>GA!V790</f>
        <v>0</v>
      </c>
      <c r="AD132" s="1458">
        <f>GA!W790</f>
        <v>0</v>
      </c>
      <c r="AE132" s="1458">
        <f>GA!X790</f>
        <v>0</v>
      </c>
      <c r="AF132" s="1458">
        <f>GA!Y790</f>
        <v>0</v>
      </c>
      <c r="AG132" s="1459">
        <f>GA!AC790</f>
        <v>0</v>
      </c>
      <c r="AH132" s="1458">
        <f>GA!AD790</f>
        <v>0</v>
      </c>
      <c r="AI132" s="1458">
        <f>GA!AE790</f>
        <v>0</v>
      </c>
      <c r="AJ132" s="856">
        <f>GA!AF790</f>
        <v>0</v>
      </c>
      <c r="AK132" s="1458">
        <f>GA!AG790</f>
        <v>0</v>
      </c>
      <c r="AL132" s="1458">
        <f>GA!AH790</f>
        <v>0</v>
      </c>
      <c r="AM132" s="1458">
        <f>GA!AI790</f>
        <v>0</v>
      </c>
    </row>
    <row r="133" spans="17:39">
      <c r="Q133" s="844"/>
      <c r="R133" s="859">
        <f>GA!H791</f>
        <v>-1</v>
      </c>
      <c r="S133" s="853">
        <f>GA!I791</f>
        <v>0</v>
      </c>
      <c r="T133" s="854">
        <f>GA!J791</f>
        <v>0</v>
      </c>
      <c r="U133" s="713">
        <f>GA!K791</f>
        <v>0</v>
      </c>
      <c r="V133" s="713">
        <f>GA!L791</f>
        <v>0</v>
      </c>
      <c r="W133" s="713">
        <f>GA!M791</f>
        <v>0</v>
      </c>
      <c r="X133" s="713">
        <f>GA!N791</f>
        <v>0</v>
      </c>
      <c r="Y133" s="713">
        <f>GA!O791</f>
        <v>0</v>
      </c>
      <c r="Z133" s="855">
        <f>GA!S791</f>
        <v>0</v>
      </c>
      <c r="AA133" s="713">
        <f>GA!T791</f>
        <v>0</v>
      </c>
      <c r="AB133" s="713">
        <f>GA!U791</f>
        <v>0</v>
      </c>
      <c r="AC133" s="713">
        <f>GA!V791</f>
        <v>0</v>
      </c>
      <c r="AD133" s="713">
        <f>GA!W791</f>
        <v>0</v>
      </c>
      <c r="AE133" s="713">
        <f>GA!X791</f>
        <v>0</v>
      </c>
      <c r="AF133" s="713">
        <f>GA!Y791</f>
        <v>0</v>
      </c>
      <c r="AG133" s="855">
        <f>GA!AC791</f>
        <v>0</v>
      </c>
      <c r="AH133" s="713">
        <f>GA!AD791</f>
        <v>0</v>
      </c>
      <c r="AI133" s="713">
        <f>GA!AE791</f>
        <v>0</v>
      </c>
      <c r="AJ133" s="713">
        <f>GA!AF791</f>
        <v>0</v>
      </c>
      <c r="AK133" s="713">
        <f>GA!AG791</f>
        <v>0</v>
      </c>
      <c r="AL133" s="713">
        <f>GA!AH791</f>
        <v>0</v>
      </c>
      <c r="AM133" s="713">
        <f>GA!AI791</f>
        <v>0</v>
      </c>
    </row>
    <row r="134" spans="17:39">
      <c r="Q134" s="844"/>
      <c r="R134" s="859">
        <f>GA!H792</f>
        <v>-2</v>
      </c>
      <c r="S134" s="853">
        <f>GA!I792</f>
        <v>0</v>
      </c>
      <c r="T134" s="854">
        <f>GA!J792</f>
        <v>0</v>
      </c>
      <c r="U134" s="713">
        <f>GA!K792</f>
        <v>0</v>
      </c>
      <c r="V134" s="713">
        <f>GA!L792</f>
        <v>0</v>
      </c>
      <c r="W134" s="713">
        <f>GA!M792</f>
        <v>0</v>
      </c>
      <c r="X134" s="713">
        <f>GA!N792</f>
        <v>0</v>
      </c>
      <c r="Y134" s="713">
        <f>GA!O792</f>
        <v>0</v>
      </c>
      <c r="Z134" s="855">
        <f>GA!S792</f>
        <v>0</v>
      </c>
      <c r="AA134" s="713">
        <f>GA!T792</f>
        <v>0</v>
      </c>
      <c r="AB134" s="713">
        <f>GA!U792</f>
        <v>0</v>
      </c>
      <c r="AC134" s="713">
        <f>GA!V792</f>
        <v>0</v>
      </c>
      <c r="AD134" s="713">
        <f>GA!W792</f>
        <v>0</v>
      </c>
      <c r="AE134" s="713">
        <f>GA!X792</f>
        <v>0</v>
      </c>
      <c r="AF134" s="713">
        <f>GA!Y792</f>
        <v>0</v>
      </c>
      <c r="AG134" s="855">
        <f>GA!AC792</f>
        <v>0</v>
      </c>
      <c r="AH134" s="713">
        <f>GA!AD792</f>
        <v>0</v>
      </c>
      <c r="AI134" s="713">
        <f>GA!AE792</f>
        <v>0</v>
      </c>
      <c r="AJ134" s="713">
        <f>GA!AF792</f>
        <v>0</v>
      </c>
      <c r="AK134" s="713">
        <f>GA!AG792</f>
        <v>0</v>
      </c>
      <c r="AL134" s="713">
        <f>GA!AH792</f>
        <v>0</v>
      </c>
      <c r="AM134" s="713">
        <f>GA!AI792</f>
        <v>0</v>
      </c>
    </row>
    <row r="135" spans="17:39">
      <c r="Q135" s="844"/>
      <c r="R135" s="859">
        <f>GA!H793</f>
        <v>-3</v>
      </c>
      <c r="S135" s="853">
        <f>GA!I793</f>
        <v>0</v>
      </c>
      <c r="T135" s="854">
        <f>GA!J793</f>
        <v>0</v>
      </c>
      <c r="U135" s="854">
        <f>GA!K793</f>
        <v>0</v>
      </c>
      <c r="V135" s="854">
        <f>GA!L793</f>
        <v>0</v>
      </c>
      <c r="W135" s="854">
        <f>GA!M793</f>
        <v>0</v>
      </c>
      <c r="X135" s="854">
        <f>GA!N793</f>
        <v>0</v>
      </c>
      <c r="Y135" s="854">
        <f>GA!O793</f>
        <v>0</v>
      </c>
      <c r="Z135" s="853">
        <f>GA!S793</f>
        <v>0</v>
      </c>
      <c r="AA135" s="854">
        <f>GA!T793</f>
        <v>0</v>
      </c>
      <c r="AB135" s="854">
        <f>GA!U793</f>
        <v>0</v>
      </c>
      <c r="AC135" s="854">
        <f>GA!V793</f>
        <v>0</v>
      </c>
      <c r="AD135" s="854">
        <f>GA!W793</f>
        <v>0</v>
      </c>
      <c r="AE135" s="854">
        <f>GA!X793</f>
        <v>0</v>
      </c>
      <c r="AF135" s="854">
        <f>GA!Y793</f>
        <v>0</v>
      </c>
      <c r="AG135" s="853">
        <f>GA!AC793</f>
        <v>0</v>
      </c>
      <c r="AH135" s="854">
        <f>GA!AD793</f>
        <v>0</v>
      </c>
      <c r="AI135" s="854">
        <f>GA!AE793</f>
        <v>0</v>
      </c>
      <c r="AJ135" s="854">
        <f>GA!AF793</f>
        <v>0</v>
      </c>
      <c r="AK135" s="854">
        <f>GA!AG793</f>
        <v>0</v>
      </c>
      <c r="AL135" s="854">
        <f>GA!AH793</f>
        <v>0</v>
      </c>
      <c r="AM135" s="854">
        <f>GA!AI793</f>
        <v>0</v>
      </c>
    </row>
  </sheetData>
  <pageMargins left="0.7" right="0.7" top="0.75" bottom="0.75" header="0.3" footer="0.3"/>
  <pageSetup paperSize="9" scale="40" orientation="landscape" horizontalDpi="300" verticalDpi="300" r:id="rId1"/>
  <ignoredErrors>
    <ignoredError sqref="I43:J46 J25:J30 J34:J40 O25:O30 O34:O40 N43:O46 R20:T46" evalError="1"/>
    <ignoredError sqref="Q7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82FF7-71D6-4EE6-A6FC-5B5EA33F3205}">
  <sheetPr codeName="Sheet3">
    <tabColor theme="7" tint="0.39997558519241921"/>
  </sheetPr>
  <dimension ref="B2:Z57"/>
  <sheetViews>
    <sheetView workbookViewId="0"/>
  </sheetViews>
  <sheetFormatPr baseColWidth="10" defaultColWidth="8" defaultRowHeight="15"/>
  <cols>
    <col min="1" max="1" width="3" customWidth="1"/>
    <col min="2" max="3" width="2.5703125" customWidth="1"/>
    <col min="4" max="4" width="40" bestFit="1" customWidth="1"/>
    <col min="5" max="5" width="16.7109375" bestFit="1" customWidth="1"/>
    <col min="6" max="7" width="14.42578125" bestFit="1" customWidth="1"/>
    <col min="8" max="10" width="12.42578125" bestFit="1" customWidth="1"/>
    <col min="11" max="11" width="14.42578125" bestFit="1" customWidth="1"/>
    <col min="12" max="13" width="2.5703125" customWidth="1"/>
    <col min="14" max="14" width="1.5703125" customWidth="1"/>
    <col min="15" max="16" width="2.5703125" customWidth="1"/>
    <col min="17" max="17" width="38.7109375" bestFit="1" customWidth="1"/>
    <col min="18" max="18" width="20.28515625" bestFit="1" customWidth="1"/>
    <col min="19" max="19" width="15" bestFit="1" customWidth="1"/>
    <col min="20" max="20" width="15.42578125" bestFit="1" customWidth="1"/>
    <col min="21" max="23" width="12.42578125" bestFit="1" customWidth="1"/>
    <col min="24" max="24" width="15.42578125" bestFit="1" customWidth="1"/>
    <col min="25" max="26" width="2.5703125" customWidth="1"/>
  </cols>
  <sheetData>
    <row r="2" spans="2:26" s="90" customFormat="1">
      <c r="B2" s="91">
        <v>1</v>
      </c>
      <c r="D2" s="91" t="s">
        <v>1110</v>
      </c>
      <c r="E2" s="92"/>
      <c r="O2" s="91"/>
      <c r="P2" s="92"/>
      <c r="Q2" s="92"/>
    </row>
    <row r="4" spans="2:26">
      <c r="B4" s="992"/>
      <c r="C4" s="993"/>
      <c r="D4" s="993"/>
      <c r="E4" s="993"/>
      <c r="F4" s="993"/>
      <c r="G4" s="993"/>
      <c r="H4" s="993"/>
      <c r="I4" s="993"/>
      <c r="J4" s="993"/>
      <c r="K4" s="993"/>
      <c r="L4" s="993"/>
      <c r="M4" s="994"/>
      <c r="O4" s="992"/>
      <c r="P4" s="993"/>
      <c r="Q4" s="993"/>
      <c r="R4" s="993"/>
      <c r="S4" s="993"/>
      <c r="T4" s="993"/>
      <c r="U4" s="993"/>
      <c r="V4" s="993"/>
      <c r="W4" s="993"/>
      <c r="X4" s="993"/>
      <c r="Y4" s="993"/>
      <c r="Z4" s="994"/>
    </row>
    <row r="5" spans="2:26">
      <c r="B5" s="995"/>
      <c r="C5" s="996"/>
      <c r="D5" s="997"/>
      <c r="E5" s="997"/>
      <c r="F5" s="997"/>
      <c r="G5" s="997"/>
      <c r="H5" s="997"/>
      <c r="I5" s="997"/>
      <c r="J5" s="997"/>
      <c r="K5" s="997"/>
      <c r="L5" s="998"/>
      <c r="M5" s="999"/>
      <c r="N5" s="1000"/>
      <c r="O5" s="995"/>
      <c r="P5" s="996"/>
      <c r="Q5" s="997"/>
      <c r="R5" s="997"/>
      <c r="S5" s="997"/>
      <c r="T5" s="997"/>
      <c r="U5" s="997"/>
      <c r="V5" s="997"/>
      <c r="W5" s="997"/>
      <c r="X5" s="997"/>
      <c r="Y5" s="997"/>
      <c r="Z5" s="1001"/>
    </row>
    <row r="6" spans="2:26">
      <c r="B6" s="995"/>
      <c r="C6" s="990"/>
      <c r="D6" s="1000"/>
      <c r="E6" s="1000"/>
      <c r="F6" s="1002"/>
      <c r="G6" s="1002"/>
      <c r="H6" s="1002"/>
      <c r="I6" s="1002"/>
      <c r="J6" s="1000"/>
      <c r="K6" s="1000"/>
      <c r="L6" s="1003"/>
      <c r="M6" s="999"/>
      <c r="N6" s="1000"/>
      <c r="O6" s="1001"/>
      <c r="P6" s="990"/>
      <c r="Q6" s="1000"/>
      <c r="R6" s="1000"/>
      <c r="S6" s="1002"/>
      <c r="T6" s="1002"/>
      <c r="U6" s="1002"/>
      <c r="V6" s="1002"/>
      <c r="W6" s="1000"/>
      <c r="X6" s="1000"/>
      <c r="Y6" s="1000"/>
      <c r="Z6" s="1001"/>
    </row>
    <row r="7" spans="2:26">
      <c r="B7" s="995"/>
      <c r="C7" s="990"/>
      <c r="D7" s="582"/>
      <c r="E7" s="1004" t="s">
        <v>1111</v>
      </c>
      <c r="F7" s="1005">
        <v>1</v>
      </c>
      <c r="G7" s="1005">
        <v>2</v>
      </c>
      <c r="H7" s="1005">
        <v>3</v>
      </c>
      <c r="I7" s="1005">
        <v>4</v>
      </c>
      <c r="J7" s="1006">
        <v>5</v>
      </c>
      <c r="K7" s="1007" t="s">
        <v>1112</v>
      </c>
      <c r="L7" s="1003"/>
      <c r="M7" s="999"/>
      <c r="N7" s="1000"/>
      <c r="O7" s="1001"/>
      <c r="P7" s="1000"/>
      <c r="Q7" s="582"/>
      <c r="R7" s="1004" t="s">
        <v>1111</v>
      </c>
      <c r="S7" s="1005">
        <v>1</v>
      </c>
      <c r="T7" s="1005">
        <v>2</v>
      </c>
      <c r="U7" s="1005">
        <v>3</v>
      </c>
      <c r="V7" s="1005">
        <v>4</v>
      </c>
      <c r="W7" s="1006">
        <v>5</v>
      </c>
      <c r="X7" s="1006" t="s">
        <v>1112</v>
      </c>
      <c r="Y7" s="1000"/>
      <c r="Z7" s="1001"/>
    </row>
    <row r="8" spans="2:26" ht="15.75" thickBot="1">
      <c r="B8" s="995"/>
      <c r="C8" s="990"/>
      <c r="D8" s="1008"/>
      <c r="E8" s="1009"/>
      <c r="F8" s="1010"/>
      <c r="G8" s="1010"/>
      <c r="H8" s="1010"/>
      <c r="I8" s="1010"/>
      <c r="J8" s="1011"/>
      <c r="K8" s="1011"/>
      <c r="L8" s="1003"/>
      <c r="M8" s="999"/>
      <c r="N8" s="1000"/>
      <c r="O8" s="1001"/>
      <c r="P8" s="1000"/>
      <c r="Q8" s="1012" t="s">
        <v>1113</v>
      </c>
      <c r="R8" s="1013"/>
      <c r="S8" s="1014"/>
      <c r="T8" s="1014"/>
      <c r="U8" s="1014"/>
      <c r="V8" s="1014"/>
      <c r="W8" s="1015"/>
      <c r="X8" s="1016"/>
      <c r="Y8" s="1000"/>
      <c r="Z8" s="1001"/>
    </row>
    <row r="9" spans="2:26">
      <c r="B9" s="995"/>
      <c r="C9" s="990"/>
      <c r="D9" s="990" t="s">
        <v>1114</v>
      </c>
      <c r="E9" s="1017"/>
      <c r="F9" s="1002">
        <f>INDEX(DCF!$BM$26:$BV$26,MATCH(F$7,DCF!$BM$6:$BV$6))</f>
        <v>1</v>
      </c>
      <c r="G9" s="1002">
        <f>INDEX(DCF!$BM$26:$BV$26,MATCH(G$7,DCF!$BM$6:$BV$6))</f>
        <v>3</v>
      </c>
      <c r="H9" s="1002">
        <f>INDEX(DCF!$BM$26:$BV$26,MATCH(H$7,DCF!$BM$6:$BV$6))</f>
        <v>3</v>
      </c>
      <c r="I9" s="1002">
        <f>INDEX(DCF!$BM$26:$BV$26,MATCH(I$7,DCF!$BM$6:$BV$6))</f>
        <v>0</v>
      </c>
      <c r="J9" s="1018">
        <f>INDEX(DCF!$BM$26:$BV$26,MATCH(J$7,DCF!$BM$6:$BV$6))</f>
        <v>0</v>
      </c>
      <c r="K9" s="1018"/>
      <c r="L9" s="1003"/>
      <c r="M9" s="999"/>
      <c r="N9" s="1000"/>
      <c r="O9" s="1001"/>
      <c r="P9" s="1000"/>
      <c r="Q9" s="990" t="s">
        <v>1430</v>
      </c>
      <c r="R9" s="1019">
        <f>SUM(DCF!R71:S73)</f>
        <v>-1953388.2092934325</v>
      </c>
      <c r="S9" s="1020"/>
      <c r="T9" s="1020"/>
      <c r="U9" s="1020"/>
      <c r="V9" s="1020"/>
      <c r="W9" s="1021"/>
      <c r="X9" s="1021"/>
      <c r="Y9" s="1000"/>
      <c r="Z9" s="1001"/>
    </row>
    <row r="10" spans="2:26">
      <c r="B10" s="995"/>
      <c r="C10" s="990"/>
      <c r="D10" s="990" t="s">
        <v>1115</v>
      </c>
      <c r="E10" s="1017"/>
      <c r="F10" s="1002">
        <f>INDEX(DCF!$BM$27:$BV$27,MATCH(F$7,DCF!$BM$6:$BV$6))</f>
        <v>3</v>
      </c>
      <c r="G10" s="1002">
        <f>INDEX(DCF!$BM$27:$BV$27,MATCH(G$7,DCF!$BM$6:$BV$6))</f>
        <v>3</v>
      </c>
      <c r="H10" s="1002">
        <f>INDEX(DCF!$BM$27:$BV$27,MATCH(H$7,DCF!$BM$6:$BV$6))</f>
        <v>0</v>
      </c>
      <c r="I10" s="1002">
        <f>INDEX(DCF!$BM$27:$BV$27,MATCH(I$7,DCF!$BM$6:$BV$6))</f>
        <v>0</v>
      </c>
      <c r="J10" s="1018">
        <f>INDEX(DCF!$BM$27:$BV$27,MATCH(J$7,DCF!$BM$6:$BV$6))</f>
        <v>0</v>
      </c>
      <c r="K10" s="1018"/>
      <c r="L10" s="1003"/>
      <c r="M10" s="999"/>
      <c r="N10" s="1000"/>
      <c r="O10" s="1001"/>
      <c r="P10" s="1000"/>
      <c r="Q10" s="990" t="s">
        <v>1116</v>
      </c>
      <c r="R10" s="1019">
        <f>SUM(DCF!R74:S74)</f>
        <v>-404050</v>
      </c>
      <c r="S10" s="1020"/>
      <c r="T10" s="1020"/>
      <c r="U10" s="1020"/>
      <c r="V10" s="1020"/>
      <c r="W10" s="1021"/>
      <c r="X10" s="1021"/>
      <c r="Y10" s="1000"/>
      <c r="Z10" s="1001"/>
    </row>
    <row r="11" spans="2:26">
      <c r="B11" s="995"/>
      <c r="C11" s="990"/>
      <c r="D11" s="990" t="s">
        <v>1117</v>
      </c>
      <c r="E11" s="1017"/>
      <c r="F11" s="1002">
        <f>INDEX(DCF!$BM$37:$BV$37,MATCH(F$7,DCF!$BM$6:$BV$6))</f>
        <v>2250</v>
      </c>
      <c r="G11" s="1002">
        <f>INDEX(DCF!$BM$37:$BV$37,MATCH(G$7,DCF!$BM$6:$BV$6))</f>
        <v>3000</v>
      </c>
      <c r="H11" s="1002">
        <f>INDEX(DCF!$BM$37:$BV$37,MATCH(H$7,DCF!$BM$6:$BV$6))</f>
        <v>3000</v>
      </c>
      <c r="I11" s="1002">
        <f>INDEX(DCF!$BM$37:$BV$37,MATCH(I$7,DCF!$BM$6:$BV$6))</f>
        <v>0</v>
      </c>
      <c r="J11" s="1018">
        <f>INDEX(DCF!$BM$37:$BV$37,MATCH(J$7,DCF!$BM$6:$BV$6))</f>
        <v>0</v>
      </c>
      <c r="K11" s="1018"/>
      <c r="L11" s="1003"/>
      <c r="M11" s="999"/>
      <c r="N11" s="1000"/>
      <c r="O11" s="1001"/>
      <c r="P11" s="1000"/>
      <c r="Q11" s="990" t="s">
        <v>1118</v>
      </c>
      <c r="R11" s="1019">
        <f>-IF(DCF!P165&lt;&gt;0,DCF!P165,DCF!O165)*DCF!O164-IF(DCF!P235&lt;&gt;0,DCF!P235,DCF!O235)*DCF!O234</f>
        <v>-811819.03207949619</v>
      </c>
      <c r="S11" s="1020"/>
      <c r="T11" s="1020"/>
      <c r="U11" s="1020"/>
      <c r="V11" s="1020"/>
      <c r="W11" s="1021"/>
      <c r="X11" s="1021"/>
      <c r="Y11" s="1000"/>
      <c r="Z11" s="1001"/>
    </row>
    <row r="12" spans="2:26">
      <c r="B12" s="995"/>
      <c r="C12" s="990"/>
      <c r="D12" s="990"/>
      <c r="E12" s="1017"/>
      <c r="F12" s="1002"/>
      <c r="G12" s="1002"/>
      <c r="H12" s="1002"/>
      <c r="I12" s="1002"/>
      <c r="J12" s="1018"/>
      <c r="K12" s="1018"/>
      <c r="L12" s="1003"/>
      <c r="M12" s="999"/>
      <c r="N12" s="1000"/>
      <c r="O12" s="1001"/>
      <c r="P12" s="1000"/>
      <c r="Q12" s="990" t="s">
        <v>1119</v>
      </c>
      <c r="R12" s="1022">
        <f>GA!G499*(1-GA!G505)</f>
        <v>2481250</v>
      </c>
      <c r="S12" s="1020"/>
      <c r="T12" s="1020"/>
      <c r="U12" s="1020"/>
      <c r="V12" s="1020"/>
      <c r="W12" s="1021"/>
      <c r="X12" s="1021"/>
      <c r="Y12" s="1000"/>
      <c r="Z12" s="1001"/>
    </row>
    <row r="13" spans="2:26">
      <c r="B13" s="995"/>
      <c r="C13" s="990"/>
      <c r="D13" s="990" t="s">
        <v>1120</v>
      </c>
      <c r="E13" s="1023"/>
      <c r="F13" s="1550">
        <f>INDEX(DCF!$BM$56:$BV$56,MATCH(F$7,DCF!$BM$6:$BV$6))</f>
        <v>1</v>
      </c>
      <c r="G13" s="1550">
        <f>INDEX(DCF!$BM$56:$BV$56,MATCH(G$7,DCF!$BM$6:$BV$6))</f>
        <v>1</v>
      </c>
      <c r="H13" s="1550">
        <f>INDEX(DCF!$BM$56:$BV$56,MATCH(H$7,DCF!$BM$6:$BV$6))</f>
        <v>1</v>
      </c>
      <c r="I13" s="1550">
        <f>INDEX(DCF!$BM$56:$BV$56,MATCH(I$7,DCF!$BM$6:$BV$6))</f>
        <v>0</v>
      </c>
      <c r="J13" s="1551">
        <f>INDEX(DCF!$BM$56:$BV$56,MATCH(J$7,DCF!$BM$6:$BV$6))</f>
        <v>0</v>
      </c>
      <c r="K13" s="1018"/>
      <c r="L13" s="1003"/>
      <c r="M13" s="999"/>
      <c r="N13" s="1000"/>
      <c r="O13" s="1001"/>
      <c r="P13" s="1000"/>
      <c r="Q13" s="990" t="s">
        <v>729</v>
      </c>
      <c r="R13" s="1019">
        <f>DCF!S201</f>
        <v>-47000</v>
      </c>
      <c r="S13" s="1020"/>
      <c r="T13" s="1020"/>
      <c r="U13" s="1020"/>
      <c r="V13" s="1020"/>
      <c r="W13" s="1021"/>
      <c r="X13" s="1021"/>
      <c r="Y13" s="1000"/>
      <c r="Z13" s="1001"/>
    </row>
    <row r="14" spans="2:26">
      <c r="B14" s="995"/>
      <c r="C14" s="990"/>
      <c r="D14" s="990" t="s">
        <v>1122</v>
      </c>
      <c r="E14" s="1023"/>
      <c r="F14" s="1028">
        <f>INDEX(DCF!$BM$94:$BV$94,MATCH(F$7,DCF!$BM$6:$BV$6))</f>
        <v>8.3784397855762833</v>
      </c>
      <c r="G14" s="1028">
        <f>INDEX(DCF!$BM$94:$BV$94,MATCH(G$7,DCF!$BM$6:$BV$6))</f>
        <v>8.4351520440388601</v>
      </c>
      <c r="H14" s="1028">
        <f>INDEX(DCF!$BM$94:$BV$94,MATCH(H$7,DCF!$BM$6:$BV$6))</f>
        <v>8.4984156843691512</v>
      </c>
      <c r="I14" s="1028">
        <f>INDEX(DCF!$BM$94:$BV$94,MATCH(I$7,DCF!$BM$6:$BV$6))</f>
        <v>0</v>
      </c>
      <c r="J14" s="1029">
        <f>INDEX(DCF!$BM$94:$BV$94,MATCH(J$7,DCF!$BM$6:$BV$6))</f>
        <v>0</v>
      </c>
      <c r="K14" s="1029"/>
      <c r="L14" s="1003"/>
      <c r="M14" s="999"/>
      <c r="N14" s="1000"/>
      <c r="O14" s="1001"/>
      <c r="P14" s="1000"/>
      <c r="Q14" s="990" t="s">
        <v>1123</v>
      </c>
      <c r="R14" s="1019"/>
      <c r="S14" s="1002">
        <f>INDEX(DCF!$BM$147:$BV$147,MATCH(S$7,DCF!$BM$6:$BV$6))</f>
        <v>0</v>
      </c>
      <c r="T14" s="1002">
        <f>INDEX(DCF!$BM$147:$BV$147,MATCH(T$7,DCF!$BM$6:$BV$6))</f>
        <v>0</v>
      </c>
      <c r="U14" s="1002">
        <f>INDEX(DCF!$BM$147:$BV$147,MATCH(U$7,DCF!$BM$6:$BV$6))</f>
        <v>3681609.018749997</v>
      </c>
      <c r="V14" s="1002">
        <f>INDEX(DCF!$BM$147:$BV$147,MATCH(V$7,DCF!$BM$6:$BV$6))</f>
        <v>0</v>
      </c>
      <c r="W14" s="1018">
        <f>INDEX(DCF!$BM$147:$BV$147,MATCH(W$7,DCF!$BM$6:$BV$6))</f>
        <v>0</v>
      </c>
      <c r="X14" s="1018">
        <f t="shared" ref="X14:X19" si="0">SUM(S14:W14)</f>
        <v>3681609.018749997</v>
      </c>
      <c r="Y14" s="1000"/>
      <c r="Z14" s="1001"/>
    </row>
    <row r="15" spans="2:26">
      <c r="B15" s="995"/>
      <c r="C15" s="990"/>
      <c r="D15" s="990"/>
      <c r="E15" s="1023"/>
      <c r="F15" s="1002"/>
      <c r="G15" s="1002"/>
      <c r="H15" s="1002"/>
      <c r="I15" s="1002"/>
      <c r="J15" s="1018"/>
      <c r="K15" s="1018"/>
      <c r="L15" s="1003"/>
      <c r="M15" s="999"/>
      <c r="N15" s="1000"/>
      <c r="O15" s="1001"/>
      <c r="P15" s="1000"/>
      <c r="Q15" s="990" t="s">
        <v>1124</v>
      </c>
      <c r="R15" s="1019"/>
      <c r="S15" s="1002">
        <f>INDEX(DCF!$BM$148:$BV$148,MATCH(S$7,DCF!$BM$6:$BV$6))</f>
        <v>0</v>
      </c>
      <c r="T15" s="1002">
        <f>INDEX(DCF!$BM$148:$BV$148,MATCH(T$7,DCF!$BM$6:$BV$6))</f>
        <v>0</v>
      </c>
      <c r="U15" s="1002">
        <f>INDEX(DCF!$BM$148:$BV$148,MATCH(U$7,DCF!$BM$6:$BV$6))</f>
        <v>-4786.0917243749955</v>
      </c>
      <c r="V15" s="1002">
        <f>INDEX(DCF!$BM$148:$BV$148,MATCH(V$7,DCF!$BM$6:$BV$6))</f>
        <v>0</v>
      </c>
      <c r="W15" s="1018">
        <f>INDEX(DCF!$BM$148:$BV$148,MATCH(W$7,DCF!$BM$6:$BV$6))</f>
        <v>0</v>
      </c>
      <c r="X15" s="1018">
        <f t="shared" si="0"/>
        <v>-4786.0917243749955</v>
      </c>
      <c r="Y15" s="1000"/>
      <c r="Z15" s="1001"/>
    </row>
    <row r="16" spans="2:26" ht="15.75" thickBot="1">
      <c r="B16" s="995"/>
      <c r="C16" s="990"/>
      <c r="D16" s="1030" t="s">
        <v>897</v>
      </c>
      <c r="E16" s="1031"/>
      <c r="F16" s="1032">
        <f>INDEX(DCF!$BM$92:$BV$92,MATCH(F$7,DCF!$BM$6:$BV$6))</f>
        <v>226217.87421055965</v>
      </c>
      <c r="G16" s="1033">
        <f>INDEX(DCF!$BM$92:$BV$92,MATCH(G$7,DCF!$BM$6:$BV$6))</f>
        <v>303665.47358539898</v>
      </c>
      <c r="H16" s="1033">
        <f>INDEX(DCF!$BM$92:$BV$92,MATCH(H$7,DCF!$BM$6:$BV$6))</f>
        <v>305942.96463728941</v>
      </c>
      <c r="I16" s="1033">
        <f>INDEX(DCF!$BM$92:$BV$92,MATCH(I$7,DCF!$BM$6:$BV$6))</f>
        <v>0</v>
      </c>
      <c r="J16" s="1034">
        <f>INDEX(DCF!$BM$92:$BV$92,MATCH(J$7,DCF!$BM$6:$BV$6))</f>
        <v>0</v>
      </c>
      <c r="K16" s="1034">
        <f>SUM(F16:J16)</f>
        <v>835826.31243324804</v>
      </c>
      <c r="L16" s="1003"/>
      <c r="M16" s="999"/>
      <c r="N16" s="1000" t="b">
        <v>1</v>
      </c>
      <c r="O16" s="1001"/>
      <c r="P16" s="1000"/>
      <c r="Q16" s="996" t="s">
        <v>1125</v>
      </c>
      <c r="R16" s="1035"/>
      <c r="S16" s="1035">
        <f>INDEX(DCF!$BM$159:$BV$159,MATCH(F$7,DCF!$BM$6:$BV$6))*INDEX(DCF!$BM$21:$BV$21,MATCH(F$7,DCF!$BM$6:$BV$6))</f>
        <v>0</v>
      </c>
      <c r="T16" s="1026">
        <f>INDEX(DCF!$BM$159:$BV$159,MATCH(G$7,DCF!$BM$6:$BV$6))*INDEX(DCF!$BM$21:$BV$21,MATCH(G$7,DCF!$BM$6:$BV$6))</f>
        <v>0</v>
      </c>
      <c r="U16" s="1026">
        <f>INDEX(DCF!$BM$159:$BV$159,MATCH(H$7,DCF!$BM$6:$BV$6))*INDEX(DCF!$BM$21:$BV$21,MATCH(H$7,DCF!$BM$6:$BV$6))</f>
        <v>-278.23851046038078</v>
      </c>
      <c r="V16" s="1026">
        <f>INDEX(DCF!$BM$159:$BV$159,MATCH(I$7,DCF!$BM$6:$BV$6))*INDEX(DCF!$BM$21:$BV$21,MATCH(I$7,DCF!$BM$6:$BV$6))</f>
        <v>0</v>
      </c>
      <c r="W16" s="1027">
        <f>INDEX(DCF!$BM$159:$BV$159,MATCH(J$7,DCF!$BM$6:$BV$6))*INDEX(DCF!$BM$21:$BV$21,MATCH(J$7,DCF!$BM$6:$BV$6))</f>
        <v>0</v>
      </c>
      <c r="X16" s="1027">
        <f t="shared" si="0"/>
        <v>-278.23851046038078</v>
      </c>
      <c r="Y16" s="1000"/>
      <c r="Z16" s="1001"/>
    </row>
    <row r="17" spans="2:26">
      <c r="B17" s="995"/>
      <c r="C17" s="990"/>
      <c r="D17" s="990" t="s">
        <v>1126</v>
      </c>
      <c r="E17" s="1023"/>
      <c r="F17" s="1552">
        <f>-F16/$R$9</f>
        <v>0.1158079449513959</v>
      </c>
      <c r="G17" s="1550">
        <f t="shared" ref="G17:J17" si="1">-G16/$R$9</f>
        <v>0.15545577276482025</v>
      </c>
      <c r="H17" s="1550">
        <f t="shared" si="1"/>
        <v>0.15662169106055637</v>
      </c>
      <c r="I17" s="1550">
        <f t="shared" si="1"/>
        <v>0</v>
      </c>
      <c r="J17" s="1551">
        <f t="shared" si="1"/>
        <v>0</v>
      </c>
      <c r="K17" s="1025"/>
      <c r="L17" s="1003"/>
      <c r="M17" s="999"/>
      <c r="N17" s="1000"/>
      <c r="O17" s="1001"/>
      <c r="P17" s="1000"/>
      <c r="Q17" s="990" t="s">
        <v>1127</v>
      </c>
      <c r="R17" s="1019"/>
      <c r="S17" s="1002">
        <f>INDEX(DCF!$BM$183:$BV$183,MATCH(S$7,DCF!$BM$6:$BV$6))+INDEX(DCF!$BM$212:$BV$212,MATCH(S$7,DCF!$BM$6:$BV$6))+INDEX(DCF!$BM$213:$BV$213,MATCH(S$7,DCF!$BM$6:$BV$6))+INDEX(DCF!$BM$184:$BV$184,MATCH(S$7,DCF!$BM$6:$BV$6))</f>
        <v>0</v>
      </c>
      <c r="T17" s="1002">
        <f>INDEX(DCF!$BM$183:$BV$183,MATCH(T$7,DCF!$BM$6:$BV$6))+INDEX(DCF!$BM$212:$BV$212,MATCH(T$7,DCF!$BM$6:$BV$6))+INDEX(DCF!$BM$213:$BV$213,MATCH(T$7,DCF!$BM$6:$BV$6))+INDEX(DCF!$BM$184:$BV$184,MATCH(T$7,DCF!$BM$6:$BV$6))</f>
        <v>0</v>
      </c>
      <c r="U17" s="1002">
        <f>INDEX(DCF!$BM$183:$BV$183,MATCH(U$7,DCF!$BM$6:$BV$6))+INDEX(DCF!$BM$212:$BV$212,MATCH(U$7,DCF!$BM$6:$BV$6))+INDEX(DCF!$BM$213:$BV$213,MATCH(U$7,DCF!$BM$6:$BV$6))+INDEX(DCF!$BM$184:$BV$184,MATCH(U$7,DCF!$BM$6:$BV$6))</f>
        <v>-2362500</v>
      </c>
      <c r="V17" s="1002">
        <f>INDEX(DCF!$BM$183:$BV$183,MATCH(V$7,DCF!$BM$6:$BV$6))+INDEX(DCF!$BM$212:$BV$212,MATCH(V$7,DCF!$BM$6:$BV$6))+INDEX(DCF!$BM$213:$BV$213,MATCH(V$7,DCF!$BM$6:$BV$6))+INDEX(DCF!$BM$184:$BV$184,MATCH(V$7,DCF!$BM$6:$BV$6))</f>
        <v>0</v>
      </c>
      <c r="W17" s="1018">
        <f>INDEX(DCF!$BM$183:$BV$183,MATCH(W$7,DCF!$BM$6:$BV$6))+INDEX(DCF!$BM$212:$BV$212,MATCH(W$7,DCF!$BM$6:$BV$6))+INDEX(DCF!$BM$213:$BV$213,MATCH(W$7,DCF!$BM$6:$BV$6))+INDEX(DCF!$BM$184:$BV$184,MATCH(W$7,DCF!$BM$6:$BV$6))</f>
        <v>0</v>
      </c>
      <c r="X17" s="1018">
        <f t="shared" si="0"/>
        <v>-2362500</v>
      </c>
      <c r="Y17" s="1000"/>
      <c r="Z17" s="1001"/>
    </row>
    <row r="18" spans="2:26">
      <c r="B18" s="995"/>
      <c r="C18" s="990"/>
      <c r="D18" s="990" t="s">
        <v>1128</v>
      </c>
      <c r="E18" s="1023"/>
      <c r="F18" s="1552">
        <f>-F16/SUM($R$9:$R$10)</f>
        <v>9.5959195587298679E-2</v>
      </c>
      <c r="G18" s="1550">
        <f t="shared" ref="G18:J18" si="2">-G16/SUM($R$9:$R$10)</f>
        <v>0.12881163645702218</v>
      </c>
      <c r="H18" s="1550">
        <f t="shared" si="2"/>
        <v>0.12977772373044982</v>
      </c>
      <c r="I18" s="1550">
        <f t="shared" si="2"/>
        <v>0</v>
      </c>
      <c r="J18" s="1551">
        <f t="shared" si="2"/>
        <v>0</v>
      </c>
      <c r="K18" s="1025"/>
      <c r="L18" s="1003"/>
      <c r="M18" s="999"/>
      <c r="N18" s="1000"/>
      <c r="O18" s="1001"/>
      <c r="P18" s="1000"/>
      <c r="Q18" s="990" t="s">
        <v>1129</v>
      </c>
      <c r="R18" s="1019"/>
      <c r="S18" s="1002">
        <f>F40</f>
        <v>892144.7475766245</v>
      </c>
      <c r="T18" s="1002">
        <f>G40</f>
        <v>115444.64659879598</v>
      </c>
      <c r="U18" s="1002">
        <f>H40</f>
        <v>117108.60961294491</v>
      </c>
      <c r="V18" s="1002">
        <f>I40</f>
        <v>0</v>
      </c>
      <c r="W18" s="1018">
        <f>J40</f>
        <v>0</v>
      </c>
      <c r="X18" s="1018">
        <f t="shared" si="0"/>
        <v>1124698.0037883655</v>
      </c>
      <c r="Y18" s="1000"/>
      <c r="Z18" s="1001"/>
    </row>
    <row r="19" spans="2:26" ht="15.75" thickBot="1">
      <c r="B19" s="995"/>
      <c r="C19" s="990"/>
      <c r="D19" s="990"/>
      <c r="E19" s="1023"/>
      <c r="F19" s="1002"/>
      <c r="G19" s="1002"/>
      <c r="H19" s="1002"/>
      <c r="I19" s="1002"/>
      <c r="J19" s="1018"/>
      <c r="K19" s="1018"/>
      <c r="L19" s="1003"/>
      <c r="M19" s="999"/>
      <c r="N19" s="1000"/>
      <c r="O19" s="1001"/>
      <c r="P19" s="1000"/>
      <c r="Q19" s="1030" t="str">
        <f>IF(GA!G648=0,"Net Cash Flow to Equity","Cash Flow before Mezz")</f>
        <v>Net Cash Flow to Equity</v>
      </c>
      <c r="R19" s="1461">
        <f>SUM(R9:R13)</f>
        <v>-735007.24137292895</v>
      </c>
      <c r="S19" s="1033">
        <f>SUM(S14:S18)</f>
        <v>892144.7475766245</v>
      </c>
      <c r="T19" s="1033">
        <f>SUM(T14:T18)</f>
        <v>115444.64659879598</v>
      </c>
      <c r="U19" s="1033">
        <f>SUM(U14:U18)</f>
        <v>1431153.2981281066</v>
      </c>
      <c r="V19" s="1033">
        <f>SUM(V14:V18)</f>
        <v>0</v>
      </c>
      <c r="W19" s="1034">
        <f>SUM(W14:W18)</f>
        <v>0</v>
      </c>
      <c r="X19" s="1034">
        <f t="shared" si="0"/>
        <v>2438742.6923035271</v>
      </c>
      <c r="Y19" s="1000"/>
      <c r="Z19" s="1001"/>
    </row>
    <row r="20" spans="2:26">
      <c r="B20" s="995"/>
      <c r="C20" s="990"/>
      <c r="D20" s="990" t="s">
        <v>1131</v>
      </c>
      <c r="E20" s="1037">
        <f>-AVERAGE(F20:J20)/AVERAGE(F16:J16)</f>
        <v>8.633820574279312E-2</v>
      </c>
      <c r="F20" s="1002">
        <f>INDEX(DCF!$BM$115:$BV$115,MATCH(F$7,DCF!$BM$6:$BV$6))</f>
        <v>-19289.160646238113</v>
      </c>
      <c r="G20" s="1002">
        <f>INDEX(DCF!$BM$115:$BV$115,MATCH(G$7,DCF!$BM$6:$BV$6))</f>
        <v>-26261.036247507644</v>
      </c>
      <c r="H20" s="1002">
        <f>INDEX(DCF!$BM$115:$BV$115,MATCH(H$7,DCF!$BM$6:$BV$6))</f>
        <v>-26613.547234356101</v>
      </c>
      <c r="I20" s="1002">
        <f>INDEX(DCF!$BM$115:$BV$115,MATCH(I$7,DCF!$BM$6:$BV$6))</f>
        <v>0</v>
      </c>
      <c r="J20" s="1018">
        <f>INDEX(DCF!$BM$115:$BV$115,MATCH(J$7,DCF!$BM$6:$BV$6))</f>
        <v>0</v>
      </c>
      <c r="K20" s="1018">
        <f>SUM(F20:J20)</f>
        <v>-72163.744128101855</v>
      </c>
      <c r="L20" s="1003"/>
      <c r="M20" s="999"/>
      <c r="N20" s="1000"/>
      <c r="O20" s="1001"/>
      <c r="P20" s="1000"/>
      <c r="Q20" s="1038" t="s">
        <v>746</v>
      </c>
      <c r="R20" s="1039">
        <f>DCF!U324</f>
        <v>2.9802322387695314E-9</v>
      </c>
      <c r="S20" s="1000"/>
      <c r="T20" s="1000"/>
      <c r="U20" s="1000"/>
      <c r="V20" s="1000"/>
      <c r="W20" s="1003"/>
      <c r="X20" s="1003"/>
      <c r="Y20" s="1000"/>
      <c r="Z20" s="1001"/>
    </row>
    <row r="21" spans="2:26" ht="15.75" thickBot="1">
      <c r="B21" s="995"/>
      <c r="C21" s="990"/>
      <c r="D21" s="1030" t="s">
        <v>1132</v>
      </c>
      <c r="E21" s="1031"/>
      <c r="F21" s="1032">
        <f>INDEX(DCF!$BM$118:$BV$118,MATCH(F$7,DCF!$BM$6:$BV$6))</f>
        <v>206928.71356432152</v>
      </c>
      <c r="G21" s="1033">
        <f>INDEX(DCF!$BM$118:$BV$118,MATCH(G$7,DCF!$BM$6:$BV$6))</f>
        <v>277404.43733789137</v>
      </c>
      <c r="H21" s="1033">
        <f>INDEX(DCF!$BM$118:$BV$118,MATCH(H$7,DCF!$BM$6:$BV$6))</f>
        <v>279329.41740293335</v>
      </c>
      <c r="I21" s="1033">
        <f>INDEX(DCF!$BM$118:$BV$118,MATCH(I$7,DCF!$BM$6:$BV$6))</f>
        <v>0</v>
      </c>
      <c r="J21" s="1034">
        <f>INDEX(DCF!$BM$118:$BV$118,MATCH(J$7,DCF!$BM$6:$BV$6))</f>
        <v>0</v>
      </c>
      <c r="K21" s="1034">
        <f>SUM(F21:J21)</f>
        <v>763662.56830514618</v>
      </c>
      <c r="L21" s="1003"/>
      <c r="M21" s="999"/>
      <c r="N21" s="1000" t="b">
        <v>1</v>
      </c>
      <c r="O21" s="1001"/>
      <c r="P21" s="1000"/>
      <c r="Q21" s="1038" t="s">
        <v>1133</v>
      </c>
      <c r="R21" s="1040">
        <f>DCF!U323</f>
        <v>0.50186743331641059</v>
      </c>
      <c r="S21" s="1000"/>
      <c r="T21" s="1000"/>
      <c r="U21" s="1000"/>
      <c r="V21" s="1000"/>
      <c r="W21" s="1003"/>
      <c r="X21" s="1003"/>
      <c r="Y21" s="1000"/>
      <c r="Z21" s="1001"/>
    </row>
    <row r="22" spans="2:26">
      <c r="B22" s="995"/>
      <c r="C22" s="990"/>
      <c r="D22" s="990" t="s">
        <v>1015</v>
      </c>
      <c r="E22" s="990"/>
      <c r="F22" s="1552">
        <f>-IFERROR(F20/F16,0)</f>
        <v>8.5268066078121221E-2</v>
      </c>
      <c r="G22" s="1550">
        <f t="shared" ref="G22:J22" si="3">-IFERROR(G20/G16,0)</f>
        <v>8.6480151784928974E-2</v>
      </c>
      <c r="H22" s="1550">
        <f t="shared" si="3"/>
        <v>8.6988590392682461E-2</v>
      </c>
      <c r="I22" s="1550">
        <f t="shared" si="3"/>
        <v>0</v>
      </c>
      <c r="J22" s="1551">
        <f t="shared" si="3"/>
        <v>0</v>
      </c>
      <c r="K22" s="1025"/>
      <c r="L22" s="1003"/>
      <c r="M22" s="999"/>
      <c r="N22" s="1000"/>
      <c r="O22" s="1001"/>
      <c r="P22" s="1000"/>
      <c r="Q22" s="1038" t="s">
        <v>744</v>
      </c>
      <c r="R22" s="1022">
        <f>DCF!U322</f>
        <v>-1602122.4747597778</v>
      </c>
      <c r="S22" s="1000"/>
      <c r="T22" s="1000"/>
      <c r="U22" s="1000"/>
      <c r="V22" s="1000"/>
      <c r="W22" s="1003"/>
      <c r="X22" s="1003"/>
      <c r="Y22" s="1000"/>
      <c r="Z22" s="1001"/>
    </row>
    <row r="23" spans="2:26">
      <c r="B23" s="995"/>
      <c r="C23" s="990"/>
      <c r="D23" s="990" t="s">
        <v>1134</v>
      </c>
      <c r="E23" s="990"/>
      <c r="F23" s="1552">
        <f>-F21/SUM($R$9:$R$10)</f>
        <v>8.7776940557157526E-2</v>
      </c>
      <c r="G23" s="1550">
        <f t="shared" ref="G23:J23" si="4">-G21/SUM($R$9:$R$10)</f>
        <v>0.11767198658455381</v>
      </c>
      <c r="H23" s="1550">
        <f t="shared" si="4"/>
        <v>0.11848854247876703</v>
      </c>
      <c r="I23" s="1550">
        <f t="shared" si="4"/>
        <v>0</v>
      </c>
      <c r="J23" s="1551">
        <f t="shared" si="4"/>
        <v>0</v>
      </c>
      <c r="K23" s="1025"/>
      <c r="L23" s="1003"/>
      <c r="M23" s="999"/>
      <c r="N23" s="1000"/>
      <c r="O23" s="1001"/>
      <c r="P23" s="1000"/>
      <c r="Q23" s="1041" t="s">
        <v>1135</v>
      </c>
      <c r="R23" s="1042">
        <f>-AVERAGE(F40:J40)/R19</f>
        <v>0.30603725799694936</v>
      </c>
      <c r="S23" s="1043"/>
      <c r="T23" s="1043"/>
      <c r="U23" s="1043"/>
      <c r="V23" s="1043"/>
      <c r="W23" s="1044"/>
      <c r="X23" s="1044"/>
      <c r="Y23" s="1000"/>
      <c r="Z23" s="1001"/>
    </row>
    <row r="24" spans="2:26" ht="15.75" thickBot="1">
      <c r="B24" s="995"/>
      <c r="C24" s="990"/>
      <c r="D24" s="990"/>
      <c r="E24" s="1023"/>
      <c r="F24" s="1002"/>
      <c r="G24" s="1002"/>
      <c r="H24" s="1002"/>
      <c r="I24" s="1002"/>
      <c r="J24" s="1018"/>
      <c r="K24" s="1018"/>
      <c r="L24" s="1003"/>
      <c r="M24" s="999"/>
      <c r="N24" s="1000"/>
      <c r="O24" s="1001"/>
      <c r="P24" s="1000"/>
      <c r="Q24" s="1030" t="s">
        <v>1140</v>
      </c>
      <c r="R24" s="1031"/>
      <c r="S24" s="1051"/>
      <c r="T24" s="1014"/>
      <c r="U24" s="1014"/>
      <c r="V24" s="1014"/>
      <c r="W24" s="1052"/>
      <c r="X24" s="1052"/>
      <c r="Y24" s="1000"/>
      <c r="Z24" s="1001"/>
    </row>
    <row r="25" spans="2:26">
      <c r="B25" s="995"/>
      <c r="C25" s="990"/>
      <c r="D25" s="990" t="s">
        <v>1136</v>
      </c>
      <c r="E25" s="1053">
        <f>GA!J127</f>
        <v>0</v>
      </c>
      <c r="F25" s="1002">
        <f>IFERROR(INDEX(DCF!$BM$124:$BV$124,MATCH(F$7,DCF!$BM$6:$BV$6))*$E25/GA!$G$126,0)</f>
        <v>0</v>
      </c>
      <c r="G25" s="1002">
        <f>IFERROR(INDEX(DCF!$BM$124:$BV$124,MATCH(G$7,DCF!$BM$6:$BV$6))*$E25/GA!$G$126,0)</f>
        <v>0</v>
      </c>
      <c r="H25" s="1002">
        <f>IFERROR(INDEX(DCF!$BM$124:$BV$124,MATCH(H$7,DCF!$BM$6:$BV$6))*$E25/GA!$G$126,0)</f>
        <v>0</v>
      </c>
      <c r="I25" s="1002">
        <f>IFERROR(INDEX(DCF!$BM$124:$BV$124,MATCH(I$7,DCF!$BM$6:$BV$6))*$E25/GA!$G$126,0)</f>
        <v>0</v>
      </c>
      <c r="J25" s="1018">
        <f>IFERROR(INDEX(DCF!$BM$124:$BV$124,MATCH(J$7,DCF!$BM$6:$BV$6))*$E25/GA!$G$126,0)</f>
        <v>0</v>
      </c>
      <c r="K25" s="1018">
        <f>SUM(F25:J25)</f>
        <v>0</v>
      </c>
      <c r="L25" s="1003"/>
      <c r="M25" s="999"/>
      <c r="N25" s="1000"/>
      <c r="O25" s="1001"/>
      <c r="P25" s="1000"/>
      <c r="Q25" s="1023" t="s">
        <v>1431</v>
      </c>
      <c r="R25" s="1547">
        <f>DCF!S256+DCF!S276</f>
        <v>0</v>
      </c>
      <c r="S25" s="1000"/>
      <c r="T25" s="1055"/>
      <c r="U25" s="1055"/>
      <c r="V25" s="1055"/>
      <c r="W25" s="1056"/>
      <c r="X25" s="1056"/>
      <c r="Y25" s="1000"/>
      <c r="Z25" s="1001"/>
    </row>
    <row r="26" spans="2:26">
      <c r="B26" s="995"/>
      <c r="C26" s="990"/>
      <c r="D26" s="990" t="s">
        <v>1137</v>
      </c>
      <c r="E26" s="1053">
        <f>GA!H127</f>
        <v>3.0000000000000001E-3</v>
      </c>
      <c r="F26" s="1002">
        <f>IFERROR(INDEX(DCF!$BM$124:$BV$124,MATCH(F$7,DCF!$BM$6:$BV$6))*$E26/GA!$G$126,0)</f>
        <v>-12778.846354324633</v>
      </c>
      <c r="G26" s="1002">
        <f>IFERROR(INDEX(DCF!$BM$124:$BV$124,MATCH(G$7,DCF!$BM$6:$BV$6))*$E26/GA!$G$126,0)</f>
        <v>-16962.149999999998</v>
      </c>
      <c r="H26" s="1002">
        <f>IFERROR(INDEX(DCF!$BM$124:$BV$124,MATCH(H$7,DCF!$BM$6:$BV$6))*$E26/GA!$G$126,0)</f>
        <v>-16962.149999999998</v>
      </c>
      <c r="I26" s="1002">
        <f>IFERROR(INDEX(DCF!$BM$124:$BV$124,MATCH(I$7,DCF!$BM$6:$BV$6))*$E26/GA!$G$126,0)</f>
        <v>0</v>
      </c>
      <c r="J26" s="1018">
        <f>IFERROR(INDEX(DCF!$BM$124:$BV$124,MATCH(J$7,DCF!$BM$6:$BV$6))*$E26/GA!$G$126,0)</f>
        <v>0</v>
      </c>
      <c r="K26" s="1018">
        <f>SUM(F26:J26)</f>
        <v>-46703.146354324628</v>
      </c>
      <c r="L26" s="1003"/>
      <c r="M26" s="999"/>
      <c r="N26" s="1000"/>
      <c r="O26" s="1001"/>
      <c r="P26" s="1000"/>
      <c r="Q26" s="990" t="s">
        <v>729</v>
      </c>
      <c r="R26" s="1019">
        <f>DCF!S277</f>
        <v>0</v>
      </c>
      <c r="S26" s="1020"/>
      <c r="T26" s="1020"/>
      <c r="U26" s="1020"/>
      <c r="V26" s="1020"/>
      <c r="W26" s="1021"/>
      <c r="X26" s="1021"/>
      <c r="Y26" s="1000"/>
      <c r="Z26" s="1001"/>
    </row>
    <row r="27" spans="2:26">
      <c r="B27" s="995"/>
      <c r="C27" s="990"/>
      <c r="D27" s="990" t="s">
        <v>1138</v>
      </c>
      <c r="E27" s="1049">
        <f>GA!G125</f>
        <v>50000</v>
      </c>
      <c r="F27" s="1002">
        <f>INDEX(DCF!$BM$125:$BV$125,MATCH(F$7,DCF!$BM$6:$BV$6))</f>
        <v>-50623.452930485655</v>
      </c>
      <c r="G27" s="1002">
        <f>INDEX(DCF!$BM$125:$BV$125,MATCH(G$7,DCF!$BM$6:$BV$6))</f>
        <v>-51635.921989095397</v>
      </c>
      <c r="H27" s="1002">
        <f>INDEX(DCF!$BM$125:$BV$125,MATCH(H$7,DCF!$BM$6:$BV$6))</f>
        <v>-52668.640428877312</v>
      </c>
      <c r="I27" s="1002">
        <f>INDEX(DCF!$BM$125:$BV$125,MATCH(I$7,DCF!$BM$6:$BV$6))</f>
        <v>0</v>
      </c>
      <c r="J27" s="1002">
        <f>INDEX(DCF!$BM$125:$BV$125,MATCH(J$7,DCF!$BM$6:$BV$6))</f>
        <v>0</v>
      </c>
      <c r="K27" s="1050">
        <f>SUM(F27:J27)</f>
        <v>-154928.01534845837</v>
      </c>
      <c r="L27" s="1003"/>
      <c r="M27" s="999"/>
      <c r="N27" s="1000"/>
      <c r="O27" s="1001"/>
      <c r="P27" s="1000"/>
      <c r="Q27" s="990" t="s">
        <v>1118</v>
      </c>
      <c r="R27" s="1019">
        <f>-IF(DCF!P299&lt;&gt;0,DCF!P299,DCF!O299)*DCF!O298</f>
        <v>0</v>
      </c>
      <c r="S27" s="1020"/>
      <c r="T27" s="1020"/>
      <c r="U27" s="1020"/>
      <c r="V27" s="1020"/>
      <c r="W27" s="1021"/>
      <c r="X27" s="1021"/>
      <c r="Y27" s="1000"/>
      <c r="Z27" s="1001"/>
    </row>
    <row r="28" spans="2:26" ht="15.75" thickBot="1">
      <c r="B28" s="995"/>
      <c r="C28" s="990"/>
      <c r="D28" s="1030" t="s">
        <v>522</v>
      </c>
      <c r="E28" s="1031"/>
      <c r="F28" s="1033">
        <f>SUM(F25:F27,F21)</f>
        <v>143526.41427951123</v>
      </c>
      <c r="G28" s="1033">
        <f t="shared" ref="G28:J28" si="5">SUM(G25:G27,G21)</f>
        <v>208806.36534879598</v>
      </c>
      <c r="H28" s="1033">
        <f t="shared" si="5"/>
        <v>209698.62697405604</v>
      </c>
      <c r="I28" s="1033">
        <f t="shared" si="5"/>
        <v>0</v>
      </c>
      <c r="J28" s="1033">
        <f t="shared" si="5"/>
        <v>0</v>
      </c>
      <c r="K28" s="1034">
        <f>SUM(F28:J28)</f>
        <v>562031.40660236322</v>
      </c>
      <c r="L28" s="1003"/>
      <c r="M28" s="999"/>
      <c r="N28" s="1000" t="b">
        <v>1</v>
      </c>
      <c r="O28" s="1001"/>
      <c r="P28" s="1000"/>
      <c r="Q28" s="1023" t="s">
        <v>787</v>
      </c>
      <c r="R28" s="1023"/>
      <c r="S28" s="1002">
        <f>INDEX(DCF!$BM$266:$BV$266,MATCH(S$7,DCF!$BM$6:$BV$6))</f>
        <v>0</v>
      </c>
      <c r="T28" s="1002">
        <f>INDEX(DCF!$BM$266:$BV$266,MATCH(T$7,DCF!$BM$6:$BV$6))</f>
        <v>0</v>
      </c>
      <c r="U28" s="1002">
        <f>INDEX(DCF!$BM$266:$BV$266,MATCH(U$7,DCF!$BM$6:$BV$6))</f>
        <v>0</v>
      </c>
      <c r="V28" s="1002">
        <f>INDEX(DCF!$BM$266:$BV$266,MATCH(V$7,DCF!$BM$6:$BV$6))</f>
        <v>0</v>
      </c>
      <c r="W28" s="1018">
        <f>INDEX(DCF!$BM$266:$BV$266,MATCH(W$7,DCF!$BM$6:$BV$6))</f>
        <v>0</v>
      </c>
      <c r="X28" s="1018">
        <f t="shared" ref="X28:X33" si="6">SUM(S28:W28)</f>
        <v>0</v>
      </c>
      <c r="Y28" s="1000"/>
      <c r="Z28" s="1001"/>
    </row>
    <row r="29" spans="2:26">
      <c r="B29" s="995"/>
      <c r="C29" s="990"/>
      <c r="D29" s="990"/>
      <c r="E29" s="1023"/>
      <c r="F29" s="1020"/>
      <c r="G29" s="1020"/>
      <c r="H29" s="1020"/>
      <c r="I29" s="1020"/>
      <c r="J29" s="1021"/>
      <c r="K29" s="1021"/>
      <c r="L29" s="1003"/>
      <c r="M29" s="999"/>
      <c r="N29" s="1000"/>
      <c r="O29" s="1001"/>
      <c r="P29" s="1000"/>
      <c r="Q29" s="1023" t="s">
        <v>777</v>
      </c>
      <c r="R29" s="1023"/>
      <c r="S29" s="1002">
        <f>INDEX(DCF!$BM$271:$BV$271,MATCH(S$7,DCF!$BM$6:$BV$6))</f>
        <v>0</v>
      </c>
      <c r="T29" s="1002">
        <f>INDEX(DCF!$BM$271:$BV$271,MATCH(T$7,DCF!$BM$6:$BV$6))</f>
        <v>0</v>
      </c>
      <c r="U29" s="1002">
        <f>INDEX(DCF!$BM$271:$BV$271,MATCH(U$7,DCF!$BM$6:$BV$6))</f>
        <v>0</v>
      </c>
      <c r="V29" s="1002">
        <f>INDEX(DCF!$BM$271:$BV$271,MATCH(V$7,DCF!$BM$6:$BV$6))</f>
        <v>0</v>
      </c>
      <c r="W29" s="1018">
        <f>INDEX(DCF!$BM$271:$BV$271,MATCH(W$7,DCF!$BM$6:$BV$6))</f>
        <v>0</v>
      </c>
      <c r="X29" s="1018">
        <f t="shared" si="6"/>
        <v>0</v>
      </c>
      <c r="Y29" s="1000"/>
      <c r="Z29" s="1001"/>
    </row>
    <row r="30" spans="2:26">
      <c r="B30" s="995"/>
      <c r="C30" s="990"/>
      <c r="D30" s="990" t="s">
        <v>1320</v>
      </c>
      <c r="E30" s="1045">
        <f>AVERAGE(GA!L526:L565)</f>
        <v>1.7499999999999995E-2</v>
      </c>
      <c r="F30" s="1002">
        <f>INDEX(DCF!$BM$191:$BV$191,MATCH(F$7,DCF!$BM$6:$BV$6))</f>
        <v>-25700.698782382911</v>
      </c>
      <c r="G30" s="1002">
        <f>INDEX(DCF!$BM$191:$BV$191,MATCH(G$7,DCF!$BM$6:$BV$6))</f>
        <v>-43361.71875</v>
      </c>
      <c r="H30" s="1002">
        <f>INDEX(DCF!$BM$191:$BV$191,MATCH(H$7,DCF!$BM$6:$BV$6))</f>
        <v>-42590.017361111117</v>
      </c>
      <c r="I30" s="1002">
        <f>INDEX(DCF!$BM$191:$BV$191,MATCH(I$7,DCF!$BM$6:$BV$6))</f>
        <v>0</v>
      </c>
      <c r="J30" s="1002">
        <f>INDEX(DCF!$BM$191:$BV$191,MATCH(J$7,DCF!$BM$6:$BV$6))</f>
        <v>0</v>
      </c>
      <c r="K30" s="1019">
        <f>SUM(F30:J30)</f>
        <v>-111652.43489349404</v>
      </c>
      <c r="L30" s="1003"/>
      <c r="M30" s="999"/>
      <c r="N30" s="1000"/>
      <c r="O30" s="1001"/>
      <c r="P30" s="1000"/>
      <c r="Q30" s="1023" t="s">
        <v>1143</v>
      </c>
      <c r="R30" s="1023"/>
      <c r="S30" s="1002">
        <f>INDEX(DCF!$BM$261:$BV$261,MATCH(S$7,DCF!$BM$6:$BV$6))+INDEX(DCF!$BM$259:$BV$259,MATCH(S$7,DCF!$BM$6:$BV$6))+INDEX(DCF!$BM$258:$BV$258,MATCH(S$7,DCF!$BM$6:$BV$6))+INDEX(DCF!$BM$260:$BV$260,MATCH(S$7,DCF!$BM$6:$BV$6))+INDEX(DCF!$BM$257:$BV$257,MATCH(S$7,DCF!$BM$6:$BV$6))</f>
        <v>0</v>
      </c>
      <c r="T30" s="1002">
        <f>INDEX(DCF!$BM$261:$BV$261,MATCH(T$7,DCF!$BM$6:$BV$6))+INDEX(DCF!$BM$259:$BV$259,MATCH(T$7,DCF!$BM$6:$BV$6))+INDEX(DCF!$BM$258:$BV$258,MATCH(T$7,DCF!$BM$6:$BV$6))+INDEX(DCF!$BM$260:$BV$260,MATCH(T$7,DCF!$BM$6:$BV$6))+INDEX(DCF!$BM$257:$BV$257,MATCH(T$7,DCF!$BM$6:$BV$6))</f>
        <v>0</v>
      </c>
      <c r="U30" s="1002">
        <f>INDEX(DCF!$BM$261:$BV$261,MATCH(U$7,DCF!$BM$6:$BV$6))+INDEX(DCF!$BM$259:$BV$259,MATCH(U$7,DCF!$BM$6:$BV$6))+INDEX(DCF!$BM$258:$BV$258,MATCH(U$7,DCF!$BM$6:$BV$6))+INDEX(DCF!$BM$260:$BV$260,MATCH(U$7,DCF!$BM$6:$BV$6))+INDEX(DCF!$BM$257:$BV$257,MATCH(U$7,DCF!$BM$6:$BV$6))</f>
        <v>0</v>
      </c>
      <c r="V30" s="1002">
        <f>INDEX(DCF!$BM$261:$BV$261,MATCH(V$7,DCF!$BM$6:$BV$6))+INDEX(DCF!$BM$259:$BV$259,MATCH(V$7,DCF!$BM$6:$BV$6))+INDEX(DCF!$BM$258:$BV$258,MATCH(V$7,DCF!$BM$6:$BV$6))+INDEX(DCF!$BM$260:$BV$260,MATCH(V$7,DCF!$BM$6:$BV$6))+INDEX(DCF!$BM$257:$BV$257,MATCH(V$7,DCF!$BM$6:$BV$6))</f>
        <v>0</v>
      </c>
      <c r="W30" s="1018">
        <f>INDEX(DCF!$BM$261:$BV$261,MATCH(W$7,DCF!$BM$6:$BV$6))+INDEX(DCF!$BM$259:$BV$259,MATCH(W$7,DCF!$BM$6:$BV$6))+INDEX(DCF!$BM$258:$BV$258,MATCH(W$7,DCF!$BM$6:$BV$6))+INDEX(DCF!$BM$260:$BV$260,MATCH(W$7,DCF!$BM$6:$BV$6))+INDEX(DCF!$BM$257:$BV$257,MATCH(W$7,DCF!$BM$6:$BV$6))</f>
        <v>0</v>
      </c>
      <c r="X30" s="1018">
        <f t="shared" si="6"/>
        <v>0</v>
      </c>
      <c r="Y30" s="1000"/>
      <c r="Z30" s="1001"/>
    </row>
    <row r="31" spans="2:26">
      <c r="B31" s="995"/>
      <c r="C31" s="990"/>
      <c r="D31" s="990" t="s">
        <v>1319</v>
      </c>
      <c r="E31" s="1045">
        <f>AVERAGE(GA!G602:G641)</f>
        <v>1.7499999999999995E-2</v>
      </c>
      <c r="F31" s="1002">
        <f>INDEX(DCF!$BM$220:$BV$220,MATCH(F$7,DCF!$BM$6:$BV$6))+INDEX(DCF!$BM$223:$BV$223,MATCH(F$7,DCF!$BM$6:$BV$6))+INDEX(DCF!$BM$224:$BV$224,MATCH(F$7,DCF!$BM$6:$BV$6))</f>
        <v>0</v>
      </c>
      <c r="G31" s="1002">
        <f>INDEX(DCF!$BM$220:$BV$220,MATCH(G$7,DCF!$BM$6:$BV$6))+INDEX(DCF!$BM$223:$BV$223,MATCH(G$7,DCF!$BM$6:$BV$6))+INDEX(DCF!$BM$224:$BV$224,MATCH(G$7,DCF!$BM$6:$BV$6))</f>
        <v>0</v>
      </c>
      <c r="H31" s="1002">
        <f>INDEX(DCF!$BM$220:$BV$220,MATCH(H$7,DCF!$BM$6:$BV$6))+INDEX(DCF!$BM$223:$BV$223,MATCH(H$7,DCF!$BM$6:$BV$6))+INDEX(DCF!$BM$224:$BV$224,MATCH(H$7,DCF!$BM$6:$BV$6))</f>
        <v>0</v>
      </c>
      <c r="I31" s="1002">
        <f>INDEX(DCF!$BM$220:$BV$220,MATCH(I$7,DCF!$BM$6:$BV$6))+INDEX(DCF!$BM$223:$BV$223,MATCH(I$7,DCF!$BM$6:$BV$6))+INDEX(DCF!$BM$224:$BV$224,MATCH(I$7,DCF!$BM$6:$BV$6))</f>
        <v>0</v>
      </c>
      <c r="J31" s="1002">
        <f>INDEX(DCF!$BM$220:$BV$220,MATCH(J$7,DCF!$BM$6:$BV$6))+INDEX(DCF!$BM$223:$BV$223,MATCH(J$7,DCF!$BM$6:$BV$6))+INDEX(DCF!$BM$224:$BV$224,MATCH(J$7,DCF!$BM$6:$BV$6))</f>
        <v>0</v>
      </c>
      <c r="K31" s="1019">
        <f>SUM(F31:J31)</f>
        <v>0</v>
      </c>
      <c r="L31" s="1003"/>
      <c r="M31" s="999"/>
      <c r="N31" s="1000"/>
      <c r="O31" s="1001"/>
      <c r="P31" s="1000"/>
      <c r="Q31" s="1023" t="s">
        <v>780</v>
      </c>
      <c r="R31" s="1023"/>
      <c r="S31" s="1002">
        <f>INDEX(DCF!$BM$283:$BV$283,MATCH(S$7,DCF!$BM$6:$BV$6))</f>
        <v>0</v>
      </c>
      <c r="T31" s="1002">
        <f>INDEX(DCF!$BM$283:$BV$283,MATCH(T$7,DCF!$BM$6:$BV$6))</f>
        <v>0</v>
      </c>
      <c r="U31" s="1002">
        <f>INDEX(DCF!$BM$283:$BV$283,MATCH(U$7,DCF!$BM$6:$BV$6))</f>
        <v>0</v>
      </c>
      <c r="V31" s="1002">
        <f>INDEX(DCF!$BM$283:$BV$283,MATCH(V$7,DCF!$BM$6:$BV$6))</f>
        <v>0</v>
      </c>
      <c r="W31" s="1018">
        <f>INDEX(DCF!$BM$283:$BV$283,MATCH(W$7,DCF!$BM$6:$BV$6))</f>
        <v>0</v>
      </c>
      <c r="X31" s="1019">
        <f t="shared" si="6"/>
        <v>0</v>
      </c>
      <c r="Y31" s="1000"/>
      <c r="Z31" s="1001"/>
    </row>
    <row r="32" spans="2:26">
      <c r="B32" s="995"/>
      <c r="C32" s="990"/>
      <c r="D32" s="990" t="s">
        <v>1139</v>
      </c>
      <c r="E32" s="1328">
        <f>GA!G510+GA!G511</f>
        <v>0</v>
      </c>
      <c r="F32" s="1002">
        <f>INDEX(DCF!$BM$195:$BV$195,MATCH(F$7,DCF!$BM$6:$BV$6))+INDEX(DCF!$BM$196:$BV$196,MATCH(F$7,DCF!$BM$6:$BV$6))</f>
        <v>0</v>
      </c>
      <c r="G32" s="1002">
        <f>INDEX(DCF!$BM$195:$BV$195,MATCH(G$7,DCF!$BM$6:$BV$6))+INDEX(DCF!$BM$196:$BV$196,MATCH(G$7,DCF!$BM$6:$BV$6))</f>
        <v>0</v>
      </c>
      <c r="H32" s="1002">
        <f>INDEX(DCF!$BM$195:$BV$195,MATCH(H$7,DCF!$BM$6:$BV$6))+INDEX(DCF!$BM$196:$BV$196,MATCH(H$7,DCF!$BM$6:$BV$6))</f>
        <v>0</v>
      </c>
      <c r="I32" s="1002">
        <f>INDEX(DCF!$BM$195:$BV$195,MATCH(I$7,DCF!$BM$6:$BV$6))+INDEX(DCF!$BM$196:$BV$196,MATCH(I$7,DCF!$BM$6:$BV$6))</f>
        <v>0</v>
      </c>
      <c r="J32" s="1002">
        <f>INDEX(DCF!$BM$195:$BV$195,MATCH(J$7,DCF!$BM$6:$BV$6))+INDEX(DCF!$BM$196:$BV$196,MATCH(J$7,DCF!$BM$6:$BV$6))</f>
        <v>0</v>
      </c>
      <c r="K32" s="1019">
        <f>SUM(F32:J32)</f>
        <v>0</v>
      </c>
      <c r="L32" s="1003"/>
      <c r="M32" s="999"/>
      <c r="N32" s="1000"/>
      <c r="O32" s="1001"/>
      <c r="P32" s="1023"/>
      <c r="Q32" s="1023" t="s">
        <v>1145</v>
      </c>
      <c r="R32" s="1023"/>
      <c r="S32" s="1002">
        <f>INDEX(DCF!$BM$278:$BV$278,MATCH(S$7,DCF!$BM$6:$BV$6))</f>
        <v>0</v>
      </c>
      <c r="T32" s="1002">
        <f>INDEX(DCF!$BM$278:$BV$278,MATCH(T$7,DCF!$BM$6:$BV$6))</f>
        <v>0</v>
      </c>
      <c r="U32" s="1002">
        <f>INDEX(DCF!$BM$278:$BV$278,MATCH(U$7,DCF!$BM$6:$BV$6))</f>
        <v>0</v>
      </c>
      <c r="V32" s="1002">
        <f>INDEX(DCF!$BM$278:$BV$278,MATCH(V$7,DCF!$BM$6:$BV$6))</f>
        <v>0</v>
      </c>
      <c r="W32" s="1018">
        <f>INDEX(DCF!$BM$278:$BV$278,MATCH(W$7,DCF!$BM$6:$BV$6))</f>
        <v>0</v>
      </c>
      <c r="X32" s="1019">
        <f t="shared" si="6"/>
        <v>0</v>
      </c>
      <c r="Y32" s="1000"/>
      <c r="Z32" s="1001"/>
    </row>
    <row r="33" spans="2:26">
      <c r="B33" s="995"/>
      <c r="C33" s="990"/>
      <c r="D33" s="990" t="s">
        <v>785</v>
      </c>
      <c r="E33" s="1053"/>
      <c r="F33" s="1002">
        <f>INDEX(DCF!$BM$159:$BV$159,MATCH(F$7,DCF!$BM$6:$BV$6))*(INDEX(DCF!$BM$21:$BV$21,MATCH(F$7,DCF!$BM$6:$BV$6))=0)</f>
        <v>0</v>
      </c>
      <c r="G33" s="1002">
        <f>INDEX(DCF!$BM$159:$BV$159,MATCH(G$7,DCF!$BM$6:$BV$6))*(INDEX(DCF!$BM$21:$BV$21,MATCH(G$7,DCF!$BM$6:$BV$6))=0)</f>
        <v>0</v>
      </c>
      <c r="H33" s="1002">
        <f>INDEX(DCF!$BM$159:$BV$159,MATCH(H$7,DCF!$BM$6:$BV$6))*(INDEX(DCF!$BM$21:$BV$21,MATCH(H$7,DCF!$BM$6:$BV$6))=0)</f>
        <v>0</v>
      </c>
      <c r="I33" s="1002">
        <f>INDEX(DCF!$BM$159:$BV$159,MATCH(I$7,DCF!$BM$6:$BV$6))*(INDEX(DCF!$BM$21:$BV$21,MATCH(I$7,DCF!$BM$6:$BV$6))=0)</f>
        <v>0</v>
      </c>
      <c r="J33" s="1054">
        <f>INDEX(DCF!$BM$159:$BV$159,MATCH(J$7,DCF!$BM$6:$BV$6))*(INDEX(DCF!$BM$21:$BV$21,MATCH(J$7,DCF!$BM$6:$BV$6))=0)</f>
        <v>0</v>
      </c>
      <c r="K33" s="1018">
        <f>SUM(F33:J33)</f>
        <v>0</v>
      </c>
      <c r="L33" s="1003"/>
      <c r="M33" s="999"/>
      <c r="N33" s="1000"/>
      <c r="O33" s="1001"/>
      <c r="P33" s="1023"/>
      <c r="Q33" s="1058" t="s">
        <v>1368</v>
      </c>
      <c r="R33" s="1058"/>
      <c r="S33" s="1002">
        <f>-DCF!BM302</f>
        <v>0</v>
      </c>
      <c r="T33" s="1002">
        <f>-DCF!BN302</f>
        <v>0</v>
      </c>
      <c r="U33" s="1002">
        <f>-DCF!BO302</f>
        <v>0</v>
      </c>
      <c r="V33" s="1002">
        <f>-DCF!BP302</f>
        <v>0</v>
      </c>
      <c r="W33" s="1018">
        <f>-DCF!BQ302</f>
        <v>0</v>
      </c>
      <c r="X33" s="1050">
        <f t="shared" si="6"/>
        <v>0</v>
      </c>
      <c r="Y33" s="1000"/>
      <c r="Z33" s="1001"/>
    </row>
    <row r="34" spans="2:26" ht="15.75" thickBot="1">
      <c r="B34" s="995"/>
      <c r="C34" s="990"/>
      <c r="D34" s="1030" t="s">
        <v>1141</v>
      </c>
      <c r="E34" s="1031"/>
      <c r="F34" s="1033">
        <f>SUM(F28:F33)</f>
        <v>117825.71549712832</v>
      </c>
      <c r="G34" s="1033">
        <f t="shared" ref="G34:J34" si="7">SUM(G28:G33)</f>
        <v>165444.64659879598</v>
      </c>
      <c r="H34" s="1033">
        <f t="shared" si="7"/>
        <v>167108.60961294491</v>
      </c>
      <c r="I34" s="1033">
        <f t="shared" si="7"/>
        <v>0</v>
      </c>
      <c r="J34" s="1033">
        <f t="shared" si="7"/>
        <v>0</v>
      </c>
      <c r="K34" s="1057">
        <f>SUM(F34:J34)</f>
        <v>450378.97170886921</v>
      </c>
      <c r="L34" s="1003"/>
      <c r="M34" s="999"/>
      <c r="N34" s="1000"/>
      <c r="O34" s="1001"/>
      <c r="P34" s="1000"/>
      <c r="Q34" s="1030" t="s">
        <v>1130</v>
      </c>
      <c r="R34" s="1461">
        <f>SUM(R19,R25:R27)</f>
        <v>-735007.24137292895</v>
      </c>
      <c r="S34" s="1032">
        <f>SUM(S28:S33,S19)</f>
        <v>892144.7475766245</v>
      </c>
      <c r="T34" s="1033">
        <f>SUM(T28:T33,T19)</f>
        <v>115444.64659879598</v>
      </c>
      <c r="U34" s="1033">
        <f>SUM(U28:U33,U19)</f>
        <v>1431153.2981281066</v>
      </c>
      <c r="V34" s="1033">
        <f>SUM(V28:V33,V19)</f>
        <v>0</v>
      </c>
      <c r="W34" s="1034">
        <f>SUM(W28:W33,W19)</f>
        <v>0</v>
      </c>
      <c r="X34" s="1034">
        <f t="shared" ref="X34" si="8">SUM(S34:W34)</f>
        <v>2438742.6923035271</v>
      </c>
      <c r="Y34" s="1000"/>
      <c r="Z34" s="1001"/>
    </row>
    <row r="35" spans="2:26">
      <c r="B35" s="995"/>
      <c r="C35" s="990"/>
      <c r="D35" s="990"/>
      <c r="E35" s="1053"/>
      <c r="F35" s="1002"/>
      <c r="G35" s="1002"/>
      <c r="H35" s="1002"/>
      <c r="I35" s="1002"/>
      <c r="J35" s="1018"/>
      <c r="K35" s="1018"/>
      <c r="L35" s="1003"/>
      <c r="M35" s="999"/>
      <c r="N35" s="1000"/>
      <c r="O35" s="1001"/>
      <c r="P35" s="1000"/>
      <c r="Q35" s="1038" t="s">
        <v>746</v>
      </c>
      <c r="R35" s="1039">
        <f>DCF!Y324</f>
        <v>2.9802322387695314E-9</v>
      </c>
      <c r="S35" s="1000"/>
      <c r="T35" s="1000"/>
      <c r="U35" s="1000"/>
      <c r="V35" s="1000"/>
      <c r="W35" s="1003"/>
      <c r="X35" s="1003"/>
      <c r="Y35" s="1000"/>
      <c r="Z35" s="1001"/>
    </row>
    <row r="36" spans="2:26">
      <c r="B36" s="995"/>
      <c r="C36" s="990"/>
      <c r="D36" s="990" t="s">
        <v>1142</v>
      </c>
      <c r="E36" s="1045">
        <f>AVERAGE(GA!Q526:Q565)</f>
        <v>2.0000000000000011E-2</v>
      </c>
      <c r="F36" s="1002">
        <f>INDEX(DCF!$BM$182:$BV$182,MATCH(F$7,DCF!$BM$6:$BV$6))</f>
        <v>-37500</v>
      </c>
      <c r="G36" s="1002">
        <f>INDEX(DCF!$BM$182:$BV$182,MATCH(G$7,DCF!$BM$6:$BV$6))</f>
        <v>-50000</v>
      </c>
      <c r="H36" s="1002">
        <f>INDEX(DCF!$BM$182:$BV$182,MATCH(H$7,DCF!$BM$6:$BV$6))</f>
        <v>-50000</v>
      </c>
      <c r="I36" s="1002">
        <f>INDEX(DCF!$BM$182:$BV$182,MATCH(I$7,DCF!$BM$6:$BV$6))</f>
        <v>0</v>
      </c>
      <c r="J36" s="1018">
        <f>INDEX(DCF!$BM$182:$BV$182,MATCH(J$7,DCF!$BM$6:$BV$6))</f>
        <v>0</v>
      </c>
      <c r="K36" s="1018">
        <f>SUM(F36:J36)</f>
        <v>-137500</v>
      </c>
      <c r="L36" s="1003"/>
      <c r="M36" s="999"/>
      <c r="N36" s="1000"/>
      <c r="O36" s="1001"/>
      <c r="P36" s="1000"/>
      <c r="Q36" s="1038" t="s">
        <v>1133</v>
      </c>
      <c r="R36" s="1040">
        <f>DCF!Y323</f>
        <v>0.50186743331641059</v>
      </c>
      <c r="S36" s="1000"/>
      <c r="T36" s="1000"/>
      <c r="U36" s="1000"/>
      <c r="V36" s="1000"/>
      <c r="W36" s="1003"/>
      <c r="X36" s="1003"/>
      <c r="Y36" s="1000"/>
      <c r="Z36" s="1001"/>
    </row>
    <row r="37" spans="2:26">
      <c r="B37" s="995"/>
      <c r="C37" s="990"/>
      <c r="D37" s="990" t="s">
        <v>1144</v>
      </c>
      <c r="E37" s="1053"/>
      <c r="F37" s="1002">
        <f>INDEX(DCF!$BM$138:$BV$138,MATCH(F$7,DCF!$BM$6:$BV$6))</f>
        <v>0</v>
      </c>
      <c r="G37" s="1002">
        <f>INDEX(DCF!$BM$138:$BV$138,MATCH(G$7,DCF!$BM$6:$BV$6))</f>
        <v>0</v>
      </c>
      <c r="H37" s="1002">
        <f>INDEX(DCF!$BM$138:$BV$138,MATCH(H$7,DCF!$BM$6:$BV$6))</f>
        <v>0</v>
      </c>
      <c r="I37" s="1002">
        <f>INDEX(DCF!$BM$138:$BV$138,MATCH(I$7,DCF!$BM$6:$BV$6))</f>
        <v>0</v>
      </c>
      <c r="J37" s="1002">
        <f>INDEX(DCF!$BM$138:$BV$138,MATCH(J$7,DCF!$BM$6:$BV$6))</f>
        <v>0</v>
      </c>
      <c r="K37" s="1019">
        <f>SUM(F37:J37)</f>
        <v>0</v>
      </c>
      <c r="L37" s="1003"/>
      <c r="M37" s="999"/>
      <c r="N37" s="1000"/>
      <c r="O37" s="1001"/>
      <c r="P37" s="1000"/>
      <c r="Q37" s="1041" t="s">
        <v>744</v>
      </c>
      <c r="R37" s="1065">
        <f>DCF!Y322</f>
        <v>-1602122.4747597778</v>
      </c>
      <c r="S37" s="1043"/>
      <c r="T37" s="1043"/>
      <c r="U37" s="1043"/>
      <c r="V37" s="1043"/>
      <c r="W37" s="1044"/>
      <c r="X37" s="1044"/>
      <c r="Y37" s="1000"/>
      <c r="Z37" s="1001"/>
    </row>
    <row r="38" spans="2:26">
      <c r="B38" s="995"/>
      <c r="C38" s="990"/>
      <c r="D38" s="990" t="s">
        <v>1368</v>
      </c>
      <c r="E38" s="1053"/>
      <c r="F38" s="1002">
        <f>-DCF!BM166-DCF!BM238-DCF!BM236</f>
        <v>811819.03207949619</v>
      </c>
      <c r="G38" s="1002">
        <f>-DCF!BN166-DCF!BN238-DCF!BN236</f>
        <v>0</v>
      </c>
      <c r="H38" s="1002">
        <f>-DCF!BO166-DCF!BO238-DCF!BO236</f>
        <v>0</v>
      </c>
      <c r="I38" s="1002">
        <f>-DCF!BP166-DCF!BP238-DCF!BP236</f>
        <v>0</v>
      </c>
      <c r="J38" s="1002">
        <f>-DCF!BQ166-DCF!BQ238-DCF!BQ236</f>
        <v>0</v>
      </c>
      <c r="K38" s="1019">
        <f>SUM(F38:J38)</f>
        <v>811819.03207949619</v>
      </c>
      <c r="L38" s="1003"/>
      <c r="M38" s="999"/>
      <c r="N38" s="1000"/>
      <c r="O38" s="1001"/>
      <c r="P38" s="991"/>
      <c r="Q38" s="1043"/>
      <c r="R38" s="1043"/>
      <c r="S38" s="1043"/>
      <c r="T38" s="1043"/>
      <c r="U38" s="1043"/>
      <c r="V38" s="1043"/>
      <c r="W38" s="1043"/>
      <c r="X38" s="1043"/>
      <c r="Y38" s="1044"/>
      <c r="Z38" s="1001"/>
    </row>
    <row r="39" spans="2:26">
      <c r="B39" s="995"/>
      <c r="C39" s="990"/>
      <c r="D39" s="990" t="s">
        <v>1121</v>
      </c>
      <c r="E39" s="1053"/>
      <c r="F39" s="1002">
        <f>INDEX(DCF!$BM$211:$BV$211,MATCH(F$7,DCF!$BM$6:$BV$6))</f>
        <v>0</v>
      </c>
      <c r="G39" s="1002">
        <f>INDEX(DCF!$BM$211:$BV$211,MATCH(G$7,DCF!$BM$6:$BV$6))</f>
        <v>0</v>
      </c>
      <c r="H39" s="1002">
        <f>INDEX(DCF!$BM$211:$BV$211,MATCH(H$7,DCF!$BM$6:$BV$6))</f>
        <v>0</v>
      </c>
      <c r="I39" s="1002">
        <f>INDEX(DCF!$BM$211:$BV$211,MATCH(I$7,DCF!$BM$6:$BV$6))</f>
        <v>0</v>
      </c>
      <c r="J39" s="1002">
        <f>INDEX(DCF!$BM$211:$BV$211,MATCH(J$7,DCF!$BM$6:$BV$6))</f>
        <v>0</v>
      </c>
      <c r="K39" s="1050">
        <f>SUM(F39:J39)</f>
        <v>0</v>
      </c>
      <c r="L39" s="1003"/>
      <c r="M39" s="999"/>
      <c r="N39" s="1000"/>
      <c r="O39" s="1046"/>
      <c r="P39" s="1047"/>
      <c r="Q39" s="1047"/>
      <c r="R39" s="1047"/>
      <c r="S39" s="1047"/>
      <c r="T39" s="1047"/>
      <c r="U39" s="1047"/>
      <c r="V39" s="1047"/>
      <c r="W39" s="1047"/>
      <c r="X39" s="1047"/>
      <c r="Y39" s="857"/>
      <c r="Z39" s="1048"/>
    </row>
    <row r="40" spans="2:26" ht="15.75" thickBot="1">
      <c r="B40" s="995"/>
      <c r="C40" s="990"/>
      <c r="D40" s="1030" t="s">
        <v>1146</v>
      </c>
      <c r="E40" s="1031"/>
      <c r="F40" s="1033">
        <f>SUM(F36:F39,F34)</f>
        <v>892144.7475766245</v>
      </c>
      <c r="G40" s="1033">
        <f t="shared" ref="G40:J40" si="9">SUM(G36:G39,G34)</f>
        <v>115444.64659879598</v>
      </c>
      <c r="H40" s="1033">
        <f t="shared" si="9"/>
        <v>117108.60961294491</v>
      </c>
      <c r="I40" s="1033">
        <f t="shared" si="9"/>
        <v>0</v>
      </c>
      <c r="J40" s="1033">
        <f t="shared" si="9"/>
        <v>0</v>
      </c>
      <c r="K40" s="1057">
        <f>SUM(F40:J40)</f>
        <v>1124698.0037883655</v>
      </c>
      <c r="L40" s="1003"/>
      <c r="M40" s="999"/>
      <c r="N40" s="1000"/>
    </row>
    <row r="41" spans="2:26">
      <c r="B41" s="995"/>
      <c r="C41" s="990"/>
      <c r="D41" s="1038" t="s">
        <v>1478</v>
      </c>
      <c r="E41" s="1505"/>
      <c r="F41" s="1553">
        <f>-(F34+F36+S28)/$R$34</f>
        <v>0.10928561104661627</v>
      </c>
      <c r="G41" s="1553">
        <f t="shared" ref="G41:J41" si="10">-(G34+G36+T28)/$R$34</f>
        <v>0.15706599894601789</v>
      </c>
      <c r="H41" s="1553">
        <f t="shared" si="10"/>
        <v>0.15932987189921602</v>
      </c>
      <c r="I41" s="1553">
        <f t="shared" si="10"/>
        <v>0</v>
      </c>
      <c r="J41" s="1554">
        <f t="shared" si="10"/>
        <v>0</v>
      </c>
      <c r="K41" s="1021"/>
      <c r="L41" s="1003"/>
      <c r="M41" s="999"/>
      <c r="N41" s="1000"/>
    </row>
    <row r="42" spans="2:26">
      <c r="B42" s="995"/>
      <c r="C42" s="990"/>
      <c r="D42" s="990" t="s">
        <v>1147</v>
      </c>
      <c r="E42" s="1023"/>
      <c r="F42" s="1020"/>
      <c r="G42" s="1020"/>
      <c r="H42" s="1020"/>
      <c r="I42" s="1020"/>
      <c r="J42" s="1021"/>
      <c r="K42" s="1021"/>
      <c r="L42" s="1003"/>
      <c r="M42" s="999"/>
      <c r="N42" s="1000"/>
    </row>
    <row r="43" spans="2:26">
      <c r="B43" s="995"/>
      <c r="C43" s="990"/>
      <c r="D43" s="991" t="s">
        <v>1148</v>
      </c>
      <c r="E43" s="1058"/>
      <c r="F43" s="1062"/>
      <c r="G43" s="1062"/>
      <c r="H43" s="1062"/>
      <c r="I43" s="1062"/>
      <c r="J43" s="1063"/>
      <c r="K43" s="1064"/>
      <c r="L43" s="1003"/>
      <c r="M43" s="999"/>
      <c r="N43" s="1000"/>
    </row>
    <row r="44" spans="2:26">
      <c r="B44" s="995"/>
      <c r="C44" s="991"/>
      <c r="D44" s="1043"/>
      <c r="E44" s="1043"/>
      <c r="F44" s="1062"/>
      <c r="G44" s="1062"/>
      <c r="H44" s="1062"/>
      <c r="I44" s="1062"/>
      <c r="J44" s="1062"/>
      <c r="K44" s="1062"/>
      <c r="L44" s="1044"/>
      <c r="M44" s="999"/>
      <c r="N44" s="1000"/>
    </row>
    <row r="45" spans="2:26">
      <c r="B45" s="1046"/>
      <c r="C45" s="1047"/>
      <c r="D45" s="1047"/>
      <c r="E45" s="1047"/>
      <c r="F45" s="1047"/>
      <c r="G45" s="1047"/>
      <c r="H45" s="1047"/>
      <c r="I45" s="1047"/>
      <c r="J45" s="1047"/>
      <c r="K45" s="1047"/>
      <c r="L45" s="1047"/>
      <c r="M45" s="1048"/>
      <c r="N45" s="1000"/>
    </row>
    <row r="46" spans="2:26">
      <c r="F46" s="49"/>
      <c r="G46" s="49"/>
      <c r="H46" s="49"/>
      <c r="I46" s="49"/>
      <c r="J46" s="49"/>
      <c r="K46" s="49"/>
      <c r="N46" s="1000"/>
      <c r="S46" s="1066"/>
      <c r="T46" s="1066"/>
      <c r="U46" s="1066"/>
      <c r="V46" s="1066"/>
      <c r="W46" s="1066"/>
      <c r="X46" s="1066"/>
    </row>
    <row r="47" spans="2:26">
      <c r="S47" s="345"/>
      <c r="T47" s="345"/>
      <c r="U47" s="345"/>
      <c r="V47" s="345"/>
      <c r="W47" s="345"/>
    </row>
    <row r="48" spans="2:26">
      <c r="D48" t="s">
        <v>1315</v>
      </c>
      <c r="E48" t="b">
        <f>COUNTIF(E50:E53,TRUE)=COUNTA(E50:E53)</f>
        <v>0</v>
      </c>
    </row>
    <row r="50" spans="4:23">
      <c r="D50" t="s">
        <v>435</v>
      </c>
      <c r="E50" t="b">
        <f>COUNTIF(F50:J50,TRUE)=COUNTA(F50:J50)</f>
        <v>1</v>
      </c>
      <c r="F50" t="b">
        <f>ROUND(F21,GA!$G$112)=ROUND(DCF!BM118,GA!$G$112)</f>
        <v>1</v>
      </c>
      <c r="G50" t="b">
        <f>ROUND(G21,GA!$G$112)=ROUND(DCF!BN118,GA!$G$112)</f>
        <v>1</v>
      </c>
      <c r="H50" t="b">
        <f>ROUND(H21,GA!$G$112)=ROUND(DCF!BO118,GA!$G$112)</f>
        <v>1</v>
      </c>
      <c r="I50" t="b">
        <f>ROUND(I21,GA!$G$112)=ROUND(DCF!BP118,GA!$G$112)</f>
        <v>1</v>
      </c>
      <c r="J50" t="b">
        <f>ROUND(J21,GA!$G$112)=ROUND(DCF!BQ118,GA!$G$112)</f>
        <v>1</v>
      </c>
    </row>
    <row r="51" spans="4:23">
      <c r="D51" t="s">
        <v>522</v>
      </c>
      <c r="E51" t="b">
        <f>COUNTIF(F51:J51,TRUE)=COUNTA(F51:J51)</f>
        <v>1</v>
      </c>
      <c r="F51" t="b">
        <f>ROUND(F28,GA!$G$112)=ROUND(DCF!BM128,GA!$G$112)</f>
        <v>1</v>
      </c>
      <c r="G51" t="b">
        <f>ROUND(G28,GA!$G$112)=ROUND(DCF!BN128,GA!$G$112)</f>
        <v>1</v>
      </c>
      <c r="H51" t="b">
        <f>ROUND(H28,GA!$G$112)=ROUND(DCF!BO128,GA!$G$112)</f>
        <v>1</v>
      </c>
      <c r="I51" t="b">
        <f>ROUND(I28,GA!$G$112)=ROUND(DCF!BP128,GA!$G$112)</f>
        <v>1</v>
      </c>
      <c r="J51" t="b">
        <f>ROUND(J28,GA!$G$112)=ROUND(DCF!BQ128,GA!$G$112)</f>
        <v>1</v>
      </c>
    </row>
    <row r="52" spans="4:23">
      <c r="D52" t="s">
        <v>1316</v>
      </c>
      <c r="E52" t="b">
        <f>COUNTIF(F52:J52,TRUE)=COUNTA(F52:J52)</f>
        <v>0</v>
      </c>
      <c r="F52" t="b">
        <f>ROUND(S52,GA!$G$112)=ROUND(S19,GA!$G$112)</f>
        <v>0</v>
      </c>
      <c r="G52" t="b">
        <f>ROUND(T52,GA!$G$112)=ROUND(T19,GA!$G$112)</f>
        <v>1</v>
      </c>
      <c r="H52" t="b">
        <f>ROUND(U52,GA!$G$112)=ROUND(U19,GA!$G$112)</f>
        <v>1</v>
      </c>
      <c r="I52" t="b">
        <f>ROUND(V52,GA!$G$112)=ROUND(V19,GA!$G$112)</f>
        <v>1</v>
      </c>
      <c r="J52" t="b">
        <f>ROUND(W52,GA!$G$112)=ROUND(W19,GA!$G$112)</f>
        <v>1</v>
      </c>
      <c r="S52" s="345">
        <f>DCF!BM245</f>
        <v>67536.821886248639</v>
      </c>
      <c r="T52" s="345">
        <f>DCF!BN245</f>
        <v>115444.64659879597</v>
      </c>
      <c r="U52" s="345">
        <f>DCF!BO245</f>
        <v>1431153.2981281069</v>
      </c>
      <c r="V52" s="345">
        <f>DCF!BP245</f>
        <v>0</v>
      </c>
      <c r="W52" s="345">
        <f>DCF!BQ245</f>
        <v>0</v>
      </c>
    </row>
    <row r="53" spans="4:23">
      <c r="D53" t="s">
        <v>1317</v>
      </c>
      <c r="E53" t="b">
        <f>COUNTIF(F53:J53,TRUE)=COUNTA(F53:J53)</f>
        <v>0</v>
      </c>
      <c r="F53" t="b">
        <f>ROUND(S34,GA!$G$112)=ROUND(DCF!BM305,GA!$G$112)</f>
        <v>0</v>
      </c>
      <c r="G53" t="b">
        <f>ROUND(T34,GA!$G$112)=ROUND(DCF!BN305,GA!$G$112)</f>
        <v>1</v>
      </c>
      <c r="H53" t="b">
        <f>ROUND(U34,GA!$G$112)=ROUND(DCF!BO305,GA!$G$112)</f>
        <v>1</v>
      </c>
      <c r="I53" t="b">
        <f>ROUND(V34,GA!$G$112)=ROUND(DCF!BP305,GA!$G$112)</f>
        <v>1</v>
      </c>
      <c r="J53" t="b">
        <f>ROUND(W34,GA!$G$112)=ROUND(DCF!BQ305,GA!$G$112)</f>
        <v>1</v>
      </c>
      <c r="S53" s="345">
        <f>S19-S52</f>
        <v>824607.92569037585</v>
      </c>
      <c r="T53" s="345">
        <f>T19-T52</f>
        <v>0</v>
      </c>
      <c r="U53" s="345">
        <f>U19-U52</f>
        <v>0</v>
      </c>
      <c r="V53" s="345">
        <f>V19-V52</f>
        <v>0</v>
      </c>
      <c r="W53" s="345">
        <f>W19-W52</f>
        <v>0</v>
      </c>
    </row>
    <row r="57" spans="4:23">
      <c r="T57" s="345">
        <f>SUM(S52:T52)-SUM(S19:T19)</f>
        <v>-824607.92569037597</v>
      </c>
    </row>
  </sheetData>
  <conditionalFormatting sqref="N16">
    <cfRule type="cellIs" dxfId="251" priority="13" operator="equal">
      <formula>TRUE</formula>
    </cfRule>
  </conditionalFormatting>
  <conditionalFormatting sqref="N21">
    <cfRule type="cellIs" dxfId="250" priority="12" operator="equal">
      <formula>TRUE</formula>
    </cfRule>
  </conditionalFormatting>
  <conditionalFormatting sqref="N28">
    <cfRule type="cellIs" dxfId="249" priority="11" operator="equal">
      <formula>TRUE</formula>
    </cfRule>
  </conditionalFormatting>
  <conditionalFormatting sqref="E50:J52 F52:J53">
    <cfRule type="cellIs" dxfId="248" priority="9" operator="equal">
      <formula>TRUE</formula>
    </cfRule>
    <cfRule type="cellIs" dxfId="247" priority="10" operator="equal">
      <formula>FALSE</formula>
    </cfRule>
  </conditionalFormatting>
  <conditionalFormatting sqref="E52">
    <cfRule type="cellIs" dxfId="246" priority="7" operator="equal">
      <formula>TRUE</formula>
    </cfRule>
    <cfRule type="cellIs" dxfId="245" priority="8" operator="equal">
      <formula>FALSE</formula>
    </cfRule>
  </conditionalFormatting>
  <conditionalFormatting sqref="E48">
    <cfRule type="cellIs" dxfId="244" priority="5" operator="equal">
      <formula>TRUE</formula>
    </cfRule>
    <cfRule type="cellIs" dxfId="243" priority="6" operator="equal">
      <formula>FALSE</formula>
    </cfRule>
  </conditionalFormatting>
  <conditionalFormatting sqref="E53">
    <cfRule type="cellIs" dxfId="242" priority="3" operator="equal">
      <formula>TRUE</formula>
    </cfRule>
    <cfRule type="cellIs" dxfId="241" priority="4" operator="equal">
      <formula>FALSE</formula>
    </cfRule>
  </conditionalFormatting>
  <conditionalFormatting sqref="E53">
    <cfRule type="cellIs" dxfId="240" priority="1" operator="equal">
      <formula>TRUE</formula>
    </cfRule>
    <cfRule type="cellIs" dxfId="239" priority="2" operator="equal">
      <formula>FALSE</formula>
    </cfRule>
  </conditionalFormatting>
  <pageMargins left="0.7" right="0.7" top="0.75" bottom="0.75" header="0.3" footer="0.3"/>
  <pageSetup paperSize="9" scale="29" orientation="portrait" r:id="rId1"/>
  <ignoredErrors>
    <ignoredError sqref="F16:K18 F21:K23 F28:K28 F31:K34 F38:K40"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EEF15-A0B2-433D-943B-6B92A3C0277C}">
  <sheetPr codeName="Sheet29">
    <tabColor theme="7" tint="0.39997558519241921"/>
  </sheetPr>
  <dimension ref="B2:AF57"/>
  <sheetViews>
    <sheetView workbookViewId="0"/>
  </sheetViews>
  <sheetFormatPr baseColWidth="10" defaultColWidth="8" defaultRowHeight="15"/>
  <cols>
    <col min="1" max="1" width="3" customWidth="1"/>
    <col min="2" max="3" width="2.5703125" customWidth="1"/>
    <col min="4" max="4" width="40" bestFit="1" customWidth="1"/>
    <col min="5" max="5" width="16.7109375" bestFit="1" customWidth="1"/>
    <col min="6" max="7" width="14.42578125" bestFit="1" customWidth="1"/>
    <col min="8" max="9" width="12.42578125" bestFit="1" customWidth="1"/>
    <col min="10" max="12" width="12.42578125" customWidth="1"/>
    <col min="13" max="13" width="12.42578125" bestFit="1" customWidth="1"/>
    <col min="14" max="14" width="14.42578125" bestFit="1" customWidth="1"/>
    <col min="15" max="16" width="2.5703125" customWidth="1"/>
    <col min="17" max="17" width="1.42578125" customWidth="1"/>
    <col min="18" max="19" width="2.5703125" customWidth="1"/>
    <col min="20" max="20" width="38.7109375" bestFit="1" customWidth="1"/>
    <col min="21" max="21" width="20.28515625" bestFit="1" customWidth="1"/>
    <col min="22" max="22" width="14.42578125" bestFit="1" customWidth="1"/>
    <col min="23" max="23" width="15.42578125" bestFit="1" customWidth="1"/>
    <col min="24" max="25" width="12.42578125" bestFit="1" customWidth="1"/>
    <col min="26" max="28" width="12.42578125" customWidth="1"/>
    <col min="29" max="29" width="15.5703125" bestFit="1" customWidth="1"/>
    <col min="30" max="30" width="12.42578125" customWidth="1"/>
    <col min="31" max="32" width="2.5703125" customWidth="1"/>
  </cols>
  <sheetData>
    <row r="2" spans="2:32" s="90" customFormat="1">
      <c r="B2" s="91">
        <v>1</v>
      </c>
      <c r="D2" s="91" t="s">
        <v>1110</v>
      </c>
      <c r="E2" s="92"/>
      <c r="R2" s="91"/>
      <c r="S2" s="92"/>
      <c r="T2" s="92"/>
    </row>
    <row r="4" spans="2:32">
      <c r="B4" s="992"/>
      <c r="C4" s="993"/>
      <c r="D4" s="993"/>
      <c r="E4" s="993"/>
      <c r="F4" s="993"/>
      <c r="G4" s="993"/>
      <c r="H4" s="993"/>
      <c r="I4" s="993"/>
      <c r="J4" s="993"/>
      <c r="K4" s="993"/>
      <c r="L4" s="993"/>
      <c r="M4" s="993"/>
      <c r="N4" s="993"/>
      <c r="O4" s="993"/>
      <c r="P4" s="994"/>
      <c r="R4" s="992"/>
      <c r="S4" s="993"/>
      <c r="T4" s="993"/>
      <c r="U4" s="993"/>
      <c r="V4" s="993"/>
      <c r="W4" s="993"/>
      <c r="X4" s="993"/>
      <c r="Y4" s="993"/>
      <c r="Z4" s="993"/>
      <c r="AA4" s="993"/>
      <c r="AB4" s="993"/>
      <c r="AC4" s="993"/>
      <c r="AD4" s="993"/>
      <c r="AE4" s="993"/>
      <c r="AF4" s="994"/>
    </row>
    <row r="5" spans="2:32">
      <c r="B5" s="995"/>
      <c r="C5" s="996"/>
      <c r="D5" s="997"/>
      <c r="E5" s="997"/>
      <c r="F5" s="997"/>
      <c r="G5" s="997"/>
      <c r="H5" s="997"/>
      <c r="I5" s="997"/>
      <c r="J5" s="997"/>
      <c r="K5" s="997"/>
      <c r="L5" s="997"/>
      <c r="M5" s="997"/>
      <c r="N5" s="997"/>
      <c r="O5" s="998"/>
      <c r="P5" s="999"/>
      <c r="Q5" s="1000"/>
      <c r="R5" s="995"/>
      <c r="S5" s="996"/>
      <c r="T5" s="997"/>
      <c r="U5" s="997"/>
      <c r="V5" s="997"/>
      <c r="W5" s="997"/>
      <c r="X5" s="997"/>
      <c r="Y5" s="997"/>
      <c r="Z5" s="997"/>
      <c r="AA5" s="997"/>
      <c r="AB5" s="997"/>
      <c r="AC5" s="997"/>
      <c r="AD5" s="997"/>
      <c r="AE5" s="997"/>
      <c r="AF5" s="1001"/>
    </row>
    <row r="6" spans="2:32">
      <c r="B6" s="995"/>
      <c r="C6" s="990"/>
      <c r="D6" s="1000"/>
      <c r="E6" s="1000"/>
      <c r="F6" s="1002"/>
      <c r="G6" s="1002"/>
      <c r="H6" s="1002"/>
      <c r="I6" s="1002"/>
      <c r="J6" s="1002"/>
      <c r="K6" s="1002"/>
      <c r="L6" s="1002"/>
      <c r="M6" s="1000"/>
      <c r="N6" s="1000"/>
      <c r="O6" s="1003"/>
      <c r="P6" s="999"/>
      <c r="Q6" s="1000"/>
      <c r="R6" s="1001"/>
      <c r="S6" s="990"/>
      <c r="T6" s="1000"/>
      <c r="U6" s="1000"/>
      <c r="V6" s="1002"/>
      <c r="W6" s="1002"/>
      <c r="X6" s="1002"/>
      <c r="Y6" s="1002"/>
      <c r="Z6" s="1002"/>
      <c r="AA6" s="1002"/>
      <c r="AB6" s="1002"/>
      <c r="AC6" s="1000"/>
      <c r="AD6" s="1000"/>
      <c r="AE6" s="1000"/>
      <c r="AF6" s="1001"/>
    </row>
    <row r="7" spans="2:32">
      <c r="B7" s="995"/>
      <c r="C7" s="990"/>
      <c r="D7" s="582"/>
      <c r="E7" s="1004" t="s">
        <v>1111</v>
      </c>
      <c r="F7" s="1221">
        <v>1</v>
      </c>
      <c r="G7" s="1221">
        <v>2</v>
      </c>
      <c r="H7" s="1221">
        <v>3</v>
      </c>
      <c r="I7" s="1221">
        <v>4</v>
      </c>
      <c r="J7" s="1221">
        <v>5</v>
      </c>
      <c r="K7" s="1221">
        <v>6</v>
      </c>
      <c r="L7" s="1221">
        <v>7</v>
      </c>
      <c r="M7" s="1222">
        <v>8</v>
      </c>
      <c r="N7" s="1007" t="s">
        <v>1112</v>
      </c>
      <c r="O7" s="1003"/>
      <c r="P7" s="999"/>
      <c r="Q7" s="1000"/>
      <c r="R7" s="1001"/>
      <c r="S7" s="1000"/>
      <c r="T7" s="582"/>
      <c r="U7" s="1004" t="s">
        <v>1111</v>
      </c>
      <c r="V7" s="1221">
        <v>1</v>
      </c>
      <c r="W7" s="1221">
        <v>2</v>
      </c>
      <c r="X7" s="1221">
        <v>3</v>
      </c>
      <c r="Y7" s="1221">
        <v>4</v>
      </c>
      <c r="Z7" s="1221">
        <v>5</v>
      </c>
      <c r="AA7" s="1221">
        <v>6</v>
      </c>
      <c r="AB7" s="1221">
        <v>7</v>
      </c>
      <c r="AC7" s="1222">
        <v>8</v>
      </c>
      <c r="AD7" s="1006" t="s">
        <v>1112</v>
      </c>
      <c r="AE7" s="1000"/>
      <c r="AF7" s="1001"/>
    </row>
    <row r="8" spans="2:32" ht="15.75" thickBot="1">
      <c r="B8" s="995"/>
      <c r="C8" s="990"/>
      <c r="D8" s="1008"/>
      <c r="E8" s="1009"/>
      <c r="F8" s="1010"/>
      <c r="G8" s="1010"/>
      <c r="H8" s="1010"/>
      <c r="I8" s="1010"/>
      <c r="J8" s="1010"/>
      <c r="K8" s="1010"/>
      <c r="L8" s="1010"/>
      <c r="M8" s="1011"/>
      <c r="N8" s="1011"/>
      <c r="O8" s="1003"/>
      <c r="P8" s="999"/>
      <c r="Q8" s="1000"/>
      <c r="R8" s="1001"/>
      <c r="S8" s="1000"/>
      <c r="T8" s="1012" t="s">
        <v>1113</v>
      </c>
      <c r="U8" s="1013"/>
      <c r="V8" s="1014"/>
      <c r="W8" s="1014"/>
      <c r="X8" s="1014"/>
      <c r="Y8" s="1014"/>
      <c r="Z8" s="1014"/>
      <c r="AA8" s="1014"/>
      <c r="AB8" s="1014"/>
      <c r="AC8" s="1015"/>
      <c r="AD8" s="1016"/>
      <c r="AE8" s="1000"/>
      <c r="AF8" s="1001"/>
    </row>
    <row r="9" spans="2:32">
      <c r="B9" s="995"/>
      <c r="C9" s="990"/>
      <c r="D9" s="990" t="s">
        <v>1114</v>
      </c>
      <c r="E9" s="1017"/>
      <c r="F9" s="1002">
        <f>DCF!T26</f>
        <v>1</v>
      </c>
      <c r="G9" s="1002">
        <f>DCF!U26</f>
        <v>2</v>
      </c>
      <c r="H9" s="1002">
        <f>DCF!V26</f>
        <v>3</v>
      </c>
      <c r="I9" s="1002">
        <f>DCF!W26</f>
        <v>3</v>
      </c>
      <c r="J9" s="1002">
        <f>DCF!X26</f>
        <v>3</v>
      </c>
      <c r="K9" s="1002">
        <f>DCF!Y26</f>
        <v>3</v>
      </c>
      <c r="L9" s="1002">
        <f>DCF!Z26</f>
        <v>3</v>
      </c>
      <c r="M9" s="1018">
        <f>DCF!AA26</f>
        <v>3</v>
      </c>
      <c r="N9" s="1018"/>
      <c r="O9" s="1003"/>
      <c r="P9" s="999"/>
      <c r="Q9" s="1000"/>
      <c r="R9" s="1001"/>
      <c r="S9" s="1000"/>
      <c r="T9" s="990" t="s">
        <v>1430</v>
      </c>
      <c r="U9" s="1019">
        <f>SUM(DCF!R71:S73)</f>
        <v>-1953388.2092934325</v>
      </c>
      <c r="V9" s="1020"/>
      <c r="W9" s="1020"/>
      <c r="X9" s="1020"/>
      <c r="Y9" s="1020"/>
      <c r="Z9" s="1020"/>
      <c r="AA9" s="1020"/>
      <c r="AB9" s="1020"/>
      <c r="AC9" s="1021"/>
      <c r="AD9" s="1021"/>
      <c r="AE9" s="1000"/>
      <c r="AF9" s="1001"/>
    </row>
    <row r="10" spans="2:32">
      <c r="B10" s="995"/>
      <c r="C10" s="990"/>
      <c r="D10" s="990" t="s">
        <v>1115</v>
      </c>
      <c r="E10" s="1017"/>
      <c r="F10" s="1002">
        <f>DCF!T27</f>
        <v>2</v>
      </c>
      <c r="G10" s="1002">
        <f>DCF!U27</f>
        <v>3</v>
      </c>
      <c r="H10" s="1002">
        <f>DCF!V27</f>
        <v>3</v>
      </c>
      <c r="I10" s="1002">
        <f>DCF!W27</f>
        <v>3</v>
      </c>
      <c r="J10" s="1002">
        <f>DCF!X27</f>
        <v>3</v>
      </c>
      <c r="K10" s="1002">
        <f>DCF!Y27</f>
        <v>3</v>
      </c>
      <c r="L10" s="1002">
        <f>DCF!Z27</f>
        <v>3</v>
      </c>
      <c r="M10" s="1018">
        <f>DCF!AA27</f>
        <v>3</v>
      </c>
      <c r="N10" s="1018"/>
      <c r="O10" s="1003"/>
      <c r="P10" s="999"/>
      <c r="Q10" s="1000"/>
      <c r="R10" s="1001"/>
      <c r="S10" s="1000"/>
      <c r="T10" s="990" t="s">
        <v>1116</v>
      </c>
      <c r="U10" s="1019">
        <f>SUM(DCF!R74:S74)</f>
        <v>-404050</v>
      </c>
      <c r="V10" s="1020"/>
      <c r="W10" s="1020"/>
      <c r="X10" s="1020"/>
      <c r="Y10" s="1020"/>
      <c r="Z10" s="1020"/>
      <c r="AA10" s="1020"/>
      <c r="AB10" s="1020"/>
      <c r="AC10" s="1021"/>
      <c r="AD10" s="1021"/>
      <c r="AE10" s="1000"/>
      <c r="AF10" s="1001"/>
    </row>
    <row r="11" spans="2:32">
      <c r="B11" s="995"/>
      <c r="C11" s="990"/>
      <c r="D11" s="990" t="s">
        <v>1467</v>
      </c>
      <c r="E11" s="1017"/>
      <c r="F11" s="1002">
        <f>DCF!T37</f>
        <v>1000</v>
      </c>
      <c r="G11" s="1002">
        <f>DCF!U37</f>
        <v>2000</v>
      </c>
      <c r="H11" s="1002">
        <f>DCF!V37</f>
        <v>3000</v>
      </c>
      <c r="I11" s="1002">
        <f>DCF!W37</f>
        <v>3000</v>
      </c>
      <c r="J11" s="1002">
        <f>DCF!X37</f>
        <v>3000</v>
      </c>
      <c r="K11" s="1002">
        <f>DCF!Y37</f>
        <v>3000</v>
      </c>
      <c r="L11" s="1002">
        <f>DCF!Z37</f>
        <v>3000</v>
      </c>
      <c r="M11" s="1018">
        <f>DCF!AA37</f>
        <v>3000</v>
      </c>
      <c r="N11" s="1018"/>
      <c r="O11" s="1003"/>
      <c r="P11" s="999"/>
      <c r="Q11" s="1000"/>
      <c r="R11" s="1001"/>
      <c r="S11" s="1000"/>
      <c r="T11" s="990" t="s">
        <v>1118</v>
      </c>
      <c r="U11" s="1019">
        <f>-IF(DCF!P165&lt;&gt;0,DCF!P165,DCF!O165)*DCF!O164-IF(DCF!P235&lt;&gt;0,DCF!P235,DCF!O235)*DCF!O234</f>
        <v>-811819.03207949619</v>
      </c>
      <c r="V11" s="1020"/>
      <c r="W11" s="1020"/>
      <c r="X11" s="1020"/>
      <c r="Y11" s="1020"/>
      <c r="Z11" s="1020"/>
      <c r="AA11" s="1020"/>
      <c r="AB11" s="1020"/>
      <c r="AC11" s="1021"/>
      <c r="AD11" s="1021"/>
      <c r="AE11" s="1000"/>
      <c r="AF11" s="1001"/>
    </row>
    <row r="12" spans="2:32">
      <c r="B12" s="995"/>
      <c r="C12" s="990"/>
      <c r="D12" s="990"/>
      <c r="E12" s="1017"/>
      <c r="F12" s="1002"/>
      <c r="G12" s="1002"/>
      <c r="H12" s="1002"/>
      <c r="I12" s="1002"/>
      <c r="J12" s="1002"/>
      <c r="K12" s="1002"/>
      <c r="L12" s="1002"/>
      <c r="M12" s="1018"/>
      <c r="N12" s="1018"/>
      <c r="O12" s="1003"/>
      <c r="P12" s="999"/>
      <c r="Q12" s="1000"/>
      <c r="R12" s="1001"/>
      <c r="S12" s="1000"/>
      <c r="T12" s="990" t="s">
        <v>1119</v>
      </c>
      <c r="U12" s="1022">
        <f>GA!G499*(1-GA!G505)</f>
        <v>2481250</v>
      </c>
      <c r="V12" s="1020"/>
      <c r="W12" s="1020"/>
      <c r="X12" s="1020"/>
      <c r="Y12" s="1020"/>
      <c r="Z12" s="1020"/>
      <c r="AA12" s="1020"/>
      <c r="AB12" s="1020"/>
      <c r="AC12" s="1021"/>
      <c r="AD12" s="1021"/>
      <c r="AE12" s="1000"/>
      <c r="AF12" s="1001"/>
    </row>
    <row r="13" spans="2:32">
      <c r="B13" s="995"/>
      <c r="C13" s="990"/>
      <c r="D13" s="990" t="s">
        <v>1120</v>
      </c>
      <c r="E13" s="1023"/>
      <c r="F13" s="1550">
        <f>DCF!T56</f>
        <v>1</v>
      </c>
      <c r="G13" s="1550">
        <f>DCF!U56</f>
        <v>1</v>
      </c>
      <c r="H13" s="1550">
        <f>DCF!V56</f>
        <v>1</v>
      </c>
      <c r="I13" s="1550">
        <f>DCF!W56</f>
        <v>1</v>
      </c>
      <c r="J13" s="1550">
        <f>DCF!X56</f>
        <v>1</v>
      </c>
      <c r="K13" s="1550">
        <f>DCF!Y56</f>
        <v>1</v>
      </c>
      <c r="L13" s="1550">
        <f>DCF!Z56</f>
        <v>1</v>
      </c>
      <c r="M13" s="1551">
        <f>DCF!AA56</f>
        <v>1</v>
      </c>
      <c r="N13" s="1018"/>
      <c r="O13" s="1003"/>
      <c r="P13" s="999"/>
      <c r="Q13" s="1000"/>
      <c r="R13" s="1001"/>
      <c r="T13" s="990" t="s">
        <v>729</v>
      </c>
      <c r="U13" s="1019">
        <f>-GA!G506-GA!G584</f>
        <v>-47000</v>
      </c>
      <c r="V13" s="1020"/>
      <c r="W13" s="1020"/>
      <c r="X13" s="1020"/>
      <c r="Y13" s="1020"/>
      <c r="Z13" s="1020"/>
      <c r="AA13" s="1020"/>
      <c r="AB13" s="1020"/>
      <c r="AC13" s="1021"/>
      <c r="AD13" s="1021"/>
      <c r="AE13" s="1000"/>
      <c r="AF13" s="1001"/>
    </row>
    <row r="14" spans="2:32">
      <c r="B14" s="995"/>
      <c r="C14" s="990"/>
      <c r="D14" s="990" t="s">
        <v>1122</v>
      </c>
      <c r="E14" s="1023"/>
      <c r="F14" s="1028">
        <f>DCF!T94</f>
        <v>8.3489145792957729</v>
      </c>
      <c r="G14" s="1028">
        <f>DCF!U94</f>
        <v>8.3645249582853047</v>
      </c>
      <c r="H14" s="1028">
        <f>DCF!V94</f>
        <v>8.3801645247733862</v>
      </c>
      <c r="I14" s="1028">
        <f>DCF!W94</f>
        <v>8.3958333333333321</v>
      </c>
      <c r="J14" s="1028">
        <f>DCF!X94</f>
        <v>8.4115314386404894</v>
      </c>
      <c r="K14" s="1028">
        <f>DCF!Y94</f>
        <v>8.427258895472443</v>
      </c>
      <c r="L14" s="1028">
        <f>DCF!Z94</f>
        <v>8.4430157587091834</v>
      </c>
      <c r="M14" s="1029">
        <f>DCF!AA94</f>
        <v>8.4588020833333299</v>
      </c>
      <c r="N14" s="1029"/>
      <c r="O14" s="1003"/>
      <c r="P14" s="999"/>
      <c r="Q14" s="1000"/>
      <c r="R14" s="1001"/>
      <c r="S14" s="1000"/>
      <c r="T14" s="990" t="s">
        <v>1123</v>
      </c>
      <c r="U14" s="1019"/>
      <c r="V14" s="1002">
        <f>DCF!T147</f>
        <v>0</v>
      </c>
      <c r="W14" s="1002">
        <f>DCF!U147</f>
        <v>0</v>
      </c>
      <c r="X14" s="1002">
        <f>DCF!V147</f>
        <v>0</v>
      </c>
      <c r="Y14" s="1002">
        <f>DCF!W147</f>
        <v>0</v>
      </c>
      <c r="Z14" s="1002">
        <f>DCF!X147</f>
        <v>0</v>
      </c>
      <c r="AA14" s="1002">
        <f>DCF!Y147</f>
        <v>0</v>
      </c>
      <c r="AB14" s="1002">
        <f>DCF!Z147</f>
        <v>0</v>
      </c>
      <c r="AC14" s="1018">
        <f>DCF!AA147</f>
        <v>0</v>
      </c>
      <c r="AD14" s="1018">
        <f t="shared" ref="AD14:AD19" si="0">SUM(V14:AC14)</f>
        <v>0</v>
      </c>
      <c r="AE14" s="1000"/>
      <c r="AF14" s="1001"/>
    </row>
    <row r="15" spans="2:32">
      <c r="B15" s="995"/>
      <c r="C15" s="990"/>
      <c r="D15" s="990"/>
      <c r="E15" s="1023"/>
      <c r="F15" s="1002"/>
      <c r="G15" s="1002"/>
      <c r="H15" s="1002"/>
      <c r="I15" s="1002"/>
      <c r="J15" s="1002"/>
      <c r="K15" s="1002"/>
      <c r="L15" s="1002"/>
      <c r="M15" s="1018"/>
      <c r="N15" s="1018"/>
      <c r="O15" s="1003"/>
      <c r="P15" s="999"/>
      <c r="Q15" s="1000"/>
      <c r="R15" s="1001"/>
      <c r="S15" s="1000"/>
      <c r="T15" s="990" t="s">
        <v>1124</v>
      </c>
      <c r="U15" s="1019"/>
      <c r="V15" s="1002">
        <f>DCF!T148</f>
        <v>0</v>
      </c>
      <c r="W15" s="1002">
        <f>DCF!U148</f>
        <v>0</v>
      </c>
      <c r="X15" s="1002">
        <f>DCF!V148</f>
        <v>0</v>
      </c>
      <c r="Y15" s="1002">
        <f>DCF!W148</f>
        <v>0</v>
      </c>
      <c r="Z15" s="1002">
        <f>DCF!X148</f>
        <v>0</v>
      </c>
      <c r="AA15" s="1002">
        <f>DCF!Y148</f>
        <v>0</v>
      </c>
      <c r="AB15" s="1002">
        <f>DCF!Z148</f>
        <v>0</v>
      </c>
      <c r="AC15" s="1018">
        <f>DCF!AA148</f>
        <v>0</v>
      </c>
      <c r="AD15" s="1018">
        <f t="shared" si="0"/>
        <v>0</v>
      </c>
      <c r="AE15" s="1000"/>
      <c r="AF15" s="1001"/>
    </row>
    <row r="16" spans="2:32" ht="15.75" thickBot="1">
      <c r="B16" s="995"/>
      <c r="C16" s="990"/>
      <c r="D16" s="1030" t="s">
        <v>897</v>
      </c>
      <c r="E16" s="1031"/>
      <c r="F16" s="1032">
        <f>DCF!T92</f>
        <v>25046.743737887322</v>
      </c>
      <c r="G16" s="1033">
        <f>DCF!U92</f>
        <v>50187.149749711825</v>
      </c>
      <c r="H16" s="1033">
        <f>DCF!V92</f>
        <v>75421.480722960478</v>
      </c>
      <c r="I16" s="1033">
        <f>DCF!W92</f>
        <v>75562.499999999985</v>
      </c>
      <c r="J16" s="1033">
        <f>DCF!X92</f>
        <v>75703.782947764412</v>
      </c>
      <c r="K16" s="1033">
        <f>DCF!Y92</f>
        <v>75845.330059251981</v>
      </c>
      <c r="L16" s="1033">
        <f>DCF!Z92</f>
        <v>75987.14182838265</v>
      </c>
      <c r="M16" s="1034">
        <f>DCF!AA92</f>
        <v>76129.218749999971</v>
      </c>
      <c r="N16" s="1034">
        <f>SUM(F16:M16)</f>
        <v>529883.34779595863</v>
      </c>
      <c r="O16" s="1003"/>
      <c r="P16" s="999"/>
      <c r="Q16" s="1000" t="b">
        <v>1</v>
      </c>
      <c r="R16" s="1001"/>
      <c r="S16" s="1000"/>
      <c r="T16" s="996" t="s">
        <v>1125</v>
      </c>
      <c r="U16" s="1035"/>
      <c r="V16" s="1035">
        <f>DCF!T159*DCF!T21</f>
        <v>0</v>
      </c>
      <c r="W16" s="1026">
        <f>DCF!U159*DCF!U21</f>
        <v>0</v>
      </c>
      <c r="X16" s="1026">
        <f>DCF!V159*DCF!V21</f>
        <v>0</v>
      </c>
      <c r="Y16" s="1026">
        <f>DCF!W159*DCF!W21</f>
        <v>0</v>
      </c>
      <c r="Z16" s="1026">
        <f>DCF!X159*DCF!X21</f>
        <v>0</v>
      </c>
      <c r="AA16" s="1026">
        <f>DCF!Y159*DCF!Y21</f>
        <v>0</v>
      </c>
      <c r="AB16" s="1026">
        <f>DCF!Z159*DCF!Z21</f>
        <v>0</v>
      </c>
      <c r="AC16" s="1027">
        <f>DCF!AA159*DCF!AA21</f>
        <v>0</v>
      </c>
      <c r="AD16" s="1027">
        <f t="shared" si="0"/>
        <v>0</v>
      </c>
      <c r="AE16" s="1000"/>
      <c r="AF16" s="1001"/>
    </row>
    <row r="17" spans="2:32">
      <c r="B17" s="995"/>
      <c r="C17" s="990"/>
      <c r="D17" s="990" t="s">
        <v>1126</v>
      </c>
      <c r="E17" s="1023"/>
      <c r="F17" s="1552">
        <f>-F16*4/$U$9</f>
        <v>5.1288819331917798E-2</v>
      </c>
      <c r="G17" s="1550">
        <f t="shared" ref="G17:M17" si="1">-G16*4/$U$9</f>
        <v>0.10276943315402771</v>
      </c>
      <c r="H17" s="1550">
        <f t="shared" si="1"/>
        <v>0.15444237937781238</v>
      </c>
      <c r="I17" s="1550">
        <f t="shared" si="1"/>
        <v>0.15473114794182563</v>
      </c>
      <c r="J17" s="1550">
        <f t="shared" si="1"/>
        <v>0.15502045643072149</v>
      </c>
      <c r="K17" s="1550">
        <f t="shared" si="1"/>
        <v>0.15531030585402433</v>
      </c>
      <c r="L17" s="1550">
        <f t="shared" si="1"/>
        <v>0.15560069722314593</v>
      </c>
      <c r="M17" s="1551">
        <f t="shared" si="1"/>
        <v>0.1558916315513893</v>
      </c>
      <c r="N17" s="1025"/>
      <c r="O17" s="1003"/>
      <c r="P17" s="999"/>
      <c r="Q17" s="1000"/>
      <c r="R17" s="1001"/>
      <c r="S17" s="1000"/>
      <c r="T17" s="990" t="s">
        <v>1127</v>
      </c>
      <c r="U17" s="1019"/>
      <c r="V17" s="1002">
        <f>DCF!T183+DCF!T184+DCF!T212+DCF!T213</f>
        <v>0</v>
      </c>
      <c r="W17" s="1002">
        <f>DCF!U183+DCF!U184+DCF!U212+DCF!U213</f>
        <v>0</v>
      </c>
      <c r="X17" s="1002">
        <f>DCF!V183+DCF!V184+DCF!V212+DCF!V213</f>
        <v>0</v>
      </c>
      <c r="Y17" s="1002">
        <f>DCF!W183+DCF!W184+DCF!W212+DCF!W213</f>
        <v>0</v>
      </c>
      <c r="Z17" s="1002">
        <f>DCF!X183+DCF!X184+DCF!X212+DCF!X213</f>
        <v>0</v>
      </c>
      <c r="AA17" s="1002">
        <f>DCF!Y183+DCF!Y184+DCF!Y212+DCF!Y213</f>
        <v>0</v>
      </c>
      <c r="AB17" s="1002">
        <f>DCF!Z183+DCF!Z184+DCF!Z212+DCF!Z213</f>
        <v>0</v>
      </c>
      <c r="AC17" s="1018">
        <f>DCF!AA183+DCF!AA184+DCF!AA212+DCF!AA213</f>
        <v>0</v>
      </c>
      <c r="AD17" s="1018">
        <f t="shared" si="0"/>
        <v>0</v>
      </c>
      <c r="AE17" s="1000"/>
      <c r="AF17" s="1001"/>
    </row>
    <row r="18" spans="2:32">
      <c r="B18" s="995"/>
      <c r="C18" s="990"/>
      <c r="D18" s="990" t="s">
        <v>1128</v>
      </c>
      <c r="E18" s="1023"/>
      <c r="F18" s="1552">
        <f>-F16*4/SUM($U$9:$U$10)</f>
        <v>4.2498240062706527E-2</v>
      </c>
      <c r="G18" s="1550">
        <f t="shared" ref="G18:M18" si="2">-G16*4/SUM($U$9:$U$10)</f>
        <v>8.5155402252946155E-2</v>
      </c>
      <c r="H18" s="1550">
        <f t="shared" si="2"/>
        <v>0.12797193228757531</v>
      </c>
      <c r="I18" s="1550">
        <f t="shared" si="2"/>
        <v>0.12821120774596667</v>
      </c>
      <c r="J18" s="1550">
        <f t="shared" si="2"/>
        <v>0.12845093058953044</v>
      </c>
      <c r="K18" s="1550">
        <f t="shared" si="2"/>
        <v>0.12869110165476486</v>
      </c>
      <c r="L18" s="1550">
        <f t="shared" si="2"/>
        <v>0.12893172177973206</v>
      </c>
      <c r="M18" s="1551">
        <f t="shared" si="2"/>
        <v>0.12917279180406141</v>
      </c>
      <c r="N18" s="1025"/>
      <c r="O18" s="1003"/>
      <c r="P18" s="999"/>
      <c r="Q18" s="1000"/>
      <c r="R18" s="1001"/>
      <c r="S18" s="1000"/>
      <c r="T18" s="990" t="s">
        <v>1129</v>
      </c>
      <c r="U18" s="1019"/>
      <c r="V18" s="1002">
        <f t="shared" ref="V18:AC18" si="3">F40</f>
        <v>796611.79070656735</v>
      </c>
      <c r="W18" s="1002">
        <f t="shared" si="3"/>
        <v>10302.905500140896</v>
      </c>
      <c r="X18" s="1002">
        <f t="shared" si="3"/>
        <v>28500.922636107687</v>
      </c>
      <c r="Y18" s="1002">
        <f t="shared" si="3"/>
        <v>28732.99374999998</v>
      </c>
      <c r="Z18" s="1002">
        <f t="shared" si="3"/>
        <v>28604.598875868993</v>
      </c>
      <c r="AA18" s="1002">
        <f t="shared" si="3"/>
        <v>28716.691420764699</v>
      </c>
      <c r="AB18" s="1002">
        <f t="shared" si="3"/>
        <v>28947.134505287315</v>
      </c>
      <c r="AC18" s="1018">
        <f t="shared" si="3"/>
        <v>29176.221796874961</v>
      </c>
      <c r="AD18" s="1018">
        <f t="shared" si="0"/>
        <v>979593.25919161178</v>
      </c>
      <c r="AE18" s="1000"/>
      <c r="AF18" s="1001"/>
    </row>
    <row r="19" spans="2:32" ht="15.75" thickBot="1">
      <c r="B19" s="995"/>
      <c r="C19" s="990"/>
      <c r="D19" s="990"/>
      <c r="E19" s="1023"/>
      <c r="F19" s="1002"/>
      <c r="G19" s="1002"/>
      <c r="H19" s="1002"/>
      <c r="I19" s="1002"/>
      <c r="J19" s="1002"/>
      <c r="K19" s="1002"/>
      <c r="L19" s="1002"/>
      <c r="M19" s="1018"/>
      <c r="N19" s="1018"/>
      <c r="O19" s="1003"/>
      <c r="P19" s="999"/>
      <c r="Q19" s="1000"/>
      <c r="R19" s="1001"/>
      <c r="S19" s="1000"/>
      <c r="T19" s="1030" t="str">
        <f>IF(GA!G648=0,"Net Cash Flow to Equity","Cash Flow before Mezz")</f>
        <v>Net Cash Flow to Equity</v>
      </c>
      <c r="U19" s="1461">
        <f>SUM(U9:U13)</f>
        <v>-735007.24137292895</v>
      </c>
      <c r="V19" s="1033">
        <f>SUM(V14:V18)</f>
        <v>796611.79070656735</v>
      </c>
      <c r="W19" s="1033">
        <f t="shared" ref="W19:AC19" si="4">SUM(W14:W18)</f>
        <v>10302.905500140896</v>
      </c>
      <c r="X19" s="1033">
        <f t="shared" si="4"/>
        <v>28500.922636107687</v>
      </c>
      <c r="Y19" s="1033">
        <f t="shared" si="4"/>
        <v>28732.99374999998</v>
      </c>
      <c r="Z19" s="1033">
        <f t="shared" si="4"/>
        <v>28604.598875868993</v>
      </c>
      <c r="AA19" s="1033">
        <f t="shared" si="4"/>
        <v>28716.691420764699</v>
      </c>
      <c r="AB19" s="1033">
        <f t="shared" si="4"/>
        <v>28947.134505287315</v>
      </c>
      <c r="AC19" s="1034">
        <f t="shared" si="4"/>
        <v>29176.221796874961</v>
      </c>
      <c r="AD19" s="1034">
        <f t="shared" si="0"/>
        <v>979593.25919161178</v>
      </c>
      <c r="AE19" s="1000"/>
      <c r="AF19" s="1001"/>
    </row>
    <row r="20" spans="2:32">
      <c r="B20" s="995"/>
      <c r="C20" s="990"/>
      <c r="D20" s="990" t="s">
        <v>1131</v>
      </c>
      <c r="E20" s="1037">
        <f>-AVERAGE(F20:M20)/AVERAGE(F16:M16)</f>
        <v>8.5962687982574046E-2</v>
      </c>
      <c r="F20" s="1002">
        <f>DCF!T115</f>
        <v>-1907.5736607544609</v>
      </c>
      <c r="G20" s="1002">
        <f>DCF!U115</f>
        <v>-4381.4904003877591</v>
      </c>
      <c r="H20" s="1002">
        <f>DCF!V115</f>
        <v>-6489.2528350958919</v>
      </c>
      <c r="I20" s="1002">
        <f>DCF!W115</f>
        <v>-6510.84375</v>
      </c>
      <c r="J20" s="1002">
        <f>DCF!X115</f>
        <v>-6532.5219721148442</v>
      </c>
      <c r="K20" s="1002">
        <f>DCF!Y115</f>
        <v>-6554.287897631174</v>
      </c>
      <c r="L20" s="1002">
        <f>DCF!Z115</f>
        <v>-6576.1419246366249</v>
      </c>
      <c r="M20" s="1018">
        <f>DCF!AA115</f>
        <v>-6598.0844531250013</v>
      </c>
      <c r="N20" s="1018">
        <f>SUM(F20:M20)</f>
        <v>-45550.196893745757</v>
      </c>
      <c r="O20" s="1003"/>
      <c r="P20" s="999"/>
      <c r="Q20" s="1000"/>
      <c r="R20" s="1001"/>
      <c r="S20" s="1000"/>
      <c r="T20" s="1038" t="s">
        <v>746</v>
      </c>
      <c r="U20" s="1039">
        <f>DCF!U324</f>
        <v>2.9802322387695314E-9</v>
      </c>
      <c r="V20" s="1000"/>
      <c r="W20" s="1000"/>
      <c r="X20" s="1000"/>
      <c r="Y20" s="1000"/>
      <c r="Z20" s="1000"/>
      <c r="AA20" s="1000"/>
      <c r="AB20" s="1000"/>
      <c r="AC20" s="1003"/>
      <c r="AD20" s="1003"/>
      <c r="AE20" s="1000"/>
      <c r="AF20" s="1001"/>
    </row>
    <row r="21" spans="2:32" ht="15.75" thickBot="1">
      <c r="B21" s="995"/>
      <c r="C21" s="990"/>
      <c r="D21" s="1030" t="s">
        <v>1132</v>
      </c>
      <c r="E21" s="1031"/>
      <c r="F21" s="1032">
        <f>DCF!T118</f>
        <v>23139.170077132861</v>
      </c>
      <c r="G21" s="1033">
        <f>DCF!U118</f>
        <v>45805.659349324065</v>
      </c>
      <c r="H21" s="1033">
        <f>DCF!V118</f>
        <v>68932.227887864588</v>
      </c>
      <c r="I21" s="1033">
        <f>DCF!W118</f>
        <v>69051.656249999985</v>
      </c>
      <c r="J21" s="1033">
        <f>DCF!X118</f>
        <v>69171.260975649566</v>
      </c>
      <c r="K21" s="1033">
        <f>DCF!Y118</f>
        <v>69291.042161620804</v>
      </c>
      <c r="L21" s="1033">
        <f>DCF!Z118</f>
        <v>69410.999903746022</v>
      </c>
      <c r="M21" s="1034">
        <f>DCF!AA118</f>
        <v>69531.134296874967</v>
      </c>
      <c r="N21" s="1034">
        <f>SUM(F21:M21)</f>
        <v>484333.15090221289</v>
      </c>
      <c r="O21" s="1003"/>
      <c r="P21" s="999"/>
      <c r="Q21" s="1000" t="b">
        <v>1</v>
      </c>
      <c r="R21" s="1001"/>
      <c r="S21" s="1000"/>
      <c r="T21" s="1038" t="s">
        <v>1133</v>
      </c>
      <c r="U21" s="1040">
        <f>DCF!U323</f>
        <v>0.50186743331641059</v>
      </c>
      <c r="V21" s="1000"/>
      <c r="W21" s="1000"/>
      <c r="X21" s="1000"/>
      <c r="Y21" s="1000"/>
      <c r="Z21" s="1000"/>
      <c r="AA21" s="1000"/>
      <c r="AB21" s="1000"/>
      <c r="AC21" s="1003"/>
      <c r="AD21" s="1003"/>
      <c r="AE21" s="1000"/>
      <c r="AF21" s="1001"/>
    </row>
    <row r="22" spans="2:32">
      <c r="B22" s="995"/>
      <c r="C22" s="990"/>
      <c r="D22" s="990" t="s">
        <v>1015</v>
      </c>
      <c r="E22" s="990"/>
      <c r="F22" s="1552">
        <f>-IFERROR(F20/F16,0)</f>
        <v>7.6160545287527415E-2</v>
      </c>
      <c r="G22" s="1550">
        <f t="shared" ref="G22:M22" si="5">-IFERROR(G20/G16,0)</f>
        <v>8.7303033191537593E-2</v>
      </c>
      <c r="H22" s="1550">
        <f t="shared" si="5"/>
        <v>8.6039849296148538E-2</v>
      </c>
      <c r="I22" s="1550">
        <f t="shared" si="5"/>
        <v>8.6165012406947905E-2</v>
      </c>
      <c r="J22" s="1550">
        <f t="shared" si="5"/>
        <v>8.6290561947509045E-2</v>
      </c>
      <c r="K22" s="1550">
        <f t="shared" si="5"/>
        <v>8.6416499110898784E-2</v>
      </c>
      <c r="L22" s="1550">
        <f t="shared" si="5"/>
        <v>8.6542825093867529E-2</v>
      </c>
      <c r="M22" s="1551">
        <f t="shared" si="5"/>
        <v>8.6669541096860453E-2</v>
      </c>
      <c r="N22" s="1025"/>
      <c r="O22" s="1003"/>
      <c r="P22" s="999"/>
      <c r="Q22" s="1000"/>
      <c r="R22" s="1001"/>
      <c r="S22" s="1000"/>
      <c r="T22" s="1038" t="s">
        <v>744</v>
      </c>
      <c r="U22" s="1022">
        <f>DCF!U322</f>
        <v>-1602122.4747597778</v>
      </c>
      <c r="V22" s="1000"/>
      <c r="W22" s="1000"/>
      <c r="X22" s="1000"/>
      <c r="Y22" s="1000"/>
      <c r="Z22" s="1000"/>
      <c r="AA22" s="1000"/>
      <c r="AB22" s="1000"/>
      <c r="AC22" s="1003"/>
      <c r="AD22" s="1003"/>
      <c r="AE22" s="1000"/>
      <c r="AF22" s="1001"/>
    </row>
    <row r="23" spans="2:32">
      <c r="B23" s="995"/>
      <c r="C23" s="990"/>
      <c r="D23" s="990" t="s">
        <v>1134</v>
      </c>
      <c r="E23" s="990"/>
      <c r="F23" s="1036">
        <f>-F21*4/SUM($U$9:$U$10)</f>
        <v>3.9261550925770557E-2</v>
      </c>
      <c r="G23" s="1024">
        <f t="shared" ref="G23:M23" si="6">-G21*4/SUM($U$9:$U$10)</f>
        <v>7.7721077343618453E-2</v>
      </c>
      <c r="H23" s="1024">
        <f t="shared" si="6"/>
        <v>0.1169612465194154</v>
      </c>
      <c r="I23" s="1024">
        <f t="shared" si="6"/>
        <v>0.11716388743982568</v>
      </c>
      <c r="J23" s="1024">
        <f t="shared" si="6"/>
        <v>0.11736682760627938</v>
      </c>
      <c r="K23" s="1024">
        <f t="shared" si="6"/>
        <v>0.11757006718303527</v>
      </c>
      <c r="L23" s="1024">
        <f t="shared" si="6"/>
        <v>0.11777360633269751</v>
      </c>
      <c r="M23" s="1025">
        <f t="shared" si="6"/>
        <v>0.1179774452162031</v>
      </c>
      <c r="N23" s="1025"/>
      <c r="O23" s="1003"/>
      <c r="P23" s="999"/>
      <c r="Q23" s="1000"/>
      <c r="R23" s="1001"/>
      <c r="S23" s="1000"/>
      <c r="T23" s="1041" t="s">
        <v>1135</v>
      </c>
      <c r="U23" s="1042">
        <f>-AVERAGE(F40:M40)/U19</f>
        <v>0.16659585172280372</v>
      </c>
      <c r="V23" s="1043"/>
      <c r="W23" s="1043"/>
      <c r="X23" s="1043"/>
      <c r="Y23" s="1043"/>
      <c r="Z23" s="1043"/>
      <c r="AA23" s="1043"/>
      <c r="AB23" s="1043"/>
      <c r="AC23" s="1044"/>
      <c r="AD23" s="1044"/>
      <c r="AE23" s="1000"/>
      <c r="AF23" s="1001"/>
    </row>
    <row r="24" spans="2:32" ht="15.75" thickBot="1">
      <c r="B24" s="995"/>
      <c r="C24" s="990"/>
      <c r="D24" s="990"/>
      <c r="E24" s="1023"/>
      <c r="F24" s="1002"/>
      <c r="G24" s="1002"/>
      <c r="H24" s="1002"/>
      <c r="I24" s="1002"/>
      <c r="J24" s="1002"/>
      <c r="K24" s="1002"/>
      <c r="L24" s="1002"/>
      <c r="M24" s="1018"/>
      <c r="N24" s="1018"/>
      <c r="O24" s="1003"/>
      <c r="P24" s="999"/>
      <c r="Q24" s="1000"/>
      <c r="R24" s="1001"/>
      <c r="S24" s="1000"/>
      <c r="T24" s="1030" t="s">
        <v>1140</v>
      </c>
      <c r="U24" s="1031"/>
      <c r="V24" s="1051"/>
      <c r="W24" s="1014"/>
      <c r="X24" s="1014"/>
      <c r="Y24" s="1014"/>
      <c r="Z24" s="1014"/>
      <c r="AA24" s="1014"/>
      <c r="AB24" s="1014"/>
      <c r="AC24" s="1052"/>
      <c r="AD24" s="1052"/>
      <c r="AE24" s="1000"/>
      <c r="AF24" s="1001"/>
    </row>
    <row r="25" spans="2:32">
      <c r="B25" s="995"/>
      <c r="C25" s="990"/>
      <c r="D25" s="990" t="s">
        <v>1136</v>
      </c>
      <c r="E25" s="1053">
        <f>GA!J127</f>
        <v>0</v>
      </c>
      <c r="F25" s="1002">
        <f>IFERROR(DCF!T124*$E25/GA!$G$126,0)</f>
        <v>0</v>
      </c>
      <c r="G25" s="1002">
        <f>IFERROR(DCF!U124*$E25/GA!$G$126,0)</f>
        <v>0</v>
      </c>
      <c r="H25" s="1002">
        <f>IFERROR(DCF!V124*$E25/GA!$G$126,0)</f>
        <v>0</v>
      </c>
      <c r="I25" s="1002">
        <f>IFERROR(DCF!W124*$E25/GA!$G$126,0)</f>
        <v>0</v>
      </c>
      <c r="J25" s="1002">
        <f>IFERROR(DCF!X124*$E25/GA!$G$126,0)</f>
        <v>0</v>
      </c>
      <c r="K25" s="1002">
        <f>IFERROR(DCF!Y124*$E25/GA!$G$126,0)</f>
        <v>0</v>
      </c>
      <c r="L25" s="1002">
        <f>IFERROR(DCF!Z124*$E25/GA!$G$126,0)</f>
        <v>0</v>
      </c>
      <c r="M25" s="1018">
        <f>IFERROR(DCF!AA124*$E25/GA!$G$126,0)</f>
        <v>0</v>
      </c>
      <c r="N25" s="1018">
        <f>SUM(F25:M25)</f>
        <v>0</v>
      </c>
      <c r="O25" s="1003"/>
      <c r="P25" s="999"/>
      <c r="Q25" s="1000"/>
      <c r="R25" s="1001"/>
      <c r="S25" s="1000"/>
      <c r="T25" s="1023" t="s">
        <v>1431</v>
      </c>
      <c r="U25" s="1547">
        <f>DCF!S256+DCF!S276</f>
        <v>0</v>
      </c>
      <c r="V25" s="1000"/>
      <c r="W25" s="1055"/>
      <c r="X25" s="1055"/>
      <c r="Y25" s="1055"/>
      <c r="Z25" s="1055"/>
      <c r="AA25" s="1055"/>
      <c r="AB25" s="1055"/>
      <c r="AC25" s="1056"/>
      <c r="AD25" s="1056"/>
      <c r="AE25" s="1000"/>
      <c r="AF25" s="1001"/>
    </row>
    <row r="26" spans="2:32">
      <c r="B26" s="995"/>
      <c r="C26" s="990"/>
      <c r="D26" s="990" t="s">
        <v>1137</v>
      </c>
      <c r="E26" s="1053">
        <f>GA!H127</f>
        <v>3.0000000000000001E-3</v>
      </c>
      <c r="F26" s="1002">
        <f>IFERROR(DCF!T124*$E26/GA!$G$126,0)</f>
        <v>-1444.0970276188536</v>
      </c>
      <c r="G26" s="1002">
        <f>IFERROR(DCF!U124*$E26/GA!$G$126,0)</f>
        <v>-2853.67432670578</v>
      </c>
      <c r="H26" s="1002">
        <f>IFERROR(DCF!V124*$E26/GA!$G$126,0)</f>
        <v>-4240.5374999999995</v>
      </c>
      <c r="I26" s="1002">
        <f>IFERROR(DCF!W124*$E26/GA!$G$126,0)</f>
        <v>-4240.5374999999995</v>
      </c>
      <c r="J26" s="1002">
        <f>IFERROR(DCF!X124*$E26/GA!$G$126,0)</f>
        <v>-4240.5374999999995</v>
      </c>
      <c r="K26" s="1002">
        <f>IFERROR(DCF!Y124*$E26/GA!$G$126,0)</f>
        <v>-4240.5374999999995</v>
      </c>
      <c r="L26" s="1002">
        <f>IFERROR(DCF!Z124*$E26/GA!$G$126,0)</f>
        <v>-4240.5374999999995</v>
      </c>
      <c r="M26" s="1018">
        <f>IFERROR(DCF!AA124*$E26/GA!$G$126,0)</f>
        <v>-4240.5374999999995</v>
      </c>
      <c r="N26" s="1018">
        <f>SUM(F26:M26)</f>
        <v>-29740.996354324627</v>
      </c>
      <c r="O26" s="1003"/>
      <c r="P26" s="999"/>
      <c r="Q26" s="1000"/>
      <c r="R26" s="1001"/>
      <c r="S26" s="1000"/>
      <c r="T26" s="1023" t="s">
        <v>729</v>
      </c>
      <c r="U26" s="1019">
        <f>DCF!S277</f>
        <v>0</v>
      </c>
      <c r="V26" s="1002"/>
      <c r="W26" s="1002"/>
      <c r="X26" s="1002"/>
      <c r="Y26" s="1002"/>
      <c r="Z26" s="1002"/>
      <c r="AA26" s="1002"/>
      <c r="AB26" s="1002"/>
      <c r="AC26" s="1018"/>
      <c r="AD26" s="1018"/>
      <c r="AE26" s="1000"/>
      <c r="AF26" s="1001"/>
    </row>
    <row r="27" spans="2:32">
      <c r="B27" s="995"/>
      <c r="C27" s="990"/>
      <c r="D27" s="990" t="s">
        <v>1138</v>
      </c>
      <c r="E27" s="1049">
        <f>GA!G125</f>
        <v>50000</v>
      </c>
      <c r="F27" s="1002">
        <f>DCF!T125</f>
        <v>-12562.036644665048</v>
      </c>
      <c r="G27" s="1002">
        <f>DCF!U125</f>
        <v>-12624.381172952601</v>
      </c>
      <c r="H27" s="1002">
        <f>DCF!V125</f>
        <v>-12687.035112868007</v>
      </c>
      <c r="I27" s="1002">
        <f>DCF!W125</f>
        <v>-12750.000000000004</v>
      </c>
      <c r="J27" s="1002">
        <f>DCF!X125</f>
        <v>-12813.277377558352</v>
      </c>
      <c r="K27" s="1002">
        <f>DCF!Y125</f>
        <v>-12876.868796411656</v>
      </c>
      <c r="L27" s="1002">
        <f>DCF!Z125</f>
        <v>-12940.775815125371</v>
      </c>
      <c r="M27" s="1002">
        <f>DCF!AA125</f>
        <v>-13005.000000000011</v>
      </c>
      <c r="N27" s="1050">
        <f>SUM(F27:M27)</f>
        <v>-102259.37491958104</v>
      </c>
      <c r="O27" s="1003"/>
      <c r="P27" s="999"/>
      <c r="Q27" s="1000"/>
      <c r="R27" s="1001"/>
      <c r="S27" s="1000"/>
      <c r="T27" s="1023" t="s">
        <v>1118</v>
      </c>
      <c r="U27" s="1019">
        <f>-IF(DCF!P299&lt;&gt;0,DCF!P299,DCF!O299)*DCF!O298</f>
        <v>0</v>
      </c>
      <c r="V27" s="1002"/>
      <c r="W27" s="1002"/>
      <c r="X27" s="1002"/>
      <c r="Y27" s="1002"/>
      <c r="Z27" s="1002"/>
      <c r="AA27" s="1002"/>
      <c r="AB27" s="1002"/>
      <c r="AC27" s="1018"/>
      <c r="AD27" s="1018"/>
      <c r="AE27" s="1000"/>
      <c r="AF27" s="1001"/>
    </row>
    <row r="28" spans="2:32" ht="15.75" thickBot="1">
      <c r="B28" s="995"/>
      <c r="C28" s="990"/>
      <c r="D28" s="1030" t="s">
        <v>522</v>
      </c>
      <c r="E28" s="1031"/>
      <c r="F28" s="1033">
        <f>DCF!T128</f>
        <v>9133.036404848961</v>
      </c>
      <c r="G28" s="1033">
        <f>DCF!U128</f>
        <v>30327.603849665684</v>
      </c>
      <c r="H28" s="1033">
        <f>DCF!V128</f>
        <v>52004.655274996578</v>
      </c>
      <c r="I28" s="1033">
        <f>DCF!W128</f>
        <v>52061.11874999998</v>
      </c>
      <c r="J28" s="1033">
        <f>DCF!X128</f>
        <v>52117.446098091212</v>
      </c>
      <c r="K28" s="1033">
        <f>DCF!Y128</f>
        <v>52173.635865209144</v>
      </c>
      <c r="L28" s="1033">
        <f>DCF!Z128</f>
        <v>52229.686588620651</v>
      </c>
      <c r="M28" s="1033">
        <f>DCF!AA128</f>
        <v>52285.596796874961</v>
      </c>
      <c r="N28" s="1034">
        <f>SUM(F28:M28)</f>
        <v>352332.77962830715</v>
      </c>
      <c r="O28" s="1003"/>
      <c r="P28" s="999"/>
      <c r="Q28" s="1000" t="b">
        <v>1</v>
      </c>
      <c r="R28" s="1001"/>
      <c r="S28" s="1000"/>
      <c r="T28" s="1023" t="s">
        <v>787</v>
      </c>
      <c r="U28" s="1023"/>
      <c r="V28" s="1002">
        <f>DCF!T266</f>
        <v>0</v>
      </c>
      <c r="W28" s="1002">
        <f>DCF!U266</f>
        <v>0</v>
      </c>
      <c r="X28" s="1002">
        <f>DCF!V266</f>
        <v>0</v>
      </c>
      <c r="Y28" s="1002">
        <f>DCF!W266</f>
        <v>0</v>
      </c>
      <c r="Z28" s="1002">
        <f>DCF!X266</f>
        <v>0</v>
      </c>
      <c r="AA28" s="1002">
        <f>DCF!Y266</f>
        <v>0</v>
      </c>
      <c r="AB28" s="1002">
        <f>DCF!Z266</f>
        <v>0</v>
      </c>
      <c r="AC28" s="1018">
        <f>DCF!AA266</f>
        <v>0</v>
      </c>
      <c r="AD28" s="1018">
        <f t="shared" ref="AD28:AD33" si="7">SUM(V28:AC28)</f>
        <v>0</v>
      </c>
      <c r="AE28" s="1000"/>
      <c r="AF28" s="1001"/>
    </row>
    <row r="29" spans="2:32">
      <c r="B29" s="995"/>
      <c r="C29" s="990"/>
      <c r="D29" s="990"/>
      <c r="E29" s="1023"/>
      <c r="F29" s="1020"/>
      <c r="G29" s="1020"/>
      <c r="H29" s="1020"/>
      <c r="I29" s="1020"/>
      <c r="J29" s="1020"/>
      <c r="K29" s="1020"/>
      <c r="L29" s="1020"/>
      <c r="M29" s="1021"/>
      <c r="N29" s="1021"/>
      <c r="O29" s="1003"/>
      <c r="P29" s="999"/>
      <c r="Q29" s="1000"/>
      <c r="R29" s="1001"/>
      <c r="S29" s="1000"/>
      <c r="T29" s="1023" t="s">
        <v>777</v>
      </c>
      <c r="U29" s="1023"/>
      <c r="V29" s="1002">
        <f>DCF!T271</f>
        <v>0</v>
      </c>
      <c r="W29" s="1002">
        <f>DCF!U271</f>
        <v>0</v>
      </c>
      <c r="X29" s="1002">
        <f>DCF!V271</f>
        <v>0</v>
      </c>
      <c r="Y29" s="1002">
        <f>DCF!W271</f>
        <v>0</v>
      </c>
      <c r="Z29" s="1002">
        <f>DCF!X271</f>
        <v>0</v>
      </c>
      <c r="AA29" s="1002">
        <f>DCF!Y271</f>
        <v>0</v>
      </c>
      <c r="AB29" s="1002">
        <f>DCF!Z271</f>
        <v>0</v>
      </c>
      <c r="AC29" s="1018">
        <f>DCF!AA271</f>
        <v>0</v>
      </c>
      <c r="AD29" s="1018">
        <f t="shared" si="7"/>
        <v>0</v>
      </c>
      <c r="AE29" s="1000"/>
      <c r="AF29" s="1001"/>
    </row>
    <row r="30" spans="2:32">
      <c r="B30" s="995"/>
      <c r="C30" s="990"/>
      <c r="D30" s="990" t="s">
        <v>1320</v>
      </c>
      <c r="E30" s="1045">
        <f>AVERAGE(GA!L526:L565)</f>
        <v>1.7499999999999995E-2</v>
      </c>
      <c r="F30" s="1002">
        <f>SUM(DCF!T191,DCF!T194,DCF!T197,DCF!T198)</f>
        <v>-24340.277777777777</v>
      </c>
      <c r="G30" s="1002">
        <f>SUM(DCF!U191,DCF!U194,DCF!U197,DCF!U198)</f>
        <v>-7524.6983495247878</v>
      </c>
      <c r="H30" s="1002">
        <f>SUM(DCF!V191,DCF!V194,DCF!V197,DCF!V198)</f>
        <v>-11003.732638888891</v>
      </c>
      <c r="I30" s="1002">
        <f>SUM(DCF!W191,DCF!W194,DCF!W197,DCF!W198)</f>
        <v>-10828.125000000002</v>
      </c>
      <c r="J30" s="1002">
        <f>SUM(DCF!X191,DCF!X194,DCF!X197,DCF!X198)</f>
        <v>-11012.847222222223</v>
      </c>
      <c r="K30" s="1002">
        <f>SUM(DCF!Y191,DCF!Y194,DCF!Y197,DCF!Y198)</f>
        <v>-10956.944444444445</v>
      </c>
      <c r="L30" s="1002">
        <f>SUM(DCF!Z191,DCF!Z194,DCF!Z197,DCF!Z198)</f>
        <v>-10782.552083333334</v>
      </c>
      <c r="M30" s="1002">
        <f>SUM(DCF!AA191,DCF!AA194,DCF!AA197,DCF!AA198)</f>
        <v>-10609.375000000002</v>
      </c>
      <c r="N30" s="1019">
        <f>SUM(F30:M30)</f>
        <v>-97058.552516191456</v>
      </c>
      <c r="O30" s="1003"/>
      <c r="P30" s="999"/>
      <c r="Q30" s="1000"/>
      <c r="R30" s="1001"/>
      <c r="S30" s="1000"/>
      <c r="T30" s="1023" t="s">
        <v>1143</v>
      </c>
      <c r="U30" s="1023"/>
      <c r="V30" s="1002">
        <f>DCF!T257+DCF!T258+DCF!T261+DCF!T259+DCF!T260</f>
        <v>0</v>
      </c>
      <c r="W30" s="1002">
        <f>DCF!U257+DCF!U258+DCF!U261+DCF!U259+DCF!U260</f>
        <v>0</v>
      </c>
      <c r="X30" s="1002">
        <f>DCF!V257+DCF!V258+DCF!V261+DCF!V259+DCF!V260</f>
        <v>0</v>
      </c>
      <c r="Y30" s="1002">
        <f>DCF!W257+DCF!W258+DCF!W261+DCF!W259+DCF!W260</f>
        <v>0</v>
      </c>
      <c r="Z30" s="1002">
        <f>DCF!X257+DCF!X258+DCF!X261+DCF!X259+DCF!X260</f>
        <v>0</v>
      </c>
      <c r="AA30" s="1002">
        <f>DCF!Y257+DCF!Y258+DCF!Y261+DCF!Y259+DCF!Y260</f>
        <v>0</v>
      </c>
      <c r="AB30" s="1002">
        <f>DCF!Z257+DCF!Z258+DCF!Z261+DCF!Z259+DCF!Z260</f>
        <v>0</v>
      </c>
      <c r="AC30" s="1018">
        <f>DCF!AA257+DCF!AA258+DCF!AA261+DCF!AA259+DCF!AA260</f>
        <v>0</v>
      </c>
      <c r="AD30" s="1018">
        <f t="shared" si="7"/>
        <v>0</v>
      </c>
      <c r="AE30" s="1000"/>
      <c r="AF30" s="1001"/>
    </row>
    <row r="31" spans="2:32">
      <c r="B31" s="995"/>
      <c r="C31" s="990"/>
      <c r="D31" s="990" t="s">
        <v>1319</v>
      </c>
      <c r="E31" s="1045">
        <f>AVERAGE(GA!G602:G641)</f>
        <v>1.7499999999999995E-2</v>
      </c>
      <c r="F31" s="1002">
        <f>SUM(DCF!T220,DCF!T225)</f>
        <v>0</v>
      </c>
      <c r="G31" s="1002">
        <f>SUM(DCF!U220,DCF!U225)</f>
        <v>0</v>
      </c>
      <c r="H31" s="1002">
        <f>SUM(DCF!V220,DCF!V225)</f>
        <v>0</v>
      </c>
      <c r="I31" s="1002">
        <f>SUM(DCF!W220,DCF!W225)</f>
        <v>0</v>
      </c>
      <c r="J31" s="1002">
        <f>SUM(DCF!X220,DCF!X225)</f>
        <v>0</v>
      </c>
      <c r="K31" s="1002">
        <f>SUM(DCF!Y220,DCF!Y225)</f>
        <v>0</v>
      </c>
      <c r="L31" s="1002">
        <f>SUM(DCF!Z220,DCF!Z225)</f>
        <v>0</v>
      </c>
      <c r="M31" s="1002">
        <f>SUM(DCF!AA220,DCF!AA225)</f>
        <v>0</v>
      </c>
      <c r="N31" s="1019">
        <f>SUM(F31:M31)</f>
        <v>0</v>
      </c>
      <c r="O31" s="1003"/>
      <c r="P31" s="999"/>
      <c r="Q31" s="1000"/>
      <c r="R31" s="1001"/>
      <c r="S31" s="1000"/>
      <c r="T31" s="1023" t="s">
        <v>780</v>
      </c>
      <c r="U31" s="1023"/>
      <c r="V31" s="1002">
        <f>DCF!T283</f>
        <v>0</v>
      </c>
      <c r="W31" s="1002">
        <f>DCF!U283</f>
        <v>0</v>
      </c>
      <c r="X31" s="1002">
        <f>DCF!V283</f>
        <v>0</v>
      </c>
      <c r="Y31" s="1002">
        <f>DCF!W283</f>
        <v>0</v>
      </c>
      <c r="Z31" s="1002">
        <f>DCF!X283</f>
        <v>0</v>
      </c>
      <c r="AA31" s="1002">
        <f>DCF!Y283</f>
        <v>0</v>
      </c>
      <c r="AB31" s="1002">
        <f>DCF!Z283</f>
        <v>0</v>
      </c>
      <c r="AC31" s="1018">
        <f>DCF!AA283</f>
        <v>0</v>
      </c>
      <c r="AD31" s="1019">
        <f t="shared" si="7"/>
        <v>0</v>
      </c>
      <c r="AE31" s="1000"/>
      <c r="AF31" s="1001"/>
    </row>
    <row r="32" spans="2:32">
      <c r="B32" s="995"/>
      <c r="C32" s="990"/>
      <c r="D32" s="990" t="s">
        <v>1139</v>
      </c>
      <c r="E32" s="1081">
        <f>GA!G510+GA!G511</f>
        <v>0</v>
      </c>
      <c r="F32" s="1002">
        <f>SUM(DCF!T195:T196)</f>
        <v>0</v>
      </c>
      <c r="G32" s="1002">
        <f>SUM(DCF!U195:U196)</f>
        <v>0</v>
      </c>
      <c r="H32" s="1002">
        <f>SUM(DCF!V195:V196)</f>
        <v>0</v>
      </c>
      <c r="I32" s="1002">
        <f>SUM(DCF!W195:W196)</f>
        <v>0</v>
      </c>
      <c r="J32" s="1002">
        <f>SUM(DCF!X195:X196)</f>
        <v>0</v>
      </c>
      <c r="K32" s="1002">
        <f>SUM(DCF!Y195:Y196)</f>
        <v>0</v>
      </c>
      <c r="L32" s="1002">
        <f>SUM(DCF!Z195:Z196)</f>
        <v>0</v>
      </c>
      <c r="M32" s="1002">
        <f>SUM(DCF!AA195:AA196)</f>
        <v>0</v>
      </c>
      <c r="N32" s="1019">
        <f>SUM(F32:M32)</f>
        <v>0</v>
      </c>
      <c r="O32" s="1003"/>
      <c r="P32" s="999"/>
      <c r="Q32" s="1000"/>
      <c r="R32" s="1001"/>
      <c r="S32" s="1000"/>
      <c r="T32" s="990" t="s">
        <v>1429</v>
      </c>
      <c r="U32" s="990"/>
      <c r="V32" s="1460">
        <f>DCF!T280</f>
        <v>0</v>
      </c>
      <c r="W32" s="1002">
        <f>DCF!U280</f>
        <v>0</v>
      </c>
      <c r="X32" s="1002">
        <f>DCF!V280</f>
        <v>0</v>
      </c>
      <c r="Y32" s="1002">
        <f>DCF!W280</f>
        <v>0</v>
      </c>
      <c r="Z32" s="1002">
        <f>DCF!X280</f>
        <v>0</v>
      </c>
      <c r="AA32" s="1002">
        <f>DCF!Y280</f>
        <v>0</v>
      </c>
      <c r="AB32" s="1002">
        <f>DCF!Z280</f>
        <v>0</v>
      </c>
      <c r="AC32" s="1002">
        <f>DCF!AA280</f>
        <v>0</v>
      </c>
      <c r="AD32" s="1460">
        <f t="shared" si="7"/>
        <v>0</v>
      </c>
      <c r="AE32" s="1023"/>
      <c r="AF32" s="1001"/>
    </row>
    <row r="33" spans="2:32">
      <c r="B33" s="995"/>
      <c r="C33" s="990"/>
      <c r="D33" s="990" t="s">
        <v>785</v>
      </c>
      <c r="E33" s="1053"/>
      <c r="F33" s="1002">
        <f>DCF!T159*(DCF!T21=0)</f>
        <v>0</v>
      </c>
      <c r="G33" s="1002">
        <f>DCF!U159*(DCF!U21=0)</f>
        <v>0</v>
      </c>
      <c r="H33" s="1002">
        <f>DCF!V159*(DCF!V21=0)</f>
        <v>0</v>
      </c>
      <c r="I33" s="1002">
        <f>DCF!W159*(DCF!W21=0)</f>
        <v>0</v>
      </c>
      <c r="J33" s="1002">
        <f>DCF!X159*(DCF!X21=0)</f>
        <v>0</v>
      </c>
      <c r="K33" s="1002">
        <f>DCF!Y159*(DCF!Y21=0)</f>
        <v>0</v>
      </c>
      <c r="L33" s="1002">
        <f>DCF!Z159*(DCF!Z21=0)</f>
        <v>0</v>
      </c>
      <c r="M33" s="1054">
        <f>DCF!AA159*(DCF!AA21=0)</f>
        <v>0</v>
      </c>
      <c r="N33" s="1018">
        <f>SUM(F33:M33)</f>
        <v>0</v>
      </c>
      <c r="O33" s="1003"/>
      <c r="P33" s="999"/>
      <c r="Q33" s="1000"/>
      <c r="R33" s="1001"/>
      <c r="S33" s="990"/>
      <c r="T33" s="990" t="s">
        <v>1368</v>
      </c>
      <c r="U33" s="1023"/>
      <c r="V33" s="1002">
        <f>-DCF!T302</f>
        <v>0</v>
      </c>
      <c r="W33" s="1002">
        <f>-DCF!U302</f>
        <v>0</v>
      </c>
      <c r="X33" s="1002">
        <f>-DCF!V302</f>
        <v>0</v>
      </c>
      <c r="Y33" s="1002">
        <f>-DCF!W302</f>
        <v>0</v>
      </c>
      <c r="Z33" s="1002">
        <f>-DCF!X302</f>
        <v>0</v>
      </c>
      <c r="AA33" s="1002">
        <f>-DCF!Y302</f>
        <v>0</v>
      </c>
      <c r="AB33" s="1002">
        <f>-DCF!Z302</f>
        <v>0</v>
      </c>
      <c r="AC33" s="1002">
        <f>-DCF!AA302</f>
        <v>0</v>
      </c>
      <c r="AD33" s="1019">
        <f t="shared" si="7"/>
        <v>0</v>
      </c>
      <c r="AE33" s="1000"/>
      <c r="AF33" s="1001"/>
    </row>
    <row r="34" spans="2:32" ht="15.75" thickBot="1">
      <c r="B34" s="995"/>
      <c r="C34" s="990"/>
      <c r="D34" s="1030" t="s">
        <v>1141</v>
      </c>
      <c r="E34" s="1031"/>
      <c r="F34" s="1033">
        <f>SUM(F28:F33)</f>
        <v>-15207.241372928816</v>
      </c>
      <c r="G34" s="1033">
        <f t="shared" ref="G34:M34" si="8">SUM(G28:G33)</f>
        <v>22802.905500140896</v>
      </c>
      <c r="H34" s="1033">
        <f t="shared" si="8"/>
        <v>41000.922636107687</v>
      </c>
      <c r="I34" s="1033">
        <f t="shared" si="8"/>
        <v>41232.99374999998</v>
      </c>
      <c r="J34" s="1033">
        <f t="shared" si="8"/>
        <v>41104.598875868993</v>
      </c>
      <c r="K34" s="1033">
        <f t="shared" si="8"/>
        <v>41216.691420764699</v>
      </c>
      <c r="L34" s="1033">
        <f t="shared" si="8"/>
        <v>41447.134505287315</v>
      </c>
      <c r="M34" s="1033">
        <f t="shared" si="8"/>
        <v>41676.221796874961</v>
      </c>
      <c r="N34" s="1057">
        <f>SUM(F34:M34)</f>
        <v>255274.22711211571</v>
      </c>
      <c r="O34" s="1003"/>
      <c r="P34" s="999"/>
      <c r="Q34" s="1000"/>
      <c r="R34" s="1001"/>
      <c r="S34" s="1000"/>
      <c r="T34" s="1030" t="s">
        <v>1130</v>
      </c>
      <c r="U34" s="1461">
        <f>SUM(U19,U25:U27)</f>
        <v>-735007.24137292895</v>
      </c>
      <c r="V34" s="1059">
        <f t="shared" ref="V34:AC34" si="9">SUM(V28:V33,V19)</f>
        <v>796611.79070656735</v>
      </c>
      <c r="W34" s="1060">
        <f t="shared" si="9"/>
        <v>10302.905500140896</v>
      </c>
      <c r="X34" s="1060">
        <f t="shared" si="9"/>
        <v>28500.922636107687</v>
      </c>
      <c r="Y34" s="1060">
        <f t="shared" si="9"/>
        <v>28732.99374999998</v>
      </c>
      <c r="Z34" s="1060">
        <f t="shared" si="9"/>
        <v>28604.598875868993</v>
      </c>
      <c r="AA34" s="1060">
        <f t="shared" si="9"/>
        <v>28716.691420764699</v>
      </c>
      <c r="AB34" s="1060">
        <f t="shared" si="9"/>
        <v>28947.134505287315</v>
      </c>
      <c r="AC34" s="1061">
        <f t="shared" si="9"/>
        <v>29176.221796874961</v>
      </c>
      <c r="AD34" s="1034">
        <f t="shared" ref="AD34" si="10">SUM(V34:AC34)</f>
        <v>979593.25919161178</v>
      </c>
      <c r="AE34" s="1000"/>
      <c r="AF34" s="1001"/>
    </row>
    <row r="35" spans="2:32">
      <c r="B35" s="995"/>
      <c r="C35" s="990"/>
      <c r="D35" s="990"/>
      <c r="E35" s="1053"/>
      <c r="F35" s="1002"/>
      <c r="G35" s="1002"/>
      <c r="H35" s="1002"/>
      <c r="I35" s="1002"/>
      <c r="J35" s="1002"/>
      <c r="K35" s="1002"/>
      <c r="L35" s="1002"/>
      <c r="M35" s="1018"/>
      <c r="N35" s="1018"/>
      <c r="O35" s="1003"/>
      <c r="P35" s="999"/>
      <c r="Q35" s="1000"/>
      <c r="R35" s="1001"/>
      <c r="S35" s="1000"/>
      <c r="T35" s="1038" t="s">
        <v>746</v>
      </c>
      <c r="U35" s="1039">
        <f>DCF!Y324</f>
        <v>2.9802322387695314E-9</v>
      </c>
      <c r="V35" s="1000"/>
      <c r="W35" s="1000"/>
      <c r="X35" s="1000"/>
      <c r="Y35" s="1000"/>
      <c r="Z35" s="1000"/>
      <c r="AA35" s="1000"/>
      <c r="AB35" s="1000"/>
      <c r="AC35" s="1003"/>
      <c r="AD35" s="1003"/>
      <c r="AE35" s="1000"/>
      <c r="AF35" s="1001"/>
    </row>
    <row r="36" spans="2:32">
      <c r="B36" s="995"/>
      <c r="C36" s="990"/>
      <c r="D36" s="990" t="s">
        <v>1142</v>
      </c>
      <c r="E36" s="1045">
        <f>AVERAGE(GA!Q526:Q565)</f>
        <v>2.0000000000000011E-2</v>
      </c>
      <c r="F36" s="1002">
        <f>DCF!T182</f>
        <v>0</v>
      </c>
      <c r="G36" s="1002">
        <f>DCF!U182</f>
        <v>-12500</v>
      </c>
      <c r="H36" s="1002">
        <f>DCF!V182</f>
        <v>-12500</v>
      </c>
      <c r="I36" s="1002">
        <f>DCF!W182</f>
        <v>-12500</v>
      </c>
      <c r="J36" s="1002">
        <f>DCF!X182</f>
        <v>-12500</v>
      </c>
      <c r="K36" s="1002">
        <f>DCF!Y182</f>
        <v>-12500</v>
      </c>
      <c r="L36" s="1002">
        <f>DCF!Z182</f>
        <v>-12500</v>
      </c>
      <c r="M36" s="1018">
        <f>DCF!AA182</f>
        <v>-12500</v>
      </c>
      <c r="N36" s="1018">
        <f>SUM(F36:M36)</f>
        <v>-87500</v>
      </c>
      <c r="O36" s="1003"/>
      <c r="P36" s="999"/>
      <c r="Q36" s="1000"/>
      <c r="R36" s="1001"/>
      <c r="S36" s="1000"/>
      <c r="T36" s="1038" t="s">
        <v>1133</v>
      </c>
      <c r="U36" s="1040">
        <f>DCF!Y323</f>
        <v>0.50186743331641059</v>
      </c>
      <c r="V36" s="1000"/>
      <c r="W36" s="1000"/>
      <c r="X36" s="1000"/>
      <c r="Y36" s="1000"/>
      <c r="Z36" s="1000"/>
      <c r="AA36" s="1000"/>
      <c r="AB36" s="1000"/>
      <c r="AC36" s="1003"/>
      <c r="AD36" s="1003"/>
      <c r="AE36" s="1000"/>
      <c r="AF36" s="1001"/>
    </row>
    <row r="37" spans="2:32">
      <c r="B37" s="995"/>
      <c r="C37" s="990"/>
      <c r="D37" s="990" t="s">
        <v>1144</v>
      </c>
      <c r="E37" s="1053"/>
      <c r="F37" s="1002">
        <f>DCF!T138</f>
        <v>0</v>
      </c>
      <c r="G37" s="1002">
        <f>DCF!U138</f>
        <v>0</v>
      </c>
      <c r="H37" s="1002">
        <f>DCF!V138</f>
        <v>0</v>
      </c>
      <c r="I37" s="1002">
        <f>DCF!W138</f>
        <v>0</v>
      </c>
      <c r="J37" s="1002">
        <f>DCF!X138</f>
        <v>0</v>
      </c>
      <c r="K37" s="1002">
        <f>DCF!Y138</f>
        <v>0</v>
      </c>
      <c r="L37" s="1002">
        <f>DCF!Z138</f>
        <v>0</v>
      </c>
      <c r="M37" s="1002">
        <f>DCF!AA138</f>
        <v>0</v>
      </c>
      <c r="N37" s="1019">
        <f>SUM(F37:M37)</f>
        <v>0</v>
      </c>
      <c r="O37" s="1003"/>
      <c r="P37" s="999"/>
      <c r="Q37" s="1000"/>
      <c r="R37" s="1001"/>
      <c r="S37" s="1000"/>
      <c r="T37" s="1041" t="s">
        <v>744</v>
      </c>
      <c r="U37" s="1065">
        <f>DCF!Y322</f>
        <v>-1602122.4747597778</v>
      </c>
      <c r="V37" s="1043"/>
      <c r="W37" s="1043"/>
      <c r="X37" s="1043"/>
      <c r="Y37" s="1043"/>
      <c r="Z37" s="1043"/>
      <c r="AA37" s="1043"/>
      <c r="AB37" s="1043"/>
      <c r="AC37" s="1044"/>
      <c r="AD37" s="1044"/>
      <c r="AE37" s="1000"/>
      <c r="AF37" s="1001"/>
    </row>
    <row r="38" spans="2:32">
      <c r="B38" s="995"/>
      <c r="C38" s="990"/>
      <c r="D38" s="990" t="s">
        <v>1368</v>
      </c>
      <c r="E38" s="1053"/>
      <c r="F38" s="1002">
        <f>-DCF!T166-DCF!T238-DCF!T236</f>
        <v>811819.03207949619</v>
      </c>
      <c r="G38" s="1002">
        <f>-DCF!U166-DCF!U238-DCF!U236</f>
        <v>0</v>
      </c>
      <c r="H38" s="1002">
        <f>-DCF!V166-DCF!V238-DCF!V236</f>
        <v>0</v>
      </c>
      <c r="I38" s="1002">
        <f>-DCF!W166-DCF!W238-DCF!W236</f>
        <v>0</v>
      </c>
      <c r="J38" s="1002">
        <f>-DCF!X166-DCF!X238-DCF!X236</f>
        <v>0</v>
      </c>
      <c r="K38" s="1002">
        <f>-DCF!Y166-DCF!Y238-DCF!Y236</f>
        <v>0</v>
      </c>
      <c r="L38" s="1002">
        <f>-DCF!Z166-DCF!Z238-DCF!Z236</f>
        <v>0</v>
      </c>
      <c r="M38" s="1002">
        <f>-DCF!AA166-DCF!AA238-DCF!AA236</f>
        <v>0</v>
      </c>
      <c r="N38" s="1019">
        <f>SUM(F38:M38)</f>
        <v>811819.03207949619</v>
      </c>
      <c r="O38" s="1003"/>
      <c r="P38" s="999"/>
      <c r="Q38" s="1000"/>
      <c r="R38" s="1001"/>
      <c r="S38" s="991"/>
      <c r="T38" s="1043"/>
      <c r="U38" s="1043"/>
      <c r="V38" s="1043"/>
      <c r="W38" s="1043"/>
      <c r="X38" s="1043"/>
      <c r="Y38" s="1043"/>
      <c r="Z38" s="1043"/>
      <c r="AA38" s="1043"/>
      <c r="AB38" s="1043"/>
      <c r="AC38" s="1043"/>
      <c r="AD38" s="1043"/>
      <c r="AE38" s="1044"/>
      <c r="AF38" s="1001"/>
    </row>
    <row r="39" spans="2:32">
      <c r="B39" s="995"/>
      <c r="C39" s="990"/>
      <c r="D39" s="990" t="s">
        <v>1121</v>
      </c>
      <c r="E39" s="1053"/>
      <c r="F39" s="1002">
        <f>DCF!T211</f>
        <v>0</v>
      </c>
      <c r="G39" s="1002">
        <f>DCF!U211</f>
        <v>0</v>
      </c>
      <c r="H39" s="1002">
        <f>DCF!V211</f>
        <v>0</v>
      </c>
      <c r="I39" s="1002">
        <f>DCF!W211</f>
        <v>0</v>
      </c>
      <c r="J39" s="1002">
        <f>DCF!X211</f>
        <v>0</v>
      </c>
      <c r="K39" s="1002">
        <f>DCF!Y211</f>
        <v>0</v>
      </c>
      <c r="L39" s="1002">
        <f>DCF!Z211</f>
        <v>0</v>
      </c>
      <c r="M39" s="1002">
        <f>DCF!AA211</f>
        <v>0</v>
      </c>
      <c r="N39" s="1050">
        <f>SUM(F39:M39)</f>
        <v>0</v>
      </c>
      <c r="O39" s="1003"/>
      <c r="P39" s="999"/>
      <c r="Q39" s="1000"/>
      <c r="R39" s="1046"/>
      <c r="S39" s="1047"/>
      <c r="T39" s="1047"/>
      <c r="U39" s="1047"/>
      <c r="V39" s="1047"/>
      <c r="W39" s="1047"/>
      <c r="X39" s="1047"/>
      <c r="Y39" s="1047"/>
      <c r="Z39" s="1047"/>
      <c r="AA39" s="1047"/>
      <c r="AB39" s="1047"/>
      <c r="AC39" s="1047"/>
      <c r="AD39" s="1047"/>
      <c r="AE39" s="857"/>
      <c r="AF39" s="1048"/>
    </row>
    <row r="40" spans="2:32" ht="15.75" thickBot="1">
      <c r="B40" s="995"/>
      <c r="C40" s="990"/>
      <c r="D40" s="1030" t="s">
        <v>1146</v>
      </c>
      <c r="E40" s="1031"/>
      <c r="F40" s="1033">
        <f>SUM(F36:F39,F34)</f>
        <v>796611.79070656735</v>
      </c>
      <c r="G40" s="1033">
        <f t="shared" ref="G40:M40" si="11">SUM(G36:G39,G34)</f>
        <v>10302.905500140896</v>
      </c>
      <c r="H40" s="1033">
        <f t="shared" si="11"/>
        <v>28500.922636107687</v>
      </c>
      <c r="I40" s="1033">
        <f t="shared" si="11"/>
        <v>28732.99374999998</v>
      </c>
      <c r="J40" s="1033">
        <f t="shared" si="11"/>
        <v>28604.598875868993</v>
      </c>
      <c r="K40" s="1033">
        <f t="shared" si="11"/>
        <v>28716.691420764699</v>
      </c>
      <c r="L40" s="1033">
        <f t="shared" si="11"/>
        <v>28947.134505287315</v>
      </c>
      <c r="M40" s="1033">
        <f t="shared" si="11"/>
        <v>29176.221796874961</v>
      </c>
      <c r="N40" s="1057">
        <f>SUM(F40:M40)</f>
        <v>979593.25919161178</v>
      </c>
      <c r="O40" s="1003"/>
      <c r="P40" s="999"/>
      <c r="Q40" s="1000"/>
    </row>
    <row r="41" spans="2:32">
      <c r="B41" s="995"/>
      <c r="C41" s="990"/>
      <c r="D41" s="1038" t="s">
        <v>1478</v>
      </c>
      <c r="E41" s="1505"/>
      <c r="F41" s="1553">
        <f>-(F34+F36+V28)*4/$U$34</f>
        <v>-8.2759681902034199E-2</v>
      </c>
      <c r="G41" s="1553">
        <f t="shared" ref="G41:M41" si="12">-(G34+G36+W28)*4/$U$34</f>
        <v>5.606968160420283E-2</v>
      </c>
      <c r="H41" s="1553">
        <f t="shared" si="12"/>
        <v>0.15510553383322029</v>
      </c>
      <c r="I41" s="1553">
        <f t="shared" si="12"/>
        <v>0.1563684934386729</v>
      </c>
      <c r="J41" s="1553">
        <f t="shared" si="12"/>
        <v>0.15566975270849367</v>
      </c>
      <c r="K41" s="1553">
        <f t="shared" si="12"/>
        <v>0.15627977415365019</v>
      </c>
      <c r="L41" s="1553">
        <f t="shared" si="12"/>
        <v>0.15753387382261219</v>
      </c>
      <c r="M41" s="1554">
        <f t="shared" si="12"/>
        <v>0.15878059509931544</v>
      </c>
      <c r="N41" s="1021"/>
      <c r="O41" s="1003"/>
      <c r="P41" s="999"/>
      <c r="Q41" s="1000"/>
    </row>
    <row r="42" spans="2:32">
      <c r="B42" s="995"/>
      <c r="C42" s="990"/>
      <c r="D42" s="990" t="s">
        <v>1147</v>
      </c>
      <c r="E42" s="1023"/>
      <c r="F42" s="1020"/>
      <c r="G42" s="1020"/>
      <c r="H42" s="1020"/>
      <c r="I42" s="1020"/>
      <c r="J42" s="1020"/>
      <c r="K42" s="1020"/>
      <c r="L42" s="1020"/>
      <c r="M42" s="1021"/>
      <c r="N42" s="1021"/>
      <c r="O42" s="1003"/>
      <c r="P42" s="999"/>
      <c r="Q42" s="1000"/>
    </row>
    <row r="43" spans="2:32">
      <c r="B43" s="995"/>
      <c r="C43" s="990"/>
      <c r="D43" s="991" t="s">
        <v>1148</v>
      </c>
      <c r="E43" s="1058"/>
      <c r="F43" s="1062"/>
      <c r="G43" s="1062"/>
      <c r="H43" s="1062"/>
      <c r="I43" s="1062"/>
      <c r="J43" s="1062"/>
      <c r="K43" s="1062"/>
      <c r="L43" s="1062"/>
      <c r="M43" s="1063"/>
      <c r="N43" s="1064"/>
      <c r="O43" s="1003"/>
      <c r="P43" s="999"/>
      <c r="Q43" s="1000"/>
    </row>
    <row r="44" spans="2:32">
      <c r="B44" s="995"/>
      <c r="C44" s="991"/>
      <c r="D44" s="1043"/>
      <c r="E44" s="1043"/>
      <c r="F44" s="1062"/>
      <c r="G44" s="1062"/>
      <c r="H44" s="1062"/>
      <c r="I44" s="1062"/>
      <c r="J44" s="1062"/>
      <c r="K44" s="1062"/>
      <c r="L44" s="1062"/>
      <c r="M44" s="1062"/>
      <c r="N44" s="1062"/>
      <c r="O44" s="1044"/>
      <c r="P44" s="999"/>
      <c r="Q44" s="1000"/>
    </row>
    <row r="45" spans="2:32">
      <c r="B45" s="1046"/>
      <c r="C45" s="1047"/>
      <c r="D45" s="1047"/>
      <c r="E45" s="1047"/>
      <c r="F45" s="1047"/>
      <c r="G45" s="1047"/>
      <c r="H45" s="1047"/>
      <c r="I45" s="1047"/>
      <c r="J45" s="1047"/>
      <c r="K45" s="1047"/>
      <c r="L45" s="1047"/>
      <c r="M45" s="1047"/>
      <c r="N45" s="1047"/>
      <c r="O45" s="1047"/>
      <c r="P45" s="1048"/>
      <c r="Q45" s="1000"/>
    </row>
    <row r="46" spans="2:32">
      <c r="F46" s="49"/>
      <c r="G46" s="49"/>
      <c r="H46" s="49"/>
      <c r="I46" s="49"/>
      <c r="J46" s="49"/>
      <c r="K46" s="49"/>
      <c r="L46" s="49"/>
      <c r="M46" s="49"/>
      <c r="N46" s="49"/>
      <c r="Q46" s="1000"/>
      <c r="V46" s="1066"/>
      <c r="W46" s="1066"/>
      <c r="X46" s="1066"/>
      <c r="Y46" s="1066"/>
      <c r="Z46" s="1066"/>
      <c r="AA46" s="1066"/>
      <c r="AB46" s="1066"/>
      <c r="AC46" s="1066"/>
      <c r="AD46" s="1066"/>
    </row>
    <row r="47" spans="2:32">
      <c r="V47" s="345"/>
      <c r="W47" s="345"/>
      <c r="X47" s="345"/>
      <c r="Y47" s="345"/>
      <c r="Z47" s="345"/>
      <c r="AA47" s="345"/>
      <c r="AB47" s="345"/>
      <c r="AC47" s="345"/>
    </row>
    <row r="48" spans="2:32">
      <c r="D48" t="s">
        <v>1315</v>
      </c>
      <c r="E48" t="b">
        <f>COUNTIF(E50:E53,TRUE)=COUNTA(E50:E53)</f>
        <v>0</v>
      </c>
    </row>
    <row r="50" spans="4:29">
      <c r="D50" t="s">
        <v>435</v>
      </c>
      <c r="E50" t="b">
        <f>COUNTIF(F50:M50,TRUE)=COUNTA(F50:M50)</f>
        <v>1</v>
      </c>
      <c r="F50" t="b">
        <f>ROUND(F21,GA!$G$112)=ROUND(DCF!T118,GA!$G$112)</f>
        <v>1</v>
      </c>
      <c r="G50" t="b">
        <f>ROUND(G21,GA!$G$112)=ROUND(DCF!U118,GA!$G$112)</f>
        <v>1</v>
      </c>
      <c r="H50" t="b">
        <f>ROUND(H21,GA!$G$112)=ROUND(DCF!V118,GA!$G$112)</f>
        <v>1</v>
      </c>
      <c r="I50" t="b">
        <f>ROUND(I21,GA!$G$112)=ROUND(DCF!W118,GA!$G$112)</f>
        <v>1</v>
      </c>
      <c r="J50" t="b">
        <f>ROUND(J21,GA!$G$112)=ROUND(DCF!X118,GA!$G$112)</f>
        <v>1</v>
      </c>
      <c r="K50" t="b">
        <f>ROUND(K21,GA!$G$112)=ROUND(DCF!Y118,GA!$G$112)</f>
        <v>1</v>
      </c>
      <c r="L50" t="b">
        <f>ROUND(L21,GA!$G$112)=ROUND(DCF!Z118,GA!$G$112)</f>
        <v>1</v>
      </c>
      <c r="M50" t="b">
        <f>ROUND(M21,GA!$G$112)=ROUND(DCF!AA118,GA!$G$112)</f>
        <v>1</v>
      </c>
    </row>
    <row r="51" spans="4:29">
      <c r="D51" t="s">
        <v>522</v>
      </c>
      <c r="E51" t="b">
        <f>COUNTIF(F51:M51,TRUE)=COUNTA(F51:M51)</f>
        <v>1</v>
      </c>
      <c r="F51" t="b">
        <f>ROUND(F28,GA!$G$112)=ROUND(DCF!T128,GA!$G$112)</f>
        <v>1</v>
      </c>
      <c r="G51" t="b">
        <f>ROUND(G28,GA!$G$112)=ROUND(DCF!U128,GA!$G$112)</f>
        <v>1</v>
      </c>
      <c r="H51" t="b">
        <f>ROUND(H28,GA!$G$112)=ROUND(DCF!V128,GA!$G$112)</f>
        <v>1</v>
      </c>
      <c r="I51" t="b">
        <f>ROUND(I28,GA!$G$112)=ROUND(DCF!W128,GA!$G$112)</f>
        <v>1</v>
      </c>
      <c r="J51" t="b">
        <f>ROUND(J28,GA!$G$112)=ROUND(DCF!X128,GA!$G$112)</f>
        <v>1</v>
      </c>
      <c r="K51" t="b">
        <f>ROUND(K28,GA!$G$112)=ROUND(DCF!Y128,GA!$G$112)</f>
        <v>1</v>
      </c>
      <c r="L51" t="b">
        <f>ROUND(L28,GA!$G$112)=ROUND(DCF!Z128,GA!$G$112)</f>
        <v>1</v>
      </c>
      <c r="M51" t="b">
        <f>ROUND(M28,GA!$G$112)=ROUND(DCF!AA128,GA!$G$112)</f>
        <v>1</v>
      </c>
    </row>
    <row r="52" spans="4:29">
      <c r="D52" t="s">
        <v>1316</v>
      </c>
      <c r="E52" t="b">
        <f>COUNTIF(F52:M52,TRUE)=COUNTA(F52:M52)</f>
        <v>0</v>
      </c>
      <c r="F52" t="b">
        <f>ROUND(V52,GA!$G$112)=ROUND(V19,GA!$G$112)</f>
        <v>0</v>
      </c>
      <c r="G52" t="b">
        <f>ROUND(W52,GA!$G$112)=ROUND(W19,GA!$G$112)</f>
        <v>1</v>
      </c>
      <c r="H52" t="b">
        <f>ROUND(X52,GA!$G$112)=ROUND(X19,GA!$G$112)</f>
        <v>1</v>
      </c>
      <c r="I52" t="b">
        <f>ROUND(Y52,GA!$G$112)=ROUND(Y19,GA!$G$112)</f>
        <v>1</v>
      </c>
      <c r="J52" t="b">
        <f>ROUND(Z52,GA!$G$112)=ROUND(Z19,GA!$G$112)</f>
        <v>1</v>
      </c>
      <c r="K52" t="b">
        <f>ROUND(AA52,GA!$G$112)=ROUND(AA19,GA!$G$112)</f>
        <v>1</v>
      </c>
      <c r="L52" t="b">
        <f>ROUND(AB52,GA!$G$112)=ROUND(AB19,GA!$G$112)</f>
        <v>1</v>
      </c>
      <c r="M52" t="b">
        <f>ROUND(AC52,GA!$G$112)=ROUND(AC19,GA!$G$112)</f>
        <v>1</v>
      </c>
      <c r="V52" s="345">
        <f>DCF!T245</f>
        <v>0</v>
      </c>
      <c r="W52" s="345">
        <f>DCF!U245</f>
        <v>10302.905500140972</v>
      </c>
      <c r="X52" s="345">
        <f>DCF!V245</f>
        <v>28500.922636107687</v>
      </c>
      <c r="Y52" s="345">
        <f>DCF!W245</f>
        <v>28732.99374999998</v>
      </c>
      <c r="Z52" s="345">
        <f>DCF!X245</f>
        <v>28604.598875868989</v>
      </c>
      <c r="AA52" s="345">
        <f>DCF!Y245</f>
        <v>28716.691420764699</v>
      </c>
      <c r="AB52" s="345">
        <f>DCF!Z245</f>
        <v>28947.134505287315</v>
      </c>
      <c r="AC52" s="345">
        <f>DCF!AA245</f>
        <v>29176.221796874961</v>
      </c>
    </row>
    <row r="53" spans="4:29">
      <c r="D53" t="s">
        <v>1317</v>
      </c>
      <c r="E53" t="b">
        <f>COUNTIF(F53:M53,TRUE)=COUNTA(F53:M53)</f>
        <v>0</v>
      </c>
      <c r="F53" t="b">
        <f>ROUND(DCF!T305,GA!$G$112)=ROUND(V34,GA!$G$112)</f>
        <v>0</v>
      </c>
      <c r="G53" t="b">
        <f>ROUND(DCF!U305,GA!$G$112)=ROUND(W34,GA!$G$112)</f>
        <v>1</v>
      </c>
      <c r="H53" t="b">
        <f>ROUND(DCF!V305,GA!$G$112)=ROUND(X34,GA!$G$112)</f>
        <v>1</v>
      </c>
      <c r="I53" t="b">
        <f>ROUND(DCF!W305,GA!$G$112)=ROUND(Y34,GA!$G$112)</f>
        <v>1</v>
      </c>
      <c r="J53" t="b">
        <f>ROUND(DCF!X305,GA!$G$112)=ROUND(Z34,GA!$G$112)</f>
        <v>1</v>
      </c>
      <c r="K53" t="b">
        <f>ROUND(DCF!Y305,GA!$G$112)=ROUND(AA34,GA!$G$112)</f>
        <v>1</v>
      </c>
      <c r="L53" t="b">
        <f>ROUND(DCF!Z305,GA!$G$112)=ROUND(AB34,GA!$G$112)</f>
        <v>1</v>
      </c>
      <c r="M53" t="b">
        <f>ROUND(DCF!AA305,GA!$G$112)=ROUND(AC34,GA!$G$112)</f>
        <v>1</v>
      </c>
      <c r="V53" s="345">
        <f t="shared" ref="V53:AC53" si="13">V19-V52</f>
        <v>796611.79070656735</v>
      </c>
      <c r="W53" s="345">
        <f t="shared" si="13"/>
        <v>-7.6397554948925972E-11</v>
      </c>
      <c r="X53" s="345">
        <f t="shared" si="13"/>
        <v>0</v>
      </c>
      <c r="Y53" s="345">
        <f t="shared" si="13"/>
        <v>0</v>
      </c>
      <c r="Z53" s="345">
        <f t="shared" si="13"/>
        <v>0</v>
      </c>
      <c r="AA53" s="345">
        <f t="shared" si="13"/>
        <v>0</v>
      </c>
      <c r="AB53" s="345">
        <f t="shared" si="13"/>
        <v>0</v>
      </c>
      <c r="AC53" s="345">
        <f t="shared" si="13"/>
        <v>0</v>
      </c>
    </row>
    <row r="57" spans="4:29">
      <c r="W57" s="345">
        <f>SUM(V52:W52)-SUM(V19:W19)</f>
        <v>-796611.79070656723</v>
      </c>
    </row>
  </sheetData>
  <conditionalFormatting sqref="Q16">
    <cfRule type="cellIs" dxfId="238" priority="13" operator="equal">
      <formula>TRUE</formula>
    </cfRule>
  </conditionalFormatting>
  <conditionalFormatting sqref="Q21">
    <cfRule type="cellIs" dxfId="237" priority="12" operator="equal">
      <formula>TRUE</formula>
    </cfRule>
  </conditionalFormatting>
  <conditionalFormatting sqref="Q28">
    <cfRule type="cellIs" dxfId="236" priority="11" operator="equal">
      <formula>TRUE</formula>
    </cfRule>
  </conditionalFormatting>
  <conditionalFormatting sqref="E50:M52 F53:M53">
    <cfRule type="cellIs" dxfId="235" priority="9" operator="equal">
      <formula>TRUE</formula>
    </cfRule>
    <cfRule type="cellIs" dxfId="234" priority="10" operator="equal">
      <formula>FALSE</formula>
    </cfRule>
  </conditionalFormatting>
  <conditionalFormatting sqref="E52">
    <cfRule type="cellIs" dxfId="233" priority="7" operator="equal">
      <formula>TRUE</formula>
    </cfRule>
    <cfRule type="cellIs" dxfId="232" priority="8" operator="equal">
      <formula>FALSE</formula>
    </cfRule>
  </conditionalFormatting>
  <conditionalFormatting sqref="E48">
    <cfRule type="cellIs" dxfId="231" priority="5" operator="equal">
      <formula>TRUE</formula>
    </cfRule>
    <cfRule type="cellIs" dxfId="230" priority="6" operator="equal">
      <formula>FALSE</formula>
    </cfRule>
  </conditionalFormatting>
  <conditionalFormatting sqref="E53">
    <cfRule type="cellIs" dxfId="229" priority="3" operator="equal">
      <formula>TRUE</formula>
    </cfRule>
    <cfRule type="cellIs" dxfId="228" priority="4" operator="equal">
      <formula>FALSE</formula>
    </cfRule>
  </conditionalFormatting>
  <conditionalFormatting sqref="E53">
    <cfRule type="cellIs" dxfId="227" priority="1" operator="equal">
      <formula>TRUE</formula>
    </cfRule>
    <cfRule type="cellIs" dxfId="226" priority="2" operator="equal">
      <formula>FALSE</formula>
    </cfRule>
  </conditionalFormatting>
  <pageMargins left="0.7" right="0.7" top="0.75" bottom="0.75" header="0.3" footer="0.3"/>
  <pageSetup paperSize="9" scale="46"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59D7B-8789-4CF8-A6F1-6AB5C83E8B93}">
  <sheetPr codeName="Sheet4">
    <tabColor theme="7" tint="0.39997558519241921"/>
  </sheetPr>
  <dimension ref="A1:AZ16"/>
  <sheetViews>
    <sheetView topLeftCell="AB1" workbookViewId="0">
      <selection activeCell="N23" sqref="N23"/>
    </sheetView>
  </sheetViews>
  <sheetFormatPr baseColWidth="10" defaultColWidth="9.28515625" defaultRowHeight="15" outlineLevelCol="1"/>
  <cols>
    <col min="1" max="1" width="2.28515625" customWidth="1"/>
    <col min="2" max="2" width="9.28515625" customWidth="1" outlineLevel="1"/>
    <col min="3" max="3" width="9.42578125" bestFit="1" customWidth="1"/>
    <col min="4" max="4" width="15.42578125" bestFit="1" customWidth="1"/>
    <col min="5" max="5" width="24" bestFit="1" customWidth="1"/>
    <col min="6" max="6" width="31.5703125" bestFit="1" customWidth="1"/>
    <col min="7" max="7" width="9.42578125" customWidth="1"/>
    <col min="8" max="8" width="14" customWidth="1"/>
    <col min="9" max="9" width="10.5703125" customWidth="1"/>
    <col min="10" max="10" width="0.5703125" customWidth="1"/>
    <col min="11" max="17" width="11.5703125" customWidth="1"/>
    <col min="18" max="18" width="0.5703125" customWidth="1"/>
    <col min="19" max="19" width="11.5703125" customWidth="1"/>
    <col min="20" max="20" width="9.7109375" bestFit="1" customWidth="1"/>
    <col min="21" max="21" width="11.28515625" bestFit="1" customWidth="1"/>
    <col min="22" max="24" width="9.28515625" customWidth="1" outlineLevel="1"/>
    <col min="25" max="25" width="7.42578125" customWidth="1" outlineLevel="1"/>
    <col min="26" max="26" width="0.5703125" customWidth="1"/>
    <col min="27" max="27" width="14.7109375" bestFit="1" customWidth="1"/>
    <col min="28" max="28" width="13.42578125" customWidth="1"/>
    <col min="29" max="29" width="12.42578125" bestFit="1" customWidth="1"/>
    <col min="30" max="30" width="11.42578125" customWidth="1"/>
    <col min="31" max="31" width="9.5703125" bestFit="1" customWidth="1"/>
    <col min="32" max="32" width="16.7109375" customWidth="1"/>
    <col min="33" max="33" width="0.5703125" customWidth="1"/>
    <col min="34" max="34" width="15.42578125" bestFit="1" customWidth="1"/>
    <col min="35" max="35" width="8.5703125" customWidth="1"/>
    <col min="36" max="36" width="6.5703125" customWidth="1"/>
    <col min="37" max="37" width="8.5703125" customWidth="1"/>
    <col min="38" max="38" width="10.42578125" bestFit="1" customWidth="1"/>
    <col min="39" max="39" width="15" customWidth="1"/>
    <col min="40" max="40" width="13.42578125" customWidth="1"/>
    <col min="41" max="41" width="14.42578125" customWidth="1"/>
    <col min="42" max="42" width="12.5703125" customWidth="1"/>
    <col min="43" max="43" width="0.5703125" customWidth="1"/>
    <col min="44" max="44" width="15.7109375" bestFit="1" customWidth="1"/>
    <col min="45" max="45" width="12.42578125" customWidth="1"/>
    <col min="46" max="46" width="9.5703125" bestFit="1" customWidth="1"/>
    <col min="47" max="48" width="9.42578125" customWidth="1"/>
    <col min="49" max="50" width="9.42578125" bestFit="1" customWidth="1"/>
    <col min="51" max="52" width="14.42578125" customWidth="1"/>
  </cols>
  <sheetData>
    <row r="1" spans="1:52" s="1" customFormat="1">
      <c r="A1" s="1" t="str">
        <f ca="1">UPPER(MID(CELL("filename",A1),FIND("[",CELL("filename",A1))+1,FIND("]",CELL("filename",A1))-FIND("[",CELL("filename",A1))-5))</f>
        <v>VORLAGE.</v>
      </c>
    </row>
    <row r="2" spans="1:52" s="1" customFormat="1">
      <c r="A2" s="1" t="s">
        <v>1087</v>
      </c>
      <c r="AA2" s="89"/>
      <c r="AB2" s="89"/>
    </row>
    <row r="4" spans="1:52" s="90" customFormat="1">
      <c r="B4" s="91"/>
      <c r="C4" s="91">
        <f>MAX(B$1:$B3)+1</f>
        <v>1</v>
      </c>
      <c r="D4" s="92" t="s">
        <v>1087</v>
      </c>
      <c r="E4" s="92"/>
      <c r="AI4" s="91"/>
      <c r="AJ4" s="92"/>
      <c r="AK4" s="92"/>
    </row>
    <row r="6" spans="1:52" ht="17.25">
      <c r="B6" s="39"/>
      <c r="C6" s="39"/>
      <c r="D6" s="39"/>
      <c r="E6" s="39"/>
      <c r="F6" s="39"/>
      <c r="G6" s="39"/>
      <c r="H6" s="39"/>
      <c r="I6" s="39"/>
      <c r="J6" s="39"/>
      <c r="K6" s="848" t="s">
        <v>1096</v>
      </c>
      <c r="L6" s="848"/>
      <c r="M6" s="848"/>
      <c r="N6" s="862"/>
      <c r="O6" s="862"/>
      <c r="P6" s="862"/>
      <c r="Q6" s="862"/>
      <c r="R6" s="39"/>
      <c r="S6" s="848" t="s">
        <v>1009</v>
      </c>
      <c r="T6" s="862"/>
      <c r="U6" s="862"/>
      <c r="V6" s="862"/>
      <c r="W6" s="862"/>
      <c r="X6" s="862"/>
      <c r="Y6" s="862"/>
      <c r="AA6" s="833" t="s">
        <v>1098</v>
      </c>
      <c r="AB6" s="870"/>
      <c r="AC6" s="870"/>
      <c r="AD6" s="870"/>
      <c r="AE6" s="870"/>
      <c r="AF6" s="870"/>
      <c r="AH6" s="833" t="s">
        <v>1006</v>
      </c>
      <c r="AI6" s="862"/>
      <c r="AJ6" s="862"/>
      <c r="AK6" s="862"/>
      <c r="AL6" s="862"/>
      <c r="AM6" s="870"/>
      <c r="AN6" s="870"/>
      <c r="AO6" s="870"/>
      <c r="AP6" s="870"/>
      <c r="AR6" s="833" t="s">
        <v>1005</v>
      </c>
      <c r="AS6" s="833"/>
      <c r="AT6" s="870"/>
      <c r="AU6" s="870"/>
      <c r="AV6" s="870"/>
      <c r="AW6" s="870"/>
      <c r="AX6" s="870"/>
      <c r="AY6" s="870"/>
      <c r="AZ6" s="870"/>
    </row>
    <row r="7" spans="1:52" ht="51.75">
      <c r="B7" s="871" t="s">
        <v>1088</v>
      </c>
      <c r="C7" s="871" t="s">
        <v>1089</v>
      </c>
      <c r="D7" s="871" t="s">
        <v>6</v>
      </c>
      <c r="E7" s="871" t="s">
        <v>1011</v>
      </c>
      <c r="F7" s="871" t="s">
        <v>1090</v>
      </c>
      <c r="G7" s="871" t="s">
        <v>117</v>
      </c>
      <c r="H7" s="871" t="s">
        <v>890</v>
      </c>
      <c r="I7" s="871" t="s">
        <v>891</v>
      </c>
      <c r="J7" s="871"/>
      <c r="K7" s="871" t="s">
        <v>303</v>
      </c>
      <c r="L7" s="871" t="s">
        <v>1473</v>
      </c>
      <c r="M7" s="871" t="s">
        <v>300</v>
      </c>
      <c r="N7" s="871" t="s">
        <v>1097</v>
      </c>
      <c r="O7" s="871" t="s">
        <v>365</v>
      </c>
      <c r="P7" s="871" t="s">
        <v>435</v>
      </c>
      <c r="Q7" s="871" t="s">
        <v>522</v>
      </c>
      <c r="R7" s="871"/>
      <c r="S7" s="871" t="s">
        <v>1538</v>
      </c>
      <c r="T7" s="871" t="s">
        <v>911</v>
      </c>
      <c r="U7" s="871" t="s">
        <v>1091</v>
      </c>
      <c r="V7" s="871" t="s">
        <v>1092</v>
      </c>
      <c r="W7" s="871" t="s">
        <v>957</v>
      </c>
      <c r="X7" s="871" t="s">
        <v>1093</v>
      </c>
      <c r="Y7" s="871" t="s">
        <v>151</v>
      </c>
      <c r="AA7" s="871" t="s">
        <v>912</v>
      </c>
      <c r="AB7" s="871" t="s">
        <v>1099</v>
      </c>
      <c r="AC7" s="871" t="s">
        <v>914</v>
      </c>
      <c r="AD7" s="871" t="s">
        <v>965</v>
      </c>
      <c r="AE7" s="871" t="s">
        <v>379</v>
      </c>
      <c r="AF7" s="871" t="s">
        <v>919</v>
      </c>
      <c r="AH7" s="871" t="s">
        <v>474</v>
      </c>
      <c r="AI7" s="871" t="s">
        <v>476</v>
      </c>
      <c r="AJ7" s="871" t="s">
        <v>1094</v>
      </c>
      <c r="AK7" s="871" t="s">
        <v>1045</v>
      </c>
      <c r="AL7" s="871" t="s">
        <v>1095</v>
      </c>
      <c r="AM7" s="871" t="s">
        <v>1100</v>
      </c>
      <c r="AN7" s="871" t="s">
        <v>1101</v>
      </c>
      <c r="AO7" s="871" t="s">
        <v>665</v>
      </c>
      <c r="AP7" s="871" t="s">
        <v>1102</v>
      </c>
      <c r="AR7" s="871" t="s">
        <v>1019</v>
      </c>
      <c r="AS7" s="871" t="s">
        <v>1023</v>
      </c>
      <c r="AT7" s="871" t="s">
        <v>266</v>
      </c>
      <c r="AU7" s="871" t="s">
        <v>1323</v>
      </c>
      <c r="AV7" s="871" t="s">
        <v>1324</v>
      </c>
      <c r="AW7" s="871" t="s">
        <v>1477</v>
      </c>
      <c r="AX7" s="871" t="s">
        <v>1103</v>
      </c>
      <c r="AY7" s="871" t="s">
        <v>1707</v>
      </c>
      <c r="AZ7" s="871" t="s">
        <v>1708</v>
      </c>
    </row>
    <row r="8" spans="1:52">
      <c r="B8" s="72">
        <v>1</v>
      </c>
      <c r="C8" s="49">
        <f t="shared" ref="C8:C9" si="0">B8</f>
        <v>1</v>
      </c>
      <c r="D8" s="1244" t="str">
        <f>INDEX(AA!$AC:$AC,MATCH($C8,AA!$C:$C,0))</f>
        <v>backup</v>
      </c>
      <c r="E8" s="1244" t="str">
        <f>INDEX(AA!$AE:$AE,MATCH($C8,AA!$C:$C,0))</f>
        <v>backup</v>
      </c>
      <c r="F8" s="1244" t="str">
        <f>INDEX(AA!$AG:$AG,MATCH($C8,AA!$C:$C,0))</f>
        <v>Baden-Wuerttemberg</v>
      </c>
      <c r="G8" s="1244" t="str">
        <f>INDEX(AA!$AL:$AL,MATCH($C8,AA!$C:$C,0))</f>
        <v>AVC1</v>
      </c>
      <c r="H8" s="1244" t="str">
        <f>INDEX(AA!$AI:$AI,MATCH($C8,AA!$C:$C,0))</f>
        <v>Supermarket</v>
      </c>
      <c r="I8" s="1288" t="str">
        <f>INDEX(AA!$AN:$AN,MATCH($C8,AA!$C:$C,0))</f>
        <v>backup</v>
      </c>
      <c r="K8" s="261">
        <f>INDEX(AO!$Q:$Q,MATCH($B8,AO!$C:$C,0))</f>
        <v>1000</v>
      </c>
      <c r="L8" s="1278">
        <f>IFERROR((SUMIFS(TA!$AJ$15:$AJ$17,TA!$C$15:$C$17,$C8,TA!$U$15:$U$17,GA!$E$76)+SUMIFS(TA!$AJ$15:$AJ$17,TA!$C$15:$C$17,$C8,TA!$U$15:$U$17,GA!$E$77))/SUMIFS(TA!$AJ$15:$AJ$17,TA!$C$15:$C$17,$C8),0)</f>
        <v>1</v>
      </c>
      <c r="M8" s="1289">
        <f>INDEX(AO!$AP:$AP,MATCH($B8,AO!$C:$C,0))</f>
        <v>17.846575342465755</v>
      </c>
      <c r="N8" s="1278">
        <f>INDEX(AO!$U:$U,MATCH($B8,AO!$C:$C,0))</f>
        <v>1</v>
      </c>
      <c r="O8" s="261">
        <f>INDEX(AO!$Y:$Y,MATCH($B8,AO!$C:$C,0))</f>
        <v>100000</v>
      </c>
      <c r="P8" s="261">
        <f>INDEX(AO!$AI:$AI,MATCH($B8,AO!$C:$C,0))</f>
        <v>92400</v>
      </c>
      <c r="Q8" s="261">
        <f>INDEX(AO!$AM:$AM,MATCH($B8,AO!$C:$C,0))</f>
        <v>36375.465310864398</v>
      </c>
      <c r="S8" s="261">
        <f>INDEX(AO!$CA:$CA,MATCH($B8,AO!$C:$C,0))</f>
        <v>1000</v>
      </c>
      <c r="T8" s="1291">
        <f>INDEX(PCF!$BK$60:$BK$62,MATCH($B8,PCF!$C$60:$C$62,0))</f>
        <v>14.846575342465753</v>
      </c>
      <c r="U8" s="1278">
        <f>INDEX(AO!$CC:$CC,MATCH($B8,AO!$C:$C,0))</f>
        <v>1</v>
      </c>
      <c r="V8" s="261">
        <f>INDEX(AO!$CE:$CE,MATCH($B8,AO!$C:$C,0))</f>
        <v>102266.91718749992</v>
      </c>
      <c r="W8" s="261">
        <f>INDEX(AO!$CN:$CN,MATCH($B8,AO!$C:$C,0))</f>
        <v>94294.229574999918</v>
      </c>
      <c r="X8" s="261">
        <f>INDEX(AO!$CS:$CS,MATCH($B8,AO!$C:$C,0))</f>
        <v>70831.041464524489</v>
      </c>
      <c r="Y8" s="261">
        <f>INDEX(AA!$AA:$AA,MATCH($C8,AA!$C:$C,0))</f>
        <v>12</v>
      </c>
      <c r="Z8" s="258"/>
      <c r="AA8" s="1230">
        <f>INDEX(AO!$CV:$CV,MATCH($B8,AO!$C:$C,0))</f>
        <v>0</v>
      </c>
      <c r="AB8" s="1230">
        <f>INDEX(AO!$CZ:$CZ,MATCH($B8,AO!$C:$C,0))</f>
        <v>0</v>
      </c>
      <c r="AC8" s="1230">
        <f>INDEX(AO!$CY:$CY,MATCH($B8,AO!$C:$C,0))</f>
        <v>0</v>
      </c>
      <c r="AD8" s="1230">
        <f>INDEX(AO!$DD:$DD,MATCH($B8,AO!$C:$C,0))</f>
        <v>0</v>
      </c>
      <c r="AE8" s="1230">
        <f>INDEX(AO!$DG:$DG,MATCH($B8,AO!$C:$C,0))</f>
        <v>0</v>
      </c>
      <c r="AF8" s="1230">
        <f>INDEX(AO!$DH:$DH,MATCH($B8,AO!$C:$C,0))</f>
        <v>0</v>
      </c>
      <c r="AG8" s="259"/>
      <c r="AH8" s="261">
        <f>INDEX(AA!$GA:$GA,MATCH($C8,AA!$C:$C,0))</f>
        <v>1227203.0062499989</v>
      </c>
      <c r="AI8" s="1487">
        <f t="shared" ref="AI8:AI9" si="1">IFERROR($AH8/V8,0)</f>
        <v>12</v>
      </c>
      <c r="AJ8" s="1486">
        <f t="shared" ref="AJ8:AJ10" si="2">IFERROR(W8/$AH8,0)</f>
        <v>7.6836700280858691E-2</v>
      </c>
      <c r="AK8" s="1487">
        <f t="shared" ref="AK8:AK9" si="3">IFERROR($AH8/X8,0)</f>
        <v>17.32577950113355</v>
      </c>
      <c r="AL8" s="261">
        <f t="shared" ref="AL8:AL9" si="4">IFERROR(AH8/S8,0)</f>
        <v>1227.2030062499989</v>
      </c>
      <c r="AM8" s="1231">
        <f>INDEX(AO!$DA:$DA,MATCH($B8,AO!$C:$C,0))</f>
        <v>0</v>
      </c>
      <c r="AN8" s="1231">
        <f>INDEX(AO!$DE:$DE,MATCH($B8,AO!$C:$C,0))</f>
        <v>0</v>
      </c>
      <c r="AO8" s="1230">
        <f t="shared" ref="AO8:AO10" si="5">SUM(AH8,AM8:AN8)</f>
        <v>1227203.0062499989</v>
      </c>
      <c r="AP8" s="1230">
        <f t="shared" ref="AP8:AP10" si="6">SUM(AO8,AF8)</f>
        <v>1227203.0062499989</v>
      </c>
      <c r="AQ8" s="1230"/>
      <c r="AR8" s="1230">
        <f>INDEX(AO!$AT:$AT,MATCH($B8,AO!$C:$C,0))</f>
        <v>1702728.7550444414</v>
      </c>
      <c r="AS8" s="1230">
        <f>INDEX(AO!$AZ:$AZ,MATCH($B8,AO!$C:$C,0))</f>
        <v>1925462.7034918049</v>
      </c>
      <c r="AT8" s="1230">
        <f>INDEX(AA!$EN:$EN,MATCH($C8,AA!$C:$C,0))</f>
        <v>0</v>
      </c>
      <c r="AU8" s="1230">
        <f t="shared" ref="AU8:AU9" si="7">IFERROR(AR8/K8,0)</f>
        <v>1702.7287550444414</v>
      </c>
      <c r="AV8" s="1230">
        <f t="shared" ref="AV8:AV9" si="8">IFERROR(AS8/K8,0)</f>
        <v>1925.4627034918049</v>
      </c>
      <c r="AW8" s="1503">
        <f>IFERROR(AR8/O8,0)</f>
        <v>17.027287550444413</v>
      </c>
      <c r="AX8" s="1290">
        <f t="shared" ref="AX8:AX9" si="9">IFERROR(P8/AR8,0)</f>
        <v>5.4265836367806186E-2</v>
      </c>
      <c r="AY8" s="1230">
        <f>RANK(AZ8,$AZ$8:$AZ$10,0)</f>
        <v>3</v>
      </c>
      <c r="AZ8" s="1230">
        <f>O8+(ROW(O8)*0.000001)</f>
        <v>100000.000008</v>
      </c>
    </row>
    <row r="9" spans="1:52">
      <c r="B9" s="73">
        <f>B8+1</f>
        <v>2</v>
      </c>
      <c r="C9" s="49">
        <f t="shared" si="0"/>
        <v>2</v>
      </c>
      <c r="D9" s="1244" t="str">
        <f>INDEX(AA!$AC:$AC,MATCH($C9,AA!$C:$C,0))</f>
        <v>backup</v>
      </c>
      <c r="E9" s="1244" t="str">
        <f>INDEX(AA!$AE:$AE,MATCH($C9,AA!$C:$C,0))</f>
        <v>backup</v>
      </c>
      <c r="F9" s="1244" t="str">
        <f>INDEX(AA!$AG:$AG,MATCH($C9,AA!$C:$C,0))</f>
        <v>Baden-Wuerttemberg</v>
      </c>
      <c r="G9" s="1244" t="str">
        <f>INDEX(AA!$AL:$AL,MATCH($C9,AA!$C:$C,0))</f>
        <v>PTS</v>
      </c>
      <c r="H9" s="1244" t="str">
        <f>INDEX(AA!$AI:$AI,MATCH($C9,AA!$C:$C,0))</f>
        <v>Discounter</v>
      </c>
      <c r="I9" s="1288" t="str">
        <f>INDEX(AA!$AN:$AN,MATCH($C9,AA!$C:$C,0))</f>
        <v>backup</v>
      </c>
      <c r="K9" s="261">
        <f>INDEX(AO!$Q:$Q,MATCH($B9,AO!$C:$C,0))</f>
        <v>1000</v>
      </c>
      <c r="L9" s="1278">
        <f>IFERROR((SUMIFS(TA!$AJ$15:$AJ$17,TA!$C$15:$C$17,$C9,TA!$U$15:$U$17,GA!$E$76)+SUMIFS(TA!$AJ$15:$AJ$17,TA!$C$15:$C$17,$C9,TA!$U$15:$U$17,GA!$E$77))/SUMIFS(TA!$AJ$15:$AJ$17,TA!$C$15:$C$17,$C9),0)</f>
        <v>1</v>
      </c>
      <c r="M9" s="1289">
        <f>INDEX(AO!$AP:$AP,MATCH($B9,AO!$C:$C,0))</f>
        <v>17.846575342465755</v>
      </c>
      <c r="N9" s="1278">
        <f>INDEX(AO!$U:$U,MATCH($B9,AO!$C:$C,0))</f>
        <v>1</v>
      </c>
      <c r="O9" s="261">
        <f>INDEX(AO!$Y:$Y,MATCH($B9,AO!$C:$C,0))</f>
        <v>100000</v>
      </c>
      <c r="P9" s="261">
        <f>INDEX(AO!$AI:$AI,MATCH($B9,AO!$C:$C,0))</f>
        <v>90200</v>
      </c>
      <c r="Q9" s="261">
        <f>INDEX(AO!$AM:$AM,MATCH($B9,AO!$C:$C,0))</f>
        <v>90200</v>
      </c>
      <c r="S9" s="261">
        <f>INDEX(AO!$CA:$CA,MATCH($B9,AO!$C:$C,0))</f>
        <v>1000</v>
      </c>
      <c r="T9" s="1291">
        <f>INDEX(PCF!$BK$60:$BK$62,MATCH($B9,PCF!$C$60:$C$62,0))</f>
        <v>14.846575342465753</v>
      </c>
      <c r="U9" s="1278">
        <f>INDEX(AO!$CC:$CC,MATCH($B9,AO!$C:$C,0))</f>
        <v>1</v>
      </c>
      <c r="V9" s="261">
        <f>INDEX(AO!$CE:$CE,MATCH($B9,AO!$C:$C,0))</f>
        <v>102266.91718749992</v>
      </c>
      <c r="W9" s="261">
        <f>INDEX(AO!$CN:$CN,MATCH($B9,AO!$C:$C,0))</f>
        <v>92067.480693749909</v>
      </c>
      <c r="X9" s="261">
        <f>INDEX(AO!$CS:$CS,MATCH($B9,AO!$C:$C,0))</f>
        <v>68742.371497402186</v>
      </c>
      <c r="Y9" s="261">
        <f>INDEX(AA!$AA:$AA,MATCH($C9,AA!$C:$C,0))</f>
        <v>12</v>
      </c>
      <c r="Z9" s="258"/>
      <c r="AA9" s="1230">
        <f>INDEX(AO!$CV:$CV,MATCH($B9,AO!$C:$C,0))</f>
        <v>0</v>
      </c>
      <c r="AB9" s="1230">
        <f>INDEX(AO!$CZ:$CZ,MATCH($B9,AO!$C:$C,0))</f>
        <v>0</v>
      </c>
      <c r="AC9" s="1230">
        <f>INDEX(AO!$CY:$CY,MATCH($B9,AO!$C:$C,0))</f>
        <v>0</v>
      </c>
      <c r="AD9" s="1230">
        <f>INDEX(AO!$DD:$DD,MATCH($B9,AO!$C:$C,0))</f>
        <v>0</v>
      </c>
      <c r="AE9" s="1230">
        <f>INDEX(AO!$DG:$DG,MATCH($B9,AO!$C:$C,0))</f>
        <v>0</v>
      </c>
      <c r="AF9" s="1230">
        <f>INDEX(AO!$DH:$DH,MATCH($B9,AO!$C:$C,0))</f>
        <v>0</v>
      </c>
      <c r="AG9" s="259"/>
      <c r="AH9" s="261">
        <f>INDEX(AA!$GA:$GA,MATCH($C9,AA!$C:$C,0))</f>
        <v>1227203.0062499989</v>
      </c>
      <c r="AI9" s="1487">
        <f t="shared" si="1"/>
        <v>12</v>
      </c>
      <c r="AJ9" s="1486">
        <f t="shared" si="2"/>
        <v>7.5022209222810887E-2</v>
      </c>
      <c r="AK9" s="1487">
        <f t="shared" si="3"/>
        <v>17.852206426954236</v>
      </c>
      <c r="AL9" s="261">
        <f t="shared" si="4"/>
        <v>1227.2030062499989</v>
      </c>
      <c r="AM9" s="1231">
        <f>INDEX(AO!$DA:$DA,MATCH($B9,AO!$C:$C,0))</f>
        <v>0</v>
      </c>
      <c r="AN9" s="1231">
        <f>INDEX(AO!$DE:$DE,MATCH($B9,AO!$C:$C,0))</f>
        <v>0</v>
      </c>
      <c r="AO9" s="1230">
        <f t="shared" si="5"/>
        <v>1227203.0062499989</v>
      </c>
      <c r="AP9" s="1230">
        <f t="shared" si="6"/>
        <v>1227203.0062499989</v>
      </c>
      <c r="AQ9" s="1230"/>
      <c r="AR9" s="1230">
        <f>INDEX(AO!$AT:$AT,MATCH($B9,AO!$C:$C,0))</f>
        <v>1662026.6877570669</v>
      </c>
      <c r="AS9" s="1230">
        <f>INDEX(AO!$AZ:$AZ,MATCH($B9,AO!$C:$C,0))</f>
        <v>1879436.3987825688</v>
      </c>
      <c r="AT9" s="1230">
        <f>INDEX(AA!$EN:$EN,MATCH($C9,AA!$C:$C,0))</f>
        <v>0</v>
      </c>
      <c r="AU9" s="1230">
        <f t="shared" si="7"/>
        <v>1662.0266877570668</v>
      </c>
      <c r="AV9" s="1230">
        <f t="shared" si="8"/>
        <v>1879.4363987825689</v>
      </c>
      <c r="AW9" s="1503">
        <f t="shared" ref="AW9:AW10" si="10">IFERROR(AR9/O9,0)</f>
        <v>16.620266877570668</v>
      </c>
      <c r="AX9" s="1290">
        <f t="shared" si="9"/>
        <v>5.4271090027878208E-2</v>
      </c>
      <c r="AY9" s="1230">
        <f t="shared" ref="AY9:AY10" si="11">RANK(AZ9,$AZ$8:$AZ$10,0)</f>
        <v>2</v>
      </c>
      <c r="AZ9" s="1230">
        <f t="shared" ref="AZ9:AZ10" si="12">O9+ROW(O9)*0.000001</f>
        <v>100000.000009</v>
      </c>
    </row>
    <row r="10" spans="1:52">
      <c r="B10" s="73">
        <f t="shared" ref="B10" si="13">B9+1</f>
        <v>3</v>
      </c>
      <c r="C10" s="49">
        <f t="shared" ref="C10" si="14">B10</f>
        <v>3</v>
      </c>
      <c r="D10" s="1244" t="str">
        <f>INDEX(AA!$AC:$AC,MATCH($C10,AA!$C:$C,0))</f>
        <v>backup</v>
      </c>
      <c r="E10" s="1244" t="str">
        <f>INDEX(AA!$AE:$AE,MATCH($C10,AA!$C:$C,0))</f>
        <v>backup</v>
      </c>
      <c r="F10" s="1244" t="str">
        <f>INDEX(AA!$AG:$AG,MATCH($C10,AA!$C:$C,0))</f>
        <v>Baden-Wuerttemberg</v>
      </c>
      <c r="G10" s="1244" t="str">
        <f>INDEX(AA!$AL:$AL,MATCH($C10,AA!$C:$C,0))</f>
        <v>LTS</v>
      </c>
      <c r="H10" s="1244" t="str">
        <f>INDEX(AA!$AI:$AI,MATCH($C10,AA!$C:$C,0))</f>
        <v>Cash &amp; Carry</v>
      </c>
      <c r="I10" s="1288" t="str">
        <f>INDEX(AA!$AN:$AN,MATCH($C10,AA!$C:$C,0))</f>
        <v>backup</v>
      </c>
      <c r="K10" s="261">
        <f>INDEX(AO!$Q:$Q,MATCH($B10,AO!$C:$C,0))</f>
        <v>1000</v>
      </c>
      <c r="L10" s="1278">
        <f>IFERROR((SUMIFS(TA!$AJ$15:$AJ$17,TA!$C$15:$C$17,$C10,TA!$U$15:$U$17,GA!$E$76)+SUMIFS(TA!$AJ$15:$AJ$17,TA!$C$15:$C$17,$C10,TA!$U$15:$U$17,GA!$E$77))/SUMIFS(TA!$AJ$15:$AJ$17,TA!$C$15:$C$17,$C10),0)</f>
        <v>1</v>
      </c>
      <c r="M10" s="1289">
        <f>INDEX(AO!$AP:$AP,MATCH($B10,AO!$C:$C,0))</f>
        <v>17.846575342465755</v>
      </c>
      <c r="N10" s="1278">
        <f>INDEX(AO!$U:$U,MATCH($B10,AO!$C:$C,0))</f>
        <v>1</v>
      </c>
      <c r="O10" s="261">
        <f>INDEX(AO!$Y:$Y,MATCH($B10,AO!$C:$C,0))</f>
        <v>100000</v>
      </c>
      <c r="P10" s="261">
        <f>INDEX(AO!$AI:$AI,MATCH($B10,AO!$C:$C,0))</f>
        <v>91700</v>
      </c>
      <c r="Q10" s="261">
        <f>INDEX(AO!$AM:$AM,MATCH($B10,AO!$C:$C,0))</f>
        <v>91700</v>
      </c>
      <c r="S10" s="261">
        <f>INDEX(AO!$CA:$CA,MATCH($B10,AO!$C:$C,0))</f>
        <v>1000</v>
      </c>
      <c r="T10" s="1291">
        <f>INDEX(PCF!$BK$60:$BK$62,MATCH($B10,PCF!$C$60:$C$62,0))</f>
        <v>14.846575342465753</v>
      </c>
      <c r="U10" s="1278">
        <f>INDEX(AO!$CC:$CC,MATCH($B10,AO!$C:$C,0))</f>
        <v>1</v>
      </c>
      <c r="V10" s="261">
        <f>INDEX(AO!$CE:$CE,MATCH($B10,AO!$C:$C,0))</f>
        <v>102266.91718749992</v>
      </c>
      <c r="W10" s="261">
        <f>INDEX(AO!$CN:$CN,MATCH($B10,AO!$C:$C,0))</f>
        <v>93692.050697656159</v>
      </c>
      <c r="X10" s="261">
        <f>INDEX(AO!$CS:$CS,MATCH($B10,AO!$C:$C,0))</f>
        <v>70457.798004479264</v>
      </c>
      <c r="Y10" s="261">
        <f>INDEX(AA!$AA:$AA,MATCH($C10,AA!$C:$C,0))</f>
        <v>12</v>
      </c>
      <c r="Z10" s="258"/>
      <c r="AA10" s="1230">
        <f>INDEX(AO!$CV:$CV,MATCH($B10,AO!$C:$C,0))</f>
        <v>0</v>
      </c>
      <c r="AB10" s="1230">
        <f>INDEX(AO!$CZ:$CZ,MATCH($B10,AO!$C:$C,0))</f>
        <v>0</v>
      </c>
      <c r="AC10" s="1230">
        <f>INDEX(AO!$CY:$CY,MATCH($B10,AO!$C:$C,0))</f>
        <v>0</v>
      </c>
      <c r="AD10" s="1230">
        <f>INDEX(AO!$DD:$DD,MATCH($B10,AO!$C:$C,0))</f>
        <v>0</v>
      </c>
      <c r="AE10" s="1230">
        <f>INDEX(AO!$DG:$DG,MATCH($B10,AO!$C:$C,0))</f>
        <v>0</v>
      </c>
      <c r="AF10" s="1230">
        <f>INDEX(AO!$DH:$DH,MATCH($B10,AO!$C:$C,0))</f>
        <v>0</v>
      </c>
      <c r="AG10" s="259"/>
      <c r="AH10" s="261">
        <f>INDEX(AA!$GA:$GA,MATCH($C10,AA!$C:$C,0))</f>
        <v>1227203.0062499989</v>
      </c>
      <c r="AI10" s="1487">
        <f t="shared" ref="AI10" si="15">IFERROR($AH10/V10,0)</f>
        <v>12</v>
      </c>
      <c r="AJ10" s="1486">
        <f t="shared" si="2"/>
        <v>7.6346008134345902E-2</v>
      </c>
      <c r="AK10" s="1487">
        <f t="shared" ref="AK10" si="16">IFERROR($AH10/X10,0)</f>
        <v>17.417561164372199</v>
      </c>
      <c r="AL10" s="261">
        <f t="shared" ref="AL10" si="17">IFERROR(AH10/S10,0)</f>
        <v>1227.2030062499989</v>
      </c>
      <c r="AM10" s="1231">
        <f>INDEX(AO!$DA:$DA,MATCH($B10,AO!$C:$C,0))</f>
        <v>0</v>
      </c>
      <c r="AN10" s="1231">
        <f>INDEX(AO!$DE:$DE,MATCH($B10,AO!$C:$C,0))</f>
        <v>0</v>
      </c>
      <c r="AO10" s="1230">
        <f t="shared" si="5"/>
        <v>1227203.0062499989</v>
      </c>
      <c r="AP10" s="1230">
        <f t="shared" si="6"/>
        <v>1227203.0062499989</v>
      </c>
      <c r="AQ10" s="1230"/>
      <c r="AR10" s="1230">
        <f>INDEX(AO!$AT:$AT,MATCH($B10,AO!$C:$C,0))</f>
        <v>1635244.5571984914</v>
      </c>
      <c r="AS10" s="1230">
        <f>INDEX(AO!$AZ:$AZ,MATCH($B10,AO!$C:$C,0))</f>
        <v>1849150.8977256261</v>
      </c>
      <c r="AT10" s="1230">
        <f>INDEX(AA!$EN:$EN,MATCH($C10,AA!$C:$C,0))</f>
        <v>0</v>
      </c>
      <c r="AU10" s="1230">
        <f t="shared" ref="AU10" si="18">IFERROR(AR10/K10,0)</f>
        <v>1635.2445571984915</v>
      </c>
      <c r="AV10" s="1230">
        <f t="shared" ref="AV10" si="19">IFERROR(AS10/K10,0)</f>
        <v>1849.1508977256262</v>
      </c>
      <c r="AW10" s="1503">
        <f t="shared" si="10"/>
        <v>16.352445571984916</v>
      </c>
      <c r="AX10" s="1290">
        <f t="shared" ref="AX10" si="20">IFERROR(P10/AR10,0)</f>
        <v>5.6077239087161904E-2</v>
      </c>
      <c r="AY10" s="1230">
        <f t="shared" si="11"/>
        <v>1</v>
      </c>
      <c r="AZ10" s="1230">
        <f t="shared" si="12"/>
        <v>100000.00001</v>
      </c>
    </row>
    <row r="12" spans="1:52">
      <c r="C12" s="863">
        <f>SUBTOTAL(2,C8:C10)</f>
        <v>3</v>
      </c>
      <c r="D12" s="268"/>
      <c r="E12" s="268"/>
      <c r="F12" s="268"/>
      <c r="G12" s="268"/>
      <c r="H12" s="268"/>
      <c r="I12" s="268"/>
      <c r="J12" s="268"/>
      <c r="K12" s="869">
        <f>SUBTOTAL(9,K8:K10)</f>
        <v>3000</v>
      </c>
      <c r="L12" s="1707">
        <f>SUMPRODUCT(L8:L10,O8:O10)/O12</f>
        <v>1</v>
      </c>
      <c r="M12" s="865">
        <f>SUMPRODUCT(M8:M10,O8:O10)/O12</f>
        <v>17.846575342465758</v>
      </c>
      <c r="N12" s="866">
        <f>SUMPRODUCT(N8:N10,K8:K10)/K12</f>
        <v>1</v>
      </c>
      <c r="O12" s="869">
        <f>SUBTOTAL(9,O8:O10)</f>
        <v>300000</v>
      </c>
      <c r="P12" s="869">
        <f>SUBTOTAL(9,P8:P10)</f>
        <v>274300</v>
      </c>
      <c r="Q12" s="869">
        <f>SUBTOTAL(9,Q8:Q10)</f>
        <v>218275.46531086438</v>
      </c>
      <c r="R12" s="268"/>
      <c r="S12" s="869">
        <f>SUBTOTAL(9,S8:S10)</f>
        <v>3000</v>
      </c>
      <c r="T12" s="865">
        <f>SUMPRODUCT(T8:T10,V8:V10)/V12</f>
        <v>14.846575342465755</v>
      </c>
      <c r="U12" s="866">
        <f>SUMPRODUCT(U8:U10,K8:K10)/K12</f>
        <v>1</v>
      </c>
      <c r="V12" s="869">
        <f>SUBTOTAL(9,V8:V10)</f>
        <v>306800.75156249973</v>
      </c>
      <c r="W12" s="869">
        <f>SUBTOTAL(9,W8:W10)</f>
        <v>280053.76096640597</v>
      </c>
      <c r="X12" s="869">
        <f>SUBTOTAL(9,X8:X10)</f>
        <v>210031.21096640592</v>
      </c>
      <c r="Y12" s="864"/>
      <c r="Z12" s="864"/>
      <c r="AA12" s="869">
        <f t="shared" ref="AA12:AF12" si="21">SUBTOTAL(9,AA8:AA10)</f>
        <v>0</v>
      </c>
      <c r="AB12" s="869">
        <f t="shared" si="21"/>
        <v>0</v>
      </c>
      <c r="AC12" s="869">
        <f t="shared" si="21"/>
        <v>0</v>
      </c>
      <c r="AD12" s="869">
        <f t="shared" si="21"/>
        <v>0</v>
      </c>
      <c r="AE12" s="869">
        <f t="shared" si="21"/>
        <v>0</v>
      </c>
      <c r="AF12" s="869">
        <f t="shared" si="21"/>
        <v>0</v>
      </c>
      <c r="AG12" s="868"/>
      <c r="AH12" s="869">
        <f>SUBTOTAL(9,AH8:AH10)</f>
        <v>3681609.018749997</v>
      </c>
      <c r="AI12" s="867">
        <f>$AH12/V12</f>
        <v>12</v>
      </c>
      <c r="AJ12" s="866">
        <f>W12/$AH12</f>
        <v>7.606830587933848E-2</v>
      </c>
      <c r="AK12" s="867">
        <f>$AH12/X12</f>
        <v>17.528866313773065</v>
      </c>
      <c r="AL12" s="864">
        <f>AH12/S12</f>
        <v>1227.2030062499989</v>
      </c>
      <c r="AM12" s="869">
        <f>SUBTOTAL(9,AM8:AM10)</f>
        <v>0</v>
      </c>
      <c r="AN12" s="869">
        <f>SUBTOTAL(9,AN8:AN10)</f>
        <v>0</v>
      </c>
      <c r="AO12" s="869">
        <f>SUBTOTAL(9,AO8:AO10)</f>
        <v>3681609.018749997</v>
      </c>
      <c r="AP12" s="869">
        <f>SUBTOTAL(9,AP8:AP10)</f>
        <v>3681609.018749997</v>
      </c>
      <c r="AQ12" s="869"/>
      <c r="AR12" s="869">
        <f>SUBTOTAL(9,AR8:AR10)</f>
        <v>5000000</v>
      </c>
      <c r="AS12" s="869">
        <f>SUBTOTAL(9,AS8:AS10)</f>
        <v>5654050</v>
      </c>
      <c r="AT12" s="869">
        <f>SUBTOTAL(9,AT8:AT10)</f>
        <v>0</v>
      </c>
      <c r="AU12" s="869">
        <f>AR12/$K$12</f>
        <v>1666.6666666666667</v>
      </c>
      <c r="AV12" s="869">
        <f>AS12/$K$12</f>
        <v>1884.6833333333334</v>
      </c>
      <c r="AW12" s="1504">
        <f t="shared" ref="AW12" si="22">IFERROR(AR12/O12,0)</f>
        <v>16.666666666666668</v>
      </c>
      <c r="AX12" s="866">
        <f>P12/AR12</f>
        <v>5.4859999999999999E-2</v>
      </c>
      <c r="AY12" s="869"/>
      <c r="AZ12" s="869"/>
    </row>
    <row r="16" spans="1:52" s="90" customFormat="1">
      <c r="A16" s="370"/>
      <c r="B16" s="91"/>
      <c r="C16" s="370" t="s">
        <v>759</v>
      </c>
      <c r="W16" s="370" t="s">
        <v>759</v>
      </c>
      <c r="X16" s="92"/>
      <c r="Y16" s="92"/>
      <c r="AI16" s="92"/>
    </row>
  </sheetData>
  <autoFilter ref="B7:AX10" xr:uid="{01DFBDB2-266F-4737-9171-89D51EF8A50E}"/>
  <conditionalFormatting sqref="AH8:AL10 C8:Y10">
    <cfRule type="expression" dxfId="225" priority="10">
      <formula>MOD(ROW(),2)=0</formula>
    </cfRule>
  </conditionalFormatting>
  <conditionalFormatting sqref="AA8:AF10">
    <cfRule type="expression" dxfId="224" priority="7">
      <formula>MOD(ROW(),2)=0</formula>
    </cfRule>
  </conditionalFormatting>
  <conditionalFormatting sqref="Z8:Z10">
    <cfRule type="expression" dxfId="223" priority="6">
      <formula>MOD(ROW(),2)=0</formula>
    </cfRule>
  </conditionalFormatting>
  <conditionalFormatting sqref="AG8:AG10">
    <cfRule type="expression" dxfId="222" priority="5">
      <formula>MOD(ROW(),2)=0</formula>
    </cfRule>
  </conditionalFormatting>
  <conditionalFormatting sqref="AR8:AX10 AM8:AP10">
    <cfRule type="expression" dxfId="221" priority="4">
      <formula>MOD(ROW(),2)=0</formula>
    </cfRule>
  </conditionalFormatting>
  <conditionalFormatting sqref="AQ8:AQ10">
    <cfRule type="expression" dxfId="220" priority="3">
      <formula>MOD(ROW(),2)=0</formula>
    </cfRule>
  </conditionalFormatting>
  <conditionalFormatting sqref="AY8:AY10">
    <cfRule type="expression" dxfId="219" priority="2">
      <formula>MOD(ROW(),2)=0</formula>
    </cfRule>
  </conditionalFormatting>
  <conditionalFormatting sqref="AZ8:AZ10">
    <cfRule type="expression" dxfId="218" priority="1">
      <formula>MOD(ROW(),2)=0</formula>
    </cfRule>
  </conditionalFormatting>
  <pageMargins left="0.7" right="0.7" top="0.75" bottom="0.75" header="0.3" footer="0.3"/>
  <pageSetup paperSize="9" scale="16" orientation="landscape" r:id="rId1"/>
  <ignoredErrors>
    <ignoredError sqref="AJ12 AJ8:AJ1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B736D-258F-40F7-B442-DE2514C6D74E}">
  <sheetPr codeName="Tabelle1">
    <tabColor theme="7" tint="0.39997558519241921"/>
  </sheetPr>
  <dimension ref="A1:AB36"/>
  <sheetViews>
    <sheetView workbookViewId="0">
      <selection activeCell="R47" sqref="R47"/>
    </sheetView>
  </sheetViews>
  <sheetFormatPr baseColWidth="10" defaultColWidth="9.28515625" defaultRowHeight="15" outlineLevelRow="1"/>
  <cols>
    <col min="1" max="1" width="2.7109375" customWidth="1"/>
    <col min="2" max="2" width="11.28515625" customWidth="1"/>
    <col min="3" max="3" width="2.7109375" customWidth="1"/>
    <col min="4" max="4" width="32" bestFit="1" customWidth="1"/>
    <col min="5" max="5" width="2.7109375" customWidth="1"/>
    <col min="6" max="6" width="14.5703125" bestFit="1" customWidth="1"/>
    <col min="7" max="7" width="2.7109375" customWidth="1"/>
    <col min="8" max="8" width="11.7109375" style="155" bestFit="1" customWidth="1"/>
    <col min="9" max="9" width="11.28515625" style="155" bestFit="1" customWidth="1"/>
    <col min="10" max="10" width="11.42578125" style="155" bestFit="1" customWidth="1"/>
    <col min="11" max="11" width="11.28515625" style="155" bestFit="1" customWidth="1"/>
    <col min="12" max="12" width="11.7109375" style="155" bestFit="1" customWidth="1"/>
    <col min="13" max="13" width="11.28515625" style="155" bestFit="1" customWidth="1"/>
    <col min="14" max="14" width="11.42578125" style="155" bestFit="1" customWidth="1"/>
    <col min="15" max="15" width="11.28515625" style="155" bestFit="1" customWidth="1"/>
    <col min="16" max="16" width="11.7109375" style="155" bestFit="1" customWidth="1"/>
    <col min="17" max="17" width="11.28515625" style="155" bestFit="1" customWidth="1"/>
    <col min="18" max="18" width="11.42578125" style="155" bestFit="1" customWidth="1"/>
    <col min="19" max="19" width="11.28515625" style="155" bestFit="1" customWidth="1"/>
    <col min="20" max="20" width="2.7109375" style="155" customWidth="1"/>
    <col min="21" max="21" width="20.7109375" style="155" customWidth="1"/>
    <col min="22" max="22" width="2.7109375" style="155" customWidth="1"/>
    <col min="23" max="23" width="11.7109375" style="155" bestFit="1" customWidth="1"/>
    <col min="24" max="26" width="11.28515625" style="155" bestFit="1" customWidth="1"/>
    <col min="27" max="27" width="11.42578125" style="155" bestFit="1" customWidth="1"/>
    <col min="28" max="16384" width="9.28515625" style="155"/>
  </cols>
  <sheetData>
    <row r="1" spans="1:28" customFormat="1"/>
    <row r="2" spans="1:28" customFormat="1">
      <c r="B2" s="88"/>
      <c r="D2" s="1274" t="str">
        <f>DCF!P4</f>
        <v>Deal Quarter End</v>
      </c>
      <c r="E2" s="269"/>
      <c r="F2" s="1686">
        <f>DCF!S3</f>
        <v>44255</v>
      </c>
      <c r="G2" s="269"/>
      <c r="H2" s="1686">
        <f>DCF!T4</f>
        <v>44347</v>
      </c>
      <c r="I2" s="1686">
        <f>DCF!U4</f>
        <v>44439</v>
      </c>
      <c r="J2" s="1686">
        <f>DCF!V4</f>
        <v>44530</v>
      </c>
      <c r="K2" s="1686">
        <f>DCF!W4</f>
        <v>44620</v>
      </c>
      <c r="L2" s="1686">
        <f>DCF!X4</f>
        <v>44712</v>
      </c>
      <c r="M2" s="1686">
        <f>DCF!Y4</f>
        <v>44804</v>
      </c>
      <c r="N2" s="1686">
        <f>DCF!Z4</f>
        <v>44895</v>
      </c>
      <c r="O2" s="1686">
        <f>DCF!AA4</f>
        <v>44985</v>
      </c>
      <c r="P2" s="1686">
        <f>DCF!AB4</f>
        <v>45077</v>
      </c>
      <c r="Q2" s="1686">
        <f>DCF!AC4</f>
        <v>45169</v>
      </c>
      <c r="R2" s="1686">
        <f>DCF!AD4</f>
        <v>45260</v>
      </c>
      <c r="S2" s="1688">
        <f>DCF!AE4</f>
        <v>45351</v>
      </c>
      <c r="T2" s="269"/>
      <c r="U2" s="1687" t="s">
        <v>1597</v>
      </c>
      <c r="V2" s="269"/>
      <c r="W2" s="1686">
        <f>DCF!BM4</f>
        <v>44620</v>
      </c>
      <c r="X2" s="1686">
        <f>DCF!BN4</f>
        <v>44985</v>
      </c>
      <c r="Y2" s="1686">
        <f>DCF!BO4</f>
        <v>45351</v>
      </c>
      <c r="Z2" s="1686">
        <f>DCF!BP4</f>
        <v>45716</v>
      </c>
      <c r="AA2" s="1688">
        <f>DCF!BQ4</f>
        <v>46081</v>
      </c>
    </row>
    <row r="3" spans="1:28" customFormat="1">
      <c r="A3" s="510">
        <v>1</v>
      </c>
      <c r="B3" s="89" t="s">
        <v>1602</v>
      </c>
      <c r="D3" s="1689" t="str">
        <f>DCF!P5</f>
        <v>Deal Quarter Count</v>
      </c>
      <c r="F3" s="89">
        <f>DCF!S5</f>
        <v>0</v>
      </c>
      <c r="H3" s="89">
        <f>DCF!T5</f>
        <v>1</v>
      </c>
      <c r="I3" s="89">
        <f>DCF!U5</f>
        <v>2</v>
      </c>
      <c r="J3" s="89">
        <f>DCF!V5</f>
        <v>3</v>
      </c>
      <c r="K3" s="89">
        <f>DCF!W5</f>
        <v>4</v>
      </c>
      <c r="L3" s="89">
        <f>DCF!X5</f>
        <v>5</v>
      </c>
      <c r="M3" s="89">
        <f>DCF!Y5</f>
        <v>6</v>
      </c>
      <c r="N3" s="89">
        <f>DCF!Z5</f>
        <v>7</v>
      </c>
      <c r="O3" s="89">
        <f>DCF!AA5</f>
        <v>8</v>
      </c>
      <c r="P3" s="89">
        <f>DCF!AB5</f>
        <v>9</v>
      </c>
      <c r="Q3" s="89">
        <f>DCF!AC5</f>
        <v>10</v>
      </c>
      <c r="R3" s="89">
        <f>DCF!AD5</f>
        <v>11</v>
      </c>
      <c r="S3" s="1690">
        <f>DCF!AE5</f>
        <v>12</v>
      </c>
      <c r="U3" s="1" t="s">
        <v>1598</v>
      </c>
      <c r="W3" s="89">
        <f>DCF!BM6</f>
        <v>1</v>
      </c>
      <c r="X3" s="89">
        <f>DCF!BN6</f>
        <v>2</v>
      </c>
      <c r="Y3" s="89">
        <f>DCF!BO6</f>
        <v>3</v>
      </c>
      <c r="Z3" s="89">
        <f>DCF!BP6</f>
        <v>4</v>
      </c>
      <c r="AA3" s="1690">
        <f>DCF!BQ6</f>
        <v>5</v>
      </c>
    </row>
    <row r="4" spans="1:28" customFormat="1" ht="15" customHeight="1">
      <c r="A4" s="510">
        <v>4</v>
      </c>
      <c r="B4" s="1642" t="s">
        <v>1600</v>
      </c>
      <c r="D4" s="77"/>
      <c r="S4" s="151"/>
      <c r="AA4" s="151"/>
      <c r="AB4" s="77"/>
    </row>
    <row r="5" spans="1:28" ht="15" customHeight="1">
      <c r="B5" s="1643" t="s">
        <v>1601</v>
      </c>
      <c r="D5" s="194" t="s">
        <v>1337</v>
      </c>
      <c r="E5" s="269"/>
      <c r="F5" s="269"/>
      <c r="G5" s="269"/>
      <c r="H5" s="1646">
        <f>INDEX(DCF!$T$92:$AF$92,MATCH(FO!H$3,DCF!$T$5:$AF$5,0))*$B$6</f>
        <v>100186.97495154929</v>
      </c>
      <c r="I5" s="1646">
        <f>INDEX(DCF!$T$92:$AF$92,MATCH(FO!I$3,DCF!$T$5:$AF$5,0))*$B$6</f>
        <v>200748.5989988473</v>
      </c>
      <c r="J5" s="1646">
        <f>INDEX(DCF!$T$92:$AF$92,MATCH(FO!J$3,DCF!$T$5:$AF$5,0))*$B$6</f>
        <v>301685.92289184191</v>
      </c>
      <c r="K5" s="1646">
        <f>INDEX(DCF!$T$92:$AF$92,MATCH(FO!K$3,DCF!$T$5:$AF$5,0))*$B$6</f>
        <v>302249.99999999994</v>
      </c>
      <c r="L5" s="1646">
        <f>INDEX(DCF!$T$92:$AF$92,MATCH(FO!L$3,DCF!$T$5:$AF$5,0))*$B$6</f>
        <v>302815.13179105765</v>
      </c>
      <c r="M5" s="1646">
        <f>INDEX(DCF!$T$92:$AF$92,MATCH(FO!M$3,DCF!$T$5:$AF$5,0))*$B$6</f>
        <v>303381.32023700792</v>
      </c>
      <c r="N5" s="1646">
        <f>INDEX(DCF!$T$92:$AF$92,MATCH(FO!N$3,DCF!$T$5:$AF$5,0))*$B$6</f>
        <v>303948.5673135306</v>
      </c>
      <c r="O5" s="1646">
        <f>INDEX(DCF!$T$92:$AF$92,MATCH(FO!O$3,DCF!$T$5:$AF$5,0))*$B$6</f>
        <v>304516.87499999988</v>
      </c>
      <c r="P5" s="1646">
        <f>INDEX(DCF!$T$92:$AF$92,MATCH(FO!P$3,DCF!$T$5:$AF$5,0))*$B$6</f>
        <v>305086.24527949054</v>
      </c>
      <c r="Q5" s="1646">
        <f>INDEX(DCF!$T$92:$AF$92,MATCH(FO!Q$3,DCF!$T$5:$AF$5,0))*$B$6</f>
        <v>305656.68013878539</v>
      </c>
      <c r="R5" s="1646">
        <f>INDEX(DCF!$T$92:$AF$92,MATCH(FO!R$3,DCF!$T$5:$AF$5,0))*$B$6</f>
        <v>306228.18156838202</v>
      </c>
      <c r="S5" s="1647">
        <f>INDEX(DCF!$T$92:$AF$92,MATCH(FO!S$3,DCF!$T$5:$AF$5,0))*$B$6</f>
        <v>306800.75156249973</v>
      </c>
      <c r="T5" s="1646"/>
      <c r="U5" s="1646"/>
      <c r="V5" s="1646"/>
      <c r="W5" s="1646">
        <f>INDEX(DCF!$BM$92:$BQ$92,MATCH(FO!W$3,DCF!$BM$6:$BQ$6,0))</f>
        <v>226217.87421055965</v>
      </c>
      <c r="X5" s="1646">
        <f>INDEX(DCF!$BM$92:$BQ$92,MATCH(FO!X$3,DCF!$BM$6:$BQ$6,0))</f>
        <v>303665.47358539898</v>
      </c>
      <c r="Y5" s="1647">
        <f>INDEX(DCF!$BM$92:$BQ$92,MATCH(FO!Y$3,DCF!$BM$6:$BQ$6,0))</f>
        <v>305942.96463728941</v>
      </c>
      <c r="Z5" s="257">
        <f>INDEX(DCF!$BM$92:$BQ$92,MATCH(FO!Z$3,DCF!$BM$6:$BQ$6,0))</f>
        <v>0</v>
      </c>
      <c r="AA5" s="1648">
        <f>INDEX(DCF!$BM$92:$BQ$92,MATCH(FO!AA$3,DCF!$BM$6:$BQ$6,0))</f>
        <v>0</v>
      </c>
      <c r="AB5" s="1649"/>
    </row>
    <row r="6" spans="1:28" hidden="1" outlineLevel="1">
      <c r="B6" s="1650">
        <v>4</v>
      </c>
      <c r="D6" s="77" t="s">
        <v>1577</v>
      </c>
      <c r="H6" s="257">
        <f>INDEX(DCF!$T$115:$AF$115,MATCH(FO!H$3,DCF!$T$5:$AF$5,0))*$B$6</f>
        <v>-7630.2946430178436</v>
      </c>
      <c r="I6" s="257">
        <f>INDEX(DCF!$T$115:$AF$115,MATCH(FO!I$3,DCF!$T$5:$AF$5,0))*$B$6</f>
        <v>-17525.961601551036</v>
      </c>
      <c r="J6" s="257">
        <f>INDEX(DCF!$T$115:$AF$115,MATCH(FO!J$3,DCF!$T$5:$AF$5,0))*$B$6</f>
        <v>-25957.011340383568</v>
      </c>
      <c r="K6" s="257">
        <f>INDEX(DCF!$T$115:$AF$115,MATCH(FO!K$3,DCF!$T$5:$AF$5,0))*$B$6</f>
        <v>-26043.375</v>
      </c>
      <c r="L6" s="257">
        <f>INDEX(DCF!$T$115:$AF$115,MATCH(FO!L$3,DCF!$T$5:$AF$5,0))*$B$6</f>
        <v>-26130.087888459377</v>
      </c>
      <c r="M6" s="257">
        <f>INDEX(DCF!$T$115:$AF$115,MATCH(FO!M$3,DCF!$T$5:$AF$5,0))*$B$6</f>
        <v>-26217.151590524696</v>
      </c>
      <c r="N6" s="257">
        <f>INDEX(DCF!$T$115:$AF$115,MATCH(FO!N$3,DCF!$T$5:$AF$5,0))*$B$6</f>
        <v>-26304.5676985465</v>
      </c>
      <c r="O6" s="257">
        <f>INDEX(DCF!$T$115:$AF$115,MATCH(FO!O$3,DCF!$T$5:$AF$5,0))*$B$6</f>
        <v>-26392.337812500005</v>
      </c>
      <c r="P6" s="257">
        <f>INDEX(DCF!$T$115:$AF$115,MATCH(FO!P$3,DCF!$T$5:$AF$5,0))*$B$6</f>
        <v>-26480.4635400224</v>
      </c>
      <c r="Q6" s="257">
        <f>INDEX(DCF!$T$115:$AF$115,MATCH(FO!Q$3,DCF!$T$5:$AF$5,0))*$B$6</f>
        <v>-26568.94649645039</v>
      </c>
      <c r="R6" s="257">
        <f>INDEX(DCF!$T$115:$AF$115,MATCH(FO!R$3,DCF!$T$5:$AF$5,0))*$B$6</f>
        <v>-26657.788304857859</v>
      </c>
      <c r="S6" s="1648">
        <f>INDEX(DCF!$T$115:$AF$115,MATCH(FO!S$3,DCF!$T$5:$AF$5,0))*$B$6</f>
        <v>-26746.99059609375</v>
      </c>
      <c r="T6" s="257"/>
      <c r="U6" s="257"/>
      <c r="V6" s="257"/>
      <c r="W6" s="257">
        <f>INDEX(DCF!$BM$115:$BQ$115,MATCH(FO!W$3,DCF!$BM$6:$BQ$6,0))</f>
        <v>-19289.160646238113</v>
      </c>
      <c r="X6" s="257">
        <f>INDEX(DCF!$BM$115:$BQ$115,MATCH(FO!X$3,DCF!$BM$6:$BQ$6,0))</f>
        <v>-26261.036247507644</v>
      </c>
      <c r="Y6" s="1648">
        <f>INDEX(DCF!$BM$115:$BQ$115,MATCH(FO!Y$3,DCF!$BM$6:$BQ$6,0))</f>
        <v>-26613.547234356101</v>
      </c>
      <c r="Z6" s="257">
        <f>INDEX(DCF!$BM$115:$BQ$115,MATCH(FO!Z$3,DCF!$BM$6:$BQ$6,0))</f>
        <v>0</v>
      </c>
      <c r="AA6" s="1648">
        <f>INDEX(DCF!$BM$115:$BQ$115,MATCH(FO!AA$3,DCF!$BM$6:$BQ$6,0))</f>
        <v>0</v>
      </c>
      <c r="AB6" s="1649"/>
    </row>
    <row r="7" spans="1:28" collapsed="1">
      <c r="B7" s="1642" t="s">
        <v>447</v>
      </c>
      <c r="D7" s="1645" t="s">
        <v>1578</v>
      </c>
      <c r="E7" s="1651"/>
      <c r="F7" s="1651"/>
      <c r="G7" s="1651"/>
      <c r="H7" s="1652">
        <f t="shared" ref="H7:S7" si="0">SUM(H5:H6)</f>
        <v>92556.680308531446</v>
      </c>
      <c r="I7" s="1652">
        <f t="shared" si="0"/>
        <v>183222.63739729626</v>
      </c>
      <c r="J7" s="1652">
        <f t="shared" si="0"/>
        <v>275728.91155145835</v>
      </c>
      <c r="K7" s="1652">
        <f t="shared" si="0"/>
        <v>276206.62499999994</v>
      </c>
      <c r="L7" s="1652">
        <f t="shared" si="0"/>
        <v>276685.04390259826</v>
      </c>
      <c r="M7" s="1652">
        <f t="shared" si="0"/>
        <v>277164.16864648322</v>
      </c>
      <c r="N7" s="1652">
        <f t="shared" si="0"/>
        <v>277643.99961498409</v>
      </c>
      <c r="O7" s="1652">
        <f t="shared" si="0"/>
        <v>278124.53718749987</v>
      </c>
      <c r="P7" s="1652">
        <f t="shared" si="0"/>
        <v>278605.78173946816</v>
      </c>
      <c r="Q7" s="1652">
        <f t="shared" si="0"/>
        <v>279087.73364233499</v>
      </c>
      <c r="R7" s="1652">
        <f t="shared" si="0"/>
        <v>279570.39326352417</v>
      </c>
      <c r="S7" s="1653">
        <f t="shared" si="0"/>
        <v>280053.76096640597</v>
      </c>
      <c r="T7" s="1652"/>
      <c r="U7" s="1652"/>
      <c r="V7" s="1652"/>
      <c r="W7" s="1652">
        <f>SUM(W5:W6)</f>
        <v>206928.71356432154</v>
      </c>
      <c r="X7" s="1652">
        <f>SUM(X5:X6)</f>
        <v>277404.43733789132</v>
      </c>
      <c r="Y7" s="1653">
        <f>SUM(Y5:Y6)</f>
        <v>279329.41740293329</v>
      </c>
      <c r="Z7" s="257">
        <f>SUM(Z5:Z6)</f>
        <v>0</v>
      </c>
      <c r="AA7" s="1648">
        <f>SUM(AA5:AA6)</f>
        <v>0</v>
      </c>
      <c r="AB7" s="1649"/>
    </row>
    <row r="8" spans="1:28" ht="15" hidden="1" customHeight="1" outlineLevel="1">
      <c r="B8" s="1642" t="s">
        <v>1599</v>
      </c>
      <c r="D8" s="77" t="s">
        <v>1579</v>
      </c>
      <c r="H8" s="257">
        <f>INDEX(DCF!$T$126:$AF$126,MATCH(FO!H$3,DCF!$T$5:$AF$5,0))*$B$6</f>
        <v>-56024.534689135602</v>
      </c>
      <c r="I8" s="257">
        <f>INDEX(DCF!$T$126:$AF$126,MATCH(FO!I$3,DCF!$T$5:$AF$5,0))*$B$6</f>
        <v>-61912.221998633526</v>
      </c>
      <c r="J8" s="257">
        <f>INDEX(DCF!$T$126:$AF$126,MATCH(FO!J$3,DCF!$T$5:$AF$5,0))*$B$6</f>
        <v>-67710.290451472029</v>
      </c>
      <c r="K8" s="257">
        <f>INDEX(DCF!$T$126:$AF$126,MATCH(FO!K$3,DCF!$T$5:$AF$5,0))*$B$6</f>
        <v>-67962.150000000009</v>
      </c>
      <c r="L8" s="257">
        <f>INDEX(DCF!$T$126:$AF$126,MATCH(FO!L$3,DCF!$T$5:$AF$5,0))*$B$6</f>
        <v>-68215.259510233402</v>
      </c>
      <c r="M8" s="257">
        <f>INDEX(DCF!$T$126:$AF$126,MATCH(FO!M$3,DCF!$T$5:$AF$5,0))*$B$6</f>
        <v>-68469.625185646626</v>
      </c>
      <c r="N8" s="257">
        <f>INDEX(DCF!$T$126:$AF$126,MATCH(FO!N$3,DCF!$T$5:$AF$5,0))*$B$6</f>
        <v>-68725.253260501486</v>
      </c>
      <c r="O8" s="257">
        <f>INDEX(DCF!$T$126:$AF$126,MATCH(FO!O$3,DCF!$T$5:$AF$5,0))*$B$6</f>
        <v>-68982.150000000038</v>
      </c>
      <c r="P8" s="257">
        <f>INDEX(DCF!$T$126:$AF$126,MATCH(FO!P$3,DCF!$T$5:$AF$5,0))*$B$6</f>
        <v>-69240.3217004381</v>
      </c>
      <c r="Q8" s="257">
        <f>INDEX(DCF!$T$126:$AF$126,MATCH(FO!Q$3,DCF!$T$5:$AF$5,0))*$B$6</f>
        <v>-69499.774689359576</v>
      </c>
      <c r="R8" s="257">
        <f>INDEX(DCF!$T$126:$AF$126,MATCH(FO!R$3,DCF!$T$5:$AF$5,0))*$B$6</f>
        <v>-69760.515325711531</v>
      </c>
      <c r="S8" s="1648">
        <f>INDEX(DCF!$T$126:$AF$126,MATCH(FO!S$3,DCF!$T$5:$AF$5,0))*$B$6</f>
        <v>-70022.550000000047</v>
      </c>
      <c r="T8" s="257"/>
      <c r="U8" s="257"/>
      <c r="V8" s="257"/>
      <c r="W8" s="257">
        <f>INDEX(DCF!$BM$126:$BQ$126,MATCH(FO!W$3,DCF!$BM$6:$BQ$6,0))</f>
        <v>-63402.299284810288</v>
      </c>
      <c r="X8" s="257">
        <f>INDEX(DCF!$BM$126:$BQ$126,MATCH(FO!X$3,DCF!$BM$6:$BQ$6,0))</f>
        <v>-68598.071989095391</v>
      </c>
      <c r="Y8" s="1648">
        <f>INDEX(DCF!$BM$126:$BQ$126,MATCH(FO!Y$3,DCF!$BM$6:$BQ$6,0))</f>
        <v>-69630.790428877313</v>
      </c>
      <c r="Z8" s="257">
        <f>INDEX(DCF!$BM$126:$BQ$126,MATCH(FO!Z$3,DCF!$BM$6:$BQ$6,0))</f>
        <v>0</v>
      </c>
      <c r="AA8" s="1648">
        <f>INDEX(DCF!$BM$126:$BQ$126,MATCH(FO!AA$3,DCF!$BM$6:$BQ$6,0))</f>
        <v>0</v>
      </c>
      <c r="AB8" s="1649"/>
    </row>
    <row r="9" spans="1:28" ht="15" customHeight="1" collapsed="1">
      <c r="B9" s="1643" t="s">
        <v>1601</v>
      </c>
      <c r="D9" s="77" t="s">
        <v>1580</v>
      </c>
      <c r="H9" s="257">
        <f t="shared" ref="H9:S9" si="1">SUM(H7:H8)</f>
        <v>36532.145619395844</v>
      </c>
      <c r="I9" s="257">
        <f t="shared" si="1"/>
        <v>121310.41539866274</v>
      </c>
      <c r="J9" s="257">
        <f t="shared" si="1"/>
        <v>208018.62109998631</v>
      </c>
      <c r="K9" s="257">
        <f t="shared" si="1"/>
        <v>208244.47499999992</v>
      </c>
      <c r="L9" s="257">
        <f t="shared" si="1"/>
        <v>208469.78439236485</v>
      </c>
      <c r="M9" s="257">
        <f t="shared" si="1"/>
        <v>208694.54346083658</v>
      </c>
      <c r="N9" s="257">
        <f t="shared" si="1"/>
        <v>208918.7463544826</v>
      </c>
      <c r="O9" s="257">
        <f t="shared" si="1"/>
        <v>209142.38718749984</v>
      </c>
      <c r="P9" s="257">
        <f t="shared" si="1"/>
        <v>209365.46003903006</v>
      </c>
      <c r="Q9" s="257">
        <f t="shared" si="1"/>
        <v>209587.9589529754</v>
      </c>
      <c r="R9" s="257">
        <f t="shared" si="1"/>
        <v>209809.87793781265</v>
      </c>
      <c r="S9" s="1648">
        <f t="shared" si="1"/>
        <v>210031.21096640592</v>
      </c>
      <c r="T9" s="257"/>
      <c r="U9" s="257"/>
      <c r="V9" s="257"/>
      <c r="W9" s="257">
        <f>SUM(W7:W8)</f>
        <v>143526.41427951126</v>
      </c>
      <c r="X9" s="257">
        <f>SUM(X7:X8)</f>
        <v>208806.36534879592</v>
      </c>
      <c r="Y9" s="1648">
        <f>SUM(Y7:Y8)</f>
        <v>209698.62697405598</v>
      </c>
      <c r="Z9" s="257">
        <f>SUM(Z7:Z8)</f>
        <v>0</v>
      </c>
      <c r="AA9" s="1648">
        <f>SUM(AA7:AA8)</f>
        <v>0</v>
      </c>
      <c r="AB9" s="1649"/>
    </row>
    <row r="10" spans="1:28" hidden="1" outlineLevel="1">
      <c r="B10" s="1641">
        <v>1</v>
      </c>
      <c r="D10" s="77"/>
      <c r="H10" s="257"/>
      <c r="I10" s="257"/>
      <c r="J10" s="257"/>
      <c r="K10" s="257"/>
      <c r="L10" s="257"/>
      <c r="M10" s="257"/>
      <c r="N10" s="257"/>
      <c r="O10" s="257"/>
      <c r="P10" s="257"/>
      <c r="Q10" s="257"/>
      <c r="R10" s="257"/>
      <c r="S10" s="1648"/>
      <c r="T10" s="257"/>
      <c r="U10" s="257"/>
      <c r="V10" s="257"/>
      <c r="W10" s="257"/>
      <c r="X10" s="257"/>
      <c r="Y10" s="1648"/>
      <c r="Z10" s="257"/>
      <c r="AA10" s="1648"/>
      <c r="AB10" s="1649"/>
    </row>
    <row r="11" spans="1:28" ht="7.5" hidden="1" customHeight="1" outlineLevel="1">
      <c r="D11" s="77"/>
      <c r="H11" s="257"/>
      <c r="I11" s="257"/>
      <c r="J11" s="257"/>
      <c r="K11" s="257"/>
      <c r="L11" s="257"/>
      <c r="M11" s="257"/>
      <c r="N11" s="257"/>
      <c r="O11" s="257"/>
      <c r="P11" s="257"/>
      <c r="Q11" s="257"/>
      <c r="R11" s="257"/>
      <c r="S11" s="1648"/>
      <c r="T11" s="257"/>
      <c r="U11" s="257"/>
      <c r="V11" s="257"/>
      <c r="W11" s="257"/>
      <c r="X11" s="257"/>
      <c r="Y11" s="1648"/>
      <c r="Z11" s="257"/>
      <c r="AA11" s="1648"/>
      <c r="AB11" s="1649"/>
    </row>
    <row r="12" spans="1:28" hidden="1" outlineLevel="1">
      <c r="D12" s="1654" t="s">
        <v>1581</v>
      </c>
      <c r="H12" s="257">
        <f>INDEX(DCF!$T$191:$AF$191,MATCH(FO!H$3,DCF!$T$5:$AF$5,0))*FO!$B$6</f>
        <v>0</v>
      </c>
      <c r="I12" s="257">
        <f>INDEX(DCF!$T$191:$AF$191,MATCH(FO!I$3,DCF!$T$5:$AF$5,0))*FO!$B$6</f>
        <v>-15475.364573976074</v>
      </c>
      <c r="J12" s="257">
        <f>INDEX(DCF!$T$191:$AF$191,MATCH(FO!J$3,DCF!$T$5:$AF$5,0))*FO!$B$6</f>
        <v>-44014.930555555562</v>
      </c>
      <c r="K12" s="257">
        <f>INDEX(DCF!$T$191:$AF$191,MATCH(FO!K$3,DCF!$T$5:$AF$5,0))*FO!$B$6</f>
        <v>-43312.500000000007</v>
      </c>
      <c r="L12" s="257">
        <f>INDEX(DCF!$T$191:$AF$191,MATCH(FO!L$3,DCF!$T$5:$AF$5,0))*FO!$B$6</f>
        <v>-44051.388888888891</v>
      </c>
      <c r="M12" s="257">
        <f>INDEX(DCF!$T$191:$AF$191,MATCH(FO!M$3,DCF!$T$5:$AF$5,0))*FO!$B$6</f>
        <v>-43827.777777777781</v>
      </c>
      <c r="N12" s="257">
        <f>INDEX(DCF!$T$191:$AF$191,MATCH(FO!N$3,DCF!$T$5:$AF$5,0))*FO!$B$6</f>
        <v>-43130.208333333336</v>
      </c>
      <c r="O12" s="257">
        <f>INDEX(DCF!$T$191:$AF$191,MATCH(FO!O$3,DCF!$T$5:$AF$5,0))*FO!$B$6</f>
        <v>-42437.500000000007</v>
      </c>
      <c r="P12" s="257">
        <f>INDEX(DCF!$T$191:$AF$191,MATCH(FO!P$3,DCF!$T$5:$AF$5,0))*FO!$B$6</f>
        <v>-43156.944444444453</v>
      </c>
      <c r="Q12" s="257">
        <f>INDEX(DCF!$T$191:$AF$191,MATCH(FO!Q$3,DCF!$T$5:$AF$5,0))*FO!$B$6</f>
        <v>-42933.333333333336</v>
      </c>
      <c r="R12" s="257">
        <f>INDEX(DCF!$T$191:$AF$191,MATCH(FO!R$3,DCF!$T$5:$AF$5,0))*FO!$B$6</f>
        <v>-42245.486111111117</v>
      </c>
      <c r="S12" s="1648">
        <f>INDEX(DCF!$T$191:$AF$191,MATCH(FO!S$3,DCF!$T$5:$AF$5,0))*FO!$B$6</f>
        <v>-42024.305555555562</v>
      </c>
      <c r="T12" s="257"/>
      <c r="U12" s="257"/>
      <c r="V12" s="257"/>
      <c r="W12" s="257">
        <f>INDEX(DCF!$BM$191:$BQ$191,MATCH(FO!W$3,DCF!$BM$6:$BQ$6,0))</f>
        <v>-25700.698782382911</v>
      </c>
      <c r="X12" s="257">
        <f>INDEX(DCF!$BM$191:$BQ$191,MATCH(FO!X$3,DCF!$BM$6:$BQ$6,0))</f>
        <v>-43361.71875</v>
      </c>
      <c r="Y12" s="1648">
        <f>INDEX(DCF!$BM$191:$BQ$191,MATCH(FO!Y$3,DCF!$BM$6:$BQ$6,0))</f>
        <v>-42590.017361111117</v>
      </c>
      <c r="Z12" s="257">
        <f>INDEX(DCF!$BM$191:$BQ$191,MATCH(FO!Z$3,DCF!$BM$6:$BQ$6,0))</f>
        <v>0</v>
      </c>
      <c r="AA12" s="1648">
        <f>INDEX(DCF!$BM$191:$BQ$191,MATCH(FO!AA$3,DCF!$BM$6:$BQ$6,0))</f>
        <v>0</v>
      </c>
      <c r="AB12" s="1649"/>
    </row>
    <row r="13" spans="1:28" hidden="1" outlineLevel="1">
      <c r="D13" s="1654" t="s">
        <v>1582</v>
      </c>
      <c r="H13" s="257">
        <f>INDEX(DCF!$T195:$AF195,MATCH(FO!H$3,DCF!$T$5:$AF$5,0))*FO!$B$6</f>
        <v>0</v>
      </c>
      <c r="I13" s="257">
        <f>INDEX(DCF!$T$195:$AF$195,MATCH(FO!I$3,DCF!$T$5:$AF$5,0))*FO!$B$6</f>
        <v>0</v>
      </c>
      <c r="J13" s="257">
        <f>INDEX(DCF!$T$195:$AF$195,MATCH(FO!J$3,DCF!$T$5:$AF$5,0))*FO!$B$6</f>
        <v>0</v>
      </c>
      <c r="K13" s="257">
        <f>INDEX(DCF!$T$195:$AF$195,MATCH(FO!K$3,DCF!$T$5:$AF$5,0))*FO!$B$6</f>
        <v>0</v>
      </c>
      <c r="L13" s="257">
        <f>INDEX(DCF!$T$195:$AF$195,MATCH(FO!L$3,DCF!$T$5:$AF$5,0))*FO!$B$6</f>
        <v>0</v>
      </c>
      <c r="M13" s="257">
        <f>INDEX(DCF!$T$195:$AF$195,MATCH(FO!M$3,DCF!$T$5:$AF$5,0))*FO!$B$6</f>
        <v>0</v>
      </c>
      <c r="N13" s="257">
        <f>INDEX(DCF!$T$195:$AF$195,MATCH(FO!N$3,DCF!$T$5:$AF$5,0))*FO!$B$6</f>
        <v>0</v>
      </c>
      <c r="O13" s="257">
        <f>INDEX(DCF!$T$195:$AF$195,MATCH(FO!O$3,DCF!$T$5:$AF$5,0))*FO!$B$6</f>
        <v>0</v>
      </c>
      <c r="P13" s="257">
        <f>INDEX(DCF!$T$195:$AF$195,MATCH(FO!P$3,DCF!$T$5:$AF$5,0))*FO!$B$6</f>
        <v>0</v>
      </c>
      <c r="Q13" s="257">
        <f>INDEX(DCF!$T$195:$AF$195,MATCH(FO!Q$3,DCF!$T$5:$AF$5,0))*FO!$B$6</f>
        <v>0</v>
      </c>
      <c r="R13" s="257">
        <f>INDEX(DCF!$T$195:$AF$195,MATCH(FO!R$3,DCF!$T$5:$AF$5,0))*FO!$B$6</f>
        <v>0</v>
      </c>
      <c r="S13" s="1648">
        <f>INDEX(DCF!$T$195:$AF$195,MATCH(FO!S$3,DCF!$T$5:$AF$5,0))*FO!$B$6</f>
        <v>0</v>
      </c>
      <c r="T13" s="257"/>
      <c r="U13" s="257"/>
      <c r="V13" s="257"/>
      <c r="W13" s="257">
        <f>INDEX(DCF!$BM195:$BQ195,MATCH(FO!W$3,DCF!$BM$6:$BQ$6,0))</f>
        <v>0</v>
      </c>
      <c r="X13" s="257">
        <f>INDEX(DCF!$BM195:$BQ195,MATCH(FO!X$3,DCF!$BM$6:$BQ$6,0))</f>
        <v>0</v>
      </c>
      <c r="Y13" s="1648">
        <f>INDEX(DCF!$BM195:$BQ195,MATCH(FO!Y$3,DCF!$BM$6:$BQ$6,0))</f>
        <v>0</v>
      </c>
      <c r="Z13" s="257">
        <f>INDEX(DCF!$BM195:$BQ195,MATCH(FO!Z$3,DCF!$BM$6:$BQ$6,0))</f>
        <v>0</v>
      </c>
      <c r="AA13" s="1648">
        <f>INDEX(DCF!$BM195:$BQ195,MATCH(FO!AA$3,DCF!$BM$6:$BQ$6,0))</f>
        <v>0</v>
      </c>
      <c r="AB13" s="1649"/>
    </row>
    <row r="14" spans="1:28" hidden="1" outlineLevel="1">
      <c r="D14" s="1654" t="s">
        <v>1583</v>
      </c>
      <c r="H14" s="257">
        <f>INDEX(DCF!$T196:$AF196,MATCH(FO!H$3,DCF!$T$5:$AF$5,0))*FO!$B$6</f>
        <v>0</v>
      </c>
      <c r="I14" s="257">
        <f>INDEX(DCF!$T196:$AF196,MATCH(FO!I$3,DCF!$T$5:$AF$5,0))*FO!$B$6</f>
        <v>0</v>
      </c>
      <c r="J14" s="257">
        <f>INDEX(DCF!$T196:$AF196,MATCH(FO!J$3,DCF!$T$5:$AF$5,0))*FO!$B$6</f>
        <v>0</v>
      </c>
      <c r="K14" s="257">
        <f>INDEX(DCF!$T196:$AF196,MATCH(FO!K$3,DCF!$T$5:$AF$5,0))*FO!$B$6</f>
        <v>0</v>
      </c>
      <c r="L14" s="257">
        <f>INDEX(DCF!$T196:$AF196,MATCH(FO!L$3,DCF!$T$5:$AF$5,0))*FO!$B$6</f>
        <v>0</v>
      </c>
      <c r="M14" s="257">
        <f>INDEX(DCF!$T196:$AF196,MATCH(FO!M$3,DCF!$T$5:$AF$5,0))*FO!$B$6</f>
        <v>0</v>
      </c>
      <c r="N14" s="257">
        <f>INDEX(DCF!$T196:$AF196,MATCH(FO!N$3,DCF!$T$5:$AF$5,0))*FO!$B$6</f>
        <v>0</v>
      </c>
      <c r="O14" s="257">
        <f>INDEX(DCF!$T196:$AF196,MATCH(FO!O$3,DCF!$T$5:$AF$5,0))*FO!$B$6</f>
        <v>0</v>
      </c>
      <c r="P14" s="257">
        <f>INDEX(DCF!$T196:$AF196,MATCH(FO!P$3,DCF!$T$5:$AF$5,0))*FO!$B$6</f>
        <v>0</v>
      </c>
      <c r="Q14" s="257">
        <f>INDEX(DCF!$T196:$AF196,MATCH(FO!Q$3,DCF!$T$5:$AF$5,0))*FO!$B$6</f>
        <v>0</v>
      </c>
      <c r="R14" s="257">
        <f>INDEX(DCF!$T196:$AF196,MATCH(FO!R$3,DCF!$T$5:$AF$5,0))*FO!$B$6</f>
        <v>0</v>
      </c>
      <c r="S14" s="1648">
        <f>INDEX(DCF!$T196:$AF196,MATCH(FO!S$3,DCF!$T$5:$AF$5,0))*FO!$B$6</f>
        <v>0</v>
      </c>
      <c r="T14" s="257"/>
      <c r="U14" s="257"/>
      <c r="V14" s="257"/>
      <c r="W14" s="257">
        <f>INDEX(DCF!$BM196:$BQ196,MATCH(FO!W$3,DCF!$BM$6:$BQ$6,0))</f>
        <v>0</v>
      </c>
      <c r="X14" s="257">
        <f>INDEX(DCF!$BM196:$BQ196,MATCH(FO!X$3,DCF!$BM$6:$BQ$6,0))</f>
        <v>0</v>
      </c>
      <c r="Y14" s="1648">
        <f>INDEX(DCF!$BM196:$BQ196,MATCH(FO!Y$3,DCF!$BM$6:$BQ$6,0))</f>
        <v>0</v>
      </c>
      <c r="Z14" s="257">
        <f>INDEX(DCF!$BM196:$BQ196,MATCH(FO!Z$3,DCF!$BM$6:$BQ$6,0))</f>
        <v>0</v>
      </c>
      <c r="AA14" s="1648">
        <f>INDEX(DCF!$BM196:$BQ196,MATCH(FO!AA$3,DCF!$BM$6:$BQ$6,0))</f>
        <v>0</v>
      </c>
      <c r="AB14" s="1649"/>
    </row>
    <row r="15" spans="1:28" hidden="1" outlineLevel="1">
      <c r="D15" s="1654" t="s">
        <v>1584</v>
      </c>
      <c r="H15" s="257">
        <f>INDEX(DCF!$T197:$AF197,MATCH(FO!H$3,DCF!$T$5:$AF$5,0))*FO!$B$6</f>
        <v>-22361.111111111113</v>
      </c>
      <c r="I15" s="257">
        <f>INDEX(DCF!$T197:$AF197,MATCH(FO!I$3,DCF!$T$5:$AF$5,0))*FO!$B$6</f>
        <v>-14623.428824123075</v>
      </c>
      <c r="J15" s="257">
        <f>INDEX(DCF!$T197:$AF197,MATCH(FO!J$3,DCF!$T$5:$AF$5,0))*FO!$B$6</f>
        <v>0</v>
      </c>
      <c r="K15" s="257">
        <f>INDEX(DCF!$T197:$AF197,MATCH(FO!K$3,DCF!$T$5:$AF$5,0))*FO!$B$6</f>
        <v>0</v>
      </c>
      <c r="L15" s="257">
        <f>INDEX(DCF!$T197:$AF197,MATCH(FO!L$3,DCF!$T$5:$AF$5,0))*FO!$B$6</f>
        <v>0</v>
      </c>
      <c r="M15" s="257">
        <f>INDEX(DCF!$T197:$AF197,MATCH(FO!M$3,DCF!$T$5:$AF$5,0))*FO!$B$6</f>
        <v>0</v>
      </c>
      <c r="N15" s="257">
        <f>INDEX(DCF!$T197:$AF197,MATCH(FO!N$3,DCF!$T$5:$AF$5,0))*FO!$B$6</f>
        <v>0</v>
      </c>
      <c r="O15" s="257">
        <f>INDEX(DCF!$T197:$AF197,MATCH(FO!O$3,DCF!$T$5:$AF$5,0))*FO!$B$6</f>
        <v>0</v>
      </c>
      <c r="P15" s="257">
        <f>INDEX(DCF!$T197:$AF197,MATCH(FO!P$3,DCF!$T$5:$AF$5,0))*FO!$B$6</f>
        <v>0</v>
      </c>
      <c r="Q15" s="257">
        <f>INDEX(DCF!$T197:$AF197,MATCH(FO!Q$3,DCF!$T$5:$AF$5,0))*FO!$B$6</f>
        <v>0</v>
      </c>
      <c r="R15" s="257">
        <f>INDEX(DCF!$T197:$AF197,MATCH(FO!R$3,DCF!$T$5:$AF$5,0))*FO!$B$6</f>
        <v>0</v>
      </c>
      <c r="S15" s="1648">
        <f>INDEX(DCF!$T197:$AF197,MATCH(FO!S$3,DCF!$T$5:$AF$5,0))*FO!$B$6</f>
        <v>0</v>
      </c>
      <c r="T15" s="257"/>
      <c r="U15" s="257"/>
      <c r="V15" s="257"/>
      <c r="W15" s="257">
        <f>INDEX(DCF!$BM197:$BQ197,MATCH(FO!W$3,DCF!$BM$6:$BQ$6,0))</f>
        <v>-9246.134983808548</v>
      </c>
      <c r="X15" s="257">
        <f>INDEX(DCF!$BM197:$BQ197,MATCH(FO!X$3,DCF!$BM$6:$BQ$6,0))</f>
        <v>0</v>
      </c>
      <c r="Y15" s="1648">
        <f>INDEX(DCF!$BM197:$BQ197,MATCH(FO!Y$3,DCF!$BM$6:$BQ$6,0))</f>
        <v>0</v>
      </c>
      <c r="Z15" s="257">
        <f>INDEX(DCF!$BM197:$BQ197,MATCH(FO!Z$3,DCF!$BM$6:$BQ$6,0))</f>
        <v>0</v>
      </c>
      <c r="AA15" s="1648">
        <f>INDEX(DCF!$BM197:$BQ197,MATCH(FO!AA$3,DCF!$BM$6:$BQ$6,0))</f>
        <v>0</v>
      </c>
      <c r="AB15" s="1649"/>
    </row>
    <row r="16" spans="1:28" hidden="1" outlineLevel="1">
      <c r="D16" s="1654" t="s">
        <v>1585</v>
      </c>
      <c r="H16" s="257">
        <f>INDEX(DCF!$T$220:$AF$220,MATCH(FO!H$3,DCF!$T$5:$AF$5,0))*FO!$B$6</f>
        <v>0</v>
      </c>
      <c r="I16" s="257">
        <f>INDEX(DCF!$T$220:$AF$220,MATCH(FO!I$3,DCF!$T$5:$AF$5,0))*FO!$B$6</f>
        <v>0</v>
      </c>
      <c r="J16" s="257">
        <f>INDEX(DCF!$T$220:$AF$220,MATCH(FO!J$3,DCF!$T$5:$AF$5,0))*FO!$B$6</f>
        <v>0</v>
      </c>
      <c r="K16" s="257">
        <f>INDEX(DCF!$T$220:$AF$220,MATCH(FO!K$3,DCF!$T$5:$AF$5,0))*FO!$B$6</f>
        <v>0</v>
      </c>
      <c r="L16" s="257">
        <f>INDEX(DCF!$T$220:$AF$220,MATCH(FO!L$3,DCF!$T$5:$AF$5,0))*FO!$B$6</f>
        <v>0</v>
      </c>
      <c r="M16" s="257">
        <f>INDEX(DCF!$T$220:$AF$220,MATCH(FO!M$3,DCF!$T$5:$AF$5,0))*FO!$B$6</f>
        <v>0</v>
      </c>
      <c r="N16" s="257">
        <f>INDEX(DCF!$T$220:$AF$220,MATCH(FO!N$3,DCF!$T$5:$AF$5,0))*FO!$B$6</f>
        <v>0</v>
      </c>
      <c r="O16" s="257">
        <f>INDEX(DCF!$T$220:$AF$220,MATCH(FO!O$3,DCF!$T$5:$AF$5,0))*FO!$B$6</f>
        <v>0</v>
      </c>
      <c r="P16" s="257">
        <f>INDEX(DCF!$T$220:$AF$220,MATCH(FO!P$3,DCF!$T$5:$AF$5,0))*FO!$B$6</f>
        <v>0</v>
      </c>
      <c r="Q16" s="257">
        <f>INDEX(DCF!$T$220:$AF$220,MATCH(FO!Q$3,DCF!$T$5:$AF$5,0))*FO!$B$6</f>
        <v>0</v>
      </c>
      <c r="R16" s="257">
        <f>INDEX(DCF!$T$220:$AF$220,MATCH(FO!R$3,DCF!$T$5:$AF$5,0))*FO!$B$6</f>
        <v>0</v>
      </c>
      <c r="S16" s="1648">
        <f>INDEX(DCF!$T$220:$AF$220,MATCH(FO!S$3,DCF!$T$5:$AF$5,0))*FO!$B$6</f>
        <v>0</v>
      </c>
      <c r="T16" s="257"/>
      <c r="U16" s="257"/>
      <c r="V16" s="257"/>
      <c r="W16" s="257">
        <f>INDEX(DCF!$BM$220:$BQ$220,MATCH(FO!W$3,DCF!$BM$6:$BQ$6,0))</f>
        <v>0</v>
      </c>
      <c r="X16" s="257">
        <f>INDEX(DCF!$BM$220:$BQ$220,MATCH(FO!X$3,DCF!$BM$6:$BQ$6,0))</f>
        <v>0</v>
      </c>
      <c r="Y16" s="1648">
        <f>INDEX(DCF!$BM$220:$BQ$220,MATCH(FO!Y$3,DCF!$BM$6:$BQ$6,0))</f>
        <v>0</v>
      </c>
      <c r="Z16" s="257">
        <f>INDEX(DCF!$BM$220:$BQ$220,MATCH(FO!Z$3,DCF!$BM$6:$BQ$6,0))</f>
        <v>0</v>
      </c>
      <c r="AA16" s="1648">
        <f>INDEX(DCF!$BM$220:$BQ$220,MATCH(FO!AA$3,DCF!$BM$6:$BQ$6,0))</f>
        <v>0</v>
      </c>
      <c r="AB16" s="1649"/>
    </row>
    <row r="17" spans="1:28" hidden="1" outlineLevel="1">
      <c r="D17" s="1654" t="s">
        <v>1586</v>
      </c>
      <c r="H17" s="257">
        <f>INDEX(DCF!$T$224:$AF$224,MATCH(FO!H$3,DCF!$T$5:$AF$5,0))*FO!$B$6</f>
        <v>0</v>
      </c>
      <c r="I17" s="257">
        <f>INDEX(DCF!$T$224:$AF$224,MATCH(FO!I$3,DCF!$T$5:$AF$5,0))*FO!$B$6</f>
        <v>0</v>
      </c>
      <c r="J17" s="257">
        <f>INDEX(DCF!$T$224:$AF$224,MATCH(FO!J$3,DCF!$T$5:$AF$5,0))*FO!$B$6</f>
        <v>0</v>
      </c>
      <c r="K17" s="257">
        <f>INDEX(DCF!$T$224:$AF$224,MATCH(FO!K$3,DCF!$T$5:$AF$5,0))*FO!$B$6</f>
        <v>0</v>
      </c>
      <c r="L17" s="257">
        <f>INDEX(DCF!$T$224:$AF$224,MATCH(FO!L$3,DCF!$T$5:$AF$5,0))*FO!$B$6</f>
        <v>0</v>
      </c>
      <c r="M17" s="257">
        <f>INDEX(DCF!$T$224:$AF$224,MATCH(FO!M$3,DCF!$T$5:$AF$5,0))*FO!$B$6</f>
        <v>0</v>
      </c>
      <c r="N17" s="257">
        <f>INDEX(DCF!$T$224:$AF$224,MATCH(FO!N$3,DCF!$T$5:$AF$5,0))*FO!$B$6</f>
        <v>0</v>
      </c>
      <c r="O17" s="257">
        <f>INDEX(DCF!$T$224:$AF$224,MATCH(FO!O$3,DCF!$T$5:$AF$5,0))*FO!$B$6</f>
        <v>0</v>
      </c>
      <c r="P17" s="257">
        <f>INDEX(DCF!$T$224:$AF$224,MATCH(FO!P$3,DCF!$T$5:$AF$5,0))*FO!$B$6</f>
        <v>0</v>
      </c>
      <c r="Q17" s="257">
        <f>INDEX(DCF!$T$224:$AF$224,MATCH(FO!Q$3,DCF!$T$5:$AF$5,0))*FO!$B$6</f>
        <v>0</v>
      </c>
      <c r="R17" s="257">
        <f>INDEX(DCF!$T$224:$AF$224,MATCH(FO!R$3,DCF!$T$5:$AF$5,0))*FO!$B$6</f>
        <v>0</v>
      </c>
      <c r="S17" s="1648">
        <f>INDEX(DCF!$T$224:$AF$224,MATCH(FO!S$3,DCF!$T$5:$AF$5,0))*FO!$B$6</f>
        <v>0</v>
      </c>
      <c r="T17" s="257"/>
      <c r="U17" s="257"/>
      <c r="V17" s="257"/>
      <c r="W17" s="257">
        <f>INDEX(DCF!$BM$224:$BQ$224,MATCH(FO!W$3,DCF!$BM$6:$BQ$6,0))</f>
        <v>0</v>
      </c>
      <c r="X17" s="257">
        <f>INDEX(DCF!$BM$224:$BQ$224,MATCH(FO!X$3,DCF!$BM$6:$BQ$6,0))</f>
        <v>0</v>
      </c>
      <c r="Y17" s="1648">
        <f>INDEX(DCF!$BM$224:$BQ$224,MATCH(FO!Y$3,DCF!$BM$6:$BQ$6,0))</f>
        <v>0</v>
      </c>
      <c r="Z17" s="257">
        <f>INDEX(DCF!$BM$224:$BQ$224,MATCH(FO!Z$3,DCF!$BM$6:$BQ$6,0))</f>
        <v>0</v>
      </c>
      <c r="AA17" s="1648">
        <f>INDEX(DCF!$BM$224:$BQ$224,MATCH(FO!AA$3,DCF!$BM$6:$BQ$6,0))</f>
        <v>0</v>
      </c>
      <c r="AB17" s="1649"/>
    </row>
    <row r="18" spans="1:28" hidden="1" outlineLevel="1">
      <c r="D18" s="1654" t="s">
        <v>1587</v>
      </c>
      <c r="H18" s="257">
        <f>INDEX(DCF!$T$266:$AF$266,MATCH(FO!H$3,DCF!$T$5:$AF$5,0))*FO!$B$6</f>
        <v>0</v>
      </c>
      <c r="I18" s="257">
        <f>INDEX(DCF!$T$266:$AF$266,MATCH(FO!I$3,DCF!$T$5:$AF$5,0))*FO!$B$6</f>
        <v>0</v>
      </c>
      <c r="J18" s="257">
        <f>INDEX(DCF!$T$266:$AF$266,MATCH(FO!J$3,DCF!$T$5:$AF$5,0))*FO!$B$6</f>
        <v>0</v>
      </c>
      <c r="K18" s="257">
        <f>INDEX(DCF!$T$266:$AF$266,MATCH(FO!K$3,DCF!$T$5:$AF$5,0))*FO!$B$6</f>
        <v>0</v>
      </c>
      <c r="L18" s="257">
        <f>INDEX(DCF!$T$266:$AF$266,MATCH(FO!L$3,DCF!$T$5:$AF$5,0))*FO!$B$6</f>
        <v>0</v>
      </c>
      <c r="M18" s="257">
        <f>INDEX(DCF!$T$266:$AF$266,MATCH(FO!M$3,DCF!$T$5:$AF$5,0))*FO!$B$6</f>
        <v>0</v>
      </c>
      <c r="N18" s="257">
        <f>INDEX(DCF!$T$266:$AF$266,MATCH(FO!N$3,DCF!$T$5:$AF$5,0))*FO!$B$6</f>
        <v>0</v>
      </c>
      <c r="O18" s="257">
        <f>INDEX(DCF!$T$266:$AF$266,MATCH(FO!O$3,DCF!$T$5:$AF$5,0))*FO!$B$6</f>
        <v>0</v>
      </c>
      <c r="P18" s="257">
        <f>INDEX(DCF!$T$266:$AF$266,MATCH(FO!P$3,DCF!$T$5:$AF$5,0))*FO!$B$6</f>
        <v>0</v>
      </c>
      <c r="Q18" s="257">
        <f>INDEX(DCF!$T$266:$AF$266,MATCH(FO!Q$3,DCF!$T$5:$AF$5,0))*FO!$B$6</f>
        <v>0</v>
      </c>
      <c r="R18" s="257">
        <f>INDEX(DCF!$T$266:$AF$266,MATCH(FO!R$3,DCF!$T$5:$AF$5,0))*FO!$B$6</f>
        <v>0</v>
      </c>
      <c r="S18" s="1648">
        <f>INDEX(DCF!$T$266:$AF$266,MATCH(FO!S$3,DCF!$T$5:$AF$5,0))*FO!$B$6</f>
        <v>0</v>
      </c>
      <c r="T18" s="257"/>
      <c r="U18" s="257"/>
      <c r="V18" s="257"/>
      <c r="W18" s="257">
        <f>INDEX(DCF!$BM$266:$BQ$266,MATCH(FO!W$3,DCF!$BM$6:$BQ$6,0))</f>
        <v>0</v>
      </c>
      <c r="X18" s="257">
        <f>INDEX(DCF!$BM$266:$BQ$266,MATCH(FO!X$3,DCF!$BM$6:$BQ$6,0))</f>
        <v>0</v>
      </c>
      <c r="Y18" s="1648">
        <f>INDEX(DCF!$BM$266:$BQ$266,MATCH(FO!Y$3,DCF!$BM$6:$BQ$6,0))</f>
        <v>0</v>
      </c>
      <c r="Z18" s="257">
        <f>INDEX(DCF!$BM$266:$BQ$266,MATCH(FO!Z$3,DCF!$BM$6:$BQ$6,0))</f>
        <v>0</v>
      </c>
      <c r="AA18" s="1648">
        <f>INDEX(DCF!$BM$266:$BQ$266,MATCH(FO!AA$3,DCF!$BM$6:$BQ$6,0))</f>
        <v>0</v>
      </c>
      <c r="AB18" s="1649"/>
    </row>
    <row r="19" spans="1:28" hidden="1" outlineLevel="1">
      <c r="D19" s="1654" t="s">
        <v>1588</v>
      </c>
      <c r="H19" s="257">
        <f>INDEX(DCF!$T$271:$AF$271,MATCH(FO!H$3,DCF!$T$5:$AF$5,0))*FO!$B$6</f>
        <v>0</v>
      </c>
      <c r="I19" s="257">
        <f>INDEX(DCF!$T$271:$AF$271,MATCH(FO!I$3,DCF!$T$5:$AF$5,0))*FO!$B$6</f>
        <v>0</v>
      </c>
      <c r="J19" s="257">
        <f>INDEX(DCF!$T$271:$AF$271,MATCH(FO!J$3,DCF!$T$5:$AF$5,0))*FO!$B$6</f>
        <v>0</v>
      </c>
      <c r="K19" s="257">
        <f>INDEX(DCF!$T$271:$AF$271,MATCH(FO!K$3,DCF!$T$5:$AF$5,0))*FO!$B$6</f>
        <v>0</v>
      </c>
      <c r="L19" s="257">
        <f>INDEX(DCF!$T$271:$AF$271,MATCH(FO!L$3,DCF!$T$5:$AF$5,0))*FO!$B$6</f>
        <v>0</v>
      </c>
      <c r="M19" s="257">
        <f>INDEX(DCF!$T$271:$AF$271,MATCH(FO!M$3,DCF!$T$5:$AF$5,0))*FO!$B$6</f>
        <v>0</v>
      </c>
      <c r="N19" s="257">
        <f>INDEX(DCF!$T$271:$AF$271,MATCH(FO!N$3,DCF!$T$5:$AF$5,0))*FO!$B$6</f>
        <v>0</v>
      </c>
      <c r="O19" s="257">
        <f>INDEX(DCF!$T$271:$AF$271,MATCH(FO!O$3,DCF!$T$5:$AF$5,0))*FO!$B$6</f>
        <v>0</v>
      </c>
      <c r="P19" s="257">
        <f>INDEX(DCF!$T$271:$AF$271,MATCH(FO!P$3,DCF!$T$5:$AF$5,0))*FO!$B$6</f>
        <v>0</v>
      </c>
      <c r="Q19" s="257">
        <f>INDEX(DCF!$T$271:$AF$271,MATCH(FO!Q$3,DCF!$T$5:$AF$5,0))*FO!$B$6</f>
        <v>0</v>
      </c>
      <c r="R19" s="257">
        <f>INDEX(DCF!$T$271:$AF$271,MATCH(FO!R$3,DCF!$T$5:$AF$5,0))*FO!$B$6</f>
        <v>0</v>
      </c>
      <c r="S19" s="1648">
        <f>INDEX(DCF!$T$271:$AF$271,MATCH(FO!S$3,DCF!$T$5:$AF$5,0))*FO!$B$6</f>
        <v>0</v>
      </c>
      <c r="T19" s="257"/>
      <c r="U19" s="257"/>
      <c r="V19" s="257"/>
      <c r="W19" s="257">
        <f>INDEX(DCF!$BM$271:$BQ$271,MATCH(FO!W$3,DCF!$BM$6:$BQ$6,0))</f>
        <v>0</v>
      </c>
      <c r="X19" s="257">
        <f>INDEX(DCF!$BM$271:$BQ$271,MATCH(FO!X$3,DCF!$BM$6:$BQ$6,0))</f>
        <v>0</v>
      </c>
      <c r="Y19" s="1648">
        <f>INDEX(DCF!$BM$271:$BQ$271,MATCH(FO!Y$3,DCF!$BM$6:$BQ$6,0))</f>
        <v>0</v>
      </c>
      <c r="Z19" s="257">
        <f>INDEX(DCF!$BM$271:$BQ$271,MATCH(FO!Z$3,DCF!$BM$6:$BQ$6,0))</f>
        <v>0</v>
      </c>
      <c r="AA19" s="1648">
        <f>INDEX(DCF!$BM$271:$BQ$271,MATCH(FO!AA$3,DCF!$BM$6:$BQ$6,0))</f>
        <v>0</v>
      </c>
      <c r="AB19" s="1649"/>
    </row>
    <row r="20" spans="1:28" hidden="1" outlineLevel="1">
      <c r="D20" s="1654" t="s">
        <v>1589</v>
      </c>
      <c r="H20" s="257">
        <f>INDEX(DCF!$T$278:$AF$278,MATCH(FO!H$3,DCF!$T$5:$AF$5,0))*FO!$B$6</f>
        <v>0</v>
      </c>
      <c r="I20" s="257">
        <f>INDEX(DCF!$T$278:$AF$278,MATCH(FO!I$3,DCF!$T$5:$AF$5,0))*FO!$B$6</f>
        <v>0</v>
      </c>
      <c r="J20" s="257">
        <f>INDEX(DCF!$T$278:$AF$278,MATCH(FO!J$3,DCF!$T$5:$AF$5,0))*FO!$B$6</f>
        <v>0</v>
      </c>
      <c r="K20" s="257">
        <f>INDEX(DCF!$T$278:$AF$278,MATCH(FO!K$3,DCF!$T$5:$AF$5,0))*FO!$B$6</f>
        <v>0</v>
      </c>
      <c r="L20" s="257">
        <f>INDEX(DCF!$T$278:$AF$278,MATCH(FO!L$3,DCF!$T$5:$AF$5,0))*FO!$B$6</f>
        <v>0</v>
      </c>
      <c r="M20" s="257">
        <f>INDEX(DCF!$T$278:$AF$278,MATCH(FO!M$3,DCF!$T$5:$AF$5,0))*FO!$B$6</f>
        <v>0</v>
      </c>
      <c r="N20" s="257">
        <f>INDEX(DCF!$T$278:$AF$278,MATCH(FO!N$3,DCF!$T$5:$AF$5,0))*FO!$B$6</f>
        <v>0</v>
      </c>
      <c r="O20" s="257">
        <f>INDEX(DCF!$T$278:$AF$278,MATCH(FO!O$3,DCF!$T$5:$AF$5,0))*FO!$B$6</f>
        <v>0</v>
      </c>
      <c r="P20" s="257">
        <f>INDEX(DCF!$T$278:$AF$278,MATCH(FO!P$3,DCF!$T$5:$AF$5,0))*FO!$B$6</f>
        <v>0</v>
      </c>
      <c r="Q20" s="257">
        <f>INDEX(DCF!$T$278:$AF$278,MATCH(FO!Q$3,DCF!$T$5:$AF$5,0))*FO!$B$6</f>
        <v>0</v>
      </c>
      <c r="R20" s="257">
        <f>INDEX(DCF!$T$278:$AF$278,MATCH(FO!R$3,DCF!$T$5:$AF$5,0))*FO!$B$6</f>
        <v>0</v>
      </c>
      <c r="S20" s="1648">
        <f>INDEX(DCF!$T$278:$AF$278,MATCH(FO!S$3,DCF!$T$5:$AF$5,0))*FO!$B$6</f>
        <v>0</v>
      </c>
      <c r="T20" s="257"/>
      <c r="U20" s="257"/>
      <c r="V20" s="257"/>
      <c r="W20" s="257">
        <f>INDEX(DCF!$BM$278:$BQ$278,MATCH(FO!W$3,DCF!$BM$6:$BQ$6,0))</f>
        <v>0</v>
      </c>
      <c r="X20" s="257">
        <f>INDEX(DCF!$BM$278:$BQ$278,MATCH(FO!X$3,DCF!$BM$6:$BQ$6,0))</f>
        <v>0</v>
      </c>
      <c r="Y20" s="1648">
        <f>INDEX(DCF!$BM$278:$BQ$278,MATCH(FO!Y$3,DCF!$BM$6:$BQ$6,0))</f>
        <v>0</v>
      </c>
      <c r="Z20" s="257">
        <f>INDEX(DCF!$BM$278:$BQ$278,MATCH(FO!Z$3,DCF!$BM$6:$BQ$6,0))</f>
        <v>0</v>
      </c>
      <c r="AA20" s="1648">
        <f>INDEX(DCF!$BM$278:$BQ$278,MATCH(FO!AA$3,DCF!$BM$6:$BQ$6,0))</f>
        <v>0</v>
      </c>
      <c r="AB20" s="1649"/>
    </row>
    <row r="21" spans="1:28" hidden="1" outlineLevel="1">
      <c r="D21" s="1654" t="s">
        <v>1590</v>
      </c>
      <c r="H21" s="257">
        <f>INDEX(DCF!$T$279:$AF$279,MATCH(FO!H$3,DCF!$T$5:$AF$5,0))*FO!$B$6</f>
        <v>0</v>
      </c>
      <c r="I21" s="257">
        <f>INDEX(DCF!$T$279:$AF$279,MATCH(FO!I$3,DCF!$T$5:$AF$5,0))*FO!$B$6</f>
        <v>0</v>
      </c>
      <c r="J21" s="257">
        <f>INDEX(DCF!$T$279:$AF$279,MATCH(FO!J$3,DCF!$T$5:$AF$5,0))*FO!$B$6</f>
        <v>0</v>
      </c>
      <c r="K21" s="257">
        <f>INDEX(DCF!$T$279:$AF$279,MATCH(FO!K$3,DCF!$T$5:$AF$5,0))*FO!$B$6</f>
        <v>0</v>
      </c>
      <c r="L21" s="257">
        <f>INDEX(DCF!$T$279:$AF$279,MATCH(FO!L$3,DCF!$T$5:$AF$5,0))*FO!$B$6</f>
        <v>0</v>
      </c>
      <c r="M21" s="257">
        <f>INDEX(DCF!$T$279:$AF$279,MATCH(FO!M$3,DCF!$T$5:$AF$5,0))*FO!$B$6</f>
        <v>0</v>
      </c>
      <c r="N21" s="257">
        <f>INDEX(DCF!$T$279:$AF$279,MATCH(FO!N$3,DCF!$T$5:$AF$5,0))*FO!$B$6</f>
        <v>0</v>
      </c>
      <c r="O21" s="257">
        <f>INDEX(DCF!$T$279:$AF$279,MATCH(FO!O$3,DCF!$T$5:$AF$5,0))*FO!$B$6</f>
        <v>0</v>
      </c>
      <c r="P21" s="257">
        <f>INDEX(DCF!$T$279:$AF$279,MATCH(FO!P$3,DCF!$T$5:$AF$5,0))*FO!$B$6</f>
        <v>0</v>
      </c>
      <c r="Q21" s="257">
        <f>INDEX(DCF!$T$279:$AF$279,MATCH(FO!Q$3,DCF!$T$5:$AF$5,0))*FO!$B$6</f>
        <v>0</v>
      </c>
      <c r="R21" s="257">
        <f>INDEX(DCF!$T$279:$AF$279,MATCH(FO!R$3,DCF!$T$5:$AF$5,0))*FO!$B$6</f>
        <v>0</v>
      </c>
      <c r="S21" s="1648">
        <f>INDEX(DCF!$T$279:$AF$279,MATCH(FO!S$3,DCF!$T$5:$AF$5,0))*FO!$B$6</f>
        <v>0</v>
      </c>
      <c r="T21" s="257"/>
      <c r="U21" s="257"/>
      <c r="V21" s="257"/>
      <c r="W21" s="257">
        <f>INDEX(DCF!$BM$279:$BQ$279,MATCH(FO!W$3,DCF!$BM$6:$BQ$6,0))</f>
        <v>0</v>
      </c>
      <c r="X21" s="257">
        <f>INDEX(DCF!$BM$279:$BQ$279,MATCH(FO!X$3,DCF!$BM$6:$BQ$6,0))</f>
        <v>0</v>
      </c>
      <c r="Y21" s="1648">
        <f>INDEX(DCF!$BM$279:$BQ$279,MATCH(FO!Y$3,DCF!$BM$6:$BQ$6,0))</f>
        <v>0</v>
      </c>
      <c r="Z21" s="257">
        <f>INDEX(DCF!$BM$279:$BQ$279,MATCH(FO!Z$3,DCF!$BM$6:$BQ$6,0))</f>
        <v>0</v>
      </c>
      <c r="AA21" s="1648">
        <f>INDEX(DCF!$BM$279:$BQ$279,MATCH(FO!AA$3,DCF!$BM$6:$BQ$6,0))</f>
        <v>0</v>
      </c>
      <c r="AB21" s="1649"/>
    </row>
    <row r="22" spans="1:28" ht="7.5" hidden="1" customHeight="1" outlineLevel="1">
      <c r="D22" s="77"/>
      <c r="H22" s="257"/>
      <c r="I22" s="257"/>
      <c r="J22" s="257"/>
      <c r="K22" s="257"/>
      <c r="L22" s="257"/>
      <c r="M22" s="257"/>
      <c r="N22" s="257"/>
      <c r="O22" s="257"/>
      <c r="P22" s="257"/>
      <c r="Q22" s="257"/>
      <c r="R22" s="257"/>
      <c r="S22" s="1648"/>
      <c r="T22" s="257"/>
      <c r="U22" s="257"/>
      <c r="V22" s="257"/>
      <c r="W22" s="257"/>
      <c r="X22" s="257"/>
      <c r="Y22" s="1648"/>
      <c r="Z22" s="257"/>
      <c r="AA22" s="1648"/>
      <c r="AB22" s="1649"/>
    </row>
    <row r="23" spans="1:28" hidden="1" outlineLevel="1" collapsed="1">
      <c r="D23" s="77" t="s">
        <v>1591</v>
      </c>
      <c r="H23" s="257">
        <f t="shared" ref="H23:S23" si="2">SUM(H12:H21)</f>
        <v>-22361.111111111113</v>
      </c>
      <c r="I23" s="257">
        <f t="shared" si="2"/>
        <v>-30098.793398099151</v>
      </c>
      <c r="J23" s="257">
        <f t="shared" si="2"/>
        <v>-44014.930555555562</v>
      </c>
      <c r="K23" s="257">
        <f t="shared" si="2"/>
        <v>-43312.500000000007</v>
      </c>
      <c r="L23" s="257">
        <f t="shared" si="2"/>
        <v>-44051.388888888891</v>
      </c>
      <c r="M23" s="257">
        <f t="shared" si="2"/>
        <v>-43827.777777777781</v>
      </c>
      <c r="N23" s="257">
        <f t="shared" si="2"/>
        <v>-43130.208333333336</v>
      </c>
      <c r="O23" s="257">
        <f t="shared" si="2"/>
        <v>-42437.500000000007</v>
      </c>
      <c r="P23" s="257">
        <f t="shared" si="2"/>
        <v>-43156.944444444453</v>
      </c>
      <c r="Q23" s="257">
        <f t="shared" si="2"/>
        <v>-42933.333333333336</v>
      </c>
      <c r="R23" s="257">
        <f t="shared" si="2"/>
        <v>-42245.486111111117</v>
      </c>
      <c r="S23" s="1648">
        <f t="shared" si="2"/>
        <v>-42024.305555555562</v>
      </c>
      <c r="T23" s="257"/>
      <c r="U23" s="257"/>
      <c r="V23" s="257"/>
      <c r="W23" s="257">
        <f>SUM(W12:W21)</f>
        <v>-34946.833766191456</v>
      </c>
      <c r="X23" s="257">
        <f>SUM(X12:X21)</f>
        <v>-43361.71875</v>
      </c>
      <c r="Y23" s="1648">
        <f>SUM(Y12:Y21)</f>
        <v>-42590.017361111117</v>
      </c>
      <c r="Z23" s="257">
        <f>SUM(Z12:Z21)</f>
        <v>0</v>
      </c>
      <c r="AA23" s="1648">
        <f>SUM(AA12:AA21)</f>
        <v>0</v>
      </c>
      <c r="AB23" s="1649"/>
    </row>
    <row r="24" spans="1:28" hidden="1" outlineLevel="1">
      <c r="D24" s="77" t="s">
        <v>1592</v>
      </c>
      <c r="H24" s="257">
        <f>INDEX(DCF!$T$159:$AF$159,MATCH(FO!H$3,DCF!$T$5:$AF$5,0))*FO!$B$6</f>
        <v>0</v>
      </c>
      <c r="I24" s="257">
        <f>INDEX(DCF!$T$159:$AF$159,MATCH(FO!I$3,DCF!$T$5:$AF$5,0))*FO!$B$6</f>
        <v>0</v>
      </c>
      <c r="J24" s="257">
        <f>INDEX(DCF!$T$159:$AF$159,MATCH(FO!J$3,DCF!$T$5:$AF$5,0))*FO!$B$6</f>
        <v>0</v>
      </c>
      <c r="K24" s="257">
        <f>INDEX(DCF!$T$159:$AF$159,MATCH(FO!K$3,DCF!$T$5:$AF$5,0))*FO!$B$6</f>
        <v>0</v>
      </c>
      <c r="L24" s="257">
        <f>INDEX(DCF!$T$159:$AF$159,MATCH(FO!L$3,DCF!$T$5:$AF$5,0))*FO!$B$6</f>
        <v>0</v>
      </c>
      <c r="M24" s="257">
        <f>INDEX(DCF!$T$159:$AF$159,MATCH(FO!M$3,DCF!$T$5:$AF$5,0))*FO!$B$6</f>
        <v>0</v>
      </c>
      <c r="N24" s="257">
        <f>INDEX(DCF!$T$159:$AF$159,MATCH(FO!N$3,DCF!$T$5:$AF$5,0))*FO!$B$6</f>
        <v>0</v>
      </c>
      <c r="O24" s="257">
        <f>INDEX(DCF!$T$159:$AF$159,MATCH(FO!O$3,DCF!$T$5:$AF$5,0))*FO!$B$6</f>
        <v>0</v>
      </c>
      <c r="P24" s="257">
        <f>INDEX(DCF!$T$159:$AF$159,MATCH(FO!P$3,DCF!$T$5:$AF$5,0))*FO!$B$6</f>
        <v>0</v>
      </c>
      <c r="Q24" s="257">
        <f>INDEX(DCF!$T$159:$AF$159,MATCH(FO!Q$3,DCF!$T$5:$AF$5,0))*FO!$B$6</f>
        <v>0</v>
      </c>
      <c r="R24" s="257">
        <f>INDEX(DCF!$T$159:$AF$159,MATCH(FO!R$3,DCF!$T$5:$AF$5,0))*FO!$B$6</f>
        <v>0</v>
      </c>
      <c r="S24" s="1648">
        <f>INDEX(DCF!$T$159:$AF$159,MATCH(FO!S$3,DCF!$T$5:$AF$5,0))*FO!$B$6</f>
        <v>-1112.9540418415231</v>
      </c>
      <c r="T24" s="257"/>
      <c r="U24" s="257"/>
      <c r="V24" s="257"/>
      <c r="W24" s="257">
        <f>INDEX(DCF!$BM$159:$BQ$159,MATCH(FO!W$3,DCF!$BM$6:$BQ$6,0))</f>
        <v>0</v>
      </c>
      <c r="X24" s="257">
        <f>INDEX(DCF!$BM$159:$BQ$159,MATCH(FO!X$3,DCF!$BM$6:$BQ$6,0))</f>
        <v>0</v>
      </c>
      <c r="Y24" s="1648">
        <f>INDEX(DCF!$BM$159:$BQ$159,MATCH(FO!Y$3,DCF!$BM$6:$BQ$6,0))</f>
        <v>-278.23851046038078</v>
      </c>
      <c r="Z24" s="257">
        <f>INDEX(DCF!$BM$159:$BQ$159,MATCH(FO!Z$3,DCF!$BM$6:$BQ$6,0))</f>
        <v>0</v>
      </c>
      <c r="AA24" s="1648">
        <f>INDEX(DCF!$BM$159:$BQ$159,MATCH(FO!AA$3,DCF!$BM$6:$BQ$6,0))</f>
        <v>0</v>
      </c>
      <c r="AB24" s="1649"/>
    </row>
    <row r="25" spans="1:28" collapsed="1">
      <c r="D25" s="1655" t="s">
        <v>1593</v>
      </c>
      <c r="E25" s="1656"/>
      <c r="F25" s="1656"/>
      <c r="G25" s="1656"/>
      <c r="H25" s="1657">
        <f t="shared" ref="H25:S25" si="3">SUM(H23:H24,H9:H10)</f>
        <v>14171.034508284731</v>
      </c>
      <c r="I25" s="1657">
        <f t="shared" si="3"/>
        <v>91211.622000563584</v>
      </c>
      <c r="J25" s="1657">
        <f t="shared" si="3"/>
        <v>164003.69054443075</v>
      </c>
      <c r="K25" s="1657">
        <f t="shared" si="3"/>
        <v>164931.97499999992</v>
      </c>
      <c r="L25" s="1657">
        <f t="shared" si="3"/>
        <v>164418.39550347597</v>
      </c>
      <c r="M25" s="1657">
        <f t="shared" si="3"/>
        <v>164866.76568305879</v>
      </c>
      <c r="N25" s="1657">
        <f t="shared" si="3"/>
        <v>165788.53802114926</v>
      </c>
      <c r="O25" s="1657">
        <f t="shared" si="3"/>
        <v>166704.88718749984</v>
      </c>
      <c r="P25" s="1657">
        <f t="shared" si="3"/>
        <v>166208.51559458562</v>
      </c>
      <c r="Q25" s="1657">
        <f t="shared" si="3"/>
        <v>166654.62561964206</v>
      </c>
      <c r="R25" s="1657">
        <f t="shared" si="3"/>
        <v>167564.39182670153</v>
      </c>
      <c r="S25" s="1658">
        <f t="shared" si="3"/>
        <v>166893.95136900884</v>
      </c>
      <c r="T25" s="1657"/>
      <c r="U25" s="1657"/>
      <c r="V25" s="1657"/>
      <c r="W25" s="1657">
        <f>SUM(W23:W24,W9:W10)</f>
        <v>108579.5805133198</v>
      </c>
      <c r="X25" s="1657">
        <f>SUM(X23:X24,X9:X10)</f>
        <v>165444.64659879592</v>
      </c>
      <c r="Y25" s="1658">
        <f>SUM(Y23:Y24,Y9:Y10)</f>
        <v>166830.37110248447</v>
      </c>
      <c r="Z25" s="257">
        <f>SUM(Z23:Z24,Z9:Z10)</f>
        <v>0</v>
      </c>
      <c r="AA25" s="1648">
        <f>SUM(AA23:AA24,AA9:AA10)</f>
        <v>0</v>
      </c>
      <c r="AB25" s="1649"/>
    </row>
    <row r="26" spans="1:28" s="1644" customFormat="1">
      <c r="A26"/>
      <c r="B26"/>
      <c r="C26"/>
      <c r="D26" s="1659"/>
      <c r="E26" s="1660"/>
      <c r="F26" s="1660"/>
      <c r="G26" s="1660"/>
      <c r="H26" s="1660"/>
      <c r="I26" s="1660"/>
      <c r="J26" s="1660"/>
      <c r="K26" s="1660"/>
      <c r="L26" s="1660"/>
      <c r="M26" s="1660"/>
      <c r="N26" s="1660"/>
      <c r="O26" s="1660"/>
      <c r="P26" s="1660"/>
      <c r="Q26" s="1660"/>
      <c r="R26" s="1660"/>
      <c r="S26" s="1684"/>
      <c r="T26" s="1660"/>
      <c r="U26" s="1660"/>
      <c r="V26" s="1660"/>
      <c r="W26" s="1660"/>
      <c r="X26" s="1660"/>
      <c r="Y26" s="1660"/>
      <c r="Z26" s="1660"/>
      <c r="AA26" s="1684"/>
      <c r="AB26" s="1659"/>
    </row>
    <row r="27" spans="1:28" outlineLevel="1">
      <c r="D27" s="194" t="s">
        <v>56</v>
      </c>
      <c r="E27" s="269"/>
      <c r="F27" s="1646">
        <f>-SUM(DCF!R71:AF72)</f>
        <v>5000000</v>
      </c>
      <c r="G27" s="269"/>
      <c r="H27" s="1646"/>
      <c r="I27" s="1646"/>
      <c r="J27" s="1646"/>
      <c r="K27" s="1646"/>
      <c r="L27" s="1646"/>
      <c r="M27" s="1646"/>
      <c r="N27" s="1646"/>
      <c r="O27" s="1646"/>
      <c r="P27" s="1646"/>
      <c r="Q27" s="1646"/>
      <c r="R27" s="1646"/>
      <c r="S27" s="1647"/>
      <c r="T27" s="1646"/>
      <c r="U27" s="1646"/>
      <c r="V27" s="1646"/>
      <c r="W27" s="1646"/>
      <c r="X27" s="1646"/>
      <c r="Y27" s="1647"/>
      <c r="Z27" s="257"/>
      <c r="AA27" s="1648"/>
      <c r="AB27" s="1649"/>
    </row>
    <row r="28" spans="1:28" outlineLevel="1">
      <c r="D28" s="1645" t="s">
        <v>1594</v>
      </c>
      <c r="E28" s="1651"/>
      <c r="F28" s="1652">
        <f>-SUM(DCF!R75:AF75)</f>
        <v>5654050</v>
      </c>
      <c r="G28" s="1651"/>
      <c r="H28" s="1652"/>
      <c r="I28" s="1652"/>
      <c r="J28" s="1652"/>
      <c r="K28" s="1652"/>
      <c r="L28" s="1652"/>
      <c r="M28" s="1652"/>
      <c r="N28" s="1652"/>
      <c r="O28" s="1652"/>
      <c r="P28" s="1652"/>
      <c r="Q28" s="1652"/>
      <c r="R28" s="1652"/>
      <c r="S28" s="1653"/>
      <c r="T28" s="1652"/>
      <c r="U28" s="1652"/>
      <c r="V28" s="1652"/>
      <c r="W28" s="1652"/>
      <c r="X28" s="1652"/>
      <c r="Y28" s="1653"/>
      <c r="Z28" s="257"/>
      <c r="AA28" s="1648"/>
      <c r="AB28" s="1649"/>
    </row>
    <row r="29" spans="1:28">
      <c r="D29" s="77" t="s">
        <v>1595</v>
      </c>
      <c r="F29" s="257">
        <f>ES!J9</f>
        <v>5701050</v>
      </c>
      <c r="H29" s="257"/>
      <c r="I29" s="257"/>
      <c r="J29" s="257"/>
      <c r="K29" s="257"/>
      <c r="L29" s="257"/>
      <c r="M29" s="257"/>
      <c r="N29" s="257"/>
      <c r="O29" s="257"/>
      <c r="P29" s="257"/>
      <c r="Q29" s="257"/>
      <c r="R29" s="257"/>
      <c r="S29" s="1648"/>
      <c r="T29" s="257"/>
      <c r="U29" s="257"/>
      <c r="V29" s="257"/>
      <c r="W29" s="257"/>
      <c r="X29" s="257"/>
      <c r="Y29" s="1648"/>
      <c r="Z29" s="257"/>
      <c r="AA29" s="1648"/>
      <c r="AB29" s="1649"/>
    </row>
    <row r="30" spans="1:28">
      <c r="D30" s="1645" t="s">
        <v>1596</v>
      </c>
      <c r="E30" s="1651"/>
      <c r="F30" s="1652">
        <f>-ES!O44-ES!O45</f>
        <v>-2500000</v>
      </c>
      <c r="G30" s="1651"/>
      <c r="H30" s="1652"/>
      <c r="I30" s="1652"/>
      <c r="J30" s="1652"/>
      <c r="K30" s="1652"/>
      <c r="L30" s="1652"/>
      <c r="M30" s="1652"/>
      <c r="N30" s="1652"/>
      <c r="O30" s="1652"/>
      <c r="P30" s="1652"/>
      <c r="Q30" s="1652"/>
      <c r="R30" s="1652"/>
      <c r="S30" s="1653"/>
      <c r="T30" s="1652"/>
      <c r="U30" s="1652"/>
      <c r="V30" s="1652"/>
      <c r="W30" s="1652"/>
      <c r="X30" s="1652"/>
      <c r="Y30" s="1653"/>
      <c r="Z30" s="257"/>
      <c r="AA30" s="1648"/>
      <c r="AB30" s="1649"/>
    </row>
    <row r="31" spans="1:28">
      <c r="D31" s="77" t="s">
        <v>1606</v>
      </c>
      <c r="F31" s="257">
        <f>SUM(F29:F30)</f>
        <v>3201050</v>
      </c>
      <c r="H31" s="257">
        <f>+SUM(DCF!R85:S85)</f>
        <v>2404438.2092934325</v>
      </c>
      <c r="I31" s="257">
        <f>+H31+DCF!T85</f>
        <v>3219800</v>
      </c>
      <c r="J31" s="257">
        <f>+I31+DCF!U85</f>
        <v>3219800</v>
      </c>
      <c r="K31" s="257">
        <f>+J31+DCF!V85</f>
        <v>3219800</v>
      </c>
      <c r="L31" s="257">
        <f>+K31+DCF!W85</f>
        <v>3219800</v>
      </c>
      <c r="M31" s="257">
        <f>+L31+DCF!X85</f>
        <v>3219800</v>
      </c>
      <c r="N31" s="257">
        <f>+M31+DCF!Y85</f>
        <v>3219800</v>
      </c>
      <c r="O31" s="257">
        <f>+N31+DCF!Z85</f>
        <v>3219800</v>
      </c>
      <c r="P31" s="257">
        <f>+O31+DCF!AA85</f>
        <v>3219800</v>
      </c>
      <c r="Q31" s="257">
        <f>+P31+DCF!AB85</f>
        <v>3219800</v>
      </c>
      <c r="R31" s="257">
        <f>+Q31+DCF!AC85</f>
        <v>3219800</v>
      </c>
      <c r="S31" s="1648">
        <f>+R31+DCF!AD85</f>
        <v>3219800</v>
      </c>
      <c r="T31" s="257"/>
      <c r="U31" s="257"/>
      <c r="V31" s="257"/>
      <c r="W31" s="257"/>
      <c r="X31" s="257"/>
      <c r="Y31" s="1648"/>
      <c r="Z31" s="257"/>
      <c r="AA31" s="1648"/>
      <c r="AB31" s="1649"/>
    </row>
    <row r="32" spans="1:28">
      <c r="D32" s="1645" t="s">
        <v>1607</v>
      </c>
      <c r="E32" s="1651"/>
      <c r="F32" s="1652"/>
      <c r="G32" s="1651"/>
      <c r="H32" s="1652"/>
      <c r="I32" s="1652"/>
      <c r="J32" s="1652"/>
      <c r="K32" s="1652"/>
      <c r="L32" s="1652"/>
      <c r="M32" s="1652"/>
      <c r="N32" s="1652"/>
      <c r="O32" s="1652"/>
      <c r="P32" s="1652"/>
      <c r="Q32" s="1652"/>
      <c r="R32" s="1652"/>
      <c r="S32" s="1653"/>
      <c r="T32" s="1652"/>
      <c r="U32" s="1652"/>
      <c r="V32" s="1652"/>
      <c r="W32" s="1652"/>
      <c r="X32" s="1652"/>
      <c r="Y32" s="1653"/>
      <c r="Z32" s="257"/>
      <c r="AA32" s="1648"/>
      <c r="AB32" s="1649"/>
    </row>
    <row r="33" spans="4:28">
      <c r="D33" s="346" t="s">
        <v>1753</v>
      </c>
      <c r="E33" s="17"/>
      <c r="F33" s="397"/>
      <c r="G33" s="17"/>
      <c r="H33" s="397">
        <f>+H31</f>
        <v>2404438.2092934325</v>
      </c>
      <c r="I33" s="397">
        <f>+H33-DCF!T296</f>
        <v>2404438.2092934325</v>
      </c>
      <c r="J33" s="397">
        <f>+I33-DCF!U296</f>
        <v>2394135.3037932916</v>
      </c>
      <c r="K33" s="397">
        <f>+J33-DCF!V296</f>
        <v>2365634.381157184</v>
      </c>
      <c r="L33" s="397">
        <f>+K33-DCF!W296</f>
        <v>2336901.3874071841</v>
      </c>
      <c r="M33" s="397">
        <f>+L33-DCF!X296</f>
        <v>2308296.788531315</v>
      </c>
      <c r="N33" s="397">
        <f>+M33-DCF!Y296</f>
        <v>2279580.0971105504</v>
      </c>
      <c r="O33" s="397">
        <f>+N33-DCF!Z296</f>
        <v>2250632.9626052631</v>
      </c>
      <c r="P33" s="397">
        <f>+O33-DCF!AA296</f>
        <v>2221456.7408083882</v>
      </c>
      <c r="Q33" s="397">
        <f>+P33-DCF!AB296</f>
        <v>2192404.611909742</v>
      </c>
      <c r="R33" s="397">
        <f>+Q33-DCF!AC296</f>
        <v>2163240.9555048314</v>
      </c>
      <c r="S33" s="1661">
        <f>+R33-DCF!AD296</f>
        <v>2133849.8575481558</v>
      </c>
      <c r="T33" s="397"/>
      <c r="U33" s="397"/>
      <c r="V33" s="397"/>
      <c r="W33" s="397">
        <f>AVERAGE(H33:K33)</f>
        <v>2392161.5258843349</v>
      </c>
      <c r="X33" s="397">
        <f>AVERAGE(L33:O33)</f>
        <v>2293852.8089135783</v>
      </c>
      <c r="Y33" s="1661">
        <f>AVERAGE(P33:S33)</f>
        <v>2177738.0414427789</v>
      </c>
      <c r="Z33" s="257"/>
      <c r="AA33" s="1648"/>
      <c r="AB33" s="1649"/>
    </row>
    <row r="34" spans="4:28">
      <c r="D34" s="366"/>
      <c r="E34" s="268"/>
      <c r="F34" s="268"/>
      <c r="G34" s="268"/>
      <c r="H34" s="1302"/>
      <c r="I34" s="1302"/>
      <c r="J34" s="1302"/>
      <c r="K34" s="1302"/>
      <c r="L34" s="1302"/>
      <c r="M34" s="1302"/>
      <c r="N34" s="1302"/>
      <c r="O34" s="1302"/>
      <c r="P34" s="1302"/>
      <c r="Q34" s="1302"/>
      <c r="R34" s="1302"/>
      <c r="S34" s="1704"/>
      <c r="T34" s="1302"/>
      <c r="U34" s="1302"/>
      <c r="V34" s="1302"/>
      <c r="W34" s="1302"/>
      <c r="X34" s="1302"/>
      <c r="Y34" s="1302"/>
      <c r="Z34" s="257"/>
      <c r="AA34" s="1648"/>
      <c r="AB34" s="1649"/>
    </row>
    <row r="35" spans="4:28">
      <c r="D35" s="679" t="s">
        <v>1754</v>
      </c>
      <c r="F35" s="1080">
        <f>+AVERAGE(L35:S35)</f>
        <v>6.9096185632260998E-2</v>
      </c>
      <c r="G35" s="39"/>
      <c r="H35" s="1662">
        <f t="shared" ref="H35:S35" si="4">H25/$H$31</f>
        <v>5.8936987665193638E-3</v>
      </c>
      <c r="I35" s="1662">
        <f t="shared" si="4"/>
        <v>3.7934691624854439E-2</v>
      </c>
      <c r="J35" s="1662">
        <f t="shared" si="4"/>
        <v>6.8208735791395039E-2</v>
      </c>
      <c r="K35" s="1662">
        <f t="shared" si="4"/>
        <v>6.8594807037468758E-2</v>
      </c>
      <c r="L35" s="1662">
        <f t="shared" si="4"/>
        <v>6.8381210574669712E-2</v>
      </c>
      <c r="M35" s="1662">
        <f t="shared" si="4"/>
        <v>6.8567686641241035E-2</v>
      </c>
      <c r="N35" s="1662">
        <f t="shared" si="4"/>
        <v>6.8951049513502713E-2</v>
      </c>
      <c r="O35" s="1662">
        <f t="shared" si="4"/>
        <v>6.9332156901835168E-2</v>
      </c>
      <c r="P35" s="1662">
        <f t="shared" si="4"/>
        <v>6.9125717164271655E-2</v>
      </c>
      <c r="Q35" s="1662">
        <f t="shared" si="4"/>
        <v>6.9311253238075576E-2</v>
      </c>
      <c r="R35" s="1662">
        <f t="shared" si="4"/>
        <v>6.9689622789658609E-2</v>
      </c>
      <c r="S35" s="1705">
        <f t="shared" si="4"/>
        <v>6.9410788234833556E-2</v>
      </c>
      <c r="T35" s="1662"/>
      <c r="U35" s="1662"/>
      <c r="V35" s="1662"/>
      <c r="W35" s="1662">
        <f>W25/$F$31</f>
        <v>3.3919988914050014E-2</v>
      </c>
      <c r="X35" s="1662">
        <f>X25/$F$31</f>
        <v>5.1684493087829284E-2</v>
      </c>
      <c r="Y35" s="1662">
        <f>Y25/$F$31</f>
        <v>5.2117389950948743E-2</v>
      </c>
      <c r="Z35" s="1691">
        <f>Z25/$F$31</f>
        <v>0</v>
      </c>
      <c r="AA35" s="1692">
        <f>AA25/$F$31</f>
        <v>0</v>
      </c>
      <c r="AB35" s="1649"/>
    </row>
    <row r="36" spans="4:28">
      <c r="D36" s="1663" t="s">
        <v>1755</v>
      </c>
      <c r="E36" s="1656"/>
      <c r="F36" s="1664">
        <f>+AVERAGE(L36:S36)</f>
        <v>7.4385689189320578E-2</v>
      </c>
      <c r="G36" s="1665"/>
      <c r="H36" s="1666">
        <f t="shared" ref="H36:S36" si="5">+H25/H33</f>
        <v>5.8936987665193638E-3</v>
      </c>
      <c r="I36" s="1666">
        <f t="shared" si="5"/>
        <v>3.7934691624854439E-2</v>
      </c>
      <c r="J36" s="1666">
        <f t="shared" si="5"/>
        <v>6.8502264798727827E-2</v>
      </c>
      <c r="K36" s="1666">
        <f t="shared" si="5"/>
        <v>6.971997715019726E-2</v>
      </c>
      <c r="L36" s="1666">
        <f t="shared" si="5"/>
        <v>7.0357438439411363E-2</v>
      </c>
      <c r="M36" s="1666">
        <f t="shared" si="5"/>
        <v>7.1423556321783696E-2</v>
      </c>
      <c r="N36" s="1666">
        <f t="shared" si="5"/>
        <v>7.2727665165743541E-2</v>
      </c>
      <c r="O36" s="1666">
        <f t="shared" si="5"/>
        <v>7.4070223780303757E-2</v>
      </c>
      <c r="P36" s="1666">
        <f t="shared" si="5"/>
        <v>7.4819604875178594E-2</v>
      </c>
      <c r="Q36" s="1666">
        <f t="shared" si="5"/>
        <v>7.6014538883164409E-2</v>
      </c>
      <c r="R36" s="1666">
        <f t="shared" si="5"/>
        <v>7.7459883236908E-2</v>
      </c>
      <c r="S36" s="1706">
        <f t="shared" si="5"/>
        <v>7.8212602812071305E-2</v>
      </c>
      <c r="T36" s="1667"/>
      <c r="U36" s="1667"/>
      <c r="V36" s="1667"/>
      <c r="W36" s="1666">
        <f>W25/W33</f>
        <v>4.538973616055466E-2</v>
      </c>
      <c r="X36" s="1666">
        <f>X25/X33</f>
        <v>7.2125223534789201E-2</v>
      </c>
      <c r="Y36" s="1666">
        <f>Y25/Y33</f>
        <v>7.6607180444879061E-2</v>
      </c>
      <c r="Z36" s="397"/>
      <c r="AA36" s="1661"/>
      <c r="AB36" s="1649"/>
    </row>
  </sheetData>
  <conditionalFormatting sqref="B10">
    <cfRule type="cellIs" dxfId="217" priority="3" operator="equal">
      <formula>0</formula>
    </cfRule>
    <cfRule type="cellIs" dxfId="216" priority="4" operator="equal">
      <formula>1</formula>
    </cfRule>
  </conditionalFormatting>
  <conditionalFormatting sqref="B6">
    <cfRule type="cellIs" dxfId="215" priority="1" operator="equal">
      <formula>1</formula>
    </cfRule>
    <cfRule type="cellIs" dxfId="214" priority="2" operator="equal">
      <formula>4</formula>
    </cfRule>
  </conditionalFormatting>
  <dataValidations disablePrompts="1" count="1">
    <dataValidation type="list" allowBlank="1" showInputMessage="1" showErrorMessage="1" sqref="B6" xr:uid="{4331EB3A-320C-4C46-B947-342C2FD78687}">
      <formula1>$A$3:$A$4</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D1D20-26AA-4C6E-A487-9D4248CD7329}">
  <sheetPr codeName="Sheet5">
    <tabColor rgb="FF89BD3A"/>
    <pageSetUpPr fitToPage="1"/>
  </sheetPr>
  <dimension ref="A1:BX470"/>
  <sheetViews>
    <sheetView topLeftCell="A201" workbookViewId="0">
      <selection activeCell="AM224" sqref="AM224"/>
    </sheetView>
  </sheetViews>
  <sheetFormatPr baseColWidth="10" defaultColWidth="8.7109375" defaultRowHeight="15" outlineLevelRow="2" outlineLevelCol="1"/>
  <cols>
    <col min="1" max="1" width="1.7109375" customWidth="1"/>
    <col min="2" max="2" width="4.5703125" customWidth="1"/>
    <col min="3" max="3" width="41.5703125" customWidth="1"/>
    <col min="4" max="14" width="15.7109375" customWidth="1" outlineLevel="1"/>
    <col min="15" max="15" width="15.7109375" customWidth="1"/>
    <col min="16" max="16" width="16.42578125" customWidth="1"/>
    <col min="17" max="17" width="12.42578125" bestFit="1" customWidth="1"/>
    <col min="18" max="18" width="16.42578125" bestFit="1" customWidth="1"/>
    <col min="19" max="19" width="18.5703125" bestFit="1" customWidth="1"/>
    <col min="20" max="21" width="15.5703125" bestFit="1" customWidth="1"/>
    <col min="22" max="32" width="15.5703125" customWidth="1"/>
    <col min="33" max="35" width="15.42578125" customWidth="1" outlineLevel="1"/>
    <col min="36" max="38" width="15.5703125" customWidth="1" outlineLevel="1"/>
    <col min="39" max="39" width="16" customWidth="1" outlineLevel="1"/>
    <col min="40" max="41" width="15.42578125" customWidth="1" outlineLevel="1"/>
    <col min="42" max="42" width="14.42578125" customWidth="1" outlineLevel="1"/>
    <col min="43" max="45" width="15.42578125" customWidth="1" outlineLevel="1"/>
    <col min="46" max="46" width="14.42578125" customWidth="1" outlineLevel="1"/>
    <col min="47" max="49" width="15.42578125" customWidth="1" outlineLevel="1"/>
    <col min="50" max="50" width="14.42578125" customWidth="1" outlineLevel="1"/>
    <col min="51" max="53" width="15.42578125" customWidth="1" outlineLevel="1"/>
    <col min="54" max="54" width="14.42578125" customWidth="1" outlineLevel="1"/>
    <col min="55" max="57" width="15.42578125" customWidth="1" outlineLevel="1"/>
    <col min="58" max="58" width="14.42578125" customWidth="1" outlineLevel="1"/>
    <col min="59" max="59" width="15.42578125" customWidth="1" outlineLevel="1"/>
    <col min="60" max="60" width="3.5703125" customWidth="1"/>
    <col min="61" max="61" width="18" bestFit="1" customWidth="1"/>
    <col min="62" max="62" width="3.42578125" customWidth="1"/>
    <col min="63" max="63" width="26" customWidth="1"/>
    <col min="64" max="64" width="3.42578125" customWidth="1"/>
    <col min="65" max="66" width="15.5703125" customWidth="1"/>
    <col min="67" max="67" width="16.5703125" bestFit="1" customWidth="1"/>
    <col min="68" max="68" width="15" customWidth="1"/>
    <col min="69" max="69" width="15.5703125" bestFit="1" customWidth="1"/>
    <col min="70" max="70" width="17.5703125" customWidth="1"/>
    <col min="71" max="71" width="19.5703125" customWidth="1"/>
    <col min="72" max="72" width="13.5703125" customWidth="1"/>
    <col min="73" max="73" width="12" customWidth="1"/>
    <col min="74" max="74" width="14.5703125" bestFit="1" customWidth="1"/>
    <col min="75" max="75" width="3.42578125" customWidth="1"/>
    <col min="76" max="76" width="17.42578125" bestFit="1" customWidth="1"/>
  </cols>
  <sheetData>
    <row r="1" spans="1:76" s="1" customFormat="1">
      <c r="A1" s="1" t="str">
        <f ca="1">UPPER(MID(CELL("filename",A1),FIND("[",CELL("filename",A1))+1,FIND("]",CELL("filename",A1))-FIND("[",CELL("filename",A1))-5))</f>
        <v>VORLAGE.</v>
      </c>
    </row>
    <row r="2" spans="1:76" s="1" customFormat="1">
      <c r="A2" s="1" t="s">
        <v>606</v>
      </c>
      <c r="R2" s="89" t="str">
        <f>GA!K94</f>
        <v>Deposit Date</v>
      </c>
      <c r="S2" s="89" t="str">
        <f>GA!L94</f>
        <v>Closing Date</v>
      </c>
    </row>
    <row r="3" spans="1:76" s="1" customFormat="1">
      <c r="P3" s="1" t="str">
        <f>GA!E95</f>
        <v>Deal Quarter Start</v>
      </c>
      <c r="R3" s="88">
        <f>GA!K95</f>
        <v>44197</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c r="BM3" s="88">
        <f>GA!M106</f>
        <v>44256</v>
      </c>
      <c r="BN3" s="88">
        <f>GA!N106</f>
        <v>44621</v>
      </c>
      <c r="BO3" s="88">
        <f>GA!O106</f>
        <v>44986</v>
      </c>
      <c r="BP3" s="88">
        <f>GA!P106</f>
        <v>45352</v>
      </c>
      <c r="BQ3" s="88">
        <f>GA!Q106</f>
        <v>45717</v>
      </c>
      <c r="BR3" s="88">
        <f>GA!R106</f>
        <v>46082</v>
      </c>
      <c r="BS3" s="88">
        <f>GA!S106</f>
        <v>46447</v>
      </c>
      <c r="BT3" s="88">
        <f>GA!T106</f>
        <v>46813</v>
      </c>
      <c r="BU3" s="88">
        <f>GA!U106</f>
        <v>47178</v>
      </c>
      <c r="BV3" s="88">
        <f>GA!V106</f>
        <v>47543</v>
      </c>
    </row>
    <row r="4" spans="1:76" s="1" customFormat="1">
      <c r="A4" s="1" t="str">
        <f>CHOOSE(GA!$F$30,GA!E31,GA!E32)</f>
        <v>IPO Case</v>
      </c>
      <c r="P4" s="1" t="str">
        <f>GA!E96</f>
        <v>Deal Quarter End</v>
      </c>
      <c r="R4" s="88">
        <f>GA!K96</f>
        <v>44197</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c r="BM4" s="88">
        <f>GA!M107</f>
        <v>44620</v>
      </c>
      <c r="BN4" s="88">
        <f>GA!N107</f>
        <v>44985</v>
      </c>
      <c r="BO4" s="88">
        <f>GA!O107</f>
        <v>45351</v>
      </c>
      <c r="BP4" s="88">
        <f>GA!P107</f>
        <v>45716</v>
      </c>
      <c r="BQ4" s="88">
        <f>GA!Q107</f>
        <v>46081</v>
      </c>
      <c r="BR4" s="88">
        <f>GA!R107</f>
        <v>46446</v>
      </c>
      <c r="BS4" s="88">
        <f>GA!S107</f>
        <v>46812</v>
      </c>
      <c r="BT4" s="88">
        <f>GA!T107</f>
        <v>47177</v>
      </c>
      <c r="BU4" s="88">
        <f>GA!U107</f>
        <v>47542</v>
      </c>
      <c r="BV4" s="88">
        <f>GA!V107</f>
        <v>47907</v>
      </c>
    </row>
    <row r="5" spans="1:76" s="1" customFormat="1">
      <c r="P5" s="1" t="str">
        <f>GA!E97</f>
        <v>Deal Quarter Count</v>
      </c>
      <c r="R5" s="89">
        <f>GA!K97</f>
        <v>-1</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c r="BM5" s="1075">
        <f>GA!M108</f>
        <v>4</v>
      </c>
      <c r="BN5" s="1075">
        <f>GA!N108</f>
        <v>8</v>
      </c>
      <c r="BO5" s="1075">
        <f>GA!O108</f>
        <v>12</v>
      </c>
      <c r="BP5" s="1075">
        <f>GA!P108</f>
        <v>16</v>
      </c>
      <c r="BQ5" s="1075">
        <f>GA!Q108</f>
        <v>20</v>
      </c>
      <c r="BR5" s="1075">
        <f>GA!R108</f>
        <v>24</v>
      </c>
      <c r="BS5" s="1075">
        <f>GA!S108</f>
        <v>28</v>
      </c>
      <c r="BT5" s="1075">
        <f>GA!T108</f>
        <v>32</v>
      </c>
      <c r="BU5" s="1075">
        <f>GA!U108</f>
        <v>36</v>
      </c>
      <c r="BV5" s="1075">
        <f>GA!V108</f>
        <v>40</v>
      </c>
    </row>
    <row r="6" spans="1:76" s="1" customFormat="1" outlineLevel="2">
      <c r="P6" s="1" t="str">
        <f>GA!E98</f>
        <v>Days in Period (30/360)</v>
      </c>
      <c r="R6" s="89">
        <f>GA!K98</f>
        <v>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c r="BM6" s="1076">
        <f>GA!M109</f>
        <v>1</v>
      </c>
      <c r="BN6" s="1076">
        <f>GA!N109</f>
        <v>2</v>
      </c>
      <c r="BO6" s="1076">
        <f>GA!O109</f>
        <v>3</v>
      </c>
      <c r="BP6" s="1076">
        <f>GA!P109</f>
        <v>4</v>
      </c>
      <c r="BQ6" s="1076">
        <f>GA!Q109</f>
        <v>5</v>
      </c>
      <c r="BR6" s="1076">
        <f>GA!R109</f>
        <v>6</v>
      </c>
      <c r="BS6" s="1076">
        <f>GA!S109</f>
        <v>7</v>
      </c>
      <c r="BT6" s="1076">
        <f>GA!T109</f>
        <v>8</v>
      </c>
      <c r="BU6" s="1076">
        <f>GA!U109</f>
        <v>9</v>
      </c>
      <c r="BV6" s="1076">
        <f>GA!V109</f>
        <v>10</v>
      </c>
      <c r="BX6" s="1" t="s">
        <v>152</v>
      </c>
    </row>
    <row r="7" spans="1:76" s="1" customFormat="1" outlineLevel="2">
      <c r="P7" s="1" t="str">
        <f>GA!E99</f>
        <v>Days in Period (Act/Act)</v>
      </c>
      <c r="R7" s="89">
        <f>GA!K99</f>
        <v>0</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76" s="1" customFormat="1" outlineLevel="2">
      <c r="P8" s="1" t="str">
        <f>GA!E100</f>
        <v>Deal Year</v>
      </c>
      <c r="R8" s="89">
        <f>GA!K100</f>
        <v>0</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76" s="1" customFormat="1" outlineLevel="2">
      <c r="P9" s="1" t="str">
        <f>GA!E101</f>
        <v>Calendar Quarter</v>
      </c>
      <c r="R9" s="89">
        <f>GA!K101</f>
        <v>1</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76" s="1" customFormat="1" outlineLevel="2">
      <c r="P10" s="1" t="str">
        <f>GA!E102</f>
        <v>Calendar Year</v>
      </c>
      <c r="R10" s="89">
        <f>GA!K102</f>
        <v>2021</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c r="BK10" s="1" t="s">
        <v>24</v>
      </c>
    </row>
    <row r="12" spans="1:76" s="90" customFormat="1">
      <c r="B12" s="91">
        <f>MAX($B$1:B11)+1</f>
        <v>1</v>
      </c>
      <c r="C12" s="92" t="s">
        <v>689</v>
      </c>
      <c r="D12" s="92"/>
      <c r="E12" s="92"/>
      <c r="F12" s="92"/>
      <c r="G12" s="92"/>
      <c r="H12" s="92"/>
      <c r="I12" s="92"/>
      <c r="J12" s="92"/>
      <c r="K12" s="92"/>
      <c r="L12" s="92"/>
      <c r="M12" s="92"/>
      <c r="N12" s="92"/>
      <c r="O12" s="92"/>
    </row>
    <row r="14" spans="1:76" outlineLevel="1">
      <c r="C14" s="391" t="s">
        <v>400</v>
      </c>
      <c r="D14" s="391"/>
      <c r="E14" s="391"/>
      <c r="F14" s="391"/>
      <c r="G14" s="391"/>
      <c r="H14" s="391"/>
      <c r="I14" s="391"/>
      <c r="J14" s="391"/>
      <c r="K14" s="391"/>
      <c r="L14" s="391"/>
      <c r="M14" s="391"/>
      <c r="N14" s="391"/>
      <c r="O14" s="391"/>
      <c r="P14" s="391"/>
      <c r="Q14" s="391"/>
      <c r="R14" s="391"/>
      <c r="S14" s="391"/>
      <c r="T14" s="391"/>
      <c r="U14" s="391"/>
      <c r="V14" s="391"/>
      <c r="W14" s="391"/>
      <c r="X14" s="391"/>
      <c r="Y14" s="391"/>
      <c r="Z14" s="391"/>
      <c r="AA14" s="391"/>
      <c r="AB14" s="391"/>
      <c r="AC14" s="391"/>
      <c r="AD14" s="391"/>
      <c r="AE14" s="391"/>
      <c r="AF14" s="391"/>
      <c r="AG14" s="391"/>
      <c r="AH14" s="391"/>
      <c r="AI14" s="391"/>
      <c r="AJ14" s="391"/>
      <c r="AK14" s="391"/>
      <c r="AL14" s="391"/>
      <c r="AM14" s="391"/>
      <c r="AN14" s="391"/>
      <c r="AO14" s="391"/>
      <c r="AP14" s="391"/>
      <c r="AQ14" s="391"/>
      <c r="AR14" s="391"/>
      <c r="AS14" s="391"/>
      <c r="AT14" s="391"/>
      <c r="AU14" s="391"/>
      <c r="AV14" s="391"/>
      <c r="AW14" s="391"/>
      <c r="AX14" s="391"/>
      <c r="AY14" s="391"/>
      <c r="AZ14" s="391"/>
      <c r="BA14" s="391"/>
      <c r="BB14" s="391"/>
      <c r="BC14" s="391"/>
      <c r="BD14" s="391"/>
      <c r="BE14" s="391"/>
      <c r="BF14" s="391"/>
      <c r="BG14" s="391"/>
      <c r="BI14" s="391"/>
      <c r="BK14" s="391"/>
      <c r="BM14" s="391"/>
      <c r="BN14" s="391"/>
      <c r="BO14" s="391"/>
      <c r="BP14" s="391"/>
      <c r="BQ14" s="391"/>
      <c r="BR14" s="391"/>
      <c r="BS14" s="391"/>
      <c r="BT14" s="391"/>
      <c r="BU14" s="391"/>
      <c r="BV14" s="391"/>
      <c r="BX14" s="391"/>
    </row>
    <row r="15" spans="1:76" outlineLevel="1"/>
    <row r="16" spans="1:76" outlineLevel="1">
      <c r="C16" t="s">
        <v>203</v>
      </c>
      <c r="S16" s="319">
        <f>PCF!S14</f>
        <v>1</v>
      </c>
      <c r="T16" s="319">
        <f>PCF!T14</f>
        <v>1.0049629315732038</v>
      </c>
      <c r="U16" s="319">
        <f>PCF!U14</f>
        <v>1.0099504938362081</v>
      </c>
      <c r="V16" s="319">
        <f>PCF!V14</f>
        <v>1.0149628090294405</v>
      </c>
      <c r="W16" s="319">
        <f>PCF!W14</f>
        <v>1.0200000000000002</v>
      </c>
      <c r="X16" s="319">
        <f>PCF!X14</f>
        <v>1.0250621902046682</v>
      </c>
      <c r="Y16" s="319">
        <f>PCF!Y14</f>
        <v>1.0301495037129325</v>
      </c>
      <c r="Z16" s="319">
        <f>PCF!Z14</f>
        <v>1.0352620652100297</v>
      </c>
      <c r="AA16" s="319">
        <f>PCF!AA14</f>
        <v>1.0404000000000009</v>
      </c>
      <c r="AB16" s="319">
        <f>PCF!AB14</f>
        <v>1.0455634340087621</v>
      </c>
      <c r="AC16" s="319">
        <f>PCF!AC14</f>
        <v>1.0507524937871915</v>
      </c>
      <c r="AD16" s="319">
        <f>PCF!AD14</f>
        <v>1.0559673065142305</v>
      </c>
      <c r="AE16" s="319">
        <f>PCF!AE14</f>
        <v>1.061208000000001</v>
      </c>
      <c r="AF16" s="319">
        <f>PCF!AF14</f>
        <v>1.0664747026889376</v>
      </c>
      <c r="AG16" s="319">
        <f>PCF!AG14</f>
        <v>1.0717675436629357</v>
      </c>
      <c r="AH16" s="319">
        <f>PCF!AH14</f>
        <v>1.0770866526445155</v>
      </c>
      <c r="AI16" s="319">
        <f>PCF!AI14</f>
        <v>1.0824321600000013</v>
      </c>
      <c r="AJ16" s="319">
        <f>PCF!AJ14</f>
        <v>1.0878041967427166</v>
      </c>
      <c r="AK16" s="319">
        <f>PCF!AK14</f>
        <v>1.0932028945361947</v>
      </c>
      <c r="AL16" s="319">
        <f>PCF!AL14</f>
        <v>1.0986283856974062</v>
      </c>
      <c r="AM16" s="319">
        <f>PCF!AM14</f>
        <v>1.1040808032000018</v>
      </c>
      <c r="AN16" s="319">
        <f>PCF!AN14</f>
        <v>1.1095602806775713</v>
      </c>
      <c r="AO16" s="319">
        <f>PCF!AO14</f>
        <v>1.115066952426919</v>
      </c>
      <c r="AP16" s="319">
        <f>PCF!AP14</f>
        <v>1.1206009534113548</v>
      </c>
      <c r="AQ16" s="319">
        <f>PCF!AQ14</f>
        <v>1.1261624192640023</v>
      </c>
      <c r="AR16" s="319">
        <f>PCF!AR14</f>
        <v>1.1317514862911231</v>
      </c>
      <c r="AS16" s="319">
        <f>PCF!AS14</f>
        <v>1.1373682914754577</v>
      </c>
      <c r="AT16" s="319">
        <f>PCF!AT14</f>
        <v>1.1430129724795821</v>
      </c>
      <c r="AU16" s="319">
        <f>PCF!AU14</f>
        <v>1.1486856676492825</v>
      </c>
      <c r="AV16" s="319">
        <f>PCF!AV14</f>
        <v>1.1543865160169458</v>
      </c>
      <c r="AW16" s="319">
        <f>PCF!AW14</f>
        <v>1.1601156573049669</v>
      </c>
      <c r="AX16" s="319">
        <f>PCF!AX14</f>
        <v>1.1658732319291738</v>
      </c>
      <c r="AY16" s="319">
        <f>PCF!AY14</f>
        <v>1.1716593810022682</v>
      </c>
      <c r="AZ16" s="319">
        <f>PCF!AZ14</f>
        <v>1.1774742463372847</v>
      </c>
      <c r="BA16" s="319">
        <f>PCF!BA14</f>
        <v>1.1833179704510663</v>
      </c>
      <c r="BB16" s="319">
        <f>PCF!BB14</f>
        <v>1.1891906965677574</v>
      </c>
      <c r="BC16" s="319">
        <f>PCF!BC14</f>
        <v>1.1950925686223137</v>
      </c>
      <c r="BD16" s="319">
        <f>PCF!BD14</f>
        <v>1.2010237312640306</v>
      </c>
      <c r="BE16" s="319">
        <f>PCF!BE14</f>
        <v>1.206984329860088</v>
      </c>
      <c r="BF16" s="319">
        <f>PCF!BF14</f>
        <v>1.2129745104991128</v>
      </c>
      <c r="BG16" s="319">
        <f>PCF!BG14</f>
        <v>1.2189944199947602</v>
      </c>
      <c r="BI16" s="39" t="s">
        <v>153</v>
      </c>
      <c r="BX16" s="39" t="s">
        <v>153</v>
      </c>
    </row>
    <row r="17" spans="3:76" outlineLevel="1"/>
    <row r="18" spans="3:76" outlineLevel="1">
      <c r="C18" s="391" t="s">
        <v>1384</v>
      </c>
      <c r="D18" s="391"/>
      <c r="E18" s="391"/>
      <c r="F18" s="391"/>
      <c r="G18" s="391"/>
      <c r="H18" s="391"/>
      <c r="I18" s="391"/>
      <c r="J18" s="391"/>
      <c r="K18" s="391"/>
      <c r="L18" s="391"/>
      <c r="M18" s="391"/>
      <c r="N18" s="391"/>
      <c r="O18" s="391"/>
      <c r="P18" s="391"/>
      <c r="Q18" s="391"/>
      <c r="R18" s="391"/>
      <c r="S18" s="391"/>
      <c r="T18" s="391"/>
      <c r="U18" s="391"/>
      <c r="V18" s="391"/>
      <c r="W18" s="391"/>
      <c r="X18" s="391"/>
      <c r="Y18" s="391"/>
      <c r="Z18" s="391"/>
      <c r="AA18" s="391"/>
      <c r="AB18" s="391"/>
      <c r="AC18" s="391"/>
      <c r="AD18" s="391"/>
      <c r="AE18" s="391"/>
      <c r="AF18" s="391"/>
      <c r="AG18" s="391"/>
      <c r="AH18" s="391"/>
      <c r="AI18" s="391"/>
      <c r="AJ18" s="391"/>
      <c r="AK18" s="391"/>
      <c r="AL18" s="391"/>
      <c r="AM18" s="391"/>
      <c r="AN18" s="391"/>
      <c r="AO18" s="391"/>
      <c r="AP18" s="391"/>
      <c r="AQ18" s="391"/>
      <c r="AR18" s="391"/>
      <c r="AS18" s="391"/>
      <c r="AT18" s="391"/>
      <c r="AU18" s="391"/>
      <c r="AV18" s="391"/>
      <c r="AW18" s="391"/>
      <c r="AX18" s="391"/>
      <c r="AY18" s="391"/>
      <c r="AZ18" s="391"/>
      <c r="BA18" s="391"/>
      <c r="BB18" s="391"/>
      <c r="BC18" s="391"/>
      <c r="BD18" s="391"/>
      <c r="BE18" s="391"/>
      <c r="BF18" s="391"/>
      <c r="BG18" s="391"/>
      <c r="BI18" s="391"/>
      <c r="BK18" s="391"/>
      <c r="BM18" s="391"/>
      <c r="BN18" s="391"/>
      <c r="BO18" s="391"/>
      <c r="BP18" s="391"/>
      <c r="BQ18" s="391"/>
      <c r="BR18" s="391"/>
      <c r="BS18" s="391"/>
      <c r="BT18" s="391"/>
      <c r="BU18" s="391"/>
      <c r="BV18" s="391"/>
      <c r="BX18" s="391"/>
    </row>
    <row r="19" spans="3:76" outlineLevel="1"/>
    <row r="20" spans="3:76" outlineLevel="1">
      <c r="C20" t="s">
        <v>1385</v>
      </c>
      <c r="T20">
        <f>(T26&gt;0)*1</f>
        <v>1</v>
      </c>
      <c r="U20">
        <f t="shared" ref="U20:BG20" si="0">(U26&gt;0)*1</f>
        <v>1</v>
      </c>
      <c r="V20">
        <f t="shared" si="0"/>
        <v>1</v>
      </c>
      <c r="W20">
        <f t="shared" si="0"/>
        <v>1</v>
      </c>
      <c r="X20">
        <f t="shared" si="0"/>
        <v>1</v>
      </c>
      <c r="Y20">
        <f t="shared" si="0"/>
        <v>1</v>
      </c>
      <c r="Z20">
        <f t="shared" si="0"/>
        <v>1</v>
      </c>
      <c r="AA20">
        <f t="shared" si="0"/>
        <v>1</v>
      </c>
      <c r="AB20">
        <f t="shared" si="0"/>
        <v>1</v>
      </c>
      <c r="AC20">
        <f t="shared" si="0"/>
        <v>1</v>
      </c>
      <c r="AD20">
        <f t="shared" si="0"/>
        <v>1</v>
      </c>
      <c r="AE20">
        <f t="shared" si="0"/>
        <v>1</v>
      </c>
      <c r="AF20">
        <f t="shared" si="0"/>
        <v>0</v>
      </c>
      <c r="AG20">
        <f t="shared" si="0"/>
        <v>0</v>
      </c>
      <c r="AH20">
        <f t="shared" si="0"/>
        <v>0</v>
      </c>
      <c r="AI20">
        <f t="shared" si="0"/>
        <v>0</v>
      </c>
      <c r="AJ20">
        <f t="shared" si="0"/>
        <v>0</v>
      </c>
      <c r="AK20">
        <f t="shared" si="0"/>
        <v>0</v>
      </c>
      <c r="AL20">
        <f t="shared" si="0"/>
        <v>0</v>
      </c>
      <c r="AM20">
        <f t="shared" si="0"/>
        <v>0</v>
      </c>
      <c r="AN20">
        <f t="shared" si="0"/>
        <v>0</v>
      </c>
      <c r="AO20">
        <f t="shared" si="0"/>
        <v>0</v>
      </c>
      <c r="AP20">
        <f t="shared" si="0"/>
        <v>0</v>
      </c>
      <c r="AQ20">
        <f t="shared" si="0"/>
        <v>0</v>
      </c>
      <c r="AR20">
        <f t="shared" si="0"/>
        <v>0</v>
      </c>
      <c r="AS20">
        <f t="shared" si="0"/>
        <v>0</v>
      </c>
      <c r="AT20">
        <f t="shared" si="0"/>
        <v>0</v>
      </c>
      <c r="AU20">
        <f t="shared" si="0"/>
        <v>0</v>
      </c>
      <c r="AV20">
        <f t="shared" si="0"/>
        <v>0</v>
      </c>
      <c r="AW20">
        <f t="shared" si="0"/>
        <v>0</v>
      </c>
      <c r="AX20">
        <f t="shared" si="0"/>
        <v>0</v>
      </c>
      <c r="AY20">
        <f t="shared" si="0"/>
        <v>0</v>
      </c>
      <c r="AZ20">
        <f t="shared" si="0"/>
        <v>0</v>
      </c>
      <c r="BA20">
        <f t="shared" si="0"/>
        <v>0</v>
      </c>
      <c r="BB20">
        <f t="shared" si="0"/>
        <v>0</v>
      </c>
      <c r="BC20">
        <f t="shared" si="0"/>
        <v>0</v>
      </c>
      <c r="BD20">
        <f t="shared" si="0"/>
        <v>0</v>
      </c>
      <c r="BE20">
        <f t="shared" si="0"/>
        <v>0</v>
      </c>
      <c r="BF20">
        <f t="shared" si="0"/>
        <v>0</v>
      </c>
      <c r="BG20">
        <f t="shared" si="0"/>
        <v>0</v>
      </c>
      <c r="BI20" s="39" t="s">
        <v>153</v>
      </c>
      <c r="BX20" s="39" t="s">
        <v>153</v>
      </c>
    </row>
    <row r="21" spans="3:76" outlineLevel="1">
      <c r="C21" t="s">
        <v>1410</v>
      </c>
      <c r="T21">
        <f>AND(T26&gt;0,T27=0)*1</f>
        <v>0</v>
      </c>
      <c r="U21">
        <f t="shared" ref="U21:BG21" si="1">AND(U26&gt;0,U27=0)*1</f>
        <v>0</v>
      </c>
      <c r="V21">
        <f t="shared" si="1"/>
        <v>0</v>
      </c>
      <c r="W21">
        <f t="shared" si="1"/>
        <v>0</v>
      </c>
      <c r="X21">
        <f t="shared" si="1"/>
        <v>0</v>
      </c>
      <c r="Y21">
        <f t="shared" si="1"/>
        <v>0</v>
      </c>
      <c r="Z21">
        <f t="shared" si="1"/>
        <v>0</v>
      </c>
      <c r="AA21">
        <f t="shared" si="1"/>
        <v>0</v>
      </c>
      <c r="AB21">
        <f t="shared" si="1"/>
        <v>0</v>
      </c>
      <c r="AC21">
        <f t="shared" si="1"/>
        <v>0</v>
      </c>
      <c r="AD21">
        <f t="shared" si="1"/>
        <v>0</v>
      </c>
      <c r="AE21">
        <f t="shared" si="1"/>
        <v>1</v>
      </c>
      <c r="AF21">
        <f t="shared" si="1"/>
        <v>0</v>
      </c>
      <c r="AG21">
        <f t="shared" si="1"/>
        <v>0</v>
      </c>
      <c r="AH21">
        <f t="shared" si="1"/>
        <v>0</v>
      </c>
      <c r="AI21">
        <f t="shared" si="1"/>
        <v>0</v>
      </c>
      <c r="AJ21">
        <f t="shared" si="1"/>
        <v>0</v>
      </c>
      <c r="AK21">
        <f t="shared" si="1"/>
        <v>0</v>
      </c>
      <c r="AL21">
        <f t="shared" si="1"/>
        <v>0</v>
      </c>
      <c r="AM21">
        <f t="shared" si="1"/>
        <v>0</v>
      </c>
      <c r="AN21">
        <f t="shared" si="1"/>
        <v>0</v>
      </c>
      <c r="AO21">
        <f t="shared" si="1"/>
        <v>0</v>
      </c>
      <c r="AP21">
        <f t="shared" si="1"/>
        <v>0</v>
      </c>
      <c r="AQ21">
        <f t="shared" si="1"/>
        <v>0</v>
      </c>
      <c r="AR21">
        <f t="shared" si="1"/>
        <v>0</v>
      </c>
      <c r="AS21">
        <f t="shared" si="1"/>
        <v>0</v>
      </c>
      <c r="AT21">
        <f t="shared" si="1"/>
        <v>0</v>
      </c>
      <c r="AU21">
        <f t="shared" si="1"/>
        <v>0</v>
      </c>
      <c r="AV21">
        <f t="shared" si="1"/>
        <v>0</v>
      </c>
      <c r="AW21">
        <f t="shared" si="1"/>
        <v>0</v>
      </c>
      <c r="AX21">
        <f t="shared" si="1"/>
        <v>0</v>
      </c>
      <c r="AY21">
        <f t="shared" si="1"/>
        <v>0</v>
      </c>
      <c r="AZ21">
        <f t="shared" si="1"/>
        <v>0</v>
      </c>
      <c r="BA21">
        <f t="shared" si="1"/>
        <v>0</v>
      </c>
      <c r="BB21">
        <f t="shared" si="1"/>
        <v>0</v>
      </c>
      <c r="BC21">
        <f t="shared" si="1"/>
        <v>0</v>
      </c>
      <c r="BD21">
        <f t="shared" si="1"/>
        <v>0</v>
      </c>
      <c r="BE21">
        <f t="shared" si="1"/>
        <v>0</v>
      </c>
      <c r="BF21">
        <f t="shared" si="1"/>
        <v>0</v>
      </c>
      <c r="BG21">
        <f t="shared" si="1"/>
        <v>0</v>
      </c>
      <c r="BI21" s="39"/>
      <c r="BM21" s="310">
        <f t="shared" ref="BM21:BV21" si="2">INDEX($T21:$BG21,MATCH(BM$5,$T$5:$BG$5,0))</f>
        <v>0</v>
      </c>
      <c r="BN21" s="310">
        <f t="shared" si="2"/>
        <v>0</v>
      </c>
      <c r="BO21" s="310">
        <f t="shared" si="2"/>
        <v>1</v>
      </c>
      <c r="BP21" s="310">
        <f t="shared" si="2"/>
        <v>0</v>
      </c>
      <c r="BQ21" s="310">
        <f t="shared" si="2"/>
        <v>0</v>
      </c>
      <c r="BR21" s="310">
        <f t="shared" si="2"/>
        <v>0</v>
      </c>
      <c r="BS21" s="310">
        <f t="shared" si="2"/>
        <v>0</v>
      </c>
      <c r="BT21" s="310">
        <f t="shared" si="2"/>
        <v>0</v>
      </c>
      <c r="BU21" s="310">
        <f t="shared" si="2"/>
        <v>0</v>
      </c>
      <c r="BV21" s="310">
        <f t="shared" si="2"/>
        <v>0</v>
      </c>
      <c r="BX21" s="39"/>
    </row>
    <row r="22" spans="3:76" outlineLevel="1"/>
    <row r="23" spans="3:76">
      <c r="C23" s="391" t="s">
        <v>607</v>
      </c>
      <c r="D23" s="391"/>
      <c r="E23" s="391"/>
      <c r="F23" s="391"/>
      <c r="G23" s="391"/>
      <c r="H23" s="391"/>
      <c r="I23" s="391"/>
      <c r="J23" s="391"/>
      <c r="K23" s="391"/>
      <c r="L23" s="391"/>
      <c r="M23" s="391"/>
      <c r="N23" s="391"/>
      <c r="O23" s="391"/>
      <c r="P23" s="391"/>
      <c r="Q23" s="391"/>
      <c r="R23" s="391"/>
      <c r="S23" s="391"/>
      <c r="T23" s="391"/>
      <c r="U23" s="391"/>
      <c r="V23" s="391"/>
      <c r="W23" s="391"/>
      <c r="X23" s="391"/>
      <c r="Y23" s="391"/>
      <c r="Z23" s="391"/>
      <c r="AA23" s="391"/>
      <c r="AB23" s="391"/>
      <c r="AC23" s="391"/>
      <c r="AD23" s="391"/>
      <c r="AE23" s="391"/>
      <c r="AF23" s="391"/>
      <c r="AG23" s="391"/>
      <c r="AH23" s="391"/>
      <c r="AI23" s="391"/>
      <c r="AJ23" s="391"/>
      <c r="AK23" s="391"/>
      <c r="AL23" s="391"/>
      <c r="AM23" s="391"/>
      <c r="AN23" s="391"/>
      <c r="AO23" s="391"/>
      <c r="AP23" s="391"/>
      <c r="AQ23" s="391"/>
      <c r="AR23" s="391"/>
      <c r="AS23" s="391"/>
      <c r="AT23" s="391"/>
      <c r="AU23" s="391"/>
      <c r="AV23" s="391"/>
      <c r="AW23" s="391"/>
      <c r="AX23" s="391"/>
      <c r="AY23" s="391"/>
      <c r="AZ23" s="391"/>
      <c r="BA23" s="391"/>
      <c r="BB23" s="391"/>
      <c r="BC23" s="391"/>
      <c r="BD23" s="391"/>
      <c r="BE23" s="391"/>
      <c r="BF23" s="391"/>
      <c r="BG23" s="391"/>
      <c r="BI23" s="391"/>
      <c r="BK23" s="391"/>
      <c r="BM23" s="391"/>
      <c r="BN23" s="391"/>
      <c r="BO23" s="391"/>
      <c r="BP23" s="391"/>
      <c r="BQ23" s="391"/>
      <c r="BR23" s="391"/>
      <c r="BS23" s="391"/>
      <c r="BT23" s="391"/>
      <c r="BU23" s="391"/>
      <c r="BV23" s="391"/>
      <c r="BX23" s="391"/>
    </row>
    <row r="25" spans="3:76">
      <c r="C25" s="364" t="s">
        <v>608</v>
      </c>
      <c r="D25" s="364"/>
      <c r="E25" s="364"/>
      <c r="F25" s="364"/>
      <c r="G25" s="364"/>
      <c r="H25" s="364"/>
      <c r="I25" s="364"/>
      <c r="J25" s="364"/>
      <c r="K25" s="364"/>
      <c r="L25" s="364"/>
      <c r="M25" s="364"/>
      <c r="N25" s="364"/>
      <c r="O25" s="364"/>
      <c r="P25" s="364"/>
      <c r="Q25" s="364"/>
      <c r="R25" s="364"/>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row>
    <row r="26" spans="3:76">
      <c r="C26" t="s">
        <v>609</v>
      </c>
      <c r="R26" s="392"/>
      <c r="S26" s="392"/>
      <c r="T26" s="403">
        <f>PCF!T283</f>
        <v>1</v>
      </c>
      <c r="U26" s="403">
        <f>PCF!U283</f>
        <v>2</v>
      </c>
      <c r="V26" s="403">
        <f>PCF!V283</f>
        <v>3</v>
      </c>
      <c r="W26" s="403">
        <f>PCF!W283</f>
        <v>3</v>
      </c>
      <c r="X26" s="403">
        <f>PCF!X283</f>
        <v>3</v>
      </c>
      <c r="Y26" s="403">
        <f>PCF!Y283</f>
        <v>3</v>
      </c>
      <c r="Z26" s="403">
        <f>PCF!Z283</f>
        <v>3</v>
      </c>
      <c r="AA26" s="403">
        <f>PCF!AA283</f>
        <v>3</v>
      </c>
      <c r="AB26" s="403">
        <f>PCF!AB283</f>
        <v>3</v>
      </c>
      <c r="AC26" s="403">
        <f>PCF!AC283</f>
        <v>3</v>
      </c>
      <c r="AD26" s="403">
        <f>PCF!AD283</f>
        <v>3</v>
      </c>
      <c r="AE26" s="403">
        <f>PCF!AE283</f>
        <v>3</v>
      </c>
      <c r="AF26" s="403">
        <f>PCF!AF283</f>
        <v>0</v>
      </c>
      <c r="AG26" s="403">
        <f>PCF!AG283</f>
        <v>0</v>
      </c>
      <c r="AH26" s="403">
        <f>PCF!AH283</f>
        <v>0</v>
      </c>
      <c r="AI26" s="403">
        <f>PCF!AI283</f>
        <v>0</v>
      </c>
      <c r="AJ26" s="403">
        <f>PCF!AJ283</f>
        <v>0</v>
      </c>
      <c r="AK26" s="403">
        <f>PCF!AK283</f>
        <v>0</v>
      </c>
      <c r="AL26" s="403">
        <f>PCF!AL283</f>
        <v>0</v>
      </c>
      <c r="AM26" s="403">
        <f>PCF!AM283</f>
        <v>0</v>
      </c>
      <c r="AN26" s="403">
        <f>PCF!AN283</f>
        <v>0</v>
      </c>
      <c r="AO26" s="403">
        <f>PCF!AO283</f>
        <v>0</v>
      </c>
      <c r="AP26" s="403">
        <f>PCF!AP283</f>
        <v>0</v>
      </c>
      <c r="AQ26" s="403">
        <f>PCF!AQ283</f>
        <v>0</v>
      </c>
      <c r="AR26" s="403">
        <f>PCF!AR283</f>
        <v>0</v>
      </c>
      <c r="AS26" s="403">
        <f>PCF!AS283</f>
        <v>0</v>
      </c>
      <c r="AT26" s="403">
        <f>PCF!AT283</f>
        <v>0</v>
      </c>
      <c r="AU26" s="403">
        <f>PCF!AU283</f>
        <v>0</v>
      </c>
      <c r="AV26" s="403">
        <f>PCF!AV283</f>
        <v>0</v>
      </c>
      <c r="AW26" s="403">
        <f>PCF!AW283</f>
        <v>0</v>
      </c>
      <c r="AX26" s="403">
        <f>PCF!AX283</f>
        <v>0</v>
      </c>
      <c r="AY26" s="403">
        <f>PCF!AY283</f>
        <v>0</v>
      </c>
      <c r="AZ26" s="403">
        <f>PCF!AZ283</f>
        <v>0</v>
      </c>
      <c r="BA26" s="403">
        <f>PCF!BA283</f>
        <v>0</v>
      </c>
      <c r="BB26" s="403">
        <f>PCF!BB283</f>
        <v>0</v>
      </c>
      <c r="BC26" s="403">
        <f>PCF!BC283</f>
        <v>0</v>
      </c>
      <c r="BD26" s="403">
        <f>PCF!BD283</f>
        <v>0</v>
      </c>
      <c r="BE26" s="403">
        <f>PCF!BE283</f>
        <v>0</v>
      </c>
      <c r="BF26" s="403">
        <f>PCF!BF283</f>
        <v>0</v>
      </c>
      <c r="BG26" s="403">
        <f>PCF!BG283</f>
        <v>0</v>
      </c>
      <c r="BI26" s="1067" t="s">
        <v>153</v>
      </c>
      <c r="BK26" s="257" t="b">
        <f>COUNTIF(BK27:BK317,"TRUE")=COUNTA(BK27:BK317)</f>
        <v>0</v>
      </c>
      <c r="BM26" s="368">
        <f t="shared" ref="BM26:BV26" si="3">INDEX($T26:$BG26,MATCH(BM$5-3,$T$5:$BG$5,0))</f>
        <v>1</v>
      </c>
      <c r="BN26" s="368">
        <f t="shared" si="3"/>
        <v>3</v>
      </c>
      <c r="BO26" s="368">
        <f t="shared" si="3"/>
        <v>3</v>
      </c>
      <c r="BP26" s="368">
        <f t="shared" si="3"/>
        <v>0</v>
      </c>
      <c r="BQ26" s="368">
        <f t="shared" si="3"/>
        <v>0</v>
      </c>
      <c r="BR26" s="368">
        <f t="shared" si="3"/>
        <v>0</v>
      </c>
      <c r="BS26" s="368">
        <f t="shared" si="3"/>
        <v>0</v>
      </c>
      <c r="BT26" s="368">
        <f t="shared" si="3"/>
        <v>0</v>
      </c>
      <c r="BU26" s="368">
        <f t="shared" si="3"/>
        <v>0</v>
      </c>
      <c r="BV26" s="368">
        <f t="shared" si="3"/>
        <v>0</v>
      </c>
      <c r="BX26" s="1067" t="s">
        <v>153</v>
      </c>
    </row>
    <row r="27" spans="3:76">
      <c r="C27" t="s">
        <v>610</v>
      </c>
      <c r="R27" s="392"/>
      <c r="S27" s="392"/>
      <c r="T27" s="403">
        <f>PCF!T284</f>
        <v>2</v>
      </c>
      <c r="U27" s="403">
        <f>PCF!U284</f>
        <v>3</v>
      </c>
      <c r="V27" s="403">
        <f>PCF!V284</f>
        <v>3</v>
      </c>
      <c r="W27" s="403">
        <f>PCF!W284</f>
        <v>3</v>
      </c>
      <c r="X27" s="403">
        <f>PCF!X284</f>
        <v>3</v>
      </c>
      <c r="Y27" s="403">
        <f>PCF!Y284</f>
        <v>3</v>
      </c>
      <c r="Z27" s="403">
        <f>PCF!Z284</f>
        <v>3</v>
      </c>
      <c r="AA27" s="403">
        <f>PCF!AA284</f>
        <v>3</v>
      </c>
      <c r="AB27" s="403">
        <f>PCF!AB284</f>
        <v>3</v>
      </c>
      <c r="AC27" s="403">
        <f>PCF!AC284</f>
        <v>3</v>
      </c>
      <c r="AD27" s="403">
        <f>PCF!AD284</f>
        <v>3</v>
      </c>
      <c r="AE27" s="403">
        <f>PCF!AE284</f>
        <v>0</v>
      </c>
      <c r="AF27" s="403">
        <f>PCF!AF284</f>
        <v>0</v>
      </c>
      <c r="AG27" s="403">
        <f>PCF!AG284</f>
        <v>0</v>
      </c>
      <c r="AH27" s="403">
        <f>PCF!AH284</f>
        <v>0</v>
      </c>
      <c r="AI27" s="403">
        <f>PCF!AI284</f>
        <v>0</v>
      </c>
      <c r="AJ27" s="403">
        <f>PCF!AJ284</f>
        <v>0</v>
      </c>
      <c r="AK27" s="403">
        <f>PCF!AK284</f>
        <v>0</v>
      </c>
      <c r="AL27" s="403">
        <f>PCF!AL284</f>
        <v>0</v>
      </c>
      <c r="AM27" s="403">
        <f>PCF!AM284</f>
        <v>0</v>
      </c>
      <c r="AN27" s="403">
        <f>PCF!AN284</f>
        <v>0</v>
      </c>
      <c r="AO27" s="403">
        <f>PCF!AO284</f>
        <v>0</v>
      </c>
      <c r="AP27" s="403">
        <f>PCF!AP284</f>
        <v>0</v>
      </c>
      <c r="AQ27" s="403">
        <f>PCF!AQ284</f>
        <v>0</v>
      </c>
      <c r="AR27" s="403">
        <f>PCF!AR284</f>
        <v>0</v>
      </c>
      <c r="AS27" s="403">
        <f>PCF!AS284</f>
        <v>0</v>
      </c>
      <c r="AT27" s="403">
        <f>PCF!AT284</f>
        <v>0</v>
      </c>
      <c r="AU27" s="403">
        <f>PCF!AU284</f>
        <v>0</v>
      </c>
      <c r="AV27" s="403">
        <f>PCF!AV284</f>
        <v>0</v>
      </c>
      <c r="AW27" s="403">
        <f>PCF!AW284</f>
        <v>0</v>
      </c>
      <c r="AX27" s="403">
        <f>PCF!AX284</f>
        <v>0</v>
      </c>
      <c r="AY27" s="403">
        <f>PCF!AY284</f>
        <v>0</v>
      </c>
      <c r="AZ27" s="403">
        <f>PCF!AZ284</f>
        <v>0</v>
      </c>
      <c r="BA27" s="403">
        <f>PCF!BA284</f>
        <v>0</v>
      </c>
      <c r="BB27" s="403">
        <f>PCF!BB284</f>
        <v>0</v>
      </c>
      <c r="BC27" s="403">
        <f>PCF!BC284</f>
        <v>0</v>
      </c>
      <c r="BD27" s="403">
        <f>PCF!BD284</f>
        <v>0</v>
      </c>
      <c r="BE27" s="403">
        <f>PCF!BE284</f>
        <v>0</v>
      </c>
      <c r="BF27" s="403">
        <f>PCF!BF284</f>
        <v>0</v>
      </c>
      <c r="BG27" s="403">
        <f>PCF!BG284</f>
        <v>0</v>
      </c>
      <c r="BI27" s="39" t="s">
        <v>153</v>
      </c>
      <c r="BM27" s="310">
        <f t="shared" ref="BM27:BV27" si="4">INDEX($T27:$BG27,MATCH(BM$5,$T$5:$BG$5,0))</f>
        <v>3</v>
      </c>
      <c r="BN27" s="310">
        <f t="shared" si="4"/>
        <v>3</v>
      </c>
      <c r="BO27" s="310">
        <f t="shared" si="4"/>
        <v>0</v>
      </c>
      <c r="BP27" s="310">
        <f t="shared" si="4"/>
        <v>0</v>
      </c>
      <c r="BQ27" s="310">
        <f t="shared" si="4"/>
        <v>0</v>
      </c>
      <c r="BR27" s="310">
        <f t="shared" si="4"/>
        <v>0</v>
      </c>
      <c r="BS27" s="310">
        <f t="shared" si="4"/>
        <v>0</v>
      </c>
      <c r="BT27" s="310">
        <f t="shared" si="4"/>
        <v>0</v>
      </c>
      <c r="BU27" s="310">
        <f t="shared" si="4"/>
        <v>0</v>
      </c>
      <c r="BV27" s="310">
        <f t="shared" si="4"/>
        <v>0</v>
      </c>
      <c r="BX27" s="39" t="s">
        <v>153</v>
      </c>
    </row>
    <row r="28" spans="3:76">
      <c r="C28" t="s">
        <v>611</v>
      </c>
      <c r="R28" s="392"/>
      <c r="S28" s="392"/>
      <c r="T28" s="310">
        <f t="shared" ref="T28:BF28" si="5">T26-T27</f>
        <v>-1</v>
      </c>
      <c r="U28" s="310">
        <f t="shared" si="5"/>
        <v>-1</v>
      </c>
      <c r="V28" s="310">
        <f t="shared" si="5"/>
        <v>0</v>
      </c>
      <c r="W28" s="310">
        <f t="shared" si="5"/>
        <v>0</v>
      </c>
      <c r="X28" s="310">
        <f t="shared" si="5"/>
        <v>0</v>
      </c>
      <c r="Y28" s="310">
        <f t="shared" si="5"/>
        <v>0</v>
      </c>
      <c r="Z28" s="310">
        <f t="shared" si="5"/>
        <v>0</v>
      </c>
      <c r="AA28" s="310">
        <f t="shared" si="5"/>
        <v>0</v>
      </c>
      <c r="AB28" s="310">
        <f t="shared" si="5"/>
        <v>0</v>
      </c>
      <c r="AC28" s="310">
        <f t="shared" si="5"/>
        <v>0</v>
      </c>
      <c r="AD28" s="310">
        <f t="shared" si="5"/>
        <v>0</v>
      </c>
      <c r="AE28" s="310">
        <f t="shared" si="5"/>
        <v>3</v>
      </c>
      <c r="AF28" s="310">
        <f t="shared" si="5"/>
        <v>0</v>
      </c>
      <c r="AG28" s="310">
        <f t="shared" si="5"/>
        <v>0</v>
      </c>
      <c r="AH28" s="310">
        <f t="shared" si="5"/>
        <v>0</v>
      </c>
      <c r="AI28" s="310">
        <f t="shared" si="5"/>
        <v>0</v>
      </c>
      <c r="AJ28" s="310">
        <f t="shared" si="5"/>
        <v>0</v>
      </c>
      <c r="AK28" s="310">
        <f t="shared" si="5"/>
        <v>0</v>
      </c>
      <c r="AL28" s="310">
        <f t="shared" si="5"/>
        <v>0</v>
      </c>
      <c r="AM28" s="310">
        <f t="shared" si="5"/>
        <v>0</v>
      </c>
      <c r="AN28" s="310">
        <f t="shared" si="5"/>
        <v>0</v>
      </c>
      <c r="AO28" s="310">
        <f t="shared" si="5"/>
        <v>0</v>
      </c>
      <c r="AP28" s="310">
        <f t="shared" si="5"/>
        <v>0</v>
      </c>
      <c r="AQ28" s="310">
        <f t="shared" si="5"/>
        <v>0</v>
      </c>
      <c r="AR28" s="310">
        <f t="shared" si="5"/>
        <v>0</v>
      </c>
      <c r="AS28" s="310">
        <f t="shared" si="5"/>
        <v>0</v>
      </c>
      <c r="AT28" s="310">
        <f t="shared" si="5"/>
        <v>0</v>
      </c>
      <c r="AU28" s="310">
        <f t="shared" si="5"/>
        <v>0</v>
      </c>
      <c r="AV28" s="310">
        <f t="shared" si="5"/>
        <v>0</v>
      </c>
      <c r="AW28" s="310">
        <f t="shared" si="5"/>
        <v>0</v>
      </c>
      <c r="AX28" s="310">
        <f t="shared" si="5"/>
        <v>0</v>
      </c>
      <c r="AY28" s="310">
        <f t="shared" si="5"/>
        <v>0</v>
      </c>
      <c r="AZ28" s="310">
        <f t="shared" si="5"/>
        <v>0</v>
      </c>
      <c r="BA28" s="310">
        <f t="shared" si="5"/>
        <v>0</v>
      </c>
      <c r="BB28" s="310">
        <f t="shared" si="5"/>
        <v>0</v>
      </c>
      <c r="BC28" s="310">
        <f t="shared" si="5"/>
        <v>0</v>
      </c>
      <c r="BD28" s="310">
        <f t="shared" si="5"/>
        <v>0</v>
      </c>
      <c r="BE28" s="310">
        <f t="shared" si="5"/>
        <v>0</v>
      </c>
      <c r="BF28" s="310">
        <f t="shared" si="5"/>
        <v>0</v>
      </c>
      <c r="BG28" s="310">
        <f t="shared" ref="BG28" si="6">BG26-BG27</f>
        <v>0</v>
      </c>
      <c r="BI28" s="39" t="s">
        <v>153</v>
      </c>
      <c r="BM28" s="310"/>
      <c r="BN28" s="310"/>
      <c r="BO28" s="310"/>
      <c r="BP28" s="310"/>
      <c r="BQ28" s="310"/>
      <c r="BR28" s="310"/>
      <c r="BS28" s="310"/>
      <c r="BT28" s="310"/>
      <c r="BU28" s="310"/>
      <c r="BV28" s="310"/>
      <c r="BX28" s="39"/>
    </row>
    <row r="29" spans="3:76" outlineLevel="1">
      <c r="C29" t="s">
        <v>612</v>
      </c>
      <c r="R29" s="392"/>
      <c r="S29" s="392"/>
      <c r="T29" s="310">
        <f>PCF!T286</f>
        <v>0</v>
      </c>
      <c r="U29" s="310">
        <f>PCF!U286</f>
        <v>0</v>
      </c>
      <c r="V29" s="310">
        <f>PCF!V286</f>
        <v>0</v>
      </c>
      <c r="W29" s="310">
        <f>PCF!W286</f>
        <v>0</v>
      </c>
      <c r="X29" s="310">
        <f>PCF!X286</f>
        <v>0</v>
      </c>
      <c r="Y29" s="310">
        <f>PCF!Y286</f>
        <v>0</v>
      </c>
      <c r="Z29" s="310">
        <f>PCF!Z286</f>
        <v>0</v>
      </c>
      <c r="AA29" s="310">
        <f>PCF!AA286</f>
        <v>0</v>
      </c>
      <c r="AB29" s="310">
        <f>PCF!AB286</f>
        <v>0</v>
      </c>
      <c r="AC29" s="310">
        <f>PCF!AC286</f>
        <v>0</v>
      </c>
      <c r="AD29" s="310">
        <f>PCF!AD286</f>
        <v>0</v>
      </c>
      <c r="AE29" s="310">
        <f>PCF!AE286</f>
        <v>0</v>
      </c>
      <c r="AF29" s="310">
        <f>PCF!AF286</f>
        <v>0</v>
      </c>
      <c r="AG29" s="310">
        <f>PCF!AG286</f>
        <v>0</v>
      </c>
      <c r="AH29" s="310">
        <f>PCF!AH286</f>
        <v>0</v>
      </c>
      <c r="AI29" s="310">
        <f>PCF!AI286</f>
        <v>0</v>
      </c>
      <c r="AJ29" s="310">
        <f>PCF!AJ286</f>
        <v>0</v>
      </c>
      <c r="AK29" s="310">
        <f>PCF!AK286</f>
        <v>0</v>
      </c>
      <c r="AL29" s="310">
        <f>PCF!AL286</f>
        <v>0</v>
      </c>
      <c r="AM29" s="310">
        <f>PCF!AM286</f>
        <v>0</v>
      </c>
      <c r="AN29" s="310">
        <f>PCF!AN286</f>
        <v>0</v>
      </c>
      <c r="AO29" s="310">
        <f>PCF!AO286</f>
        <v>0</v>
      </c>
      <c r="AP29" s="310">
        <f>PCF!AP286</f>
        <v>0</v>
      </c>
      <c r="AQ29" s="310">
        <f>PCF!AQ286</f>
        <v>0</v>
      </c>
      <c r="AR29" s="310">
        <f>PCF!AR286</f>
        <v>0</v>
      </c>
      <c r="AS29" s="310">
        <f>PCF!AS286</f>
        <v>0</v>
      </c>
      <c r="AT29" s="310">
        <f>PCF!AT286</f>
        <v>0</v>
      </c>
      <c r="AU29" s="310">
        <f>PCF!AU286</f>
        <v>0</v>
      </c>
      <c r="AV29" s="310">
        <f>PCF!AV286</f>
        <v>0</v>
      </c>
      <c r="AW29" s="310">
        <f>PCF!AW286</f>
        <v>0</v>
      </c>
      <c r="AX29" s="310">
        <f>PCF!AX286</f>
        <v>0</v>
      </c>
      <c r="AY29" s="310">
        <f>PCF!AY286</f>
        <v>0</v>
      </c>
      <c r="AZ29" s="310">
        <f>PCF!AZ286</f>
        <v>0</v>
      </c>
      <c r="BA29" s="310">
        <f>PCF!BA286</f>
        <v>0</v>
      </c>
      <c r="BB29" s="310">
        <f>PCF!BB286</f>
        <v>0</v>
      </c>
      <c r="BC29" s="310">
        <f>PCF!BC286</f>
        <v>0</v>
      </c>
      <c r="BD29" s="310">
        <f>PCF!BD286</f>
        <v>0</v>
      </c>
      <c r="BE29" s="310">
        <f>PCF!BE286</f>
        <v>0</v>
      </c>
      <c r="BF29" s="310">
        <f>PCF!BF286</f>
        <v>0</v>
      </c>
      <c r="BG29" s="310">
        <f>PCF!BG286</f>
        <v>0</v>
      </c>
      <c r="BI29" s="39" t="s">
        <v>153</v>
      </c>
      <c r="BM29" s="310">
        <f t="shared" ref="BM29:BV29" si="7">INDEX($T$29:$BG$29,MATCH(BM5-3,$T$5:$BG$5,0))</f>
        <v>0</v>
      </c>
      <c r="BN29" s="310">
        <f t="shared" si="7"/>
        <v>0</v>
      </c>
      <c r="BO29" s="310">
        <f t="shared" si="7"/>
        <v>0</v>
      </c>
      <c r="BP29" s="310">
        <f t="shared" si="7"/>
        <v>0</v>
      </c>
      <c r="BQ29" s="310">
        <f t="shared" si="7"/>
        <v>0</v>
      </c>
      <c r="BR29" s="310">
        <f t="shared" si="7"/>
        <v>0</v>
      </c>
      <c r="BS29" s="310">
        <f t="shared" si="7"/>
        <v>0</v>
      </c>
      <c r="BT29" s="310">
        <f t="shared" si="7"/>
        <v>0</v>
      </c>
      <c r="BU29" s="310">
        <f t="shared" si="7"/>
        <v>0</v>
      </c>
      <c r="BV29" s="310">
        <f t="shared" si="7"/>
        <v>0</v>
      </c>
      <c r="BX29" s="39" t="s">
        <v>153</v>
      </c>
    </row>
    <row r="30" spans="3:76" outlineLevel="1">
      <c r="C30" t="s">
        <v>613</v>
      </c>
      <c r="R30" s="392"/>
      <c r="S30" s="392"/>
      <c r="T30" s="310">
        <f>PCF!T287</f>
        <v>0</v>
      </c>
      <c r="U30" s="310">
        <f>PCF!U287</f>
        <v>0</v>
      </c>
      <c r="V30" s="310">
        <f>PCF!V287</f>
        <v>0</v>
      </c>
      <c r="W30" s="310">
        <f>PCF!W287</f>
        <v>0</v>
      </c>
      <c r="X30" s="310">
        <f>PCF!X287</f>
        <v>0</v>
      </c>
      <c r="Y30" s="310">
        <f>PCF!Y287</f>
        <v>0</v>
      </c>
      <c r="Z30" s="310">
        <f>PCF!Z287</f>
        <v>0</v>
      </c>
      <c r="AA30" s="310">
        <f>PCF!AA287</f>
        <v>0</v>
      </c>
      <c r="AB30" s="310">
        <f>PCF!AB287</f>
        <v>0</v>
      </c>
      <c r="AC30" s="310">
        <f>PCF!AC287</f>
        <v>0</v>
      </c>
      <c r="AD30" s="310">
        <f>PCF!AD287</f>
        <v>0</v>
      </c>
      <c r="AE30" s="310">
        <f>PCF!AE287</f>
        <v>0</v>
      </c>
      <c r="AF30" s="310">
        <f>PCF!AF287</f>
        <v>0</v>
      </c>
      <c r="AG30" s="310">
        <f>PCF!AG287</f>
        <v>0</v>
      </c>
      <c r="AH30" s="310">
        <f>PCF!AH287</f>
        <v>0</v>
      </c>
      <c r="AI30" s="310">
        <f>PCF!AI287</f>
        <v>0</v>
      </c>
      <c r="AJ30" s="310">
        <f>PCF!AJ287</f>
        <v>0</v>
      </c>
      <c r="AK30" s="310">
        <f>PCF!AK287</f>
        <v>0</v>
      </c>
      <c r="AL30" s="310">
        <f>PCF!AL287</f>
        <v>0</v>
      </c>
      <c r="AM30" s="310">
        <f>PCF!AM287</f>
        <v>0</v>
      </c>
      <c r="AN30" s="310">
        <f>PCF!AN287</f>
        <v>0</v>
      </c>
      <c r="AO30" s="310">
        <f>PCF!AO287</f>
        <v>0</v>
      </c>
      <c r="AP30" s="310">
        <f>PCF!AP287</f>
        <v>0</v>
      </c>
      <c r="AQ30" s="310">
        <f>PCF!AQ287</f>
        <v>0</v>
      </c>
      <c r="AR30" s="310">
        <f>PCF!AR287</f>
        <v>0</v>
      </c>
      <c r="AS30" s="310">
        <f>PCF!AS287</f>
        <v>0</v>
      </c>
      <c r="AT30" s="310">
        <f>PCF!AT287</f>
        <v>0</v>
      </c>
      <c r="AU30" s="310">
        <f>PCF!AU287</f>
        <v>0</v>
      </c>
      <c r="AV30" s="310">
        <f>PCF!AV287</f>
        <v>0</v>
      </c>
      <c r="AW30" s="310">
        <f>PCF!AW287</f>
        <v>0</v>
      </c>
      <c r="AX30" s="310">
        <f>PCF!AX287</f>
        <v>0</v>
      </c>
      <c r="AY30" s="310">
        <f>PCF!AY287</f>
        <v>0</v>
      </c>
      <c r="AZ30" s="310">
        <f>PCF!AZ287</f>
        <v>0</v>
      </c>
      <c r="BA30" s="310">
        <f>PCF!BA287</f>
        <v>0</v>
      </c>
      <c r="BB30" s="310">
        <f>PCF!BB287</f>
        <v>0</v>
      </c>
      <c r="BC30" s="310">
        <f>PCF!BC287</f>
        <v>0</v>
      </c>
      <c r="BD30" s="310">
        <f>PCF!BD287</f>
        <v>0</v>
      </c>
      <c r="BE30" s="310">
        <f>PCF!BE287</f>
        <v>0</v>
      </c>
      <c r="BF30" s="310">
        <f>PCF!BF287</f>
        <v>0</v>
      </c>
      <c r="BG30" s="310">
        <f>PCF!BG287</f>
        <v>0</v>
      </c>
      <c r="BI30" s="364" t="s">
        <v>153</v>
      </c>
      <c r="BM30" s="369">
        <f t="shared" ref="BM30:BV30" si="8">INDEX($T$30:$BG$30,MATCH(BM5,$T$5:$BG$5,0))</f>
        <v>0</v>
      </c>
      <c r="BN30" s="369">
        <f t="shared" si="8"/>
        <v>0</v>
      </c>
      <c r="BO30" s="369">
        <f t="shared" si="8"/>
        <v>0</v>
      </c>
      <c r="BP30" s="369">
        <f t="shared" si="8"/>
        <v>0</v>
      </c>
      <c r="BQ30" s="369">
        <f t="shared" si="8"/>
        <v>0</v>
      </c>
      <c r="BR30" s="369">
        <f t="shared" si="8"/>
        <v>0</v>
      </c>
      <c r="BS30" s="369">
        <f t="shared" si="8"/>
        <v>0</v>
      </c>
      <c r="BT30" s="369">
        <f t="shared" si="8"/>
        <v>0</v>
      </c>
      <c r="BU30" s="369">
        <f t="shared" si="8"/>
        <v>0</v>
      </c>
      <c r="BV30" s="369">
        <f t="shared" si="8"/>
        <v>0</v>
      </c>
      <c r="BX30" s="364" t="s">
        <v>153</v>
      </c>
    </row>
    <row r="31" spans="3:76">
      <c r="C31" s="269"/>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row>
    <row r="32" spans="3:76">
      <c r="C32" s="364" t="s">
        <v>277</v>
      </c>
      <c r="D32" s="364"/>
      <c r="E32" s="364"/>
      <c r="F32" s="364"/>
      <c r="G32" s="364"/>
      <c r="H32" s="364"/>
      <c r="I32" s="364"/>
      <c r="J32" s="364"/>
      <c r="K32" s="364"/>
      <c r="L32" s="364"/>
      <c r="M32" s="364"/>
      <c r="N32" s="364"/>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M32" s="17"/>
      <c r="BN32" s="17"/>
      <c r="BO32" s="17"/>
      <c r="BP32" s="17"/>
      <c r="BQ32" s="17"/>
      <c r="BR32" s="17"/>
      <c r="BS32" s="17"/>
      <c r="BT32" s="17"/>
      <c r="BU32" s="17"/>
      <c r="BV32" s="17"/>
      <c r="BX32" s="17"/>
    </row>
    <row r="33" spans="3:76">
      <c r="C33" s="393" t="s">
        <v>1180</v>
      </c>
      <c r="D33" s="1426"/>
      <c r="E33" s="1426"/>
      <c r="F33" s="1426"/>
      <c r="G33" s="1426"/>
      <c r="H33" s="1426"/>
      <c r="I33" s="1426"/>
      <c r="J33" s="1426"/>
      <c r="K33" s="1426"/>
      <c r="L33" s="1426"/>
      <c r="M33" s="1426"/>
      <c r="R33" s="392"/>
      <c r="S33" s="392"/>
      <c r="T33" s="403">
        <f>SUMIFS(PCF!T$292:T$301,PCF!$K$292:$K$301,$C33)</f>
        <v>1000</v>
      </c>
      <c r="U33" s="403">
        <f>SUMIFS(PCF!U$292:U$301,PCF!$K$292:$K$301,$C33)</f>
        <v>2000</v>
      </c>
      <c r="V33" s="403">
        <f>SUMIFS(PCF!V$292:V$301,PCF!$K$292:$K$301,$C33)</f>
        <v>3000</v>
      </c>
      <c r="W33" s="403">
        <f>SUMIFS(PCF!W$292:W$301,PCF!$K$292:$K$301,$C33)</f>
        <v>3000</v>
      </c>
      <c r="X33" s="403">
        <f>SUMIFS(PCF!X$292:X$301,PCF!$K$292:$K$301,$C33)</f>
        <v>3000</v>
      </c>
      <c r="Y33" s="403">
        <f>SUMIFS(PCF!Y$292:Y$301,PCF!$K$292:$K$301,$C33)</f>
        <v>3000</v>
      </c>
      <c r="Z33" s="403">
        <f>SUMIFS(PCF!Z$292:Z$301,PCF!$K$292:$K$301,$C33)</f>
        <v>3000</v>
      </c>
      <c r="AA33" s="403">
        <f>SUMIFS(PCF!AA$292:AA$301,PCF!$K$292:$K$301,$C33)</f>
        <v>3000</v>
      </c>
      <c r="AB33" s="403">
        <f>SUMIFS(PCF!AB$292:AB$301,PCF!$K$292:$K$301,$C33)</f>
        <v>3000</v>
      </c>
      <c r="AC33" s="403">
        <f>SUMIFS(PCF!AC$292:AC$301,PCF!$K$292:$K$301,$C33)</f>
        <v>3000</v>
      </c>
      <c r="AD33" s="403">
        <f>SUMIFS(PCF!AD$292:AD$301,PCF!$K$292:$K$301,$C33)</f>
        <v>3000</v>
      </c>
      <c r="AE33" s="403">
        <f>SUMIFS(PCF!AE$292:AE$301,PCF!$K$292:$K$301,$C33)</f>
        <v>3000</v>
      </c>
      <c r="AF33" s="403">
        <f>SUMIFS(PCF!AF$292:AF$301,PCF!$K$292:$K$301,$C33)</f>
        <v>0</v>
      </c>
      <c r="AG33" s="403">
        <f>SUMIFS(PCF!AG$292:AG$301,PCF!$K$292:$K$301,$C33)</f>
        <v>0</v>
      </c>
      <c r="AH33" s="403">
        <f>SUMIFS(PCF!AH$292:AH$301,PCF!$K$292:$K$301,$C33)</f>
        <v>0</v>
      </c>
      <c r="AI33" s="403">
        <f>SUMIFS(PCF!AI$292:AI$301,PCF!$K$292:$K$301,$C33)</f>
        <v>0</v>
      </c>
      <c r="AJ33" s="403">
        <f>SUMIFS(PCF!AJ$292:AJ$301,PCF!$K$292:$K$301,$C33)</f>
        <v>0</v>
      </c>
      <c r="AK33" s="403">
        <f>SUMIFS(PCF!AK$292:AK$301,PCF!$K$292:$K$301,$C33)</f>
        <v>0</v>
      </c>
      <c r="AL33" s="403">
        <f>SUMIFS(PCF!AL$292:AL$301,PCF!$K$292:$K$301,$C33)</f>
        <v>0</v>
      </c>
      <c r="AM33" s="403">
        <f>SUMIFS(PCF!AM$292:AM$301,PCF!$K$292:$K$301,$C33)</f>
        <v>0</v>
      </c>
      <c r="AN33" s="403">
        <f>SUMIFS(PCF!AN$292:AN$301,PCF!$K$292:$K$301,$C33)</f>
        <v>0</v>
      </c>
      <c r="AO33" s="403">
        <f>SUMIFS(PCF!AO$292:AO$301,PCF!$K$292:$K$301,$C33)</f>
        <v>0</v>
      </c>
      <c r="AP33" s="403">
        <f>SUMIFS(PCF!AP$292:AP$301,PCF!$K$292:$K$301,$C33)</f>
        <v>0</v>
      </c>
      <c r="AQ33" s="403">
        <f>SUMIFS(PCF!AQ$292:AQ$301,PCF!$K$292:$K$301,$C33)</f>
        <v>0</v>
      </c>
      <c r="AR33" s="403">
        <f>SUMIFS(PCF!AR$292:AR$301,PCF!$K$292:$K$301,$C33)</f>
        <v>0</v>
      </c>
      <c r="AS33" s="403">
        <f>SUMIFS(PCF!AS$292:AS$301,PCF!$K$292:$K$301,$C33)</f>
        <v>0</v>
      </c>
      <c r="AT33" s="403">
        <f>SUMIFS(PCF!AT$292:AT$301,PCF!$K$292:$K$301,$C33)</f>
        <v>0</v>
      </c>
      <c r="AU33" s="403">
        <f>SUMIFS(PCF!AU$292:AU$301,PCF!$K$292:$K$301,$C33)</f>
        <v>0</v>
      </c>
      <c r="AV33" s="403">
        <f>SUMIFS(PCF!AV$292:AV$301,PCF!$K$292:$K$301,$C33)</f>
        <v>0</v>
      </c>
      <c r="AW33" s="403">
        <f>SUMIFS(PCF!AW$292:AW$301,PCF!$K$292:$K$301,$C33)</f>
        <v>0</v>
      </c>
      <c r="AX33" s="403">
        <f>SUMIFS(PCF!AX$292:AX$301,PCF!$K$292:$K$301,$C33)</f>
        <v>0</v>
      </c>
      <c r="AY33" s="403">
        <f>SUMIFS(PCF!AY$292:AY$301,PCF!$K$292:$K$301,$C33)</f>
        <v>0</v>
      </c>
      <c r="AZ33" s="403">
        <f>SUMIFS(PCF!AZ$292:AZ$301,PCF!$K$292:$K$301,$C33)</f>
        <v>0</v>
      </c>
      <c r="BA33" s="403">
        <f>SUMIFS(PCF!BA$292:BA$301,PCF!$K$292:$K$301,$C33)</f>
        <v>0</v>
      </c>
      <c r="BB33" s="403">
        <f>SUMIFS(PCF!BB$292:BB$301,PCF!$K$292:$K$301,$C33)</f>
        <v>0</v>
      </c>
      <c r="BC33" s="403">
        <f>SUMIFS(PCF!BC$292:BC$301,PCF!$K$292:$K$301,$C33)</f>
        <v>0</v>
      </c>
      <c r="BD33" s="403">
        <f>SUMIFS(PCF!BD$292:BD$301,PCF!$K$292:$K$301,$C33)</f>
        <v>0</v>
      </c>
      <c r="BE33" s="403">
        <f>SUMIFS(PCF!BE$292:BE$301,PCF!$K$292:$K$301,$C33)</f>
        <v>0</v>
      </c>
      <c r="BF33" s="403">
        <f>SUMIFS(PCF!BF$292:BF$301,PCF!$K$292:$K$301,$C33)</f>
        <v>0</v>
      </c>
      <c r="BG33" s="403">
        <f>SUMIFS(PCF!BG$292:BG$301,PCF!$K$292:$K$301,$C33)</f>
        <v>0</v>
      </c>
      <c r="BI33" s="1067" t="s">
        <v>153</v>
      </c>
      <c r="BM33" s="310">
        <f t="shared" ref="BM33:BV37" si="9">AVERAGEIF($T$8:$BG$8,BM$6,$T33:$BG33)</f>
        <v>2250</v>
      </c>
      <c r="BN33" s="310">
        <f t="shared" si="9"/>
        <v>3000</v>
      </c>
      <c r="BO33" s="310">
        <f t="shared" si="9"/>
        <v>3000</v>
      </c>
      <c r="BP33" s="310">
        <f t="shared" si="9"/>
        <v>0</v>
      </c>
      <c r="BQ33" s="310">
        <f t="shared" si="9"/>
        <v>0</v>
      </c>
      <c r="BR33" s="310">
        <f t="shared" si="9"/>
        <v>0</v>
      </c>
      <c r="BS33" s="310">
        <f t="shared" si="9"/>
        <v>0</v>
      </c>
      <c r="BT33" s="310">
        <f t="shared" si="9"/>
        <v>0</v>
      </c>
      <c r="BU33" s="310">
        <f t="shared" si="9"/>
        <v>0</v>
      </c>
      <c r="BV33" s="310">
        <f t="shared" si="9"/>
        <v>0</v>
      </c>
      <c r="BX33" s="476" t="s">
        <v>153</v>
      </c>
    </row>
    <row r="34" spans="3:76">
      <c r="C34" s="393" t="s">
        <v>1181</v>
      </c>
      <c r="D34" s="1426"/>
      <c r="E34" s="1426"/>
      <c r="F34" s="1426"/>
      <c r="G34" s="1426"/>
      <c r="H34" s="1426"/>
      <c r="I34" s="1426"/>
      <c r="J34" s="1426"/>
      <c r="K34" s="1426"/>
      <c r="L34" s="1426"/>
      <c r="M34" s="1426"/>
      <c r="R34" s="392"/>
      <c r="S34" s="392"/>
      <c r="T34" s="403">
        <f>SUMIFS(PCF!T$292:T$301,PCF!$K$292:$K$301,$C34)</f>
        <v>0</v>
      </c>
      <c r="U34" s="403">
        <f>SUMIFS(PCF!U$292:U$301,PCF!$K$292:$K$301,$C34)</f>
        <v>0</v>
      </c>
      <c r="V34" s="403">
        <f>SUMIFS(PCF!V$292:V$301,PCF!$K$292:$K$301,$C34)</f>
        <v>0</v>
      </c>
      <c r="W34" s="403">
        <f>SUMIFS(PCF!W$292:W$301,PCF!$K$292:$K$301,$C34)</f>
        <v>0</v>
      </c>
      <c r="X34" s="403">
        <f>SUMIFS(PCF!X$292:X$301,PCF!$K$292:$K$301,$C34)</f>
        <v>0</v>
      </c>
      <c r="Y34" s="403">
        <f>SUMIFS(PCF!Y$292:Y$301,PCF!$K$292:$K$301,$C34)</f>
        <v>0</v>
      </c>
      <c r="Z34" s="403">
        <f>SUMIFS(PCF!Z$292:Z$301,PCF!$K$292:$K$301,$C34)</f>
        <v>0</v>
      </c>
      <c r="AA34" s="403">
        <f>SUMIFS(PCF!AA$292:AA$301,PCF!$K$292:$K$301,$C34)</f>
        <v>0</v>
      </c>
      <c r="AB34" s="403">
        <f>SUMIFS(PCF!AB$292:AB$301,PCF!$K$292:$K$301,$C34)</f>
        <v>0</v>
      </c>
      <c r="AC34" s="403">
        <f>SUMIFS(PCF!AC$292:AC$301,PCF!$K$292:$K$301,$C34)</f>
        <v>0</v>
      </c>
      <c r="AD34" s="403">
        <f>SUMIFS(PCF!AD$292:AD$301,PCF!$K$292:$K$301,$C34)</f>
        <v>0</v>
      </c>
      <c r="AE34" s="403">
        <f>SUMIFS(PCF!AE$292:AE$301,PCF!$K$292:$K$301,$C34)</f>
        <v>0</v>
      </c>
      <c r="AF34" s="403">
        <f>SUMIFS(PCF!AF$292:AF$301,PCF!$K$292:$K$301,$C34)</f>
        <v>0</v>
      </c>
      <c r="AG34" s="403">
        <f>SUMIFS(PCF!AG$292:AG$301,PCF!$K$292:$K$301,$C34)</f>
        <v>0</v>
      </c>
      <c r="AH34" s="403">
        <f>SUMIFS(PCF!AH$292:AH$301,PCF!$K$292:$K$301,$C34)</f>
        <v>0</v>
      </c>
      <c r="AI34" s="403">
        <f>SUMIFS(PCF!AI$292:AI$301,PCF!$K$292:$K$301,$C34)</f>
        <v>0</v>
      </c>
      <c r="AJ34" s="403">
        <f>SUMIFS(PCF!AJ$292:AJ$301,PCF!$K$292:$K$301,$C34)</f>
        <v>0</v>
      </c>
      <c r="AK34" s="403">
        <f>SUMIFS(PCF!AK$292:AK$301,PCF!$K$292:$K$301,$C34)</f>
        <v>0</v>
      </c>
      <c r="AL34" s="403">
        <f>SUMIFS(PCF!AL$292:AL$301,PCF!$K$292:$K$301,$C34)</f>
        <v>0</v>
      </c>
      <c r="AM34" s="403">
        <f>SUMIFS(PCF!AM$292:AM$301,PCF!$K$292:$K$301,$C34)</f>
        <v>0</v>
      </c>
      <c r="AN34" s="403">
        <f>SUMIFS(PCF!AN$292:AN$301,PCF!$K$292:$K$301,$C34)</f>
        <v>0</v>
      </c>
      <c r="AO34" s="403">
        <f>SUMIFS(PCF!AO$292:AO$301,PCF!$K$292:$K$301,$C34)</f>
        <v>0</v>
      </c>
      <c r="AP34" s="403">
        <f>SUMIFS(PCF!AP$292:AP$301,PCF!$K$292:$K$301,$C34)</f>
        <v>0</v>
      </c>
      <c r="AQ34" s="403">
        <f>SUMIFS(PCF!AQ$292:AQ$301,PCF!$K$292:$K$301,$C34)</f>
        <v>0</v>
      </c>
      <c r="AR34" s="403">
        <f>SUMIFS(PCF!AR$292:AR$301,PCF!$K$292:$K$301,$C34)</f>
        <v>0</v>
      </c>
      <c r="AS34" s="403">
        <f>SUMIFS(PCF!AS$292:AS$301,PCF!$K$292:$K$301,$C34)</f>
        <v>0</v>
      </c>
      <c r="AT34" s="403">
        <f>SUMIFS(PCF!AT$292:AT$301,PCF!$K$292:$K$301,$C34)</f>
        <v>0</v>
      </c>
      <c r="AU34" s="403">
        <f>SUMIFS(PCF!AU$292:AU$301,PCF!$K$292:$K$301,$C34)</f>
        <v>0</v>
      </c>
      <c r="AV34" s="403">
        <f>SUMIFS(PCF!AV$292:AV$301,PCF!$K$292:$K$301,$C34)</f>
        <v>0</v>
      </c>
      <c r="AW34" s="403">
        <f>SUMIFS(PCF!AW$292:AW$301,PCF!$K$292:$K$301,$C34)</f>
        <v>0</v>
      </c>
      <c r="AX34" s="403">
        <f>SUMIFS(PCF!AX$292:AX$301,PCF!$K$292:$K$301,$C34)</f>
        <v>0</v>
      </c>
      <c r="AY34" s="403">
        <f>SUMIFS(PCF!AY$292:AY$301,PCF!$K$292:$K$301,$C34)</f>
        <v>0</v>
      </c>
      <c r="AZ34" s="403">
        <f>SUMIFS(PCF!AZ$292:AZ$301,PCF!$K$292:$K$301,$C34)</f>
        <v>0</v>
      </c>
      <c r="BA34" s="403">
        <f>SUMIFS(PCF!BA$292:BA$301,PCF!$K$292:$K$301,$C34)</f>
        <v>0</v>
      </c>
      <c r="BB34" s="403">
        <f>SUMIFS(PCF!BB$292:BB$301,PCF!$K$292:$K$301,$C34)</f>
        <v>0</v>
      </c>
      <c r="BC34" s="403">
        <f>SUMIFS(PCF!BC$292:BC$301,PCF!$K$292:$K$301,$C34)</f>
        <v>0</v>
      </c>
      <c r="BD34" s="403">
        <f>SUMIFS(PCF!BD$292:BD$301,PCF!$K$292:$K$301,$C34)</f>
        <v>0</v>
      </c>
      <c r="BE34" s="403">
        <f>SUMIFS(PCF!BE$292:BE$301,PCF!$K$292:$K$301,$C34)</f>
        <v>0</v>
      </c>
      <c r="BF34" s="403">
        <f>SUMIFS(PCF!BF$292:BF$301,PCF!$K$292:$K$301,$C34)</f>
        <v>0</v>
      </c>
      <c r="BG34" s="403">
        <f>SUMIFS(PCF!BG$292:BG$301,PCF!$K$292:$K$301,$C34)</f>
        <v>0</v>
      </c>
      <c r="BI34" s="39" t="s">
        <v>153</v>
      </c>
      <c r="BM34" s="310">
        <f t="shared" si="9"/>
        <v>0</v>
      </c>
      <c r="BN34" s="310">
        <f t="shared" si="9"/>
        <v>0</v>
      </c>
      <c r="BO34" s="310">
        <f t="shared" si="9"/>
        <v>0</v>
      </c>
      <c r="BP34" s="310">
        <f t="shared" si="9"/>
        <v>0</v>
      </c>
      <c r="BQ34" s="310">
        <f t="shared" si="9"/>
        <v>0</v>
      </c>
      <c r="BR34" s="310">
        <f t="shared" si="9"/>
        <v>0</v>
      </c>
      <c r="BS34" s="310">
        <f t="shared" si="9"/>
        <v>0</v>
      </c>
      <c r="BT34" s="310">
        <f t="shared" si="9"/>
        <v>0</v>
      </c>
      <c r="BU34" s="310">
        <f t="shared" si="9"/>
        <v>0</v>
      </c>
      <c r="BV34" s="310">
        <f t="shared" si="9"/>
        <v>0</v>
      </c>
      <c r="BX34" s="476" t="s">
        <v>153</v>
      </c>
    </row>
    <row r="35" spans="3:76">
      <c r="C35" s="40" t="s">
        <v>82</v>
      </c>
      <c r="D35" s="1426"/>
      <c r="E35" s="1426"/>
      <c r="F35" s="1426"/>
      <c r="G35" s="1426"/>
      <c r="H35" s="1426"/>
      <c r="I35" s="1426"/>
      <c r="J35" s="1426"/>
      <c r="K35" s="1426"/>
      <c r="L35" s="1426"/>
      <c r="M35" s="1426"/>
      <c r="R35" s="392"/>
      <c r="S35" s="392"/>
      <c r="T35" s="403">
        <f>SUMIFS(PCF!T$292:T$301,PCF!$K$292:$K$301,$C35)</f>
        <v>0</v>
      </c>
      <c r="U35" s="403">
        <f>SUMIFS(PCF!U$292:U$301,PCF!$K$292:$K$301,$C35)</f>
        <v>0</v>
      </c>
      <c r="V35" s="403">
        <f>SUMIFS(PCF!V$292:V$301,PCF!$K$292:$K$301,$C35)</f>
        <v>0</v>
      </c>
      <c r="W35" s="403">
        <f>SUMIFS(PCF!W$292:W$301,PCF!$K$292:$K$301,$C35)</f>
        <v>0</v>
      </c>
      <c r="X35" s="403">
        <f>SUMIFS(PCF!X$292:X$301,PCF!$K$292:$K$301,$C35)</f>
        <v>0</v>
      </c>
      <c r="Y35" s="403">
        <f>SUMIFS(PCF!Y$292:Y$301,PCF!$K$292:$K$301,$C35)</f>
        <v>0</v>
      </c>
      <c r="Z35" s="403">
        <f>SUMIFS(PCF!Z$292:Z$301,PCF!$K$292:$K$301,$C35)</f>
        <v>0</v>
      </c>
      <c r="AA35" s="403">
        <f>SUMIFS(PCF!AA$292:AA$301,PCF!$K$292:$K$301,$C35)</f>
        <v>0</v>
      </c>
      <c r="AB35" s="403">
        <f>SUMIFS(PCF!AB$292:AB$301,PCF!$K$292:$K$301,$C35)</f>
        <v>0</v>
      </c>
      <c r="AC35" s="403">
        <f>SUMIFS(PCF!AC$292:AC$301,PCF!$K$292:$K$301,$C35)</f>
        <v>0</v>
      </c>
      <c r="AD35" s="403">
        <f>SUMIFS(PCF!AD$292:AD$301,PCF!$K$292:$K$301,$C35)</f>
        <v>0</v>
      </c>
      <c r="AE35" s="403">
        <f>SUMIFS(PCF!AE$292:AE$301,PCF!$K$292:$K$301,$C35)</f>
        <v>0</v>
      </c>
      <c r="AF35" s="403">
        <f>SUMIFS(PCF!AF$292:AF$301,PCF!$K$292:$K$301,$C35)</f>
        <v>0</v>
      </c>
      <c r="AG35" s="403">
        <f>SUMIFS(PCF!AG$292:AG$301,PCF!$K$292:$K$301,$C35)</f>
        <v>0</v>
      </c>
      <c r="AH35" s="403">
        <f>SUMIFS(PCF!AH$292:AH$301,PCF!$K$292:$K$301,$C35)</f>
        <v>0</v>
      </c>
      <c r="AI35" s="403">
        <f>SUMIFS(PCF!AI$292:AI$301,PCF!$K$292:$K$301,$C35)</f>
        <v>0</v>
      </c>
      <c r="AJ35" s="403">
        <f>SUMIFS(PCF!AJ$292:AJ$301,PCF!$K$292:$K$301,$C35)</f>
        <v>0</v>
      </c>
      <c r="AK35" s="403">
        <f>SUMIFS(PCF!AK$292:AK$301,PCF!$K$292:$K$301,$C35)</f>
        <v>0</v>
      </c>
      <c r="AL35" s="403">
        <f>SUMIFS(PCF!AL$292:AL$301,PCF!$K$292:$K$301,$C35)</f>
        <v>0</v>
      </c>
      <c r="AM35" s="403">
        <f>SUMIFS(PCF!AM$292:AM$301,PCF!$K$292:$K$301,$C35)</f>
        <v>0</v>
      </c>
      <c r="AN35" s="403">
        <f>SUMIFS(PCF!AN$292:AN$301,PCF!$K$292:$K$301,$C35)</f>
        <v>0</v>
      </c>
      <c r="AO35" s="403">
        <f>SUMIFS(PCF!AO$292:AO$301,PCF!$K$292:$K$301,$C35)</f>
        <v>0</v>
      </c>
      <c r="AP35" s="403">
        <f>SUMIFS(PCF!AP$292:AP$301,PCF!$K$292:$K$301,$C35)</f>
        <v>0</v>
      </c>
      <c r="AQ35" s="403">
        <f>SUMIFS(PCF!AQ$292:AQ$301,PCF!$K$292:$K$301,$C35)</f>
        <v>0</v>
      </c>
      <c r="AR35" s="403">
        <f>SUMIFS(PCF!AR$292:AR$301,PCF!$K$292:$K$301,$C35)</f>
        <v>0</v>
      </c>
      <c r="AS35" s="403">
        <f>SUMIFS(PCF!AS$292:AS$301,PCF!$K$292:$K$301,$C35)</f>
        <v>0</v>
      </c>
      <c r="AT35" s="403">
        <f>SUMIFS(PCF!AT$292:AT$301,PCF!$K$292:$K$301,$C35)</f>
        <v>0</v>
      </c>
      <c r="AU35" s="403">
        <f>SUMIFS(PCF!AU$292:AU$301,PCF!$K$292:$K$301,$C35)</f>
        <v>0</v>
      </c>
      <c r="AV35" s="403">
        <f>SUMIFS(PCF!AV$292:AV$301,PCF!$K$292:$K$301,$C35)</f>
        <v>0</v>
      </c>
      <c r="AW35" s="403">
        <f>SUMIFS(PCF!AW$292:AW$301,PCF!$K$292:$K$301,$C35)</f>
        <v>0</v>
      </c>
      <c r="AX35" s="403">
        <f>SUMIFS(PCF!AX$292:AX$301,PCF!$K$292:$K$301,$C35)</f>
        <v>0</v>
      </c>
      <c r="AY35" s="403">
        <f>SUMIFS(PCF!AY$292:AY$301,PCF!$K$292:$K$301,$C35)</f>
        <v>0</v>
      </c>
      <c r="AZ35" s="403">
        <f>SUMIFS(PCF!AZ$292:AZ$301,PCF!$K$292:$K$301,$C35)</f>
        <v>0</v>
      </c>
      <c r="BA35" s="403">
        <f>SUMIFS(PCF!BA$292:BA$301,PCF!$K$292:$K$301,$C35)</f>
        <v>0</v>
      </c>
      <c r="BB35" s="403">
        <f>SUMIFS(PCF!BB$292:BB$301,PCF!$K$292:$K$301,$C35)</f>
        <v>0</v>
      </c>
      <c r="BC35" s="403">
        <f>SUMIFS(PCF!BC$292:BC$301,PCF!$K$292:$K$301,$C35)</f>
        <v>0</v>
      </c>
      <c r="BD35" s="403">
        <f>SUMIFS(PCF!BD$292:BD$301,PCF!$K$292:$K$301,$C35)</f>
        <v>0</v>
      </c>
      <c r="BE35" s="403">
        <f>SUMIFS(PCF!BE$292:BE$301,PCF!$K$292:$K$301,$C35)</f>
        <v>0</v>
      </c>
      <c r="BF35" s="403">
        <f>SUMIFS(PCF!BF$292:BF$301,PCF!$K$292:$K$301,$C35)</f>
        <v>0</v>
      </c>
      <c r="BG35" s="403">
        <f>SUMIFS(PCF!BG$292:BG$301,PCF!$K$292:$K$301,$C35)</f>
        <v>0</v>
      </c>
      <c r="BI35" s="39" t="s">
        <v>153</v>
      </c>
      <c r="BM35" s="310">
        <f t="shared" si="9"/>
        <v>0</v>
      </c>
      <c r="BN35" s="310">
        <f t="shared" si="9"/>
        <v>0</v>
      </c>
      <c r="BO35" s="310">
        <f t="shared" si="9"/>
        <v>0</v>
      </c>
      <c r="BP35" s="310">
        <f t="shared" si="9"/>
        <v>0</v>
      </c>
      <c r="BQ35" s="310">
        <f t="shared" si="9"/>
        <v>0</v>
      </c>
      <c r="BR35" s="310">
        <f t="shared" si="9"/>
        <v>0</v>
      </c>
      <c r="BS35" s="310">
        <f t="shared" si="9"/>
        <v>0</v>
      </c>
      <c r="BT35" s="310">
        <f t="shared" si="9"/>
        <v>0</v>
      </c>
      <c r="BU35" s="310">
        <f t="shared" si="9"/>
        <v>0</v>
      </c>
      <c r="BV35" s="310">
        <f t="shared" si="9"/>
        <v>0</v>
      </c>
      <c r="BX35" s="476" t="s">
        <v>153</v>
      </c>
    </row>
    <row r="36" spans="3:76">
      <c r="C36" t="s">
        <v>1380</v>
      </c>
      <c r="R36" s="392"/>
      <c r="S36" s="392"/>
      <c r="T36" s="310">
        <f t="shared" ref="T36:BG36" si="10">T37-SUM(T33:T35)</f>
        <v>0</v>
      </c>
      <c r="U36" s="310">
        <f t="shared" si="10"/>
        <v>0</v>
      </c>
      <c r="V36" s="310">
        <f t="shared" si="10"/>
        <v>0</v>
      </c>
      <c r="W36" s="310">
        <f t="shared" si="10"/>
        <v>0</v>
      </c>
      <c r="X36" s="310">
        <f t="shared" si="10"/>
        <v>0</v>
      </c>
      <c r="Y36" s="310">
        <f t="shared" si="10"/>
        <v>0</v>
      </c>
      <c r="Z36" s="310">
        <f t="shared" si="10"/>
        <v>0</v>
      </c>
      <c r="AA36" s="310">
        <f t="shared" si="10"/>
        <v>0</v>
      </c>
      <c r="AB36" s="310">
        <f t="shared" si="10"/>
        <v>0</v>
      </c>
      <c r="AC36" s="310">
        <f t="shared" si="10"/>
        <v>0</v>
      </c>
      <c r="AD36" s="310">
        <f t="shared" si="10"/>
        <v>0</v>
      </c>
      <c r="AE36" s="310">
        <f t="shared" si="10"/>
        <v>0</v>
      </c>
      <c r="AF36" s="310">
        <f t="shared" si="10"/>
        <v>0</v>
      </c>
      <c r="AG36" s="310">
        <f t="shared" si="10"/>
        <v>0</v>
      </c>
      <c r="AH36" s="310">
        <f t="shared" si="10"/>
        <v>0</v>
      </c>
      <c r="AI36" s="310">
        <f t="shared" si="10"/>
        <v>0</v>
      </c>
      <c r="AJ36" s="310">
        <f t="shared" si="10"/>
        <v>0</v>
      </c>
      <c r="AK36" s="310">
        <f t="shared" si="10"/>
        <v>0</v>
      </c>
      <c r="AL36" s="310">
        <f t="shared" si="10"/>
        <v>0</v>
      </c>
      <c r="AM36" s="310">
        <f t="shared" si="10"/>
        <v>0</v>
      </c>
      <c r="AN36" s="310">
        <f t="shared" si="10"/>
        <v>0</v>
      </c>
      <c r="AO36" s="310">
        <f t="shared" si="10"/>
        <v>0</v>
      </c>
      <c r="AP36" s="310">
        <f t="shared" si="10"/>
        <v>0</v>
      </c>
      <c r="AQ36" s="310">
        <f t="shared" si="10"/>
        <v>0</v>
      </c>
      <c r="AR36" s="310">
        <f t="shared" si="10"/>
        <v>0</v>
      </c>
      <c r="AS36" s="310">
        <f t="shared" si="10"/>
        <v>0</v>
      </c>
      <c r="AT36" s="310">
        <f t="shared" si="10"/>
        <v>0</v>
      </c>
      <c r="AU36" s="310">
        <f t="shared" si="10"/>
        <v>0</v>
      </c>
      <c r="AV36" s="310">
        <f t="shared" si="10"/>
        <v>0</v>
      </c>
      <c r="AW36" s="310">
        <f t="shared" si="10"/>
        <v>0</v>
      </c>
      <c r="AX36" s="310">
        <f t="shared" si="10"/>
        <v>0</v>
      </c>
      <c r="AY36" s="310">
        <f t="shared" si="10"/>
        <v>0</v>
      </c>
      <c r="AZ36" s="310">
        <f t="shared" si="10"/>
        <v>0</v>
      </c>
      <c r="BA36" s="310">
        <f t="shared" si="10"/>
        <v>0</v>
      </c>
      <c r="BB36" s="310">
        <f t="shared" si="10"/>
        <v>0</v>
      </c>
      <c r="BC36" s="310">
        <f t="shared" si="10"/>
        <v>0</v>
      </c>
      <c r="BD36" s="310">
        <f t="shared" si="10"/>
        <v>0</v>
      </c>
      <c r="BE36" s="310">
        <f t="shared" si="10"/>
        <v>0</v>
      </c>
      <c r="BF36" s="310">
        <f t="shared" si="10"/>
        <v>0</v>
      </c>
      <c r="BG36" s="310">
        <f t="shared" si="10"/>
        <v>0</v>
      </c>
      <c r="BI36" s="39" t="s">
        <v>153</v>
      </c>
      <c r="BM36" s="310">
        <f t="shared" si="9"/>
        <v>0</v>
      </c>
      <c r="BN36" s="310">
        <f t="shared" si="9"/>
        <v>0</v>
      </c>
      <c r="BO36" s="310">
        <f t="shared" si="9"/>
        <v>0</v>
      </c>
      <c r="BP36" s="310">
        <f t="shared" si="9"/>
        <v>0</v>
      </c>
      <c r="BQ36" s="310">
        <f t="shared" si="9"/>
        <v>0</v>
      </c>
      <c r="BR36" s="310">
        <f t="shared" si="9"/>
        <v>0</v>
      </c>
      <c r="BS36" s="310">
        <f t="shared" si="9"/>
        <v>0</v>
      </c>
      <c r="BT36" s="310">
        <f t="shared" si="9"/>
        <v>0</v>
      </c>
      <c r="BU36" s="310">
        <f t="shared" si="9"/>
        <v>0</v>
      </c>
      <c r="BV36" s="310">
        <f t="shared" si="9"/>
        <v>0</v>
      </c>
      <c r="BX36" s="476" t="s">
        <v>153</v>
      </c>
    </row>
    <row r="37" spans="3:76">
      <c r="C37" s="253" t="s">
        <v>152</v>
      </c>
      <c r="D37" s="253"/>
      <c r="E37" s="253"/>
      <c r="F37" s="253"/>
      <c r="G37" s="253"/>
      <c r="H37" s="253"/>
      <c r="I37" s="253"/>
      <c r="J37" s="253"/>
      <c r="K37" s="253"/>
      <c r="L37" s="253"/>
      <c r="M37" s="253"/>
      <c r="N37" s="268"/>
      <c r="O37" s="268"/>
      <c r="P37" s="268"/>
      <c r="Q37" s="268"/>
      <c r="R37" s="153"/>
      <c r="S37" s="153"/>
      <c r="T37" s="254">
        <f>PCF!T302</f>
        <v>1000</v>
      </c>
      <c r="U37" s="254">
        <f>PCF!U302</f>
        <v>2000</v>
      </c>
      <c r="V37" s="254">
        <f>PCF!V302</f>
        <v>3000</v>
      </c>
      <c r="W37" s="254">
        <f>PCF!W302</f>
        <v>3000</v>
      </c>
      <c r="X37" s="254">
        <f>PCF!X302</f>
        <v>3000</v>
      </c>
      <c r="Y37" s="254">
        <f>PCF!Y302</f>
        <v>3000</v>
      </c>
      <c r="Z37" s="254">
        <f>PCF!Z302</f>
        <v>3000</v>
      </c>
      <c r="AA37" s="254">
        <f>PCF!AA302</f>
        <v>3000</v>
      </c>
      <c r="AB37" s="254">
        <f>PCF!AB302</f>
        <v>3000</v>
      </c>
      <c r="AC37" s="254">
        <f>PCF!AC302</f>
        <v>3000</v>
      </c>
      <c r="AD37" s="254">
        <f>PCF!AD302</f>
        <v>3000</v>
      </c>
      <c r="AE37" s="254">
        <f>PCF!AE302</f>
        <v>3000</v>
      </c>
      <c r="AF37" s="254">
        <f>PCF!AF302</f>
        <v>0</v>
      </c>
      <c r="AG37" s="254">
        <f>PCF!AG302</f>
        <v>0</v>
      </c>
      <c r="AH37" s="254">
        <f>PCF!AH302</f>
        <v>0</v>
      </c>
      <c r="AI37" s="254">
        <f>PCF!AI302</f>
        <v>0</v>
      </c>
      <c r="AJ37" s="254">
        <f>PCF!AJ302</f>
        <v>0</v>
      </c>
      <c r="AK37" s="254">
        <f>PCF!AK302</f>
        <v>0</v>
      </c>
      <c r="AL37" s="254">
        <f>PCF!AL302</f>
        <v>0</v>
      </c>
      <c r="AM37" s="254">
        <f>PCF!AM302</f>
        <v>0</v>
      </c>
      <c r="AN37" s="254">
        <f>PCF!AN302</f>
        <v>0</v>
      </c>
      <c r="AO37" s="254">
        <f>PCF!AO302</f>
        <v>0</v>
      </c>
      <c r="AP37" s="254">
        <f>PCF!AP302</f>
        <v>0</v>
      </c>
      <c r="AQ37" s="254">
        <f>PCF!AQ302</f>
        <v>0</v>
      </c>
      <c r="AR37" s="254">
        <f>PCF!AR302</f>
        <v>0</v>
      </c>
      <c r="AS37" s="254">
        <f>PCF!AS302</f>
        <v>0</v>
      </c>
      <c r="AT37" s="254">
        <f>PCF!AT302</f>
        <v>0</v>
      </c>
      <c r="AU37" s="254">
        <f>PCF!AU302</f>
        <v>0</v>
      </c>
      <c r="AV37" s="254">
        <f>PCF!AV302</f>
        <v>0</v>
      </c>
      <c r="AW37" s="254">
        <f>PCF!AW302</f>
        <v>0</v>
      </c>
      <c r="AX37" s="254">
        <f>PCF!AX302</f>
        <v>0</v>
      </c>
      <c r="AY37" s="254">
        <f>PCF!AY302</f>
        <v>0</v>
      </c>
      <c r="AZ37" s="254">
        <f>PCF!AZ302</f>
        <v>0</v>
      </c>
      <c r="BA37" s="254">
        <f>PCF!BA302</f>
        <v>0</v>
      </c>
      <c r="BB37" s="254">
        <f>PCF!BB302</f>
        <v>0</v>
      </c>
      <c r="BC37" s="254">
        <f>PCF!BC302</f>
        <v>0</v>
      </c>
      <c r="BD37" s="254">
        <f>PCF!BD302</f>
        <v>0</v>
      </c>
      <c r="BE37" s="254">
        <f>PCF!BE302</f>
        <v>0</v>
      </c>
      <c r="BF37" s="254">
        <f>PCF!BF302</f>
        <v>0</v>
      </c>
      <c r="BG37" s="254">
        <f>PCF!BG302</f>
        <v>0</v>
      </c>
      <c r="BI37" s="253" t="s">
        <v>153</v>
      </c>
      <c r="BM37" s="367">
        <f t="shared" si="9"/>
        <v>2250</v>
      </c>
      <c r="BN37" s="367">
        <f t="shared" si="9"/>
        <v>3000</v>
      </c>
      <c r="BO37" s="367">
        <f t="shared" si="9"/>
        <v>3000</v>
      </c>
      <c r="BP37" s="367">
        <f t="shared" si="9"/>
        <v>0</v>
      </c>
      <c r="BQ37" s="367">
        <f t="shared" si="9"/>
        <v>0</v>
      </c>
      <c r="BR37" s="367">
        <f t="shared" si="9"/>
        <v>0</v>
      </c>
      <c r="BS37" s="367">
        <f t="shared" si="9"/>
        <v>0</v>
      </c>
      <c r="BT37" s="367">
        <f t="shared" si="9"/>
        <v>0</v>
      </c>
      <c r="BU37" s="367">
        <f t="shared" si="9"/>
        <v>0</v>
      </c>
      <c r="BV37" s="367">
        <f t="shared" si="9"/>
        <v>0</v>
      </c>
      <c r="BX37" s="254" t="s">
        <v>153</v>
      </c>
    </row>
    <row r="39" spans="3:76">
      <c r="C39" s="364" t="s">
        <v>615</v>
      </c>
      <c r="D39" s="39"/>
      <c r="E39" s="39"/>
      <c r="F39" s="39"/>
      <c r="G39" s="39"/>
      <c r="H39" s="39"/>
      <c r="I39" s="39"/>
      <c r="J39" s="39"/>
      <c r="K39" s="39"/>
      <c r="L39" s="39"/>
      <c r="M39" s="39"/>
      <c r="N39" s="39"/>
      <c r="BM39" s="17"/>
      <c r="BN39" s="17"/>
      <c r="BO39" s="17"/>
      <c r="BP39" s="17"/>
      <c r="BQ39" s="17"/>
      <c r="BR39" s="17"/>
      <c r="BS39" s="17"/>
      <c r="BT39" s="17"/>
      <c r="BU39" s="17"/>
      <c r="BV39" s="17"/>
      <c r="BX39" s="17"/>
    </row>
    <row r="40" spans="3:76">
      <c r="C40" t="str">
        <f>C33</f>
        <v>FMCG-F</v>
      </c>
      <c r="O40" s="269"/>
      <c r="P40" s="269"/>
      <c r="Q40" s="269"/>
      <c r="R40" s="248"/>
      <c r="S40" s="248"/>
      <c r="T40" s="1351">
        <f>SUMIFS(PCF!T$306:T$315,PCF!$K$306:$K$315,$C40)</f>
        <v>0</v>
      </c>
      <c r="U40" s="1351">
        <f>SUMIFS(PCF!U$306:U$315,PCF!$K$306:$K$315,$C40)</f>
        <v>0</v>
      </c>
      <c r="V40" s="1351">
        <f>SUMIFS(PCF!V$306:V$315,PCF!$K$306:$K$315,$C40)</f>
        <v>0</v>
      </c>
      <c r="W40" s="1351">
        <f>SUMIFS(PCF!W$306:W$315,PCF!$K$306:$K$315,$C40)</f>
        <v>0</v>
      </c>
      <c r="X40" s="1351">
        <f>SUMIFS(PCF!X$306:X$315,PCF!$K$306:$K$315,$C40)</f>
        <v>0</v>
      </c>
      <c r="Y40" s="1351">
        <f>SUMIFS(PCF!Y$306:Y$315,PCF!$K$306:$K$315,$C40)</f>
        <v>0</v>
      </c>
      <c r="Z40" s="1351">
        <f>SUMIFS(PCF!Z$306:Z$315,PCF!$K$306:$K$315,$C40)</f>
        <v>0</v>
      </c>
      <c r="AA40" s="1351">
        <f>SUMIFS(PCF!AA$306:AA$315,PCF!$K$306:$K$315,$C40)</f>
        <v>0</v>
      </c>
      <c r="AB40" s="1351">
        <f>SUMIFS(PCF!AB$306:AB$315,PCF!$K$306:$K$315,$C40)</f>
        <v>0</v>
      </c>
      <c r="AC40" s="1351">
        <f>SUMIFS(PCF!AC$306:AC$315,PCF!$K$306:$K$315,$C40)</f>
        <v>0</v>
      </c>
      <c r="AD40" s="1351">
        <f>SUMIFS(PCF!AD$306:AD$315,PCF!$K$306:$K$315,$C40)</f>
        <v>0</v>
      </c>
      <c r="AE40" s="1351">
        <f>SUMIFS(PCF!AE$306:AE$315,PCF!$K$306:$K$315,$C40)</f>
        <v>0</v>
      </c>
      <c r="AF40" s="1351">
        <f>SUMIFS(PCF!AF$306:AF$315,PCF!$K$306:$K$315,$C40)</f>
        <v>0</v>
      </c>
      <c r="AG40" s="1351">
        <f>SUMIFS(PCF!AG$306:AG$315,PCF!$K$306:$K$315,$C40)</f>
        <v>0</v>
      </c>
      <c r="AH40" s="1351">
        <f>SUMIFS(PCF!AH$306:AH$315,PCF!$K$306:$K$315,$C40)</f>
        <v>0</v>
      </c>
      <c r="AI40" s="1351">
        <f>SUMIFS(PCF!AI$306:AI$315,PCF!$K$306:$K$315,$C40)</f>
        <v>0</v>
      </c>
      <c r="AJ40" s="1351">
        <f>SUMIFS(PCF!AJ$306:AJ$315,PCF!$K$306:$K$315,$C40)</f>
        <v>0</v>
      </c>
      <c r="AK40" s="1351">
        <f>SUMIFS(PCF!AK$306:AK$315,PCF!$K$306:$K$315,$C40)</f>
        <v>0</v>
      </c>
      <c r="AL40" s="1351">
        <f>SUMIFS(PCF!AL$306:AL$315,PCF!$K$306:$K$315,$C40)</f>
        <v>0</v>
      </c>
      <c r="AM40" s="1351">
        <f>SUMIFS(PCF!AM$306:AM$315,PCF!$K$306:$K$315,$C40)</f>
        <v>0</v>
      </c>
      <c r="AN40" s="1351">
        <f>SUMIFS(PCF!AN$306:AN$315,PCF!$K$306:$K$315,$C40)</f>
        <v>0</v>
      </c>
      <c r="AO40" s="1351">
        <f>SUMIFS(PCF!AO$306:AO$315,PCF!$K$306:$K$315,$C40)</f>
        <v>0</v>
      </c>
      <c r="AP40" s="1351">
        <f>SUMIFS(PCF!AP$306:AP$315,PCF!$K$306:$K$315,$C40)</f>
        <v>0</v>
      </c>
      <c r="AQ40" s="1351">
        <f>SUMIFS(PCF!AQ$306:AQ$315,PCF!$K$306:$K$315,$C40)</f>
        <v>0</v>
      </c>
      <c r="AR40" s="1351">
        <f>SUMIFS(PCF!AR$306:AR$315,PCF!$K$306:$K$315,$C40)</f>
        <v>0</v>
      </c>
      <c r="AS40" s="1351">
        <f>SUMIFS(PCF!AS$306:AS$315,PCF!$K$306:$K$315,$C40)</f>
        <v>0</v>
      </c>
      <c r="AT40" s="1351">
        <f>SUMIFS(PCF!AT$306:AT$315,PCF!$K$306:$K$315,$C40)</f>
        <v>0</v>
      </c>
      <c r="AU40" s="1351">
        <f>SUMIFS(PCF!AU$306:AU$315,PCF!$K$306:$K$315,$C40)</f>
        <v>0</v>
      </c>
      <c r="AV40" s="1351">
        <f>SUMIFS(PCF!AV$306:AV$315,PCF!$K$306:$K$315,$C40)</f>
        <v>0</v>
      </c>
      <c r="AW40" s="1351">
        <f>SUMIFS(PCF!AW$306:AW$315,PCF!$K$306:$K$315,$C40)</f>
        <v>0</v>
      </c>
      <c r="AX40" s="1351">
        <f>SUMIFS(PCF!AX$306:AX$315,PCF!$K$306:$K$315,$C40)</f>
        <v>0</v>
      </c>
      <c r="AY40" s="1351">
        <f>SUMIFS(PCF!AY$306:AY$315,PCF!$K$306:$K$315,$C40)</f>
        <v>0</v>
      </c>
      <c r="AZ40" s="1351">
        <f>SUMIFS(PCF!AZ$306:AZ$315,PCF!$K$306:$K$315,$C40)</f>
        <v>0</v>
      </c>
      <c r="BA40" s="1351">
        <f>SUMIFS(PCF!BA$306:BA$315,PCF!$K$306:$K$315,$C40)</f>
        <v>0</v>
      </c>
      <c r="BB40" s="1351">
        <f>SUMIFS(PCF!BB$306:BB$315,PCF!$K$306:$K$315,$C40)</f>
        <v>0</v>
      </c>
      <c r="BC40" s="1351">
        <f>SUMIFS(PCF!BC$306:BC$315,PCF!$K$306:$K$315,$C40)</f>
        <v>0</v>
      </c>
      <c r="BD40" s="1351">
        <f>SUMIFS(PCF!BD$306:BD$315,PCF!$K$306:$K$315,$C40)</f>
        <v>0</v>
      </c>
      <c r="BE40" s="1351">
        <f>SUMIFS(PCF!BE$306:BE$315,PCF!$K$306:$K$315,$C40)</f>
        <v>0</v>
      </c>
      <c r="BF40" s="1351">
        <f>SUMIFS(PCF!BF$306:BF$315,PCF!$K$306:$K$315,$C40)</f>
        <v>0</v>
      </c>
      <c r="BG40" s="1351">
        <f>SUMIFS(PCF!BG$306:BG$315,PCF!$K$306:$K$315,$C40)</f>
        <v>0</v>
      </c>
      <c r="BI40" s="1067" t="s">
        <v>153</v>
      </c>
      <c r="BM40" s="310">
        <f t="shared" ref="BM40:BV44" si="11">AVERAGEIF($T$8:$BG$8,BM$6,$T40:$BG40)</f>
        <v>0</v>
      </c>
      <c r="BN40" s="310">
        <f t="shared" si="11"/>
        <v>0</v>
      </c>
      <c r="BO40" s="310">
        <f t="shared" si="11"/>
        <v>0</v>
      </c>
      <c r="BP40" s="310">
        <f t="shared" si="11"/>
        <v>0</v>
      </c>
      <c r="BQ40" s="310">
        <f t="shared" si="11"/>
        <v>0</v>
      </c>
      <c r="BR40" s="310">
        <f t="shared" si="11"/>
        <v>0</v>
      </c>
      <c r="BS40" s="310">
        <f t="shared" si="11"/>
        <v>0</v>
      </c>
      <c r="BT40" s="310">
        <f t="shared" si="11"/>
        <v>0</v>
      </c>
      <c r="BU40" s="310">
        <f t="shared" si="11"/>
        <v>0</v>
      </c>
      <c r="BV40" s="310">
        <f t="shared" si="11"/>
        <v>0</v>
      </c>
      <c r="BX40" s="476" t="s">
        <v>153</v>
      </c>
    </row>
    <row r="41" spans="3:76">
      <c r="C41" t="str">
        <f>C34</f>
        <v>FMCG-N</v>
      </c>
      <c r="R41" s="392"/>
      <c r="S41" s="392"/>
      <c r="T41" s="403">
        <f>SUMIFS(PCF!T$306:T$315,PCF!$K$306:$K$315,$C41)</f>
        <v>0</v>
      </c>
      <c r="U41" s="403">
        <f>SUMIFS(PCF!U$306:U$315,PCF!$K$306:$K$315,$C41)</f>
        <v>0</v>
      </c>
      <c r="V41" s="403">
        <f>SUMIFS(PCF!V$306:V$315,PCF!$K$306:$K$315,$C41)</f>
        <v>0</v>
      </c>
      <c r="W41" s="403">
        <f>SUMIFS(PCF!W$306:W$315,PCF!$K$306:$K$315,$C41)</f>
        <v>0</v>
      </c>
      <c r="X41" s="403">
        <f>SUMIFS(PCF!X$306:X$315,PCF!$K$306:$K$315,$C41)</f>
        <v>0</v>
      </c>
      <c r="Y41" s="403">
        <f>SUMIFS(PCF!Y$306:Y$315,PCF!$K$306:$K$315,$C41)</f>
        <v>0</v>
      </c>
      <c r="Z41" s="403">
        <f>SUMIFS(PCF!Z$306:Z$315,PCF!$K$306:$K$315,$C41)</f>
        <v>0</v>
      </c>
      <c r="AA41" s="403">
        <f>SUMIFS(PCF!AA$306:AA$315,PCF!$K$306:$K$315,$C41)</f>
        <v>0</v>
      </c>
      <c r="AB41" s="403">
        <f>SUMIFS(PCF!AB$306:AB$315,PCF!$K$306:$K$315,$C41)</f>
        <v>0</v>
      </c>
      <c r="AC41" s="403">
        <f>SUMIFS(PCF!AC$306:AC$315,PCF!$K$306:$K$315,$C41)</f>
        <v>0</v>
      </c>
      <c r="AD41" s="403">
        <f>SUMIFS(PCF!AD$306:AD$315,PCF!$K$306:$K$315,$C41)</f>
        <v>0</v>
      </c>
      <c r="AE41" s="403">
        <f>SUMIFS(PCF!AE$306:AE$315,PCF!$K$306:$K$315,$C41)</f>
        <v>0</v>
      </c>
      <c r="AF41" s="403">
        <f>SUMIFS(PCF!AF$306:AF$315,PCF!$K$306:$K$315,$C41)</f>
        <v>0</v>
      </c>
      <c r="AG41" s="403">
        <f>SUMIFS(PCF!AG$306:AG$315,PCF!$K$306:$K$315,$C41)</f>
        <v>0</v>
      </c>
      <c r="AH41" s="403">
        <f>SUMIFS(PCF!AH$306:AH$315,PCF!$K$306:$K$315,$C41)</f>
        <v>0</v>
      </c>
      <c r="AI41" s="403">
        <f>SUMIFS(PCF!AI$306:AI$315,PCF!$K$306:$K$315,$C41)</f>
        <v>0</v>
      </c>
      <c r="AJ41" s="403">
        <f>SUMIFS(PCF!AJ$306:AJ$315,PCF!$K$306:$K$315,$C41)</f>
        <v>0</v>
      </c>
      <c r="AK41" s="403">
        <f>SUMIFS(PCF!AK$306:AK$315,PCF!$K$306:$K$315,$C41)</f>
        <v>0</v>
      </c>
      <c r="AL41" s="403">
        <f>SUMIFS(PCF!AL$306:AL$315,PCF!$K$306:$K$315,$C41)</f>
        <v>0</v>
      </c>
      <c r="AM41" s="403">
        <f>SUMIFS(PCF!AM$306:AM$315,PCF!$K$306:$K$315,$C41)</f>
        <v>0</v>
      </c>
      <c r="AN41" s="403">
        <f>SUMIFS(PCF!AN$306:AN$315,PCF!$K$306:$K$315,$C41)</f>
        <v>0</v>
      </c>
      <c r="AO41" s="403">
        <f>SUMIFS(PCF!AO$306:AO$315,PCF!$K$306:$K$315,$C41)</f>
        <v>0</v>
      </c>
      <c r="AP41" s="403">
        <f>SUMIFS(PCF!AP$306:AP$315,PCF!$K$306:$K$315,$C41)</f>
        <v>0</v>
      </c>
      <c r="AQ41" s="403">
        <f>SUMIFS(PCF!AQ$306:AQ$315,PCF!$K$306:$K$315,$C41)</f>
        <v>0</v>
      </c>
      <c r="AR41" s="403">
        <f>SUMIFS(PCF!AR$306:AR$315,PCF!$K$306:$K$315,$C41)</f>
        <v>0</v>
      </c>
      <c r="AS41" s="403">
        <f>SUMIFS(PCF!AS$306:AS$315,PCF!$K$306:$K$315,$C41)</f>
        <v>0</v>
      </c>
      <c r="AT41" s="403">
        <f>SUMIFS(PCF!AT$306:AT$315,PCF!$K$306:$K$315,$C41)</f>
        <v>0</v>
      </c>
      <c r="AU41" s="403">
        <f>SUMIFS(PCF!AU$306:AU$315,PCF!$K$306:$K$315,$C41)</f>
        <v>0</v>
      </c>
      <c r="AV41" s="403">
        <f>SUMIFS(PCF!AV$306:AV$315,PCF!$K$306:$K$315,$C41)</f>
        <v>0</v>
      </c>
      <c r="AW41" s="403">
        <f>SUMIFS(PCF!AW$306:AW$315,PCF!$K$306:$K$315,$C41)</f>
        <v>0</v>
      </c>
      <c r="AX41" s="403">
        <f>SUMIFS(PCF!AX$306:AX$315,PCF!$K$306:$K$315,$C41)</f>
        <v>0</v>
      </c>
      <c r="AY41" s="403">
        <f>SUMIFS(PCF!AY$306:AY$315,PCF!$K$306:$K$315,$C41)</f>
        <v>0</v>
      </c>
      <c r="AZ41" s="403">
        <f>SUMIFS(PCF!AZ$306:AZ$315,PCF!$K$306:$K$315,$C41)</f>
        <v>0</v>
      </c>
      <c r="BA41" s="403">
        <f>SUMIFS(PCF!BA$306:BA$315,PCF!$K$306:$K$315,$C41)</f>
        <v>0</v>
      </c>
      <c r="BB41" s="403">
        <f>SUMIFS(PCF!BB$306:BB$315,PCF!$K$306:$K$315,$C41)</f>
        <v>0</v>
      </c>
      <c r="BC41" s="403">
        <f>SUMIFS(PCF!BC$306:BC$315,PCF!$K$306:$K$315,$C41)</f>
        <v>0</v>
      </c>
      <c r="BD41" s="403">
        <f>SUMIFS(PCF!BD$306:BD$315,PCF!$K$306:$K$315,$C41)</f>
        <v>0</v>
      </c>
      <c r="BE41" s="403">
        <f>SUMIFS(PCF!BE$306:BE$315,PCF!$K$306:$K$315,$C41)</f>
        <v>0</v>
      </c>
      <c r="BF41" s="403">
        <f>SUMIFS(PCF!BF$306:BF$315,PCF!$K$306:$K$315,$C41)</f>
        <v>0</v>
      </c>
      <c r="BG41" s="403">
        <f>SUMIFS(PCF!BG$306:BG$315,PCF!$K$306:$K$315,$C41)</f>
        <v>0</v>
      </c>
      <c r="BI41" s="39" t="s">
        <v>153</v>
      </c>
      <c r="BM41" s="310">
        <f t="shared" si="11"/>
        <v>0</v>
      </c>
      <c r="BN41" s="310">
        <f t="shared" si="11"/>
        <v>0</v>
      </c>
      <c r="BO41" s="310">
        <f t="shared" si="11"/>
        <v>0</v>
      </c>
      <c r="BP41" s="310">
        <f t="shared" si="11"/>
        <v>0</v>
      </c>
      <c r="BQ41" s="310">
        <f t="shared" si="11"/>
        <v>0</v>
      </c>
      <c r="BR41" s="310">
        <f t="shared" si="11"/>
        <v>0</v>
      </c>
      <c r="BS41" s="310">
        <f t="shared" si="11"/>
        <v>0</v>
      </c>
      <c r="BT41" s="310">
        <f t="shared" si="11"/>
        <v>0</v>
      </c>
      <c r="BU41" s="310">
        <f t="shared" si="11"/>
        <v>0</v>
      </c>
      <c r="BV41" s="310">
        <f t="shared" si="11"/>
        <v>0</v>
      </c>
      <c r="BX41" s="476" t="s">
        <v>153</v>
      </c>
    </row>
    <row r="42" spans="3:76">
      <c r="C42" t="str">
        <f>C35</f>
        <v>Non-food retail</v>
      </c>
      <c r="R42" s="392"/>
      <c r="S42" s="392"/>
      <c r="T42" s="403">
        <f>SUMIFS(PCF!T$306:T$315,PCF!$K$306:$K$315,$C42)</f>
        <v>0</v>
      </c>
      <c r="U42" s="403">
        <f>SUMIFS(PCF!U$306:U$315,PCF!$K$306:$K$315,$C42)</f>
        <v>0</v>
      </c>
      <c r="V42" s="403">
        <f>SUMIFS(PCF!V$306:V$315,PCF!$K$306:$K$315,$C42)</f>
        <v>0</v>
      </c>
      <c r="W42" s="403">
        <f>SUMIFS(PCF!W$306:W$315,PCF!$K$306:$K$315,$C42)</f>
        <v>0</v>
      </c>
      <c r="X42" s="403">
        <f>SUMIFS(PCF!X$306:X$315,PCF!$K$306:$K$315,$C42)</f>
        <v>0</v>
      </c>
      <c r="Y42" s="403">
        <f>SUMIFS(PCF!Y$306:Y$315,PCF!$K$306:$K$315,$C42)</f>
        <v>0</v>
      </c>
      <c r="Z42" s="403">
        <f>SUMIFS(PCF!Z$306:Z$315,PCF!$K$306:$K$315,$C42)</f>
        <v>0</v>
      </c>
      <c r="AA42" s="403">
        <f>SUMIFS(PCF!AA$306:AA$315,PCF!$K$306:$K$315,$C42)</f>
        <v>0</v>
      </c>
      <c r="AB42" s="403">
        <f>SUMIFS(PCF!AB$306:AB$315,PCF!$K$306:$K$315,$C42)</f>
        <v>0</v>
      </c>
      <c r="AC42" s="403">
        <f>SUMIFS(PCF!AC$306:AC$315,PCF!$K$306:$K$315,$C42)</f>
        <v>0</v>
      </c>
      <c r="AD42" s="403">
        <f>SUMIFS(PCF!AD$306:AD$315,PCF!$K$306:$K$315,$C42)</f>
        <v>0</v>
      </c>
      <c r="AE42" s="403">
        <f>SUMIFS(PCF!AE$306:AE$315,PCF!$K$306:$K$315,$C42)</f>
        <v>0</v>
      </c>
      <c r="AF42" s="403">
        <f>SUMIFS(PCF!AF$306:AF$315,PCF!$K$306:$K$315,$C42)</f>
        <v>0</v>
      </c>
      <c r="AG42" s="403">
        <f>SUMIFS(PCF!AG$306:AG$315,PCF!$K$306:$K$315,$C42)</f>
        <v>0</v>
      </c>
      <c r="AH42" s="403">
        <f>SUMIFS(PCF!AH$306:AH$315,PCF!$K$306:$K$315,$C42)</f>
        <v>0</v>
      </c>
      <c r="AI42" s="403">
        <f>SUMIFS(PCF!AI$306:AI$315,PCF!$K$306:$K$315,$C42)</f>
        <v>0</v>
      </c>
      <c r="AJ42" s="403">
        <f>SUMIFS(PCF!AJ$306:AJ$315,PCF!$K$306:$K$315,$C42)</f>
        <v>0</v>
      </c>
      <c r="AK42" s="403">
        <f>SUMIFS(PCF!AK$306:AK$315,PCF!$K$306:$K$315,$C42)</f>
        <v>0</v>
      </c>
      <c r="AL42" s="403">
        <f>SUMIFS(PCF!AL$306:AL$315,PCF!$K$306:$K$315,$C42)</f>
        <v>0</v>
      </c>
      <c r="AM42" s="403">
        <f>SUMIFS(PCF!AM$306:AM$315,PCF!$K$306:$K$315,$C42)</f>
        <v>0</v>
      </c>
      <c r="AN42" s="403">
        <f>SUMIFS(PCF!AN$306:AN$315,PCF!$K$306:$K$315,$C42)</f>
        <v>0</v>
      </c>
      <c r="AO42" s="403">
        <f>SUMIFS(PCF!AO$306:AO$315,PCF!$K$306:$K$315,$C42)</f>
        <v>0</v>
      </c>
      <c r="AP42" s="403">
        <f>SUMIFS(PCF!AP$306:AP$315,PCF!$K$306:$K$315,$C42)</f>
        <v>0</v>
      </c>
      <c r="AQ42" s="403">
        <f>SUMIFS(PCF!AQ$306:AQ$315,PCF!$K$306:$K$315,$C42)</f>
        <v>0</v>
      </c>
      <c r="AR42" s="403">
        <f>SUMIFS(PCF!AR$306:AR$315,PCF!$K$306:$K$315,$C42)</f>
        <v>0</v>
      </c>
      <c r="AS42" s="403">
        <f>SUMIFS(PCF!AS$306:AS$315,PCF!$K$306:$K$315,$C42)</f>
        <v>0</v>
      </c>
      <c r="AT42" s="403">
        <f>SUMIFS(PCF!AT$306:AT$315,PCF!$K$306:$K$315,$C42)</f>
        <v>0</v>
      </c>
      <c r="AU42" s="403">
        <f>SUMIFS(PCF!AU$306:AU$315,PCF!$K$306:$K$315,$C42)</f>
        <v>0</v>
      </c>
      <c r="AV42" s="403">
        <f>SUMIFS(PCF!AV$306:AV$315,PCF!$K$306:$K$315,$C42)</f>
        <v>0</v>
      </c>
      <c r="AW42" s="403">
        <f>SUMIFS(PCF!AW$306:AW$315,PCF!$K$306:$K$315,$C42)</f>
        <v>0</v>
      </c>
      <c r="AX42" s="403">
        <f>SUMIFS(PCF!AX$306:AX$315,PCF!$K$306:$K$315,$C42)</f>
        <v>0</v>
      </c>
      <c r="AY42" s="403">
        <f>SUMIFS(PCF!AY$306:AY$315,PCF!$K$306:$K$315,$C42)</f>
        <v>0</v>
      </c>
      <c r="AZ42" s="403">
        <f>SUMIFS(PCF!AZ$306:AZ$315,PCF!$K$306:$K$315,$C42)</f>
        <v>0</v>
      </c>
      <c r="BA42" s="403">
        <f>SUMIFS(PCF!BA$306:BA$315,PCF!$K$306:$K$315,$C42)</f>
        <v>0</v>
      </c>
      <c r="BB42" s="403">
        <f>SUMIFS(PCF!BB$306:BB$315,PCF!$K$306:$K$315,$C42)</f>
        <v>0</v>
      </c>
      <c r="BC42" s="403">
        <f>SUMIFS(PCF!BC$306:BC$315,PCF!$K$306:$K$315,$C42)</f>
        <v>0</v>
      </c>
      <c r="BD42" s="403">
        <f>SUMIFS(PCF!BD$306:BD$315,PCF!$K$306:$K$315,$C42)</f>
        <v>0</v>
      </c>
      <c r="BE42" s="403">
        <f>SUMIFS(PCF!BE$306:BE$315,PCF!$K$306:$K$315,$C42)</f>
        <v>0</v>
      </c>
      <c r="BF42" s="403">
        <f>SUMIFS(PCF!BF$306:BF$315,PCF!$K$306:$K$315,$C42)</f>
        <v>0</v>
      </c>
      <c r="BG42" s="403">
        <f>SUMIFS(PCF!BG$306:BG$315,PCF!$K$306:$K$315,$C42)</f>
        <v>0</v>
      </c>
      <c r="BI42" s="39" t="s">
        <v>153</v>
      </c>
      <c r="BM42" s="310">
        <f t="shared" si="11"/>
        <v>0</v>
      </c>
      <c r="BN42" s="310">
        <f t="shared" si="11"/>
        <v>0</v>
      </c>
      <c r="BO42" s="310">
        <f t="shared" si="11"/>
        <v>0</v>
      </c>
      <c r="BP42" s="310">
        <f t="shared" si="11"/>
        <v>0</v>
      </c>
      <c r="BQ42" s="310">
        <f t="shared" si="11"/>
        <v>0</v>
      </c>
      <c r="BR42" s="310">
        <f t="shared" si="11"/>
        <v>0</v>
      </c>
      <c r="BS42" s="310">
        <f t="shared" si="11"/>
        <v>0</v>
      </c>
      <c r="BT42" s="310">
        <f t="shared" si="11"/>
        <v>0</v>
      </c>
      <c r="BU42" s="310">
        <f t="shared" si="11"/>
        <v>0</v>
      </c>
      <c r="BV42" s="310">
        <f t="shared" si="11"/>
        <v>0</v>
      </c>
      <c r="BX42" s="476" t="s">
        <v>153</v>
      </c>
    </row>
    <row r="43" spans="3:76">
      <c r="C43" t="str">
        <f>C36</f>
        <v>Other Categories</v>
      </c>
      <c r="R43" s="392"/>
      <c r="S43" s="392"/>
      <c r="T43" s="310">
        <f t="shared" ref="T43:BG43" si="12">T44-SUM(T40:T42)</f>
        <v>0</v>
      </c>
      <c r="U43" s="310">
        <f t="shared" si="12"/>
        <v>0</v>
      </c>
      <c r="V43" s="310">
        <f t="shared" si="12"/>
        <v>0</v>
      </c>
      <c r="W43" s="310">
        <f t="shared" si="12"/>
        <v>0</v>
      </c>
      <c r="X43" s="310">
        <f t="shared" si="12"/>
        <v>0</v>
      </c>
      <c r="Y43" s="310">
        <f t="shared" si="12"/>
        <v>0</v>
      </c>
      <c r="Z43" s="310">
        <f t="shared" si="12"/>
        <v>0</v>
      </c>
      <c r="AA43" s="310">
        <f t="shared" si="12"/>
        <v>0</v>
      </c>
      <c r="AB43" s="310">
        <f t="shared" si="12"/>
        <v>0</v>
      </c>
      <c r="AC43" s="310">
        <f t="shared" si="12"/>
        <v>0</v>
      </c>
      <c r="AD43" s="310">
        <f t="shared" si="12"/>
        <v>0</v>
      </c>
      <c r="AE43" s="310">
        <f t="shared" si="12"/>
        <v>0</v>
      </c>
      <c r="AF43" s="310">
        <f t="shared" si="12"/>
        <v>0</v>
      </c>
      <c r="AG43" s="310">
        <f t="shared" si="12"/>
        <v>0</v>
      </c>
      <c r="AH43" s="310">
        <f t="shared" si="12"/>
        <v>0</v>
      </c>
      <c r="AI43" s="310">
        <f t="shared" si="12"/>
        <v>0</v>
      </c>
      <c r="AJ43" s="310">
        <f t="shared" si="12"/>
        <v>0</v>
      </c>
      <c r="AK43" s="310">
        <f t="shared" si="12"/>
        <v>0</v>
      </c>
      <c r="AL43" s="310">
        <f t="shared" si="12"/>
        <v>0</v>
      </c>
      <c r="AM43" s="310">
        <f t="shared" si="12"/>
        <v>0</v>
      </c>
      <c r="AN43" s="310">
        <f t="shared" si="12"/>
        <v>0</v>
      </c>
      <c r="AO43" s="310">
        <f t="shared" si="12"/>
        <v>0</v>
      </c>
      <c r="AP43" s="310">
        <f t="shared" si="12"/>
        <v>0</v>
      </c>
      <c r="AQ43" s="310">
        <f t="shared" si="12"/>
        <v>0</v>
      </c>
      <c r="AR43" s="310">
        <f t="shared" si="12"/>
        <v>0</v>
      </c>
      <c r="AS43" s="310">
        <f t="shared" si="12"/>
        <v>0</v>
      </c>
      <c r="AT43" s="310">
        <f t="shared" si="12"/>
        <v>0</v>
      </c>
      <c r="AU43" s="310">
        <f t="shared" si="12"/>
        <v>0</v>
      </c>
      <c r="AV43" s="310">
        <f t="shared" si="12"/>
        <v>0</v>
      </c>
      <c r="AW43" s="310">
        <f t="shared" si="12"/>
        <v>0</v>
      </c>
      <c r="AX43" s="310">
        <f t="shared" si="12"/>
        <v>0</v>
      </c>
      <c r="AY43" s="310">
        <f t="shared" si="12"/>
        <v>0</v>
      </c>
      <c r="AZ43" s="310">
        <f t="shared" si="12"/>
        <v>0</v>
      </c>
      <c r="BA43" s="310">
        <f t="shared" si="12"/>
        <v>0</v>
      </c>
      <c r="BB43" s="310">
        <f t="shared" si="12"/>
        <v>0</v>
      </c>
      <c r="BC43" s="310">
        <f t="shared" si="12"/>
        <v>0</v>
      </c>
      <c r="BD43" s="310">
        <f t="shared" si="12"/>
        <v>0</v>
      </c>
      <c r="BE43" s="310">
        <f t="shared" si="12"/>
        <v>0</v>
      </c>
      <c r="BF43" s="310">
        <f t="shared" si="12"/>
        <v>0</v>
      </c>
      <c r="BG43" s="310">
        <f t="shared" si="12"/>
        <v>0</v>
      </c>
      <c r="BI43" s="39" t="s">
        <v>153</v>
      </c>
      <c r="BM43" s="310">
        <f t="shared" si="11"/>
        <v>0</v>
      </c>
      <c r="BN43" s="310">
        <f t="shared" si="11"/>
        <v>0</v>
      </c>
      <c r="BO43" s="310">
        <f t="shared" si="11"/>
        <v>0</v>
      </c>
      <c r="BP43" s="310">
        <f t="shared" si="11"/>
        <v>0</v>
      </c>
      <c r="BQ43" s="310">
        <f t="shared" si="11"/>
        <v>0</v>
      </c>
      <c r="BR43" s="310">
        <f t="shared" si="11"/>
        <v>0</v>
      </c>
      <c r="BS43" s="310">
        <f t="shared" si="11"/>
        <v>0</v>
      </c>
      <c r="BT43" s="310">
        <f t="shared" si="11"/>
        <v>0</v>
      </c>
      <c r="BU43" s="310">
        <f t="shared" si="11"/>
        <v>0</v>
      </c>
      <c r="BV43" s="310">
        <f t="shared" si="11"/>
        <v>0</v>
      </c>
      <c r="BX43" s="476" t="s">
        <v>153</v>
      </c>
    </row>
    <row r="44" spans="3:76">
      <c r="C44" s="253" t="str">
        <f>C37</f>
        <v>Total</v>
      </c>
      <c r="D44" s="253"/>
      <c r="E44" s="253"/>
      <c r="F44" s="253"/>
      <c r="G44" s="253"/>
      <c r="H44" s="253"/>
      <c r="I44" s="253"/>
      <c r="J44" s="253"/>
      <c r="K44" s="253"/>
      <c r="L44" s="253"/>
      <c r="M44" s="253"/>
      <c r="N44" s="253"/>
      <c r="O44" s="268"/>
      <c r="P44" s="268"/>
      <c r="Q44" s="268"/>
      <c r="R44" s="153"/>
      <c r="S44" s="153"/>
      <c r="T44" s="254">
        <f>PCF!T316</f>
        <v>0</v>
      </c>
      <c r="U44" s="254">
        <f>PCF!U316</f>
        <v>0</v>
      </c>
      <c r="V44" s="254">
        <f>PCF!V316</f>
        <v>0</v>
      </c>
      <c r="W44" s="254">
        <f>PCF!W316</f>
        <v>0</v>
      </c>
      <c r="X44" s="254">
        <f>PCF!X316</f>
        <v>0</v>
      </c>
      <c r="Y44" s="254">
        <f>PCF!Y316</f>
        <v>0</v>
      </c>
      <c r="Z44" s="254">
        <f>PCF!Z316</f>
        <v>0</v>
      </c>
      <c r="AA44" s="254">
        <f>PCF!AA316</f>
        <v>0</v>
      </c>
      <c r="AB44" s="254">
        <f>PCF!AB316</f>
        <v>0</v>
      </c>
      <c r="AC44" s="254">
        <f>PCF!AC316</f>
        <v>0</v>
      </c>
      <c r="AD44" s="254">
        <f>PCF!AD316</f>
        <v>0</v>
      </c>
      <c r="AE44" s="254">
        <f>PCF!AE316</f>
        <v>0</v>
      </c>
      <c r="AF44" s="254">
        <f>PCF!AF316</f>
        <v>0</v>
      </c>
      <c r="AG44" s="254">
        <f>PCF!AG316</f>
        <v>0</v>
      </c>
      <c r="AH44" s="254">
        <f>PCF!AH316</f>
        <v>0</v>
      </c>
      <c r="AI44" s="254">
        <f>PCF!AI316</f>
        <v>0</v>
      </c>
      <c r="AJ44" s="254">
        <f>PCF!AJ316</f>
        <v>0</v>
      </c>
      <c r="AK44" s="254">
        <f>PCF!AK316</f>
        <v>0</v>
      </c>
      <c r="AL44" s="254">
        <f>PCF!AL316</f>
        <v>0</v>
      </c>
      <c r="AM44" s="254">
        <f>PCF!AM316</f>
        <v>0</v>
      </c>
      <c r="AN44" s="254">
        <f>PCF!AN316</f>
        <v>0</v>
      </c>
      <c r="AO44" s="254">
        <f>PCF!AO316</f>
        <v>0</v>
      </c>
      <c r="AP44" s="254">
        <f>PCF!AP316</f>
        <v>0</v>
      </c>
      <c r="AQ44" s="254">
        <f>PCF!AQ316</f>
        <v>0</v>
      </c>
      <c r="AR44" s="254">
        <f>PCF!AR316</f>
        <v>0</v>
      </c>
      <c r="AS44" s="254">
        <f>PCF!AS316</f>
        <v>0</v>
      </c>
      <c r="AT44" s="254">
        <f>PCF!AT316</f>
        <v>0</v>
      </c>
      <c r="AU44" s="254">
        <f>PCF!AU316</f>
        <v>0</v>
      </c>
      <c r="AV44" s="254">
        <f>PCF!AV316</f>
        <v>0</v>
      </c>
      <c r="AW44" s="254">
        <f>PCF!AW316</f>
        <v>0</v>
      </c>
      <c r="AX44" s="254">
        <f>PCF!AX316</f>
        <v>0</v>
      </c>
      <c r="AY44" s="254">
        <f>PCF!AY316</f>
        <v>0</v>
      </c>
      <c r="AZ44" s="254">
        <f>PCF!AZ316</f>
        <v>0</v>
      </c>
      <c r="BA44" s="254">
        <f>PCF!BA316</f>
        <v>0</v>
      </c>
      <c r="BB44" s="254">
        <f>PCF!BB316</f>
        <v>0</v>
      </c>
      <c r="BC44" s="254">
        <f>PCF!BC316</f>
        <v>0</v>
      </c>
      <c r="BD44" s="254">
        <f>PCF!BD316</f>
        <v>0</v>
      </c>
      <c r="BE44" s="254">
        <f>PCF!BE316</f>
        <v>0</v>
      </c>
      <c r="BF44" s="254">
        <f>PCF!BF316</f>
        <v>0</v>
      </c>
      <c r="BG44" s="254">
        <f>PCF!BG316</f>
        <v>0</v>
      </c>
      <c r="BI44" s="253" t="s">
        <v>153</v>
      </c>
      <c r="BM44" s="367">
        <f t="shared" si="11"/>
        <v>0</v>
      </c>
      <c r="BN44" s="367">
        <f t="shared" si="11"/>
        <v>0</v>
      </c>
      <c r="BO44" s="367">
        <f t="shared" si="11"/>
        <v>0</v>
      </c>
      <c r="BP44" s="367">
        <f t="shared" si="11"/>
        <v>0</v>
      </c>
      <c r="BQ44" s="367">
        <f t="shared" si="11"/>
        <v>0</v>
      </c>
      <c r="BR44" s="367">
        <f t="shared" si="11"/>
        <v>0</v>
      </c>
      <c r="BS44" s="367">
        <f t="shared" si="11"/>
        <v>0</v>
      </c>
      <c r="BT44" s="367">
        <f t="shared" si="11"/>
        <v>0</v>
      </c>
      <c r="BU44" s="367">
        <f t="shared" si="11"/>
        <v>0</v>
      </c>
      <c r="BV44" s="367">
        <f t="shared" si="11"/>
        <v>0</v>
      </c>
      <c r="BX44" s="254" t="s">
        <v>153</v>
      </c>
    </row>
    <row r="46" spans="3:76">
      <c r="C46" s="364" t="s">
        <v>616</v>
      </c>
      <c r="D46" s="364"/>
      <c r="E46" s="364"/>
      <c r="F46" s="364"/>
      <c r="G46" s="364"/>
      <c r="H46" s="364"/>
      <c r="I46" s="364"/>
      <c r="J46" s="364"/>
      <c r="K46" s="364"/>
      <c r="L46" s="364"/>
      <c r="M46" s="364"/>
      <c r="N46" s="364"/>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M46" s="17"/>
      <c r="BN46" s="17"/>
      <c r="BO46" s="17"/>
      <c r="BP46" s="17"/>
      <c r="BQ46" s="17"/>
      <c r="BR46" s="17"/>
      <c r="BS46" s="17"/>
      <c r="BT46" s="17"/>
      <c r="BU46" s="17"/>
      <c r="BV46" s="17"/>
      <c r="BX46" s="17"/>
    </row>
    <row r="47" spans="3:76">
      <c r="C47" t="str">
        <f>C33</f>
        <v>FMCG-F</v>
      </c>
      <c r="R47" s="392"/>
      <c r="S47" s="392"/>
      <c r="T47" s="403">
        <f>SUMIFS(PCF!T$319:T$328,PCF!$K$319:$K$328,$C47)</f>
        <v>1000</v>
      </c>
      <c r="U47" s="403">
        <f>SUMIFS(PCF!U$319:U$328,PCF!$K$319:$K$328,$C47)</f>
        <v>2000</v>
      </c>
      <c r="V47" s="403">
        <f>SUMIFS(PCF!V$319:V$328,PCF!$K$319:$K$328,$C47)</f>
        <v>3000</v>
      </c>
      <c r="W47" s="403">
        <f>SUMIFS(PCF!W$319:W$328,PCF!$K$319:$K$328,$C47)</f>
        <v>3000</v>
      </c>
      <c r="X47" s="403">
        <f>SUMIFS(PCF!X$319:X$328,PCF!$K$319:$K$328,$C47)</f>
        <v>3000</v>
      </c>
      <c r="Y47" s="403">
        <f>SUMIFS(PCF!Y$319:Y$328,PCF!$K$319:$K$328,$C47)</f>
        <v>3000</v>
      </c>
      <c r="Z47" s="403">
        <f>SUMIFS(PCF!Z$319:Z$328,PCF!$K$319:$K$328,$C47)</f>
        <v>3000</v>
      </c>
      <c r="AA47" s="403">
        <f>SUMIFS(PCF!AA$319:AA$328,PCF!$K$319:$K$328,$C47)</f>
        <v>3000</v>
      </c>
      <c r="AB47" s="403">
        <f>SUMIFS(PCF!AB$319:AB$328,PCF!$K$319:$K$328,$C47)</f>
        <v>3000</v>
      </c>
      <c r="AC47" s="403">
        <f>SUMIFS(PCF!AC$319:AC$328,PCF!$K$319:$K$328,$C47)</f>
        <v>3000</v>
      </c>
      <c r="AD47" s="403">
        <f>SUMIFS(PCF!AD$319:AD$328,PCF!$K$319:$K$328,$C47)</f>
        <v>3000</v>
      </c>
      <c r="AE47" s="403">
        <f>SUMIFS(PCF!AE$319:AE$328,PCF!$K$319:$K$328,$C47)</f>
        <v>3000</v>
      </c>
      <c r="AF47" s="403">
        <f>SUMIFS(PCF!AF$319:AF$328,PCF!$K$319:$K$328,$C47)</f>
        <v>0</v>
      </c>
      <c r="AG47" s="403">
        <f>SUMIFS(PCF!AG$319:AG$328,PCF!$K$319:$K$328,$C47)</f>
        <v>0</v>
      </c>
      <c r="AH47" s="403">
        <f>SUMIFS(PCF!AH$319:AH$328,PCF!$K$319:$K$328,$C47)</f>
        <v>0</v>
      </c>
      <c r="AI47" s="403">
        <f>SUMIFS(PCF!AI$319:AI$328,PCF!$K$319:$K$328,$C47)</f>
        <v>0</v>
      </c>
      <c r="AJ47" s="403">
        <f>SUMIFS(PCF!AJ$319:AJ$328,PCF!$K$319:$K$328,$C47)</f>
        <v>0</v>
      </c>
      <c r="AK47" s="403">
        <f>SUMIFS(PCF!AK$319:AK$328,PCF!$K$319:$K$328,$C47)</f>
        <v>0</v>
      </c>
      <c r="AL47" s="403">
        <f>SUMIFS(PCF!AL$319:AL$328,PCF!$K$319:$K$328,$C47)</f>
        <v>0</v>
      </c>
      <c r="AM47" s="403">
        <f>SUMIFS(PCF!AM$319:AM$328,PCF!$K$319:$K$328,$C47)</f>
        <v>0</v>
      </c>
      <c r="AN47" s="403">
        <f>SUMIFS(PCF!AN$319:AN$328,PCF!$K$319:$K$328,$C47)</f>
        <v>0</v>
      </c>
      <c r="AO47" s="403">
        <f>SUMIFS(PCF!AO$319:AO$328,PCF!$K$319:$K$328,$C47)</f>
        <v>0</v>
      </c>
      <c r="AP47" s="403">
        <f>SUMIFS(PCF!AP$319:AP$328,PCF!$K$319:$K$328,$C47)</f>
        <v>0</v>
      </c>
      <c r="AQ47" s="403">
        <f>SUMIFS(PCF!AQ$319:AQ$328,PCF!$K$319:$K$328,$C47)</f>
        <v>0</v>
      </c>
      <c r="AR47" s="403">
        <f>SUMIFS(PCF!AR$319:AR$328,PCF!$K$319:$K$328,$C47)</f>
        <v>0</v>
      </c>
      <c r="AS47" s="403">
        <f>SUMIFS(PCF!AS$319:AS$328,PCF!$K$319:$K$328,$C47)</f>
        <v>0</v>
      </c>
      <c r="AT47" s="403">
        <f>SUMIFS(PCF!AT$319:AT$328,PCF!$K$319:$K$328,$C47)</f>
        <v>0</v>
      </c>
      <c r="AU47" s="403">
        <f>SUMIFS(PCF!AU$319:AU$328,PCF!$K$319:$K$328,$C47)</f>
        <v>0</v>
      </c>
      <c r="AV47" s="403">
        <f>SUMIFS(PCF!AV$319:AV$328,PCF!$K$319:$K$328,$C47)</f>
        <v>0</v>
      </c>
      <c r="AW47" s="403">
        <f>SUMIFS(PCF!AW$319:AW$328,PCF!$K$319:$K$328,$C47)</f>
        <v>0</v>
      </c>
      <c r="AX47" s="403">
        <f>SUMIFS(PCF!AX$319:AX$328,PCF!$K$319:$K$328,$C47)</f>
        <v>0</v>
      </c>
      <c r="AY47" s="403">
        <f>SUMIFS(PCF!AY$319:AY$328,PCF!$K$319:$K$328,$C47)</f>
        <v>0</v>
      </c>
      <c r="AZ47" s="403">
        <f>SUMIFS(PCF!AZ$319:AZ$328,PCF!$K$319:$K$328,$C47)</f>
        <v>0</v>
      </c>
      <c r="BA47" s="403">
        <f>SUMIFS(PCF!BA$319:BA$328,PCF!$K$319:$K$328,$C47)</f>
        <v>0</v>
      </c>
      <c r="BB47" s="403">
        <f>SUMIFS(PCF!BB$319:BB$328,PCF!$K$319:$K$328,$C47)</f>
        <v>0</v>
      </c>
      <c r="BC47" s="403">
        <f>SUMIFS(PCF!BC$319:BC$328,PCF!$K$319:$K$328,$C47)</f>
        <v>0</v>
      </c>
      <c r="BD47" s="403">
        <f>SUMIFS(PCF!BD$319:BD$328,PCF!$K$319:$K$328,$C47)</f>
        <v>0</v>
      </c>
      <c r="BE47" s="403">
        <f>SUMIFS(PCF!BE$319:BE$328,PCF!$K$319:$K$328,$C47)</f>
        <v>0</v>
      </c>
      <c r="BF47" s="403">
        <f>SUMIFS(PCF!BF$319:BF$328,PCF!$K$319:$K$328,$C47)</f>
        <v>0</v>
      </c>
      <c r="BG47" s="403">
        <f>SUMIFS(PCF!BG$319:BG$328,PCF!$K$319:$K$328,$C47)</f>
        <v>0</v>
      </c>
      <c r="BI47" s="1067" t="s">
        <v>153</v>
      </c>
      <c r="BM47" s="310">
        <f t="shared" ref="BM47:BV47" si="13">AVERAGEIF($T$8:$BG$8,BM$6,$T47:$BG47)</f>
        <v>2250</v>
      </c>
      <c r="BN47" s="310">
        <f t="shared" si="13"/>
        <v>3000</v>
      </c>
      <c r="BO47" s="310">
        <f t="shared" si="13"/>
        <v>3000</v>
      </c>
      <c r="BP47" s="310">
        <f t="shared" si="13"/>
        <v>0</v>
      </c>
      <c r="BQ47" s="310">
        <f t="shared" si="13"/>
        <v>0</v>
      </c>
      <c r="BR47" s="310">
        <f t="shared" si="13"/>
        <v>0</v>
      </c>
      <c r="BS47" s="310">
        <f t="shared" si="13"/>
        <v>0</v>
      </c>
      <c r="BT47" s="310">
        <f t="shared" si="13"/>
        <v>0</v>
      </c>
      <c r="BU47" s="310">
        <f t="shared" si="13"/>
        <v>0</v>
      </c>
      <c r="BV47" s="310">
        <f t="shared" si="13"/>
        <v>0</v>
      </c>
      <c r="BX47" s="476" t="s">
        <v>153</v>
      </c>
    </row>
    <row r="48" spans="3:76">
      <c r="C48" s="398" t="s">
        <v>649</v>
      </c>
      <c r="D48" s="398"/>
      <c r="E48" s="398"/>
      <c r="F48" s="398"/>
      <c r="G48" s="398"/>
      <c r="H48" s="398"/>
      <c r="I48" s="398"/>
      <c r="J48" s="398"/>
      <c r="K48" s="398"/>
      <c r="L48" s="398"/>
      <c r="M48" s="398"/>
      <c r="N48" s="398"/>
      <c r="O48" s="398"/>
      <c r="P48" s="398"/>
      <c r="Q48" s="398"/>
      <c r="R48" s="400"/>
      <c r="S48" s="400"/>
      <c r="T48" s="1077">
        <f>IF(T33=0,0,T47/T33)</f>
        <v>1</v>
      </c>
      <c r="U48" s="1077">
        <f t="shared" ref="U48:BG48" si="14">IF(U33=0,0,U47/U33)</f>
        <v>1</v>
      </c>
      <c r="V48" s="1077">
        <f t="shared" si="14"/>
        <v>1</v>
      </c>
      <c r="W48" s="1077">
        <f t="shared" si="14"/>
        <v>1</v>
      </c>
      <c r="X48" s="1077">
        <f t="shared" si="14"/>
        <v>1</v>
      </c>
      <c r="Y48" s="1077">
        <f t="shared" si="14"/>
        <v>1</v>
      </c>
      <c r="Z48" s="1077">
        <f t="shared" si="14"/>
        <v>1</v>
      </c>
      <c r="AA48" s="1077">
        <f t="shared" si="14"/>
        <v>1</v>
      </c>
      <c r="AB48" s="1077">
        <f t="shared" si="14"/>
        <v>1</v>
      </c>
      <c r="AC48" s="1077">
        <f t="shared" si="14"/>
        <v>1</v>
      </c>
      <c r="AD48" s="1077">
        <f t="shared" si="14"/>
        <v>1</v>
      </c>
      <c r="AE48" s="1077">
        <f t="shared" si="14"/>
        <v>1</v>
      </c>
      <c r="AF48" s="1077">
        <f t="shared" si="14"/>
        <v>0</v>
      </c>
      <c r="AG48" s="1077">
        <f t="shared" si="14"/>
        <v>0</v>
      </c>
      <c r="AH48" s="1077">
        <f t="shared" si="14"/>
        <v>0</v>
      </c>
      <c r="AI48" s="1077">
        <f t="shared" si="14"/>
        <v>0</v>
      </c>
      <c r="AJ48" s="1077">
        <f t="shared" si="14"/>
        <v>0</v>
      </c>
      <c r="AK48" s="1077">
        <f t="shared" si="14"/>
        <v>0</v>
      </c>
      <c r="AL48" s="1077">
        <f t="shared" si="14"/>
        <v>0</v>
      </c>
      <c r="AM48" s="1077">
        <f t="shared" si="14"/>
        <v>0</v>
      </c>
      <c r="AN48" s="1077">
        <f t="shared" si="14"/>
        <v>0</v>
      </c>
      <c r="AO48" s="1077">
        <f t="shared" si="14"/>
        <v>0</v>
      </c>
      <c r="AP48" s="1077">
        <f t="shared" si="14"/>
        <v>0</v>
      </c>
      <c r="AQ48" s="1077">
        <f t="shared" si="14"/>
        <v>0</v>
      </c>
      <c r="AR48" s="1077">
        <f t="shared" si="14"/>
        <v>0</v>
      </c>
      <c r="AS48" s="1077">
        <f t="shared" si="14"/>
        <v>0</v>
      </c>
      <c r="AT48" s="1077">
        <f t="shared" si="14"/>
        <v>0</v>
      </c>
      <c r="AU48" s="1077">
        <f t="shared" si="14"/>
        <v>0</v>
      </c>
      <c r="AV48" s="1077">
        <f t="shared" si="14"/>
        <v>0</v>
      </c>
      <c r="AW48" s="1077">
        <f t="shared" si="14"/>
        <v>0</v>
      </c>
      <c r="AX48" s="1077">
        <f t="shared" si="14"/>
        <v>0</v>
      </c>
      <c r="AY48" s="1077">
        <f t="shared" si="14"/>
        <v>0</v>
      </c>
      <c r="AZ48" s="1077">
        <f t="shared" si="14"/>
        <v>0</v>
      </c>
      <c r="BA48" s="1077">
        <f t="shared" si="14"/>
        <v>0</v>
      </c>
      <c r="BB48" s="1077">
        <f t="shared" si="14"/>
        <v>0</v>
      </c>
      <c r="BC48" s="1077">
        <f t="shared" si="14"/>
        <v>0</v>
      </c>
      <c r="BD48" s="1077">
        <f t="shared" si="14"/>
        <v>0</v>
      </c>
      <c r="BE48" s="1077">
        <f t="shared" si="14"/>
        <v>0</v>
      </c>
      <c r="BF48" s="1077">
        <f t="shared" si="14"/>
        <v>0</v>
      </c>
      <c r="BG48" s="1077">
        <f t="shared" si="14"/>
        <v>0</v>
      </c>
      <c r="BI48" s="39" t="s">
        <v>153</v>
      </c>
      <c r="BM48" s="1077">
        <f t="shared" ref="BM48:BV48" si="15">IFERROR(BM47/BM33,0)</f>
        <v>1</v>
      </c>
      <c r="BN48" s="1077">
        <f t="shared" si="15"/>
        <v>1</v>
      </c>
      <c r="BO48" s="1077">
        <f t="shared" si="15"/>
        <v>1</v>
      </c>
      <c r="BP48" s="1077">
        <f t="shared" si="15"/>
        <v>0</v>
      </c>
      <c r="BQ48" s="1077">
        <f t="shared" si="15"/>
        <v>0</v>
      </c>
      <c r="BR48" s="1077">
        <f t="shared" si="15"/>
        <v>0</v>
      </c>
      <c r="BS48" s="1077">
        <f t="shared" si="15"/>
        <v>0</v>
      </c>
      <c r="BT48" s="1077">
        <f t="shared" si="15"/>
        <v>0</v>
      </c>
      <c r="BU48" s="1077">
        <f t="shared" si="15"/>
        <v>0</v>
      </c>
      <c r="BV48" s="1077">
        <f t="shared" si="15"/>
        <v>0</v>
      </c>
      <c r="BX48" s="476" t="s">
        <v>153</v>
      </c>
    </row>
    <row r="49" spans="3:76">
      <c r="C49" t="str">
        <f>C34</f>
        <v>FMCG-N</v>
      </c>
      <c r="O49" s="398"/>
      <c r="P49" s="398"/>
      <c r="Q49" s="398"/>
      <c r="R49" s="400"/>
      <c r="S49" s="400"/>
      <c r="T49" s="403">
        <f>SUMIFS(PCF!T$319:T$328,PCF!$K$319:$K$328,$C49)</f>
        <v>0</v>
      </c>
      <c r="U49" s="403">
        <f>SUMIFS(PCF!U$319:U$328,PCF!$K$319:$K$328,$C49)</f>
        <v>0</v>
      </c>
      <c r="V49" s="403">
        <f>SUMIFS(PCF!V$319:V$328,PCF!$K$319:$K$328,$C49)</f>
        <v>0</v>
      </c>
      <c r="W49" s="403">
        <f>SUMIFS(PCF!W$319:W$328,PCF!$K$319:$K$328,$C49)</f>
        <v>0</v>
      </c>
      <c r="X49" s="403">
        <f>SUMIFS(PCF!X$319:X$328,PCF!$K$319:$K$328,$C49)</f>
        <v>0</v>
      </c>
      <c r="Y49" s="403">
        <f>SUMIFS(PCF!Y$319:Y$328,PCF!$K$319:$K$328,$C49)</f>
        <v>0</v>
      </c>
      <c r="Z49" s="403">
        <f>SUMIFS(PCF!Z$319:Z$328,PCF!$K$319:$K$328,$C49)</f>
        <v>0</v>
      </c>
      <c r="AA49" s="403">
        <f>SUMIFS(PCF!AA$319:AA$328,PCF!$K$319:$K$328,$C49)</f>
        <v>0</v>
      </c>
      <c r="AB49" s="403">
        <f>SUMIFS(PCF!AB$319:AB$328,PCF!$K$319:$K$328,$C49)</f>
        <v>0</v>
      </c>
      <c r="AC49" s="403">
        <f>SUMIFS(PCF!AC$319:AC$328,PCF!$K$319:$K$328,$C49)</f>
        <v>0</v>
      </c>
      <c r="AD49" s="403">
        <f>SUMIFS(PCF!AD$319:AD$328,PCF!$K$319:$K$328,$C49)</f>
        <v>0</v>
      </c>
      <c r="AE49" s="403">
        <f>SUMIFS(PCF!AE$319:AE$328,PCF!$K$319:$K$328,$C49)</f>
        <v>0</v>
      </c>
      <c r="AF49" s="403">
        <f>SUMIFS(PCF!AF$319:AF$328,PCF!$K$319:$K$328,$C49)</f>
        <v>0</v>
      </c>
      <c r="AG49" s="403">
        <f>SUMIFS(PCF!AG$319:AG$328,PCF!$K$319:$K$328,$C49)</f>
        <v>0</v>
      </c>
      <c r="AH49" s="403">
        <f>SUMIFS(PCF!AH$319:AH$328,PCF!$K$319:$K$328,$C49)</f>
        <v>0</v>
      </c>
      <c r="AI49" s="403">
        <f>SUMIFS(PCF!AI$319:AI$328,PCF!$K$319:$K$328,$C49)</f>
        <v>0</v>
      </c>
      <c r="AJ49" s="403">
        <f>SUMIFS(PCF!AJ$319:AJ$328,PCF!$K$319:$K$328,$C49)</f>
        <v>0</v>
      </c>
      <c r="AK49" s="403">
        <f>SUMIFS(PCF!AK$319:AK$328,PCF!$K$319:$K$328,$C49)</f>
        <v>0</v>
      </c>
      <c r="AL49" s="403">
        <f>SUMIFS(PCF!AL$319:AL$328,PCF!$K$319:$K$328,$C49)</f>
        <v>0</v>
      </c>
      <c r="AM49" s="403">
        <f>SUMIFS(PCF!AM$319:AM$328,PCF!$K$319:$K$328,$C49)</f>
        <v>0</v>
      </c>
      <c r="AN49" s="403">
        <f>SUMIFS(PCF!AN$319:AN$328,PCF!$K$319:$K$328,$C49)</f>
        <v>0</v>
      </c>
      <c r="AO49" s="403">
        <f>SUMIFS(PCF!AO$319:AO$328,PCF!$K$319:$K$328,$C49)</f>
        <v>0</v>
      </c>
      <c r="AP49" s="403">
        <f>SUMIFS(PCF!AP$319:AP$328,PCF!$K$319:$K$328,$C49)</f>
        <v>0</v>
      </c>
      <c r="AQ49" s="403">
        <f>SUMIFS(PCF!AQ$319:AQ$328,PCF!$K$319:$K$328,$C49)</f>
        <v>0</v>
      </c>
      <c r="AR49" s="403">
        <f>SUMIFS(PCF!AR$319:AR$328,PCF!$K$319:$K$328,$C49)</f>
        <v>0</v>
      </c>
      <c r="AS49" s="403">
        <f>SUMIFS(PCF!AS$319:AS$328,PCF!$K$319:$K$328,$C49)</f>
        <v>0</v>
      </c>
      <c r="AT49" s="403">
        <f>SUMIFS(PCF!AT$319:AT$328,PCF!$K$319:$K$328,$C49)</f>
        <v>0</v>
      </c>
      <c r="AU49" s="403">
        <f>SUMIFS(PCF!AU$319:AU$328,PCF!$K$319:$K$328,$C49)</f>
        <v>0</v>
      </c>
      <c r="AV49" s="403">
        <f>SUMIFS(PCF!AV$319:AV$328,PCF!$K$319:$K$328,$C49)</f>
        <v>0</v>
      </c>
      <c r="AW49" s="403">
        <f>SUMIFS(PCF!AW$319:AW$328,PCF!$K$319:$K$328,$C49)</f>
        <v>0</v>
      </c>
      <c r="AX49" s="403">
        <f>SUMIFS(PCF!AX$319:AX$328,PCF!$K$319:$K$328,$C49)</f>
        <v>0</v>
      </c>
      <c r="AY49" s="403">
        <f>SUMIFS(PCF!AY$319:AY$328,PCF!$K$319:$K$328,$C49)</f>
        <v>0</v>
      </c>
      <c r="AZ49" s="403">
        <f>SUMIFS(PCF!AZ$319:AZ$328,PCF!$K$319:$K$328,$C49)</f>
        <v>0</v>
      </c>
      <c r="BA49" s="403">
        <f>SUMIFS(PCF!BA$319:BA$328,PCF!$K$319:$K$328,$C49)</f>
        <v>0</v>
      </c>
      <c r="BB49" s="403">
        <f>SUMIFS(PCF!BB$319:BB$328,PCF!$K$319:$K$328,$C49)</f>
        <v>0</v>
      </c>
      <c r="BC49" s="403">
        <f>SUMIFS(PCF!BC$319:BC$328,PCF!$K$319:$K$328,$C49)</f>
        <v>0</v>
      </c>
      <c r="BD49" s="403">
        <f>SUMIFS(PCF!BD$319:BD$328,PCF!$K$319:$K$328,$C49)</f>
        <v>0</v>
      </c>
      <c r="BE49" s="403">
        <f>SUMIFS(PCF!BE$319:BE$328,PCF!$K$319:$K$328,$C49)</f>
        <v>0</v>
      </c>
      <c r="BF49" s="403">
        <f>SUMIFS(PCF!BF$319:BF$328,PCF!$K$319:$K$328,$C49)</f>
        <v>0</v>
      </c>
      <c r="BG49" s="403">
        <f>SUMIFS(PCF!BG$319:BG$328,PCF!$K$319:$K$328,$C49)</f>
        <v>0</v>
      </c>
      <c r="BI49" s="39" t="s">
        <v>153</v>
      </c>
      <c r="BM49" s="310">
        <f t="shared" ref="BM49:BV49" si="16">AVERAGEIF($T$8:$BG$8,BM$6,$T49:$BG49)</f>
        <v>0</v>
      </c>
      <c r="BN49" s="310">
        <f t="shared" si="16"/>
        <v>0</v>
      </c>
      <c r="BO49" s="310">
        <f t="shared" si="16"/>
        <v>0</v>
      </c>
      <c r="BP49" s="310">
        <f t="shared" si="16"/>
        <v>0</v>
      </c>
      <c r="BQ49" s="310">
        <f t="shared" si="16"/>
        <v>0</v>
      </c>
      <c r="BR49" s="310">
        <f t="shared" si="16"/>
        <v>0</v>
      </c>
      <c r="BS49" s="310">
        <f t="shared" si="16"/>
        <v>0</v>
      </c>
      <c r="BT49" s="310">
        <f t="shared" si="16"/>
        <v>0</v>
      </c>
      <c r="BU49" s="310">
        <f t="shared" si="16"/>
        <v>0</v>
      </c>
      <c r="BV49" s="310">
        <f t="shared" si="16"/>
        <v>0</v>
      </c>
      <c r="BX49" s="476" t="s">
        <v>153</v>
      </c>
    </row>
    <row r="50" spans="3:76">
      <c r="C50" s="398" t="s">
        <v>649</v>
      </c>
      <c r="D50" s="398"/>
      <c r="E50" s="398"/>
      <c r="F50" s="398"/>
      <c r="G50" s="398"/>
      <c r="H50" s="398"/>
      <c r="I50" s="398"/>
      <c r="J50" s="398"/>
      <c r="K50" s="398"/>
      <c r="L50" s="398"/>
      <c r="M50" s="398"/>
      <c r="N50" s="398"/>
      <c r="O50" s="398"/>
      <c r="P50" s="398"/>
      <c r="Q50" s="398"/>
      <c r="R50" s="400"/>
      <c r="S50" s="400"/>
      <c r="T50" s="1077">
        <f>IF(T34=0,0,T49/T34)</f>
        <v>0</v>
      </c>
      <c r="U50" s="1077">
        <f t="shared" ref="U50:BG50" si="17">IF(U34=0,0,U49/U34)</f>
        <v>0</v>
      </c>
      <c r="V50" s="1077">
        <f t="shared" si="17"/>
        <v>0</v>
      </c>
      <c r="W50" s="1077">
        <f t="shared" si="17"/>
        <v>0</v>
      </c>
      <c r="X50" s="1077">
        <f t="shared" si="17"/>
        <v>0</v>
      </c>
      <c r="Y50" s="1077">
        <f t="shared" si="17"/>
        <v>0</v>
      </c>
      <c r="Z50" s="1077">
        <f t="shared" si="17"/>
        <v>0</v>
      </c>
      <c r="AA50" s="1077">
        <f t="shared" si="17"/>
        <v>0</v>
      </c>
      <c r="AB50" s="1077">
        <f t="shared" si="17"/>
        <v>0</v>
      </c>
      <c r="AC50" s="1077">
        <f t="shared" si="17"/>
        <v>0</v>
      </c>
      <c r="AD50" s="1077">
        <f t="shared" si="17"/>
        <v>0</v>
      </c>
      <c r="AE50" s="1077">
        <f t="shared" si="17"/>
        <v>0</v>
      </c>
      <c r="AF50" s="1077">
        <f t="shared" si="17"/>
        <v>0</v>
      </c>
      <c r="AG50" s="1077">
        <f t="shared" si="17"/>
        <v>0</v>
      </c>
      <c r="AH50" s="1077">
        <f t="shared" si="17"/>
        <v>0</v>
      </c>
      <c r="AI50" s="1077">
        <f t="shared" si="17"/>
        <v>0</v>
      </c>
      <c r="AJ50" s="1077">
        <f t="shared" si="17"/>
        <v>0</v>
      </c>
      <c r="AK50" s="1077">
        <f t="shared" si="17"/>
        <v>0</v>
      </c>
      <c r="AL50" s="1077">
        <f t="shared" si="17"/>
        <v>0</v>
      </c>
      <c r="AM50" s="1077">
        <f t="shared" si="17"/>
        <v>0</v>
      </c>
      <c r="AN50" s="1077">
        <f t="shared" si="17"/>
        <v>0</v>
      </c>
      <c r="AO50" s="1077">
        <f t="shared" si="17"/>
        <v>0</v>
      </c>
      <c r="AP50" s="1077">
        <f t="shared" si="17"/>
        <v>0</v>
      </c>
      <c r="AQ50" s="1077">
        <f t="shared" si="17"/>
        <v>0</v>
      </c>
      <c r="AR50" s="1077">
        <f t="shared" si="17"/>
        <v>0</v>
      </c>
      <c r="AS50" s="1077">
        <f t="shared" si="17"/>
        <v>0</v>
      </c>
      <c r="AT50" s="1077">
        <f t="shared" si="17"/>
        <v>0</v>
      </c>
      <c r="AU50" s="1077">
        <f t="shared" si="17"/>
        <v>0</v>
      </c>
      <c r="AV50" s="1077">
        <f t="shared" si="17"/>
        <v>0</v>
      </c>
      <c r="AW50" s="1077">
        <f t="shared" si="17"/>
        <v>0</v>
      </c>
      <c r="AX50" s="1077">
        <f t="shared" si="17"/>
        <v>0</v>
      </c>
      <c r="AY50" s="1077">
        <f t="shared" si="17"/>
        <v>0</v>
      </c>
      <c r="AZ50" s="1077">
        <f t="shared" si="17"/>
        <v>0</v>
      </c>
      <c r="BA50" s="1077">
        <f t="shared" si="17"/>
        <v>0</v>
      </c>
      <c r="BB50" s="1077">
        <f t="shared" si="17"/>
        <v>0</v>
      </c>
      <c r="BC50" s="1077">
        <f t="shared" si="17"/>
        <v>0</v>
      </c>
      <c r="BD50" s="1077">
        <f t="shared" si="17"/>
        <v>0</v>
      </c>
      <c r="BE50" s="1077">
        <f t="shared" si="17"/>
        <v>0</v>
      </c>
      <c r="BF50" s="1077">
        <f t="shared" si="17"/>
        <v>0</v>
      </c>
      <c r="BG50" s="1077">
        <f t="shared" si="17"/>
        <v>0</v>
      </c>
      <c r="BI50" s="39" t="s">
        <v>153</v>
      </c>
      <c r="BM50" s="1077">
        <f>IFERROR(BM49/BM34,0)</f>
        <v>0</v>
      </c>
      <c r="BN50" s="1077">
        <f t="shared" ref="BN50:BV50" si="18">IFERROR(BN49/BN34,0)</f>
        <v>0</v>
      </c>
      <c r="BO50" s="1077">
        <f t="shared" si="18"/>
        <v>0</v>
      </c>
      <c r="BP50" s="1077">
        <f t="shared" si="18"/>
        <v>0</v>
      </c>
      <c r="BQ50" s="1077">
        <f t="shared" si="18"/>
        <v>0</v>
      </c>
      <c r="BR50" s="1077">
        <f t="shared" si="18"/>
        <v>0</v>
      </c>
      <c r="BS50" s="1077">
        <f t="shared" si="18"/>
        <v>0</v>
      </c>
      <c r="BT50" s="1077">
        <f t="shared" si="18"/>
        <v>0</v>
      </c>
      <c r="BU50" s="1077">
        <f t="shared" si="18"/>
        <v>0</v>
      </c>
      <c r="BV50" s="1077">
        <f t="shared" si="18"/>
        <v>0</v>
      </c>
      <c r="BX50" s="476" t="s">
        <v>153</v>
      </c>
    </row>
    <row r="51" spans="3:76">
      <c r="C51" t="str">
        <f>C35</f>
        <v>Non-food retail</v>
      </c>
      <c r="R51" s="392"/>
      <c r="S51" s="392"/>
      <c r="T51" s="403">
        <f>SUMIFS(PCF!T$319:T$328,PCF!$K$319:$K$328,$C51)</f>
        <v>0</v>
      </c>
      <c r="U51" s="403">
        <f>SUMIFS(PCF!U$319:U$328,PCF!$K$319:$K$328,$C51)</f>
        <v>0</v>
      </c>
      <c r="V51" s="403">
        <f>SUMIFS(PCF!V$319:V$328,PCF!$K$319:$K$328,$C51)</f>
        <v>0</v>
      </c>
      <c r="W51" s="403">
        <f>SUMIFS(PCF!W$319:W$328,PCF!$K$319:$K$328,$C51)</f>
        <v>0</v>
      </c>
      <c r="X51" s="403">
        <f>SUMIFS(PCF!X$319:X$328,PCF!$K$319:$K$328,$C51)</f>
        <v>0</v>
      </c>
      <c r="Y51" s="403">
        <f>SUMIFS(PCF!Y$319:Y$328,PCF!$K$319:$K$328,$C51)</f>
        <v>0</v>
      </c>
      <c r="Z51" s="403">
        <f>SUMIFS(PCF!Z$319:Z$328,PCF!$K$319:$K$328,$C51)</f>
        <v>0</v>
      </c>
      <c r="AA51" s="403">
        <f>SUMIFS(PCF!AA$319:AA$328,PCF!$K$319:$K$328,$C51)</f>
        <v>0</v>
      </c>
      <c r="AB51" s="403">
        <f>SUMIFS(PCF!AB$319:AB$328,PCF!$K$319:$K$328,$C51)</f>
        <v>0</v>
      </c>
      <c r="AC51" s="403">
        <f>SUMIFS(PCF!AC$319:AC$328,PCF!$K$319:$K$328,$C51)</f>
        <v>0</v>
      </c>
      <c r="AD51" s="403">
        <f>SUMIFS(PCF!AD$319:AD$328,PCF!$K$319:$K$328,$C51)</f>
        <v>0</v>
      </c>
      <c r="AE51" s="403">
        <f>SUMIFS(PCF!AE$319:AE$328,PCF!$K$319:$K$328,$C51)</f>
        <v>0</v>
      </c>
      <c r="AF51" s="403">
        <f>SUMIFS(PCF!AF$319:AF$328,PCF!$K$319:$K$328,$C51)</f>
        <v>0</v>
      </c>
      <c r="AG51" s="403">
        <f>SUMIFS(PCF!AG$319:AG$328,PCF!$K$319:$K$328,$C51)</f>
        <v>0</v>
      </c>
      <c r="AH51" s="403">
        <f>SUMIFS(PCF!AH$319:AH$328,PCF!$K$319:$K$328,$C51)</f>
        <v>0</v>
      </c>
      <c r="AI51" s="403">
        <f>SUMIFS(PCF!AI$319:AI$328,PCF!$K$319:$K$328,$C51)</f>
        <v>0</v>
      </c>
      <c r="AJ51" s="403">
        <f>SUMIFS(PCF!AJ$319:AJ$328,PCF!$K$319:$K$328,$C51)</f>
        <v>0</v>
      </c>
      <c r="AK51" s="403">
        <f>SUMIFS(PCF!AK$319:AK$328,PCF!$K$319:$K$328,$C51)</f>
        <v>0</v>
      </c>
      <c r="AL51" s="403">
        <f>SUMIFS(PCF!AL$319:AL$328,PCF!$K$319:$K$328,$C51)</f>
        <v>0</v>
      </c>
      <c r="AM51" s="403">
        <f>SUMIFS(PCF!AM$319:AM$328,PCF!$K$319:$K$328,$C51)</f>
        <v>0</v>
      </c>
      <c r="AN51" s="403">
        <f>SUMIFS(PCF!AN$319:AN$328,PCF!$K$319:$K$328,$C51)</f>
        <v>0</v>
      </c>
      <c r="AO51" s="403">
        <f>SUMIFS(PCF!AO$319:AO$328,PCF!$K$319:$K$328,$C51)</f>
        <v>0</v>
      </c>
      <c r="AP51" s="403">
        <f>SUMIFS(PCF!AP$319:AP$328,PCF!$K$319:$K$328,$C51)</f>
        <v>0</v>
      </c>
      <c r="AQ51" s="403">
        <f>SUMIFS(PCF!AQ$319:AQ$328,PCF!$K$319:$K$328,$C51)</f>
        <v>0</v>
      </c>
      <c r="AR51" s="403">
        <f>SUMIFS(PCF!AR$319:AR$328,PCF!$K$319:$K$328,$C51)</f>
        <v>0</v>
      </c>
      <c r="AS51" s="403">
        <f>SUMIFS(PCF!AS$319:AS$328,PCF!$K$319:$K$328,$C51)</f>
        <v>0</v>
      </c>
      <c r="AT51" s="403">
        <f>SUMIFS(PCF!AT$319:AT$328,PCF!$K$319:$K$328,$C51)</f>
        <v>0</v>
      </c>
      <c r="AU51" s="403">
        <f>SUMIFS(PCF!AU$319:AU$328,PCF!$K$319:$K$328,$C51)</f>
        <v>0</v>
      </c>
      <c r="AV51" s="403">
        <f>SUMIFS(PCF!AV$319:AV$328,PCF!$K$319:$K$328,$C51)</f>
        <v>0</v>
      </c>
      <c r="AW51" s="403">
        <f>SUMIFS(PCF!AW$319:AW$328,PCF!$K$319:$K$328,$C51)</f>
        <v>0</v>
      </c>
      <c r="AX51" s="403">
        <f>SUMIFS(PCF!AX$319:AX$328,PCF!$K$319:$K$328,$C51)</f>
        <v>0</v>
      </c>
      <c r="AY51" s="403">
        <f>SUMIFS(PCF!AY$319:AY$328,PCF!$K$319:$K$328,$C51)</f>
        <v>0</v>
      </c>
      <c r="AZ51" s="403">
        <f>SUMIFS(PCF!AZ$319:AZ$328,PCF!$K$319:$K$328,$C51)</f>
        <v>0</v>
      </c>
      <c r="BA51" s="403">
        <f>SUMIFS(PCF!BA$319:BA$328,PCF!$K$319:$K$328,$C51)</f>
        <v>0</v>
      </c>
      <c r="BB51" s="403">
        <f>SUMIFS(PCF!BB$319:BB$328,PCF!$K$319:$K$328,$C51)</f>
        <v>0</v>
      </c>
      <c r="BC51" s="403">
        <f>SUMIFS(PCF!BC$319:BC$328,PCF!$K$319:$K$328,$C51)</f>
        <v>0</v>
      </c>
      <c r="BD51" s="403">
        <f>SUMIFS(PCF!BD$319:BD$328,PCF!$K$319:$K$328,$C51)</f>
        <v>0</v>
      </c>
      <c r="BE51" s="403">
        <f>SUMIFS(PCF!BE$319:BE$328,PCF!$K$319:$K$328,$C51)</f>
        <v>0</v>
      </c>
      <c r="BF51" s="403">
        <f>SUMIFS(PCF!BF$319:BF$328,PCF!$K$319:$K$328,$C51)</f>
        <v>0</v>
      </c>
      <c r="BG51" s="403">
        <f>SUMIFS(PCF!BG$319:BG$328,PCF!$K$319:$K$328,$C51)</f>
        <v>0</v>
      </c>
      <c r="BI51" s="39" t="s">
        <v>153</v>
      </c>
      <c r="BM51" s="310">
        <f t="shared" ref="BM51:BV51" si="19">AVERAGEIF($T$8:$BG$8,BM$6,$T51:$BG51)</f>
        <v>0</v>
      </c>
      <c r="BN51" s="310">
        <f t="shared" si="19"/>
        <v>0</v>
      </c>
      <c r="BO51" s="310">
        <f t="shared" si="19"/>
        <v>0</v>
      </c>
      <c r="BP51" s="310">
        <f t="shared" si="19"/>
        <v>0</v>
      </c>
      <c r="BQ51" s="310">
        <f t="shared" si="19"/>
        <v>0</v>
      </c>
      <c r="BR51" s="310">
        <f t="shared" si="19"/>
        <v>0</v>
      </c>
      <c r="BS51" s="310">
        <f t="shared" si="19"/>
        <v>0</v>
      </c>
      <c r="BT51" s="310">
        <f t="shared" si="19"/>
        <v>0</v>
      </c>
      <c r="BU51" s="310">
        <f t="shared" si="19"/>
        <v>0</v>
      </c>
      <c r="BV51" s="310">
        <f t="shared" si="19"/>
        <v>0</v>
      </c>
      <c r="BX51" s="476" t="s">
        <v>153</v>
      </c>
    </row>
    <row r="52" spans="3:76">
      <c r="C52" s="398" t="s">
        <v>649</v>
      </c>
      <c r="D52" s="398"/>
      <c r="E52" s="398"/>
      <c r="F52" s="398"/>
      <c r="G52" s="398"/>
      <c r="H52" s="398"/>
      <c r="I52" s="398"/>
      <c r="J52" s="398"/>
      <c r="K52" s="398"/>
      <c r="L52" s="398"/>
      <c r="M52" s="398"/>
      <c r="N52" s="398"/>
      <c r="O52" s="398"/>
      <c r="P52" s="398"/>
      <c r="Q52" s="398"/>
      <c r="R52" s="400"/>
      <c r="S52" s="400"/>
      <c r="T52" s="1077">
        <f>IF(T35=0,0,T51/T35)</f>
        <v>0</v>
      </c>
      <c r="U52" s="1077">
        <f t="shared" ref="U52:BG52" si="20">IF(U35=0,0,U51/U35)</f>
        <v>0</v>
      </c>
      <c r="V52" s="1077">
        <f t="shared" si="20"/>
        <v>0</v>
      </c>
      <c r="W52" s="1077">
        <f t="shared" si="20"/>
        <v>0</v>
      </c>
      <c r="X52" s="1077">
        <f t="shared" si="20"/>
        <v>0</v>
      </c>
      <c r="Y52" s="1077">
        <f t="shared" si="20"/>
        <v>0</v>
      </c>
      <c r="Z52" s="1077">
        <f t="shared" si="20"/>
        <v>0</v>
      </c>
      <c r="AA52" s="1077">
        <f t="shared" si="20"/>
        <v>0</v>
      </c>
      <c r="AB52" s="1077">
        <f t="shared" si="20"/>
        <v>0</v>
      </c>
      <c r="AC52" s="1077">
        <f t="shared" si="20"/>
        <v>0</v>
      </c>
      <c r="AD52" s="1077">
        <f t="shared" si="20"/>
        <v>0</v>
      </c>
      <c r="AE52" s="1077">
        <f t="shared" si="20"/>
        <v>0</v>
      </c>
      <c r="AF52" s="1077">
        <f t="shared" si="20"/>
        <v>0</v>
      </c>
      <c r="AG52" s="1077">
        <f t="shared" si="20"/>
        <v>0</v>
      </c>
      <c r="AH52" s="1077">
        <f t="shared" si="20"/>
        <v>0</v>
      </c>
      <c r="AI52" s="1077">
        <f t="shared" si="20"/>
        <v>0</v>
      </c>
      <c r="AJ52" s="1077">
        <f t="shared" si="20"/>
        <v>0</v>
      </c>
      <c r="AK52" s="1077">
        <f t="shared" si="20"/>
        <v>0</v>
      </c>
      <c r="AL52" s="1077">
        <f t="shared" si="20"/>
        <v>0</v>
      </c>
      <c r="AM52" s="1077">
        <f t="shared" si="20"/>
        <v>0</v>
      </c>
      <c r="AN52" s="1077">
        <f t="shared" si="20"/>
        <v>0</v>
      </c>
      <c r="AO52" s="1077">
        <f t="shared" si="20"/>
        <v>0</v>
      </c>
      <c r="AP52" s="1077">
        <f t="shared" si="20"/>
        <v>0</v>
      </c>
      <c r="AQ52" s="1077">
        <f t="shared" si="20"/>
        <v>0</v>
      </c>
      <c r="AR52" s="1077">
        <f t="shared" si="20"/>
        <v>0</v>
      </c>
      <c r="AS52" s="1077">
        <f t="shared" si="20"/>
        <v>0</v>
      </c>
      <c r="AT52" s="1077">
        <f t="shared" si="20"/>
        <v>0</v>
      </c>
      <c r="AU52" s="1077">
        <f t="shared" si="20"/>
        <v>0</v>
      </c>
      <c r="AV52" s="1077">
        <f t="shared" si="20"/>
        <v>0</v>
      </c>
      <c r="AW52" s="1077">
        <f t="shared" si="20"/>
        <v>0</v>
      </c>
      <c r="AX52" s="1077">
        <f t="shared" si="20"/>
        <v>0</v>
      </c>
      <c r="AY52" s="1077">
        <f t="shared" si="20"/>
        <v>0</v>
      </c>
      <c r="AZ52" s="1077">
        <f t="shared" si="20"/>
        <v>0</v>
      </c>
      <c r="BA52" s="1077">
        <f t="shared" si="20"/>
        <v>0</v>
      </c>
      <c r="BB52" s="1077">
        <f t="shared" si="20"/>
        <v>0</v>
      </c>
      <c r="BC52" s="1077">
        <f t="shared" si="20"/>
        <v>0</v>
      </c>
      <c r="BD52" s="1077">
        <f t="shared" si="20"/>
        <v>0</v>
      </c>
      <c r="BE52" s="1077">
        <f t="shared" si="20"/>
        <v>0</v>
      </c>
      <c r="BF52" s="1077">
        <f t="shared" si="20"/>
        <v>0</v>
      </c>
      <c r="BG52" s="1077">
        <f t="shared" si="20"/>
        <v>0</v>
      </c>
      <c r="BI52" s="39" t="s">
        <v>153</v>
      </c>
      <c r="BM52" s="1077">
        <f t="shared" ref="BM52:BV52" si="21">IFERROR(BM51/BM35,0)</f>
        <v>0</v>
      </c>
      <c r="BN52" s="1077">
        <f t="shared" si="21"/>
        <v>0</v>
      </c>
      <c r="BO52" s="1077">
        <f t="shared" si="21"/>
        <v>0</v>
      </c>
      <c r="BP52" s="1077">
        <f t="shared" si="21"/>
        <v>0</v>
      </c>
      <c r="BQ52" s="1077">
        <f t="shared" si="21"/>
        <v>0</v>
      </c>
      <c r="BR52" s="1077">
        <f t="shared" si="21"/>
        <v>0</v>
      </c>
      <c r="BS52" s="1077">
        <f t="shared" si="21"/>
        <v>0</v>
      </c>
      <c r="BT52" s="1077">
        <f t="shared" si="21"/>
        <v>0</v>
      </c>
      <c r="BU52" s="1077">
        <f t="shared" si="21"/>
        <v>0</v>
      </c>
      <c r="BV52" s="1077">
        <f t="shared" si="21"/>
        <v>0</v>
      </c>
      <c r="BX52" s="476" t="s">
        <v>153</v>
      </c>
    </row>
    <row r="53" spans="3:76">
      <c r="C53" t="str">
        <f>C36</f>
        <v>Other Categories</v>
      </c>
      <c r="R53" s="392"/>
      <c r="S53" s="392"/>
      <c r="T53" s="403">
        <f>T55-T51-T49-T47</f>
        <v>0</v>
      </c>
      <c r="U53" s="403">
        <f t="shared" ref="U53:BG53" si="22">U55-U51-U49-U47</f>
        <v>0</v>
      </c>
      <c r="V53" s="403">
        <f t="shared" si="22"/>
        <v>0</v>
      </c>
      <c r="W53" s="403">
        <f t="shared" si="22"/>
        <v>0</v>
      </c>
      <c r="X53" s="403">
        <f t="shared" si="22"/>
        <v>0</v>
      </c>
      <c r="Y53" s="403">
        <f t="shared" si="22"/>
        <v>0</v>
      </c>
      <c r="Z53" s="403">
        <f t="shared" si="22"/>
        <v>0</v>
      </c>
      <c r="AA53" s="403">
        <f t="shared" si="22"/>
        <v>0</v>
      </c>
      <c r="AB53" s="403">
        <f t="shared" si="22"/>
        <v>0</v>
      </c>
      <c r="AC53" s="403">
        <f t="shared" si="22"/>
        <v>0</v>
      </c>
      <c r="AD53" s="403">
        <f t="shared" si="22"/>
        <v>0</v>
      </c>
      <c r="AE53" s="403">
        <f t="shared" si="22"/>
        <v>0</v>
      </c>
      <c r="AF53" s="403">
        <f t="shared" si="22"/>
        <v>0</v>
      </c>
      <c r="AG53" s="403">
        <f t="shared" si="22"/>
        <v>0</v>
      </c>
      <c r="AH53" s="403">
        <f t="shared" si="22"/>
        <v>0</v>
      </c>
      <c r="AI53" s="403">
        <f t="shared" si="22"/>
        <v>0</v>
      </c>
      <c r="AJ53" s="403">
        <f t="shared" si="22"/>
        <v>0</v>
      </c>
      <c r="AK53" s="403">
        <f t="shared" si="22"/>
        <v>0</v>
      </c>
      <c r="AL53" s="403">
        <f t="shared" si="22"/>
        <v>0</v>
      </c>
      <c r="AM53" s="403">
        <f t="shared" si="22"/>
        <v>0</v>
      </c>
      <c r="AN53" s="403">
        <f t="shared" si="22"/>
        <v>0</v>
      </c>
      <c r="AO53" s="403">
        <f t="shared" si="22"/>
        <v>0</v>
      </c>
      <c r="AP53" s="403">
        <f t="shared" si="22"/>
        <v>0</v>
      </c>
      <c r="AQ53" s="403">
        <f t="shared" si="22"/>
        <v>0</v>
      </c>
      <c r="AR53" s="403">
        <f t="shared" si="22"/>
        <v>0</v>
      </c>
      <c r="AS53" s="403">
        <f t="shared" si="22"/>
        <v>0</v>
      </c>
      <c r="AT53" s="403">
        <f t="shared" si="22"/>
        <v>0</v>
      </c>
      <c r="AU53" s="403">
        <f t="shared" si="22"/>
        <v>0</v>
      </c>
      <c r="AV53" s="403">
        <f t="shared" si="22"/>
        <v>0</v>
      </c>
      <c r="AW53" s="403">
        <f t="shared" si="22"/>
        <v>0</v>
      </c>
      <c r="AX53" s="403">
        <f t="shared" si="22"/>
        <v>0</v>
      </c>
      <c r="AY53" s="403">
        <f t="shared" si="22"/>
        <v>0</v>
      </c>
      <c r="AZ53" s="403">
        <f t="shared" si="22"/>
        <v>0</v>
      </c>
      <c r="BA53" s="403">
        <f t="shared" si="22"/>
        <v>0</v>
      </c>
      <c r="BB53" s="403">
        <f t="shared" si="22"/>
        <v>0</v>
      </c>
      <c r="BC53" s="403">
        <f t="shared" si="22"/>
        <v>0</v>
      </c>
      <c r="BD53" s="403">
        <f t="shared" si="22"/>
        <v>0</v>
      </c>
      <c r="BE53" s="403">
        <f t="shared" si="22"/>
        <v>0</v>
      </c>
      <c r="BF53" s="403">
        <f t="shared" si="22"/>
        <v>0</v>
      </c>
      <c r="BG53" s="403">
        <f t="shared" si="22"/>
        <v>0</v>
      </c>
      <c r="BI53" s="39" t="s">
        <v>153</v>
      </c>
      <c r="BM53" s="310">
        <f t="shared" ref="BM53:BV53" si="23">AVERAGEIF($T$8:$BG$8,BM$6,$T53:$BG53)</f>
        <v>0</v>
      </c>
      <c r="BN53" s="310">
        <f t="shared" si="23"/>
        <v>0</v>
      </c>
      <c r="BO53" s="310">
        <f t="shared" si="23"/>
        <v>0</v>
      </c>
      <c r="BP53" s="310">
        <f t="shared" si="23"/>
        <v>0</v>
      </c>
      <c r="BQ53" s="310">
        <f t="shared" si="23"/>
        <v>0</v>
      </c>
      <c r="BR53" s="310">
        <f t="shared" si="23"/>
        <v>0</v>
      </c>
      <c r="BS53" s="310">
        <f t="shared" si="23"/>
        <v>0</v>
      </c>
      <c r="BT53" s="310">
        <f t="shared" si="23"/>
        <v>0</v>
      </c>
      <c r="BU53" s="310">
        <f t="shared" si="23"/>
        <v>0</v>
      </c>
      <c r="BV53" s="310">
        <f t="shared" si="23"/>
        <v>0</v>
      </c>
      <c r="BX53" s="476" t="s">
        <v>153</v>
      </c>
    </row>
    <row r="54" spans="3:76">
      <c r="C54" s="398" t="s">
        <v>649</v>
      </c>
      <c r="D54" s="398"/>
      <c r="E54" s="398"/>
      <c r="F54" s="398"/>
      <c r="G54" s="398"/>
      <c r="H54" s="398"/>
      <c r="I54" s="398"/>
      <c r="J54" s="398"/>
      <c r="K54" s="398"/>
      <c r="L54" s="398"/>
      <c r="M54" s="398"/>
      <c r="N54" s="398"/>
      <c r="O54" s="398"/>
      <c r="P54" s="398"/>
      <c r="Q54" s="398"/>
      <c r="R54" s="400"/>
      <c r="S54" s="400"/>
      <c r="T54" s="1077">
        <f>IF(T36=0,0,T53/T36)</f>
        <v>0</v>
      </c>
      <c r="U54" s="1077">
        <f t="shared" ref="U54:BG54" si="24">IF(U36=0,0,U53/U36)</f>
        <v>0</v>
      </c>
      <c r="V54" s="1077">
        <f t="shared" si="24"/>
        <v>0</v>
      </c>
      <c r="W54" s="1077">
        <f t="shared" si="24"/>
        <v>0</v>
      </c>
      <c r="X54" s="1077">
        <f t="shared" si="24"/>
        <v>0</v>
      </c>
      <c r="Y54" s="1077">
        <f t="shared" si="24"/>
        <v>0</v>
      </c>
      <c r="Z54" s="1077">
        <f t="shared" si="24"/>
        <v>0</v>
      </c>
      <c r="AA54" s="1077">
        <f t="shared" si="24"/>
        <v>0</v>
      </c>
      <c r="AB54" s="1077">
        <f t="shared" si="24"/>
        <v>0</v>
      </c>
      <c r="AC54" s="1077">
        <f t="shared" si="24"/>
        <v>0</v>
      </c>
      <c r="AD54" s="1077">
        <f t="shared" si="24"/>
        <v>0</v>
      </c>
      <c r="AE54" s="1077">
        <f t="shared" si="24"/>
        <v>0</v>
      </c>
      <c r="AF54" s="1077">
        <f t="shared" si="24"/>
        <v>0</v>
      </c>
      <c r="AG54" s="1077">
        <f t="shared" si="24"/>
        <v>0</v>
      </c>
      <c r="AH54" s="1077">
        <f t="shared" si="24"/>
        <v>0</v>
      </c>
      <c r="AI54" s="1077">
        <f t="shared" si="24"/>
        <v>0</v>
      </c>
      <c r="AJ54" s="1077">
        <f t="shared" si="24"/>
        <v>0</v>
      </c>
      <c r="AK54" s="1077">
        <f t="shared" si="24"/>
        <v>0</v>
      </c>
      <c r="AL54" s="1077">
        <f t="shared" si="24"/>
        <v>0</v>
      </c>
      <c r="AM54" s="1077">
        <f t="shared" si="24"/>
        <v>0</v>
      </c>
      <c r="AN54" s="1077">
        <f t="shared" si="24"/>
        <v>0</v>
      </c>
      <c r="AO54" s="1077">
        <f t="shared" si="24"/>
        <v>0</v>
      </c>
      <c r="AP54" s="1077">
        <f t="shared" si="24"/>
        <v>0</v>
      </c>
      <c r="AQ54" s="1077">
        <f t="shared" si="24"/>
        <v>0</v>
      </c>
      <c r="AR54" s="1077">
        <f t="shared" si="24"/>
        <v>0</v>
      </c>
      <c r="AS54" s="1077">
        <f t="shared" si="24"/>
        <v>0</v>
      </c>
      <c r="AT54" s="1077">
        <f t="shared" si="24"/>
        <v>0</v>
      </c>
      <c r="AU54" s="1077">
        <f t="shared" si="24"/>
        <v>0</v>
      </c>
      <c r="AV54" s="1077">
        <f t="shared" si="24"/>
        <v>0</v>
      </c>
      <c r="AW54" s="1077">
        <f t="shared" si="24"/>
        <v>0</v>
      </c>
      <c r="AX54" s="1077">
        <f t="shared" si="24"/>
        <v>0</v>
      </c>
      <c r="AY54" s="1077">
        <f t="shared" si="24"/>
        <v>0</v>
      </c>
      <c r="AZ54" s="1077">
        <f t="shared" si="24"/>
        <v>0</v>
      </c>
      <c r="BA54" s="1077">
        <f t="shared" si="24"/>
        <v>0</v>
      </c>
      <c r="BB54" s="1077">
        <f t="shared" si="24"/>
        <v>0</v>
      </c>
      <c r="BC54" s="1077">
        <f t="shared" si="24"/>
        <v>0</v>
      </c>
      <c r="BD54" s="1077">
        <f t="shared" si="24"/>
        <v>0</v>
      </c>
      <c r="BE54" s="1077">
        <f t="shared" si="24"/>
        <v>0</v>
      </c>
      <c r="BF54" s="1077">
        <f t="shared" si="24"/>
        <v>0</v>
      </c>
      <c r="BG54" s="1077">
        <f t="shared" si="24"/>
        <v>0</v>
      </c>
      <c r="BI54" s="39" t="s">
        <v>153</v>
      </c>
      <c r="BM54" s="1077">
        <f t="shared" ref="BM54:BV54" si="25">IFERROR(BM53/BM36,0)</f>
        <v>0</v>
      </c>
      <c r="BN54" s="1077">
        <f t="shared" si="25"/>
        <v>0</v>
      </c>
      <c r="BO54" s="1077">
        <f t="shared" si="25"/>
        <v>0</v>
      </c>
      <c r="BP54" s="1077">
        <f t="shared" si="25"/>
        <v>0</v>
      </c>
      <c r="BQ54" s="1077">
        <f t="shared" si="25"/>
        <v>0</v>
      </c>
      <c r="BR54" s="1077">
        <f t="shared" si="25"/>
        <v>0</v>
      </c>
      <c r="BS54" s="1077">
        <f t="shared" si="25"/>
        <v>0</v>
      </c>
      <c r="BT54" s="1077">
        <f t="shared" si="25"/>
        <v>0</v>
      </c>
      <c r="BU54" s="1077">
        <f t="shared" si="25"/>
        <v>0</v>
      </c>
      <c r="BV54" s="1077">
        <f t="shared" si="25"/>
        <v>0</v>
      </c>
      <c r="BX54" s="476" t="s">
        <v>153</v>
      </c>
    </row>
    <row r="55" spans="3:76">
      <c r="C55" s="253" t="s">
        <v>152</v>
      </c>
      <c r="D55" s="253"/>
      <c r="E55" s="253"/>
      <c r="F55" s="253"/>
      <c r="G55" s="253"/>
      <c r="H55" s="253"/>
      <c r="I55" s="253"/>
      <c r="J55" s="253"/>
      <c r="K55" s="253"/>
      <c r="L55" s="253"/>
      <c r="M55" s="253"/>
      <c r="N55" s="253"/>
      <c r="O55" s="253"/>
      <c r="P55" s="253"/>
      <c r="Q55" s="253"/>
      <c r="R55" s="401"/>
      <c r="S55" s="401"/>
      <c r="T55" s="1352">
        <f>PCF!T329</f>
        <v>1000</v>
      </c>
      <c r="U55" s="1352">
        <f>PCF!U329</f>
        <v>2000</v>
      </c>
      <c r="V55" s="1352">
        <f>PCF!V329</f>
        <v>3000</v>
      </c>
      <c r="W55" s="1352">
        <f>PCF!W329</f>
        <v>3000</v>
      </c>
      <c r="X55" s="1352">
        <f>PCF!X329</f>
        <v>3000</v>
      </c>
      <c r="Y55" s="1352">
        <f>PCF!Y329</f>
        <v>3000</v>
      </c>
      <c r="Z55" s="1352">
        <f>PCF!Z329</f>
        <v>3000</v>
      </c>
      <c r="AA55" s="1352">
        <f>PCF!AA329</f>
        <v>3000</v>
      </c>
      <c r="AB55" s="1352">
        <f>PCF!AB329</f>
        <v>3000</v>
      </c>
      <c r="AC55" s="1352">
        <f>PCF!AC329</f>
        <v>3000</v>
      </c>
      <c r="AD55" s="1352">
        <f>PCF!AD329</f>
        <v>3000</v>
      </c>
      <c r="AE55" s="1352">
        <f>PCF!AE329</f>
        <v>3000</v>
      </c>
      <c r="AF55" s="1352">
        <f>PCF!AF329</f>
        <v>0</v>
      </c>
      <c r="AG55" s="1352">
        <f>PCF!AG329</f>
        <v>0</v>
      </c>
      <c r="AH55" s="1352">
        <f>PCF!AH329</f>
        <v>0</v>
      </c>
      <c r="AI55" s="1352">
        <f>PCF!AI329</f>
        <v>0</v>
      </c>
      <c r="AJ55" s="1352">
        <f>PCF!AJ329</f>
        <v>0</v>
      </c>
      <c r="AK55" s="1352">
        <f>PCF!AK329</f>
        <v>0</v>
      </c>
      <c r="AL55" s="1352">
        <f>PCF!AL329</f>
        <v>0</v>
      </c>
      <c r="AM55" s="1352">
        <f>PCF!AM329</f>
        <v>0</v>
      </c>
      <c r="AN55" s="1352">
        <f>PCF!AN329</f>
        <v>0</v>
      </c>
      <c r="AO55" s="1352">
        <f>PCF!AO329</f>
        <v>0</v>
      </c>
      <c r="AP55" s="1352">
        <f>PCF!AP329</f>
        <v>0</v>
      </c>
      <c r="AQ55" s="1352">
        <f>PCF!AQ329</f>
        <v>0</v>
      </c>
      <c r="AR55" s="1352">
        <f>PCF!AR329</f>
        <v>0</v>
      </c>
      <c r="AS55" s="1352">
        <f>PCF!AS329</f>
        <v>0</v>
      </c>
      <c r="AT55" s="1352">
        <f>PCF!AT329</f>
        <v>0</v>
      </c>
      <c r="AU55" s="1352">
        <f>PCF!AU329</f>
        <v>0</v>
      </c>
      <c r="AV55" s="1352">
        <f>PCF!AV329</f>
        <v>0</v>
      </c>
      <c r="AW55" s="1352">
        <f>PCF!AW329</f>
        <v>0</v>
      </c>
      <c r="AX55" s="1352">
        <f>PCF!AX329</f>
        <v>0</v>
      </c>
      <c r="AY55" s="1352">
        <f>PCF!AY329</f>
        <v>0</v>
      </c>
      <c r="AZ55" s="1352">
        <f>PCF!AZ329</f>
        <v>0</v>
      </c>
      <c r="BA55" s="1352">
        <f>PCF!BA329</f>
        <v>0</v>
      </c>
      <c r="BB55" s="1352">
        <f>PCF!BB329</f>
        <v>0</v>
      </c>
      <c r="BC55" s="1352">
        <f>PCF!BC329</f>
        <v>0</v>
      </c>
      <c r="BD55" s="1352">
        <f>PCF!BD329</f>
        <v>0</v>
      </c>
      <c r="BE55" s="1352">
        <f>PCF!BE329</f>
        <v>0</v>
      </c>
      <c r="BF55" s="1352">
        <f>PCF!BF329</f>
        <v>0</v>
      </c>
      <c r="BG55" s="1352">
        <f>PCF!BG329</f>
        <v>0</v>
      </c>
      <c r="BI55" s="253" t="s">
        <v>153</v>
      </c>
      <c r="BM55" s="367">
        <f t="shared" ref="BM55:BV55" si="26">AVERAGEIF($T$8:$BG$8,BM$6,$T55:$BG55)</f>
        <v>2250</v>
      </c>
      <c r="BN55" s="367">
        <f t="shared" si="26"/>
        <v>3000</v>
      </c>
      <c r="BO55" s="367">
        <f t="shared" si="26"/>
        <v>3000</v>
      </c>
      <c r="BP55" s="367">
        <f t="shared" si="26"/>
        <v>0</v>
      </c>
      <c r="BQ55" s="367">
        <f t="shared" si="26"/>
        <v>0</v>
      </c>
      <c r="BR55" s="367">
        <f t="shared" si="26"/>
        <v>0</v>
      </c>
      <c r="BS55" s="367">
        <f t="shared" si="26"/>
        <v>0</v>
      </c>
      <c r="BT55" s="367">
        <f t="shared" si="26"/>
        <v>0</v>
      </c>
      <c r="BU55" s="367">
        <f t="shared" si="26"/>
        <v>0</v>
      </c>
      <c r="BV55" s="367">
        <f t="shared" si="26"/>
        <v>0</v>
      </c>
      <c r="BX55" s="254" t="s">
        <v>153</v>
      </c>
    </row>
    <row r="56" spans="3:76">
      <c r="C56" s="399" t="s">
        <v>648</v>
      </c>
      <c r="D56" s="399"/>
      <c r="E56" s="399"/>
      <c r="F56" s="399"/>
      <c r="G56" s="399"/>
      <c r="H56" s="399"/>
      <c r="I56" s="399"/>
      <c r="J56" s="399"/>
      <c r="K56" s="399"/>
      <c r="L56" s="399"/>
      <c r="M56" s="399"/>
      <c r="N56" s="399"/>
      <c r="O56" s="399"/>
      <c r="P56" s="399"/>
      <c r="Q56" s="399"/>
      <c r="R56" s="407"/>
      <c r="S56" s="407"/>
      <c r="T56" s="1114">
        <f>IF(T37=0,0,T55/T37)</f>
        <v>1</v>
      </c>
      <c r="U56" s="1114">
        <f t="shared" ref="U56:BG56" si="27">IF(U37=0,0,U55/U37)</f>
        <v>1</v>
      </c>
      <c r="V56" s="1114">
        <f t="shared" si="27"/>
        <v>1</v>
      </c>
      <c r="W56" s="1114">
        <f t="shared" si="27"/>
        <v>1</v>
      </c>
      <c r="X56" s="1114">
        <f t="shared" si="27"/>
        <v>1</v>
      </c>
      <c r="Y56" s="1114">
        <f t="shared" si="27"/>
        <v>1</v>
      </c>
      <c r="Z56" s="1114">
        <f t="shared" si="27"/>
        <v>1</v>
      </c>
      <c r="AA56" s="1114">
        <f t="shared" si="27"/>
        <v>1</v>
      </c>
      <c r="AB56" s="1114">
        <f t="shared" si="27"/>
        <v>1</v>
      </c>
      <c r="AC56" s="1114">
        <f t="shared" si="27"/>
        <v>1</v>
      </c>
      <c r="AD56" s="1114">
        <f t="shared" si="27"/>
        <v>1</v>
      </c>
      <c r="AE56" s="1114">
        <f t="shared" si="27"/>
        <v>1</v>
      </c>
      <c r="AF56" s="1114">
        <f t="shared" si="27"/>
        <v>0</v>
      </c>
      <c r="AG56" s="1114">
        <f t="shared" si="27"/>
        <v>0</v>
      </c>
      <c r="AH56" s="1114">
        <f t="shared" si="27"/>
        <v>0</v>
      </c>
      <c r="AI56" s="1114">
        <f t="shared" si="27"/>
        <v>0</v>
      </c>
      <c r="AJ56" s="1114">
        <f t="shared" si="27"/>
        <v>0</v>
      </c>
      <c r="AK56" s="1114">
        <f t="shared" si="27"/>
        <v>0</v>
      </c>
      <c r="AL56" s="1114">
        <f t="shared" si="27"/>
        <v>0</v>
      </c>
      <c r="AM56" s="1114">
        <f t="shared" si="27"/>
        <v>0</v>
      </c>
      <c r="AN56" s="1114">
        <f t="shared" si="27"/>
        <v>0</v>
      </c>
      <c r="AO56" s="1114">
        <f t="shared" si="27"/>
        <v>0</v>
      </c>
      <c r="AP56" s="1114">
        <f t="shared" si="27"/>
        <v>0</v>
      </c>
      <c r="AQ56" s="1114">
        <f t="shared" si="27"/>
        <v>0</v>
      </c>
      <c r="AR56" s="1114">
        <f t="shared" si="27"/>
        <v>0</v>
      </c>
      <c r="AS56" s="1114">
        <f t="shared" si="27"/>
        <v>0</v>
      </c>
      <c r="AT56" s="1114">
        <f t="shared" si="27"/>
        <v>0</v>
      </c>
      <c r="AU56" s="1114">
        <f t="shared" si="27"/>
        <v>0</v>
      </c>
      <c r="AV56" s="1114">
        <f t="shared" si="27"/>
        <v>0</v>
      </c>
      <c r="AW56" s="1114">
        <f t="shared" si="27"/>
        <v>0</v>
      </c>
      <c r="AX56" s="1114">
        <f t="shared" si="27"/>
        <v>0</v>
      </c>
      <c r="AY56" s="1114">
        <f t="shared" si="27"/>
        <v>0</v>
      </c>
      <c r="AZ56" s="1114">
        <f t="shared" si="27"/>
        <v>0</v>
      </c>
      <c r="BA56" s="1114">
        <f t="shared" si="27"/>
        <v>0</v>
      </c>
      <c r="BB56" s="1114">
        <f t="shared" si="27"/>
        <v>0</v>
      </c>
      <c r="BC56" s="1114">
        <f t="shared" si="27"/>
        <v>0</v>
      </c>
      <c r="BD56" s="1114">
        <f t="shared" si="27"/>
        <v>0</v>
      </c>
      <c r="BE56" s="1114">
        <f t="shared" si="27"/>
        <v>0</v>
      </c>
      <c r="BF56" s="1114">
        <f t="shared" si="27"/>
        <v>0</v>
      </c>
      <c r="BG56" s="1114">
        <f t="shared" si="27"/>
        <v>0</v>
      </c>
      <c r="BI56" s="39" t="s">
        <v>153</v>
      </c>
      <c r="BM56" s="1077">
        <f t="shared" ref="BM56:BV56" si="28">IFERROR(BM55/BM37,0)</f>
        <v>1</v>
      </c>
      <c r="BN56" s="1077">
        <f t="shared" si="28"/>
        <v>1</v>
      </c>
      <c r="BO56" s="1077">
        <f t="shared" si="28"/>
        <v>1</v>
      </c>
      <c r="BP56" s="1077">
        <f t="shared" si="28"/>
        <v>0</v>
      </c>
      <c r="BQ56" s="1077">
        <f t="shared" si="28"/>
        <v>0</v>
      </c>
      <c r="BR56" s="1077">
        <f t="shared" si="28"/>
        <v>0</v>
      </c>
      <c r="BS56" s="1077">
        <f t="shared" si="28"/>
        <v>0</v>
      </c>
      <c r="BT56" s="1077">
        <f t="shared" si="28"/>
        <v>0</v>
      </c>
      <c r="BU56" s="1077">
        <f t="shared" si="28"/>
        <v>0</v>
      </c>
      <c r="BV56" s="1077">
        <f t="shared" si="28"/>
        <v>0</v>
      </c>
    </row>
    <row r="58" spans="3:76">
      <c r="C58" s="364" t="s">
        <v>617</v>
      </c>
      <c r="D58" s="364"/>
      <c r="E58" s="364"/>
      <c r="F58" s="364"/>
      <c r="G58" s="364"/>
      <c r="H58" s="364"/>
      <c r="I58" s="364"/>
      <c r="J58" s="364"/>
      <c r="K58" s="364"/>
      <c r="L58" s="364"/>
      <c r="M58" s="364"/>
      <c r="N58" s="364"/>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M58" s="17"/>
      <c r="BN58" s="17"/>
      <c r="BO58" s="17"/>
      <c r="BP58" s="17"/>
      <c r="BQ58" s="17"/>
      <c r="BR58" s="17"/>
      <c r="BS58" s="17"/>
      <c r="BT58" s="17"/>
      <c r="BU58" s="17"/>
      <c r="BV58" s="17"/>
      <c r="BX58" s="17"/>
    </row>
    <row r="59" spans="3:76">
      <c r="C59" t="s">
        <v>618</v>
      </c>
      <c r="R59" s="392"/>
      <c r="S59" s="392"/>
      <c r="T59" s="403">
        <f>PCF!T334</f>
        <v>1000</v>
      </c>
      <c r="U59" s="403">
        <f>PCF!U334</f>
        <v>2000</v>
      </c>
      <c r="V59" s="403">
        <f>PCF!V334</f>
        <v>3000</v>
      </c>
      <c r="W59" s="403">
        <f>PCF!W334</f>
        <v>3000</v>
      </c>
      <c r="X59" s="403">
        <f>PCF!X334</f>
        <v>3000</v>
      </c>
      <c r="Y59" s="403">
        <f>PCF!Y334</f>
        <v>3000</v>
      </c>
      <c r="Z59" s="403">
        <f>PCF!Z334</f>
        <v>3000</v>
      </c>
      <c r="AA59" s="403">
        <f>PCF!AA334</f>
        <v>3000</v>
      </c>
      <c r="AB59" s="403">
        <f>PCF!AB334</f>
        <v>3000</v>
      </c>
      <c r="AC59" s="403">
        <f>PCF!AC334</f>
        <v>3000</v>
      </c>
      <c r="AD59" s="403">
        <f>PCF!AD334</f>
        <v>3000</v>
      </c>
      <c r="AE59" s="403">
        <f>PCF!AE334</f>
        <v>3000</v>
      </c>
      <c r="AF59" s="403">
        <f>PCF!AF334</f>
        <v>0</v>
      </c>
      <c r="AG59" s="403">
        <f>PCF!AG334</f>
        <v>0</v>
      </c>
      <c r="AH59" s="403">
        <f>PCF!AH334</f>
        <v>0</v>
      </c>
      <c r="AI59" s="403">
        <f>PCF!AI334</f>
        <v>0</v>
      </c>
      <c r="AJ59" s="403">
        <f>PCF!AJ334</f>
        <v>0</v>
      </c>
      <c r="AK59" s="403">
        <f>PCF!AK334</f>
        <v>0</v>
      </c>
      <c r="AL59" s="403">
        <f>PCF!AL334</f>
        <v>0</v>
      </c>
      <c r="AM59" s="403">
        <f>PCF!AM334</f>
        <v>0</v>
      </c>
      <c r="AN59" s="403">
        <f>PCF!AN334</f>
        <v>0</v>
      </c>
      <c r="AO59" s="403">
        <f>PCF!AO334</f>
        <v>0</v>
      </c>
      <c r="AP59" s="403">
        <f>PCF!AP334</f>
        <v>0</v>
      </c>
      <c r="AQ59" s="403">
        <f>PCF!AQ334</f>
        <v>0</v>
      </c>
      <c r="AR59" s="403">
        <f>PCF!AR334</f>
        <v>0</v>
      </c>
      <c r="AS59" s="403">
        <f>PCF!AS334</f>
        <v>0</v>
      </c>
      <c r="AT59" s="403">
        <f>PCF!AT334</f>
        <v>0</v>
      </c>
      <c r="AU59" s="403">
        <f>PCF!AU334</f>
        <v>0</v>
      </c>
      <c r="AV59" s="403">
        <f>PCF!AV334</f>
        <v>0</v>
      </c>
      <c r="AW59" s="403">
        <f>PCF!AW334</f>
        <v>0</v>
      </c>
      <c r="AX59" s="403">
        <f>PCF!AX334</f>
        <v>0</v>
      </c>
      <c r="AY59" s="403">
        <f>PCF!AY334</f>
        <v>0</v>
      </c>
      <c r="AZ59" s="403">
        <f>PCF!AZ334</f>
        <v>0</v>
      </c>
      <c r="BA59" s="403">
        <f>PCF!BA334</f>
        <v>0</v>
      </c>
      <c r="BB59" s="403">
        <f>PCF!BB334</f>
        <v>0</v>
      </c>
      <c r="BC59" s="403">
        <f>PCF!BC334</f>
        <v>0</v>
      </c>
      <c r="BD59" s="403">
        <f>PCF!BD334</f>
        <v>0</v>
      </c>
      <c r="BE59" s="403">
        <f>PCF!BE334</f>
        <v>0</v>
      </c>
      <c r="BF59" s="403">
        <f>PCF!BF334</f>
        <v>0</v>
      </c>
      <c r="BG59" s="403">
        <f>PCF!BG334</f>
        <v>0</v>
      </c>
      <c r="BI59" s="1067" t="s">
        <v>153</v>
      </c>
      <c r="BM59" s="310">
        <f t="shared" ref="BM59:BV63" si="29">AVERAGEIF($T$8:$BG$8,BM$6,$T59:$BG59)</f>
        <v>2250</v>
      </c>
      <c r="BN59" s="310">
        <f t="shared" si="29"/>
        <v>3000</v>
      </c>
      <c r="BO59" s="310">
        <f t="shared" si="29"/>
        <v>3000</v>
      </c>
      <c r="BP59" s="310">
        <f t="shared" si="29"/>
        <v>0</v>
      </c>
      <c r="BQ59" s="310">
        <f t="shared" si="29"/>
        <v>0</v>
      </c>
      <c r="BR59" s="310">
        <f t="shared" si="29"/>
        <v>0</v>
      </c>
      <c r="BS59" s="310">
        <f t="shared" si="29"/>
        <v>0</v>
      </c>
      <c r="BT59" s="310">
        <f t="shared" si="29"/>
        <v>0</v>
      </c>
      <c r="BU59" s="310">
        <f t="shared" si="29"/>
        <v>0</v>
      </c>
      <c r="BV59" s="310">
        <f t="shared" si="29"/>
        <v>0</v>
      </c>
      <c r="BX59" s="476" t="s">
        <v>153</v>
      </c>
    </row>
    <row r="60" spans="3:76">
      <c r="C60" t="s">
        <v>362</v>
      </c>
      <c r="R60" s="392"/>
      <c r="S60" s="392"/>
      <c r="T60" s="403">
        <f>PCF!T335</f>
        <v>0</v>
      </c>
      <c r="U60" s="403">
        <f>PCF!U335</f>
        <v>0</v>
      </c>
      <c r="V60" s="403">
        <f>PCF!V335</f>
        <v>0</v>
      </c>
      <c r="W60" s="403">
        <f>PCF!W335</f>
        <v>0</v>
      </c>
      <c r="X60" s="403">
        <f>PCF!X335</f>
        <v>0</v>
      </c>
      <c r="Y60" s="403">
        <f>PCF!Y335</f>
        <v>0</v>
      </c>
      <c r="Z60" s="403">
        <f>PCF!Z335</f>
        <v>0</v>
      </c>
      <c r="AA60" s="403">
        <f>PCF!AA335</f>
        <v>0</v>
      </c>
      <c r="AB60" s="403">
        <f>PCF!AB335</f>
        <v>0</v>
      </c>
      <c r="AC60" s="403">
        <f>PCF!AC335</f>
        <v>0</v>
      </c>
      <c r="AD60" s="403">
        <f>PCF!AD335</f>
        <v>0</v>
      </c>
      <c r="AE60" s="403">
        <f>PCF!AE335</f>
        <v>0</v>
      </c>
      <c r="AF60" s="403">
        <f>PCF!AF335</f>
        <v>0</v>
      </c>
      <c r="AG60" s="403">
        <f>PCF!AG335</f>
        <v>0</v>
      </c>
      <c r="AH60" s="403">
        <f>PCF!AH335</f>
        <v>0</v>
      </c>
      <c r="AI60" s="403">
        <f>PCF!AI335</f>
        <v>0</v>
      </c>
      <c r="AJ60" s="403">
        <f>PCF!AJ335</f>
        <v>0</v>
      </c>
      <c r="AK60" s="403">
        <f>PCF!AK335</f>
        <v>0</v>
      </c>
      <c r="AL60" s="403">
        <f>PCF!AL335</f>
        <v>0</v>
      </c>
      <c r="AM60" s="403">
        <f>PCF!AM335</f>
        <v>0</v>
      </c>
      <c r="AN60" s="403">
        <f>PCF!AN335</f>
        <v>0</v>
      </c>
      <c r="AO60" s="403">
        <f>PCF!AO335</f>
        <v>0</v>
      </c>
      <c r="AP60" s="403">
        <f>PCF!AP335</f>
        <v>0</v>
      </c>
      <c r="AQ60" s="403">
        <f>PCF!AQ335</f>
        <v>0</v>
      </c>
      <c r="AR60" s="403">
        <f>PCF!AR335</f>
        <v>0</v>
      </c>
      <c r="AS60" s="403">
        <f>PCF!AS335</f>
        <v>0</v>
      </c>
      <c r="AT60" s="403">
        <f>PCF!AT335</f>
        <v>0</v>
      </c>
      <c r="AU60" s="403">
        <f>PCF!AU335</f>
        <v>0</v>
      </c>
      <c r="AV60" s="403">
        <f>PCF!AV335</f>
        <v>0</v>
      </c>
      <c r="AW60" s="403">
        <f>PCF!AW335</f>
        <v>0</v>
      </c>
      <c r="AX60" s="403">
        <f>PCF!AX335</f>
        <v>0</v>
      </c>
      <c r="AY60" s="403">
        <f>PCF!AY335</f>
        <v>0</v>
      </c>
      <c r="AZ60" s="403">
        <f>PCF!AZ335</f>
        <v>0</v>
      </c>
      <c r="BA60" s="403">
        <f>PCF!BA335</f>
        <v>0</v>
      </c>
      <c r="BB60" s="403">
        <f>PCF!BB335</f>
        <v>0</v>
      </c>
      <c r="BC60" s="403">
        <f>PCF!BC335</f>
        <v>0</v>
      </c>
      <c r="BD60" s="403">
        <f>PCF!BD335</f>
        <v>0</v>
      </c>
      <c r="BE60" s="403">
        <f>PCF!BE335</f>
        <v>0</v>
      </c>
      <c r="BF60" s="403">
        <f>PCF!BF335</f>
        <v>0</v>
      </c>
      <c r="BG60" s="403">
        <f>PCF!BG335</f>
        <v>0</v>
      </c>
      <c r="BI60" s="39" t="s">
        <v>153</v>
      </c>
      <c r="BM60" s="310">
        <f t="shared" si="29"/>
        <v>0</v>
      </c>
      <c r="BN60" s="310">
        <f t="shared" si="29"/>
        <v>0</v>
      </c>
      <c r="BO60" s="310">
        <f t="shared" si="29"/>
        <v>0</v>
      </c>
      <c r="BP60" s="310">
        <f t="shared" si="29"/>
        <v>0</v>
      </c>
      <c r="BQ60" s="310">
        <f t="shared" si="29"/>
        <v>0</v>
      </c>
      <c r="BR60" s="310">
        <f t="shared" si="29"/>
        <v>0</v>
      </c>
      <c r="BS60" s="310">
        <f t="shared" si="29"/>
        <v>0</v>
      </c>
      <c r="BT60" s="310">
        <f t="shared" si="29"/>
        <v>0</v>
      </c>
      <c r="BU60" s="310">
        <f t="shared" si="29"/>
        <v>0</v>
      </c>
      <c r="BV60" s="310">
        <f t="shared" si="29"/>
        <v>0</v>
      </c>
      <c r="BX60" s="476" t="s">
        <v>153</v>
      </c>
    </row>
    <row r="61" spans="3:76">
      <c r="C61" t="s">
        <v>619</v>
      </c>
      <c r="R61" s="392"/>
      <c r="S61" s="392"/>
      <c r="T61" s="403">
        <f>PCF!T336</f>
        <v>0</v>
      </c>
      <c r="U61" s="403">
        <f>PCF!U336</f>
        <v>0</v>
      </c>
      <c r="V61" s="403">
        <f>PCF!V336</f>
        <v>0</v>
      </c>
      <c r="W61" s="403">
        <f>PCF!W336</f>
        <v>0</v>
      </c>
      <c r="X61" s="403">
        <f>PCF!X336</f>
        <v>0</v>
      </c>
      <c r="Y61" s="403">
        <f>PCF!Y336</f>
        <v>0</v>
      </c>
      <c r="Z61" s="403">
        <f>PCF!Z336</f>
        <v>0</v>
      </c>
      <c r="AA61" s="403">
        <f>PCF!AA336</f>
        <v>0</v>
      </c>
      <c r="AB61" s="403">
        <f>PCF!AB336</f>
        <v>0</v>
      </c>
      <c r="AC61" s="403">
        <f>PCF!AC336</f>
        <v>0</v>
      </c>
      <c r="AD61" s="403">
        <f>PCF!AD336</f>
        <v>0</v>
      </c>
      <c r="AE61" s="403">
        <f>PCF!AE336</f>
        <v>0</v>
      </c>
      <c r="AF61" s="403">
        <f>PCF!AF336</f>
        <v>0</v>
      </c>
      <c r="AG61" s="403">
        <f>PCF!AG336</f>
        <v>0</v>
      </c>
      <c r="AH61" s="403">
        <f>PCF!AH336</f>
        <v>0</v>
      </c>
      <c r="AI61" s="403">
        <f>PCF!AI336</f>
        <v>0</v>
      </c>
      <c r="AJ61" s="403">
        <f>PCF!AJ336</f>
        <v>0</v>
      </c>
      <c r="AK61" s="403">
        <f>PCF!AK336</f>
        <v>0</v>
      </c>
      <c r="AL61" s="403">
        <f>PCF!AL336</f>
        <v>0</v>
      </c>
      <c r="AM61" s="403">
        <f>PCF!AM336</f>
        <v>0</v>
      </c>
      <c r="AN61" s="403">
        <f>PCF!AN336</f>
        <v>0</v>
      </c>
      <c r="AO61" s="403">
        <f>PCF!AO336</f>
        <v>0</v>
      </c>
      <c r="AP61" s="403">
        <f>PCF!AP336</f>
        <v>0</v>
      </c>
      <c r="AQ61" s="403">
        <f>PCF!AQ336</f>
        <v>0</v>
      </c>
      <c r="AR61" s="403">
        <f>PCF!AR336</f>
        <v>0</v>
      </c>
      <c r="AS61" s="403">
        <f>PCF!AS336</f>
        <v>0</v>
      </c>
      <c r="AT61" s="403">
        <f>PCF!AT336</f>
        <v>0</v>
      </c>
      <c r="AU61" s="403">
        <f>PCF!AU336</f>
        <v>0</v>
      </c>
      <c r="AV61" s="403">
        <f>PCF!AV336</f>
        <v>0</v>
      </c>
      <c r="AW61" s="403">
        <f>PCF!AW336</f>
        <v>0</v>
      </c>
      <c r="AX61" s="403">
        <f>PCF!AX336</f>
        <v>0</v>
      </c>
      <c r="AY61" s="403">
        <f>PCF!AY336</f>
        <v>0</v>
      </c>
      <c r="AZ61" s="403">
        <f>PCF!AZ336</f>
        <v>0</v>
      </c>
      <c r="BA61" s="403">
        <f>PCF!BA336</f>
        <v>0</v>
      </c>
      <c r="BB61" s="403">
        <f>PCF!BB336</f>
        <v>0</v>
      </c>
      <c r="BC61" s="403">
        <f>PCF!BC336</f>
        <v>0</v>
      </c>
      <c r="BD61" s="403">
        <f>PCF!BD336</f>
        <v>0</v>
      </c>
      <c r="BE61" s="403">
        <f>PCF!BE336</f>
        <v>0</v>
      </c>
      <c r="BF61" s="403">
        <f>PCF!BF336</f>
        <v>0</v>
      </c>
      <c r="BG61" s="403">
        <f>PCF!BG336</f>
        <v>0</v>
      </c>
      <c r="BI61" s="39" t="s">
        <v>153</v>
      </c>
      <c r="BM61" s="310">
        <f t="shared" si="29"/>
        <v>0</v>
      </c>
      <c r="BN61" s="310">
        <f t="shared" si="29"/>
        <v>0</v>
      </c>
      <c r="BO61" s="310">
        <f t="shared" si="29"/>
        <v>0</v>
      </c>
      <c r="BP61" s="310">
        <f t="shared" si="29"/>
        <v>0</v>
      </c>
      <c r="BQ61" s="310">
        <f t="shared" si="29"/>
        <v>0</v>
      </c>
      <c r="BR61" s="310">
        <f t="shared" si="29"/>
        <v>0</v>
      </c>
      <c r="BS61" s="310">
        <f t="shared" si="29"/>
        <v>0</v>
      </c>
      <c r="BT61" s="310">
        <f t="shared" si="29"/>
        <v>0</v>
      </c>
      <c r="BU61" s="310">
        <f t="shared" si="29"/>
        <v>0</v>
      </c>
      <c r="BV61" s="310">
        <f t="shared" si="29"/>
        <v>0</v>
      </c>
      <c r="BX61" s="476" t="s">
        <v>153</v>
      </c>
    </row>
    <row r="62" spans="3:76">
      <c r="C62" t="s">
        <v>86</v>
      </c>
      <c r="R62" s="392"/>
      <c r="S62" s="392"/>
      <c r="T62" s="403">
        <f>PCF!T337</f>
        <v>0</v>
      </c>
      <c r="U62" s="403">
        <f>PCF!U337</f>
        <v>0</v>
      </c>
      <c r="V62" s="403">
        <f>PCF!V337</f>
        <v>0</v>
      </c>
      <c r="W62" s="403">
        <f>PCF!W337</f>
        <v>0</v>
      </c>
      <c r="X62" s="403">
        <f>PCF!X337</f>
        <v>0</v>
      </c>
      <c r="Y62" s="403">
        <f>PCF!Y337</f>
        <v>0</v>
      </c>
      <c r="Z62" s="403">
        <f>PCF!Z337</f>
        <v>0</v>
      </c>
      <c r="AA62" s="403">
        <f>PCF!AA337</f>
        <v>0</v>
      </c>
      <c r="AB62" s="403">
        <f>PCF!AB337</f>
        <v>0</v>
      </c>
      <c r="AC62" s="403">
        <f>PCF!AC337</f>
        <v>0</v>
      </c>
      <c r="AD62" s="403">
        <f>PCF!AD337</f>
        <v>0</v>
      </c>
      <c r="AE62" s="403">
        <f>PCF!AE337</f>
        <v>0</v>
      </c>
      <c r="AF62" s="403">
        <f>PCF!AF337</f>
        <v>0</v>
      </c>
      <c r="AG62" s="403">
        <f>PCF!AG337</f>
        <v>0</v>
      </c>
      <c r="AH62" s="403">
        <f>PCF!AH337</f>
        <v>0</v>
      </c>
      <c r="AI62" s="403">
        <f>PCF!AI337</f>
        <v>0</v>
      </c>
      <c r="AJ62" s="403">
        <f>PCF!AJ337</f>
        <v>0</v>
      </c>
      <c r="AK62" s="403">
        <f>PCF!AK337</f>
        <v>0</v>
      </c>
      <c r="AL62" s="403">
        <f>PCF!AL337</f>
        <v>0</v>
      </c>
      <c r="AM62" s="403">
        <f>PCF!AM337</f>
        <v>0</v>
      </c>
      <c r="AN62" s="403">
        <f>PCF!AN337</f>
        <v>0</v>
      </c>
      <c r="AO62" s="403">
        <f>PCF!AO337</f>
        <v>0</v>
      </c>
      <c r="AP62" s="403">
        <f>PCF!AP337</f>
        <v>0</v>
      </c>
      <c r="AQ62" s="403">
        <f>PCF!AQ337</f>
        <v>0</v>
      </c>
      <c r="AR62" s="403">
        <f>PCF!AR337</f>
        <v>0</v>
      </c>
      <c r="AS62" s="403">
        <f>PCF!AS337</f>
        <v>0</v>
      </c>
      <c r="AT62" s="403">
        <f>PCF!AT337</f>
        <v>0</v>
      </c>
      <c r="AU62" s="403">
        <f>PCF!AU337</f>
        <v>0</v>
      </c>
      <c r="AV62" s="403">
        <f>PCF!AV337</f>
        <v>0</v>
      </c>
      <c r="AW62" s="403">
        <f>PCF!AW337</f>
        <v>0</v>
      </c>
      <c r="AX62" s="403">
        <f>PCF!AX337</f>
        <v>0</v>
      </c>
      <c r="AY62" s="403">
        <f>PCF!AY337</f>
        <v>0</v>
      </c>
      <c r="AZ62" s="403">
        <f>PCF!AZ337</f>
        <v>0</v>
      </c>
      <c r="BA62" s="403">
        <f>PCF!BA337</f>
        <v>0</v>
      </c>
      <c r="BB62" s="403">
        <f>PCF!BB337</f>
        <v>0</v>
      </c>
      <c r="BC62" s="403">
        <f>PCF!BC337</f>
        <v>0</v>
      </c>
      <c r="BD62" s="403">
        <f>PCF!BD337</f>
        <v>0</v>
      </c>
      <c r="BE62" s="403">
        <f>PCF!BE337</f>
        <v>0</v>
      </c>
      <c r="BF62" s="403">
        <f>PCF!BF337</f>
        <v>0</v>
      </c>
      <c r="BG62" s="403">
        <f>PCF!BG337</f>
        <v>0</v>
      </c>
      <c r="BI62" s="39" t="s">
        <v>153</v>
      </c>
      <c r="BM62" s="310">
        <f t="shared" si="29"/>
        <v>0</v>
      </c>
      <c r="BN62" s="310">
        <f t="shared" si="29"/>
        <v>0</v>
      </c>
      <c r="BO62" s="310">
        <f t="shared" si="29"/>
        <v>0</v>
      </c>
      <c r="BP62" s="310">
        <f t="shared" si="29"/>
        <v>0</v>
      </c>
      <c r="BQ62" s="310">
        <f t="shared" si="29"/>
        <v>0</v>
      </c>
      <c r="BR62" s="310">
        <f t="shared" si="29"/>
        <v>0</v>
      </c>
      <c r="BS62" s="310">
        <f t="shared" si="29"/>
        <v>0</v>
      </c>
      <c r="BT62" s="310">
        <f t="shared" si="29"/>
        <v>0</v>
      </c>
      <c r="BU62" s="310">
        <f t="shared" si="29"/>
        <v>0</v>
      </c>
      <c r="BV62" s="310">
        <f t="shared" si="29"/>
        <v>0</v>
      </c>
      <c r="BX62" s="476" t="s">
        <v>153</v>
      </c>
    </row>
    <row r="63" spans="3:76">
      <c r="C63" s="253" t="s">
        <v>152</v>
      </c>
      <c r="D63" s="253"/>
      <c r="E63" s="253"/>
      <c r="F63" s="253"/>
      <c r="G63" s="253"/>
      <c r="H63" s="253"/>
      <c r="I63" s="253"/>
      <c r="J63" s="253"/>
      <c r="K63" s="253"/>
      <c r="L63" s="253"/>
      <c r="M63" s="253"/>
      <c r="N63" s="253"/>
      <c r="O63" s="268"/>
      <c r="P63" s="268"/>
      <c r="Q63" s="268"/>
      <c r="R63" s="153"/>
      <c r="S63" s="153"/>
      <c r="T63" s="254">
        <f t="shared" ref="T63:BF63" si="30">SUM(T59:T62)</f>
        <v>1000</v>
      </c>
      <c r="U63" s="254">
        <f t="shared" si="30"/>
        <v>2000</v>
      </c>
      <c r="V63" s="254">
        <f t="shared" si="30"/>
        <v>3000</v>
      </c>
      <c r="W63" s="254">
        <f t="shared" si="30"/>
        <v>3000</v>
      </c>
      <c r="X63" s="254">
        <f t="shared" si="30"/>
        <v>3000</v>
      </c>
      <c r="Y63" s="254">
        <f t="shared" si="30"/>
        <v>3000</v>
      </c>
      <c r="Z63" s="254">
        <f t="shared" si="30"/>
        <v>3000</v>
      </c>
      <c r="AA63" s="254">
        <f t="shared" si="30"/>
        <v>3000</v>
      </c>
      <c r="AB63" s="254">
        <f t="shared" si="30"/>
        <v>3000</v>
      </c>
      <c r="AC63" s="254">
        <f t="shared" si="30"/>
        <v>3000</v>
      </c>
      <c r="AD63" s="254">
        <f t="shared" si="30"/>
        <v>3000</v>
      </c>
      <c r="AE63" s="254">
        <f t="shared" si="30"/>
        <v>3000</v>
      </c>
      <c r="AF63" s="254">
        <f t="shared" si="30"/>
        <v>0</v>
      </c>
      <c r="AG63" s="254">
        <f t="shared" si="30"/>
        <v>0</v>
      </c>
      <c r="AH63" s="254">
        <f t="shared" si="30"/>
        <v>0</v>
      </c>
      <c r="AI63" s="254">
        <f t="shared" si="30"/>
        <v>0</v>
      </c>
      <c r="AJ63" s="254">
        <f t="shared" si="30"/>
        <v>0</v>
      </c>
      <c r="AK63" s="254">
        <f t="shared" si="30"/>
        <v>0</v>
      </c>
      <c r="AL63" s="254">
        <f t="shared" si="30"/>
        <v>0</v>
      </c>
      <c r="AM63" s="254">
        <f t="shared" si="30"/>
        <v>0</v>
      </c>
      <c r="AN63" s="254">
        <f t="shared" si="30"/>
        <v>0</v>
      </c>
      <c r="AO63" s="254">
        <f t="shared" si="30"/>
        <v>0</v>
      </c>
      <c r="AP63" s="254">
        <f t="shared" si="30"/>
        <v>0</v>
      </c>
      <c r="AQ63" s="254">
        <f t="shared" si="30"/>
        <v>0</v>
      </c>
      <c r="AR63" s="254">
        <f t="shared" si="30"/>
        <v>0</v>
      </c>
      <c r="AS63" s="254">
        <f t="shared" si="30"/>
        <v>0</v>
      </c>
      <c r="AT63" s="254">
        <f t="shared" si="30"/>
        <v>0</v>
      </c>
      <c r="AU63" s="254">
        <f t="shared" si="30"/>
        <v>0</v>
      </c>
      <c r="AV63" s="254">
        <f t="shared" si="30"/>
        <v>0</v>
      </c>
      <c r="AW63" s="254">
        <f t="shared" si="30"/>
        <v>0</v>
      </c>
      <c r="AX63" s="254">
        <f t="shared" si="30"/>
        <v>0</v>
      </c>
      <c r="AY63" s="254">
        <f t="shared" si="30"/>
        <v>0</v>
      </c>
      <c r="AZ63" s="254">
        <f t="shared" si="30"/>
        <v>0</v>
      </c>
      <c r="BA63" s="254">
        <f t="shared" si="30"/>
        <v>0</v>
      </c>
      <c r="BB63" s="254">
        <f t="shared" si="30"/>
        <v>0</v>
      </c>
      <c r="BC63" s="254">
        <f t="shared" si="30"/>
        <v>0</v>
      </c>
      <c r="BD63" s="254">
        <f t="shared" si="30"/>
        <v>0</v>
      </c>
      <c r="BE63" s="254">
        <f t="shared" si="30"/>
        <v>0</v>
      </c>
      <c r="BF63" s="254">
        <f t="shared" si="30"/>
        <v>0</v>
      </c>
      <c r="BG63" s="254">
        <f t="shared" ref="BG63" si="31">SUM(BG59:BG62)</f>
        <v>0</v>
      </c>
      <c r="BI63" s="253" t="s">
        <v>153</v>
      </c>
      <c r="BM63" s="367">
        <f t="shared" si="29"/>
        <v>2250</v>
      </c>
      <c r="BN63" s="367">
        <f t="shared" si="29"/>
        <v>3000</v>
      </c>
      <c r="BO63" s="367">
        <f t="shared" si="29"/>
        <v>3000</v>
      </c>
      <c r="BP63" s="367">
        <f t="shared" si="29"/>
        <v>0</v>
      </c>
      <c r="BQ63" s="367">
        <f t="shared" si="29"/>
        <v>0</v>
      </c>
      <c r="BR63" s="367">
        <f t="shared" si="29"/>
        <v>0</v>
      </c>
      <c r="BS63" s="367">
        <f t="shared" si="29"/>
        <v>0</v>
      </c>
      <c r="BT63" s="367">
        <f t="shared" si="29"/>
        <v>0</v>
      </c>
      <c r="BU63" s="367">
        <f t="shared" si="29"/>
        <v>0</v>
      </c>
      <c r="BV63" s="367">
        <f t="shared" si="29"/>
        <v>0</v>
      </c>
      <c r="BX63" s="254" t="s">
        <v>153</v>
      </c>
    </row>
    <row r="64" spans="3:76">
      <c r="C64" s="399" t="s">
        <v>648</v>
      </c>
      <c r="D64" s="399"/>
      <c r="E64" s="399"/>
      <c r="F64" s="399"/>
      <c r="G64" s="399"/>
      <c r="H64" s="399"/>
      <c r="I64" s="399"/>
      <c r="J64" s="399"/>
      <c r="K64" s="399"/>
      <c r="L64" s="399"/>
      <c r="M64" s="399"/>
      <c r="N64" s="399"/>
      <c r="R64" s="392"/>
      <c r="S64" s="392"/>
      <c r="T64" s="1114">
        <f>IF(T37=0,0,T63/T37)</f>
        <v>1</v>
      </c>
      <c r="U64" s="1114">
        <f t="shared" ref="U64:BG64" si="32">IF(U37=0,0,U63/U37)</f>
        <v>1</v>
      </c>
      <c r="V64" s="1114">
        <f t="shared" si="32"/>
        <v>1</v>
      </c>
      <c r="W64" s="1114">
        <f t="shared" si="32"/>
        <v>1</v>
      </c>
      <c r="X64" s="1114">
        <f t="shared" si="32"/>
        <v>1</v>
      </c>
      <c r="Y64" s="1114">
        <f t="shared" si="32"/>
        <v>1</v>
      </c>
      <c r="Z64" s="1114">
        <f t="shared" si="32"/>
        <v>1</v>
      </c>
      <c r="AA64" s="1114">
        <f t="shared" si="32"/>
        <v>1</v>
      </c>
      <c r="AB64" s="1114">
        <f t="shared" si="32"/>
        <v>1</v>
      </c>
      <c r="AC64" s="1114">
        <f t="shared" si="32"/>
        <v>1</v>
      </c>
      <c r="AD64" s="1114">
        <f t="shared" si="32"/>
        <v>1</v>
      </c>
      <c r="AE64" s="1114">
        <f t="shared" si="32"/>
        <v>1</v>
      </c>
      <c r="AF64" s="1114">
        <f t="shared" si="32"/>
        <v>0</v>
      </c>
      <c r="AG64" s="1114">
        <f t="shared" si="32"/>
        <v>0</v>
      </c>
      <c r="AH64" s="1114">
        <f t="shared" si="32"/>
        <v>0</v>
      </c>
      <c r="AI64" s="1114">
        <f t="shared" si="32"/>
        <v>0</v>
      </c>
      <c r="AJ64" s="1114">
        <f t="shared" si="32"/>
        <v>0</v>
      </c>
      <c r="AK64" s="1114">
        <f t="shared" si="32"/>
        <v>0</v>
      </c>
      <c r="AL64" s="1114">
        <f t="shared" si="32"/>
        <v>0</v>
      </c>
      <c r="AM64" s="1114">
        <f t="shared" si="32"/>
        <v>0</v>
      </c>
      <c r="AN64" s="1114">
        <f t="shared" si="32"/>
        <v>0</v>
      </c>
      <c r="AO64" s="1114">
        <f t="shared" si="32"/>
        <v>0</v>
      </c>
      <c r="AP64" s="1114">
        <f t="shared" si="32"/>
        <v>0</v>
      </c>
      <c r="AQ64" s="1114">
        <f t="shared" si="32"/>
        <v>0</v>
      </c>
      <c r="AR64" s="1114">
        <f t="shared" si="32"/>
        <v>0</v>
      </c>
      <c r="AS64" s="1114">
        <f t="shared" si="32"/>
        <v>0</v>
      </c>
      <c r="AT64" s="1114">
        <f t="shared" si="32"/>
        <v>0</v>
      </c>
      <c r="AU64" s="1114">
        <f t="shared" si="32"/>
        <v>0</v>
      </c>
      <c r="AV64" s="1114">
        <f t="shared" si="32"/>
        <v>0</v>
      </c>
      <c r="AW64" s="1114">
        <f t="shared" si="32"/>
        <v>0</v>
      </c>
      <c r="AX64" s="1114">
        <f t="shared" si="32"/>
        <v>0</v>
      </c>
      <c r="AY64" s="1114">
        <f t="shared" si="32"/>
        <v>0</v>
      </c>
      <c r="AZ64" s="1114">
        <f t="shared" si="32"/>
        <v>0</v>
      </c>
      <c r="BA64" s="1114">
        <f t="shared" si="32"/>
        <v>0</v>
      </c>
      <c r="BB64" s="1114">
        <f t="shared" si="32"/>
        <v>0</v>
      </c>
      <c r="BC64" s="1114">
        <f t="shared" si="32"/>
        <v>0</v>
      </c>
      <c r="BD64" s="1114">
        <f t="shared" si="32"/>
        <v>0</v>
      </c>
      <c r="BE64" s="1114">
        <f t="shared" si="32"/>
        <v>0</v>
      </c>
      <c r="BF64" s="1114">
        <f t="shared" si="32"/>
        <v>0</v>
      </c>
      <c r="BG64" s="1114">
        <f t="shared" si="32"/>
        <v>0</v>
      </c>
      <c r="BI64" s="39" t="s">
        <v>153</v>
      </c>
      <c r="BM64" s="1077">
        <f>IFERROR(BM63/BM37,0)</f>
        <v>1</v>
      </c>
      <c r="BN64" s="1077">
        <f t="shared" ref="BN64:BV64" si="33">IFERROR(BN63/BN37,0)</f>
        <v>1</v>
      </c>
      <c r="BO64" s="1077">
        <f t="shared" si="33"/>
        <v>1</v>
      </c>
      <c r="BP64" s="1077">
        <f t="shared" si="33"/>
        <v>0</v>
      </c>
      <c r="BQ64" s="1077">
        <f t="shared" si="33"/>
        <v>0</v>
      </c>
      <c r="BR64" s="1077">
        <f t="shared" si="33"/>
        <v>0</v>
      </c>
      <c r="BS64" s="1077">
        <f t="shared" si="33"/>
        <v>0</v>
      </c>
      <c r="BT64" s="1077">
        <f t="shared" si="33"/>
        <v>0</v>
      </c>
      <c r="BU64" s="1077">
        <f t="shared" si="33"/>
        <v>0</v>
      </c>
      <c r="BV64" s="1077">
        <f t="shared" si="33"/>
        <v>0</v>
      </c>
    </row>
    <row r="66" spans="3:76">
      <c r="C66" s="39" t="s">
        <v>1411</v>
      </c>
      <c r="T66" s="155">
        <f>PCF!T289</f>
        <v>17.597260273972601</v>
      </c>
      <c r="U66" s="155">
        <f>PCF!U289</f>
        <v>17.345205479452055</v>
      </c>
      <c r="V66" s="155">
        <f>PCF!V289</f>
        <v>17.095890410958905</v>
      </c>
      <c r="W66" s="155">
        <f>PCF!W289</f>
        <v>16.849315068493151</v>
      </c>
      <c r="X66" s="155">
        <f>PCF!X289</f>
        <v>16.597260273972601</v>
      </c>
      <c r="Y66" s="155">
        <f>PCF!Y289</f>
        <v>16.345205479452055</v>
      </c>
      <c r="Z66" s="155">
        <f>PCF!Z289</f>
        <v>16.095890410958908</v>
      </c>
      <c r="AA66" s="155">
        <f>PCF!AA289</f>
        <v>15.84931506849315</v>
      </c>
      <c r="AB66" s="155">
        <f>PCF!AB289</f>
        <v>15.597260273972601</v>
      </c>
      <c r="AC66" s="155">
        <f>PCF!AC289</f>
        <v>15.345205479452053</v>
      </c>
      <c r="AD66" s="155">
        <f>PCF!AD289</f>
        <v>15.095890410958903</v>
      </c>
      <c r="AE66" s="155">
        <f>PCF!AE289</f>
        <v>14.846575342465755</v>
      </c>
      <c r="AF66" s="155">
        <f>PCF!AF289</f>
        <v>0</v>
      </c>
      <c r="AG66" s="155">
        <f>PCF!AG289</f>
        <v>0</v>
      </c>
      <c r="AH66" s="155">
        <f>PCF!AH289</f>
        <v>0</v>
      </c>
      <c r="AI66" s="155">
        <f>PCF!AI289</f>
        <v>0</v>
      </c>
      <c r="AJ66" s="155">
        <f>PCF!AJ289</f>
        <v>0</v>
      </c>
      <c r="AK66" s="155">
        <f>PCF!AK289</f>
        <v>0</v>
      </c>
      <c r="AL66" s="155">
        <f>PCF!AL289</f>
        <v>0</v>
      </c>
      <c r="AM66" s="155">
        <f>PCF!AM289</f>
        <v>0</v>
      </c>
      <c r="AN66" s="155">
        <f>PCF!AN289</f>
        <v>0</v>
      </c>
      <c r="AO66" s="155">
        <f>PCF!AO289</f>
        <v>0</v>
      </c>
      <c r="AP66" s="155">
        <f>PCF!AP289</f>
        <v>0</v>
      </c>
      <c r="AQ66" s="155">
        <f>PCF!AQ289</f>
        <v>0</v>
      </c>
      <c r="AR66" s="155">
        <f>PCF!AR289</f>
        <v>0</v>
      </c>
      <c r="AS66" s="155">
        <f>PCF!AS289</f>
        <v>0</v>
      </c>
      <c r="AT66" s="155">
        <f>PCF!AT289</f>
        <v>0</v>
      </c>
      <c r="AU66" s="155">
        <f>PCF!AU289</f>
        <v>0</v>
      </c>
      <c r="AV66" s="155">
        <f>PCF!AV289</f>
        <v>0</v>
      </c>
      <c r="AW66" s="155">
        <f>PCF!AW289</f>
        <v>0</v>
      </c>
      <c r="AX66" s="155">
        <f>PCF!AX289</f>
        <v>0</v>
      </c>
      <c r="AY66" s="155">
        <f>PCF!AY289</f>
        <v>0</v>
      </c>
      <c r="AZ66" s="155">
        <f>PCF!AZ289</f>
        <v>0</v>
      </c>
      <c r="BA66" s="155">
        <f>PCF!BA289</f>
        <v>0</v>
      </c>
      <c r="BB66" s="155">
        <f>PCF!BB289</f>
        <v>0</v>
      </c>
      <c r="BC66" s="155">
        <f>PCF!BC289</f>
        <v>0</v>
      </c>
      <c r="BD66" s="155">
        <f>PCF!BD289</f>
        <v>0</v>
      </c>
      <c r="BE66" s="155">
        <f>PCF!BE289</f>
        <v>0</v>
      </c>
      <c r="BF66" s="155">
        <f>PCF!BF289</f>
        <v>0</v>
      </c>
      <c r="BG66" s="155">
        <f>PCF!BG289</f>
        <v>0</v>
      </c>
    </row>
    <row r="68" spans="3:76">
      <c r="C68" s="391" t="s">
        <v>620</v>
      </c>
      <c r="D68" s="391"/>
      <c r="E68" s="391"/>
      <c r="F68" s="391"/>
      <c r="G68" s="391"/>
      <c r="H68" s="391"/>
      <c r="I68" s="391"/>
      <c r="J68" s="391"/>
      <c r="K68" s="391"/>
      <c r="L68" s="391"/>
      <c r="M68" s="391"/>
      <c r="N68" s="391"/>
      <c r="O68" s="391"/>
      <c r="P68" s="391"/>
      <c r="Q68" s="391"/>
      <c r="R68" s="391"/>
      <c r="S68" s="391"/>
      <c r="T68" s="391"/>
      <c r="U68" s="391"/>
      <c r="V68" s="391"/>
      <c r="W68" s="391"/>
      <c r="X68" s="391"/>
      <c r="Y68" s="391"/>
      <c r="Z68" s="391"/>
      <c r="AA68" s="391"/>
      <c r="AB68" s="391"/>
      <c r="AC68" s="391"/>
      <c r="AD68" s="391"/>
      <c r="AE68" s="391"/>
      <c r="AF68" s="391"/>
      <c r="AG68" s="391"/>
      <c r="AH68" s="391"/>
      <c r="AI68" s="391"/>
      <c r="AJ68" s="391"/>
      <c r="AK68" s="391"/>
      <c r="AL68" s="391"/>
      <c r="AM68" s="391"/>
      <c r="AN68" s="391"/>
      <c r="AO68" s="391"/>
      <c r="AP68" s="391"/>
      <c r="AQ68" s="391"/>
      <c r="AR68" s="391"/>
      <c r="AS68" s="391"/>
      <c r="AT68" s="391"/>
      <c r="AU68" s="391"/>
      <c r="AV68" s="391"/>
      <c r="AW68" s="391"/>
      <c r="AX68" s="391"/>
      <c r="AY68" s="391"/>
      <c r="AZ68" s="391"/>
      <c r="BA68" s="391"/>
      <c r="BB68" s="391"/>
      <c r="BC68" s="391"/>
      <c r="BD68" s="391"/>
      <c r="BE68" s="391"/>
      <c r="BF68" s="391"/>
      <c r="BG68" s="391"/>
      <c r="BI68" s="391"/>
      <c r="BK68" s="391"/>
      <c r="BM68" s="391"/>
      <c r="BN68" s="391"/>
      <c r="BO68" s="391"/>
      <c r="BP68" s="391"/>
      <c r="BQ68" s="391"/>
      <c r="BR68" s="391"/>
      <c r="BS68" s="391"/>
      <c r="BT68" s="391"/>
      <c r="BU68" s="391"/>
      <c r="BV68" s="391"/>
      <c r="BX68" s="391"/>
    </row>
    <row r="70" spans="3:76">
      <c r="C70" s="364" t="s">
        <v>624</v>
      </c>
      <c r="D70" s="364"/>
      <c r="E70" s="364"/>
      <c r="F70" s="364"/>
      <c r="G70" s="364"/>
      <c r="H70" s="364"/>
      <c r="I70" s="364"/>
      <c r="J70" s="364"/>
      <c r="K70" s="364"/>
      <c r="L70" s="364"/>
      <c r="M70" s="364"/>
      <c r="N70" s="364"/>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M70" s="17"/>
      <c r="BN70" s="17"/>
      <c r="BO70" s="17"/>
      <c r="BP70" s="17"/>
      <c r="BQ70" s="17"/>
      <c r="BR70" s="17"/>
      <c r="BS70" s="17"/>
      <c r="BT70" s="17"/>
      <c r="BU70" s="17"/>
      <c r="BV70" s="17"/>
      <c r="BX70" s="17"/>
    </row>
    <row r="71" spans="3:76">
      <c r="C71" t="s">
        <v>621</v>
      </c>
      <c r="O71" s="49"/>
      <c r="R71" s="402"/>
      <c r="S71" s="403">
        <f>-SUMIF(AO!$AW$18:$AW$52,S$5,AO!$AV$18:$AV$52)</f>
        <v>-1702388.2092934325</v>
      </c>
      <c r="T71" s="403">
        <f>-SUMIF(AO!$AW$18:$AW$52,T$5,AO!$AV$18:$AV$52)</f>
        <v>-1661694.2824195155</v>
      </c>
      <c r="U71" s="403">
        <f>-SUMIF(AO!$AW$18:$AW$52,U$5,AO!$AV$18:$AV$52)</f>
        <v>-1634917.5082870517</v>
      </c>
      <c r="V71" s="403">
        <f>-SUMIF(AO!$AW$18:$AW$52,V$5,AO!$AV$18:$AV$52)</f>
        <v>0</v>
      </c>
      <c r="W71" s="403">
        <f>-SUMIF(AO!$AW$18:$AW$52,W$5,AO!$AV$18:$AV$52)</f>
        <v>0</v>
      </c>
      <c r="X71" s="403">
        <f>-SUMIF(AO!$AW$18:$AW$52,X$5,AO!$AV$18:$AV$52)</f>
        <v>0</v>
      </c>
      <c r="Y71" s="403">
        <f>-SUMIF(AO!$AW$18:$AW$52,Y$5,AO!$AV$18:$AV$52)</f>
        <v>0</v>
      </c>
      <c r="Z71" s="403">
        <f>-SUMIF(AO!$AW$18:$AW$52,Z$5,AO!$AV$18:$AV$52)</f>
        <v>0</v>
      </c>
      <c r="AA71" s="403">
        <f>-SUMIF(AO!$AW$18:$AW$52,AA$5,AO!$AV$18:$AV$52)</f>
        <v>0</v>
      </c>
      <c r="AB71" s="403">
        <f>-SUMIF(AO!$AW$18:$AW$52,AB$5,AO!$AV$18:$AV$52)</f>
        <v>0</v>
      </c>
      <c r="AC71" s="403">
        <f>-SUMIF(AO!$AW$18:$AW$52,AC$5,AO!$AV$18:$AV$52)</f>
        <v>0</v>
      </c>
      <c r="AD71" s="403">
        <f>-SUMIF(AO!$AW$18:$AW$52,AD$5,AO!$AV$18:$AV$52)</f>
        <v>0</v>
      </c>
      <c r="AE71" s="403">
        <f>-SUMIF(AO!$AW$18:$AW$52,AE$5,AO!$AV$18:$AV$52)</f>
        <v>0</v>
      </c>
      <c r="AF71" s="403">
        <f>-SUMIF(AO!$AW$18:$AW$52,AF$5,AO!$AV$18:$AV$52)</f>
        <v>0</v>
      </c>
      <c r="BI71" s="1067" t="s">
        <v>153</v>
      </c>
      <c r="BM71" s="310"/>
      <c r="BX71" s="39" t="s">
        <v>153</v>
      </c>
    </row>
    <row r="72" spans="3:76">
      <c r="C72" t="s">
        <v>622</v>
      </c>
      <c r="O72" s="409">
        <f>GA!H11</f>
        <v>2.0000000000000001E-4</v>
      </c>
      <c r="R72" s="403">
        <f>-GA!G11</f>
        <v>-1000</v>
      </c>
      <c r="S72" s="402"/>
      <c r="BI72" s="39"/>
    </row>
    <row r="73" spans="3:76">
      <c r="C73" t="s">
        <v>114</v>
      </c>
      <c r="O73" s="49"/>
      <c r="R73" s="403">
        <f>-SUM(PCF!$BU$261:$BU$263)*GA!$G$315*(GA!$G$316="Signing")</f>
        <v>0</v>
      </c>
      <c r="S73" s="403">
        <f>-SUM(PCF!$BU$261:$BU$263)*GA!$G$315*(GA!$G$316="Closing")</f>
        <v>-250000</v>
      </c>
      <c r="BI73" s="39" t="s">
        <v>153</v>
      </c>
      <c r="BX73" s="39" t="s">
        <v>153</v>
      </c>
    </row>
    <row r="74" spans="3:76">
      <c r="C74" t="s">
        <v>623</v>
      </c>
      <c r="O74" s="409"/>
      <c r="R74" s="403">
        <f>-GA!G24*PP</f>
        <v>-125000</v>
      </c>
      <c r="S74" s="403">
        <f>-PP*GA!H24</f>
        <v>-279050</v>
      </c>
      <c r="BI74" s="39" t="s">
        <v>153</v>
      </c>
      <c r="BX74" s="39" t="s">
        <v>153</v>
      </c>
    </row>
    <row r="75" spans="3:76">
      <c r="C75" s="253" t="s">
        <v>625</v>
      </c>
      <c r="D75" s="253"/>
      <c r="E75" s="253"/>
      <c r="F75" s="253"/>
      <c r="G75" s="253"/>
      <c r="H75" s="253"/>
      <c r="I75" s="253"/>
      <c r="J75" s="253"/>
      <c r="K75" s="253"/>
      <c r="L75" s="253"/>
      <c r="M75" s="253"/>
      <c r="N75" s="253"/>
      <c r="O75" s="253"/>
      <c r="P75" s="253"/>
      <c r="Q75" s="253"/>
      <c r="R75" s="254">
        <f>SUM(R71:R74)</f>
        <v>-126000</v>
      </c>
      <c r="S75" s="254">
        <f>SUM(S71:S74)</f>
        <v>-2231438.2092934325</v>
      </c>
      <c r="T75" s="254">
        <f t="shared" ref="T75:AF75" si="34">SUM(T71:T74)</f>
        <v>-1661694.2824195155</v>
      </c>
      <c r="U75" s="254">
        <f t="shared" si="34"/>
        <v>-1634917.5082870517</v>
      </c>
      <c r="V75" s="254">
        <f t="shared" si="34"/>
        <v>0</v>
      </c>
      <c r="W75" s="254">
        <f t="shared" si="34"/>
        <v>0</v>
      </c>
      <c r="X75" s="254">
        <f t="shared" si="34"/>
        <v>0</v>
      </c>
      <c r="Y75" s="254">
        <f t="shared" si="34"/>
        <v>0</v>
      </c>
      <c r="Z75" s="254">
        <f t="shared" si="34"/>
        <v>0</v>
      </c>
      <c r="AA75" s="254">
        <f t="shared" si="34"/>
        <v>0</v>
      </c>
      <c r="AB75" s="254">
        <f t="shared" si="34"/>
        <v>0</v>
      </c>
      <c r="AC75" s="254">
        <f t="shared" si="34"/>
        <v>0</v>
      </c>
      <c r="AD75" s="254">
        <f t="shared" si="34"/>
        <v>0</v>
      </c>
      <c r="AE75" s="254">
        <f t="shared" si="34"/>
        <v>0</v>
      </c>
      <c r="AF75" s="254">
        <f t="shared" si="34"/>
        <v>0</v>
      </c>
      <c r="AG75" s="268"/>
      <c r="AH75" s="268"/>
      <c r="AI75" s="268"/>
      <c r="AJ75" s="268"/>
      <c r="AK75" s="268"/>
      <c r="AL75" s="268"/>
      <c r="AM75" s="268"/>
      <c r="AN75" s="268"/>
      <c r="AO75" s="268"/>
      <c r="AP75" s="268"/>
      <c r="AQ75" s="268"/>
      <c r="AR75" s="268"/>
      <c r="AS75" s="268"/>
      <c r="AT75" s="268"/>
      <c r="AU75" s="268"/>
      <c r="AV75" s="268"/>
      <c r="AW75" s="268"/>
      <c r="AX75" s="268"/>
      <c r="AY75" s="268"/>
      <c r="AZ75" s="268"/>
      <c r="BA75" s="268"/>
      <c r="BB75" s="268"/>
      <c r="BC75" s="268"/>
      <c r="BD75" s="268"/>
      <c r="BE75" s="268"/>
      <c r="BF75" s="268"/>
      <c r="BG75" s="268"/>
      <c r="BI75" s="253" t="s">
        <v>153</v>
      </c>
      <c r="BM75" s="253"/>
      <c r="BN75" s="253"/>
      <c r="BO75" s="253"/>
      <c r="BP75" s="253"/>
      <c r="BQ75" s="253"/>
      <c r="BR75" s="253"/>
      <c r="BS75" s="253"/>
      <c r="BT75" s="253"/>
      <c r="BU75" s="253"/>
      <c r="BV75" s="253"/>
      <c r="BX75" s="253" t="s">
        <v>153</v>
      </c>
    </row>
    <row r="76" spans="3:76" outlineLevel="1">
      <c r="C76" t="s">
        <v>1715</v>
      </c>
      <c r="R76" s="310">
        <f>+R75-MAX(R173,0)</f>
        <v>-126000</v>
      </c>
      <c r="S76" s="310">
        <f t="shared" ref="S76:AF76" si="35">+S75-MAX(S173,0)</f>
        <v>-2231438.2092934325</v>
      </c>
      <c r="T76" s="310">
        <f t="shared" si="35"/>
        <v>-1661694.2824195155</v>
      </c>
      <c r="U76" s="310">
        <f t="shared" si="35"/>
        <v>-1634917.5082870517</v>
      </c>
      <c r="V76" s="310">
        <f t="shared" si="35"/>
        <v>0</v>
      </c>
      <c r="W76" s="310">
        <f t="shared" si="35"/>
        <v>0</v>
      </c>
      <c r="X76" s="310">
        <f t="shared" si="35"/>
        <v>0</v>
      </c>
      <c r="Y76" s="310">
        <f t="shared" si="35"/>
        <v>0</v>
      </c>
      <c r="Z76" s="310">
        <f t="shared" si="35"/>
        <v>0</v>
      </c>
      <c r="AA76" s="310">
        <f t="shared" si="35"/>
        <v>0</v>
      </c>
      <c r="AB76" s="310">
        <f t="shared" si="35"/>
        <v>0</v>
      </c>
      <c r="AC76" s="310">
        <f t="shared" si="35"/>
        <v>0</v>
      </c>
      <c r="AD76" s="310">
        <f t="shared" si="35"/>
        <v>0</v>
      </c>
      <c r="AE76" s="310">
        <f t="shared" si="35"/>
        <v>0</v>
      </c>
      <c r="AF76" s="310">
        <f t="shared" si="35"/>
        <v>0</v>
      </c>
      <c r="BX76" s="39" t="s">
        <v>153</v>
      </c>
    </row>
    <row r="77" spans="3:76" outlineLevel="1">
      <c r="S77" s="319"/>
      <c r="BX77" s="39" t="s">
        <v>153</v>
      </c>
    </row>
    <row r="78" spans="3:76" outlineLevel="1">
      <c r="S78" s="319"/>
      <c r="BX78" s="39"/>
    </row>
    <row r="79" spans="3:76">
      <c r="C79" s="364" t="s">
        <v>1716</v>
      </c>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row>
    <row r="80" spans="3:76">
      <c r="C80" t="s">
        <v>1717</v>
      </c>
      <c r="O80" s="259">
        <f>-SUM(R75:BG75)+S166</f>
        <v>5654050</v>
      </c>
    </row>
    <row r="81" spans="3:76">
      <c r="C81" t="s">
        <v>1718</v>
      </c>
      <c r="O81" s="259">
        <f>+O80-O83-O82</f>
        <v>3154050</v>
      </c>
      <c r="R81" s="257">
        <f>+MIN($O$81-SUM($Q81:Q81),-R76)</f>
        <v>126000</v>
      </c>
      <c r="S81" s="257">
        <f>+MIN($O$81-SUM($Q81:R81),-S76)</f>
        <v>2231438.2092934325</v>
      </c>
      <c r="T81" s="257">
        <f>+MIN($O$81-SUM($Q81:S81),-T76)</f>
        <v>796611.79070656747</v>
      </c>
      <c r="U81" s="257">
        <f>+MIN($O$81-SUM($Q81:T81),-U76)</f>
        <v>0</v>
      </c>
      <c r="V81" s="257">
        <f>+MIN($O$81-SUM($Q81:U81),-V76)</f>
        <v>0</v>
      </c>
      <c r="W81" s="257">
        <f>+MIN($O$81-SUM($Q81:V81),-W76)</f>
        <v>0</v>
      </c>
      <c r="X81" s="257">
        <f>+MIN($O$81-SUM($Q81:W81),-X76)</f>
        <v>0</v>
      </c>
      <c r="Y81" s="257">
        <f>+MIN($O$81-SUM($Q81:X81),-Y76)</f>
        <v>0</v>
      </c>
      <c r="Z81" s="257">
        <f>+MIN($O$81-SUM($Q81:Y81),-Z76)</f>
        <v>0</v>
      </c>
      <c r="AA81" s="257">
        <f>+MIN($O$81-SUM($Q81:Z81),-AA76)</f>
        <v>0</v>
      </c>
      <c r="AB81" s="257">
        <f>+MIN($O$81-SUM($Q81:AA81),-AB76)</f>
        <v>0</v>
      </c>
      <c r="AC81" s="257">
        <f>+MIN($O$81-SUM($Q81:AB81),-AC76)</f>
        <v>0</v>
      </c>
      <c r="AD81" s="257">
        <f>+MIN($O$81-SUM($Q81:AC81),-AD76)</f>
        <v>0</v>
      </c>
      <c r="AE81" s="257">
        <f>+MIN($O$81-SUM($Q81:AD81),-AE76)</f>
        <v>0</v>
      </c>
      <c r="AF81" s="257">
        <f>+MIN($O$81-SUM($Q81:AE81),-AF76)</f>
        <v>0</v>
      </c>
      <c r="AG81" s="257">
        <f>+MIN($O$81-SUM($Q81:AF81),-AG76)</f>
        <v>0</v>
      </c>
      <c r="AH81" s="257">
        <f>+MIN($O$81-SUM($Q81:AG81),-AH76)</f>
        <v>0</v>
      </c>
      <c r="AI81" s="257">
        <f>+MIN($O$81-SUM($Q81:AH81),-AI76)</f>
        <v>0</v>
      </c>
      <c r="AJ81" s="257">
        <f>+MIN($O$81-SUM($Q81:AI81),-AJ76)</f>
        <v>0</v>
      </c>
      <c r="AK81" s="257">
        <f>+MIN($O$81-SUM($Q81:AJ81),-AK76)</f>
        <v>0</v>
      </c>
      <c r="AL81" s="257">
        <f>+MIN($O$81-SUM($Q81:AK81),-AL76)</f>
        <v>0</v>
      </c>
      <c r="AM81" s="257">
        <f>+MIN($O$81-SUM($Q81:AL81),-AM76)</f>
        <v>0</v>
      </c>
      <c r="AN81" s="257">
        <f>+MIN($O$81-SUM($Q81:AM81),-AN76)</f>
        <v>0</v>
      </c>
      <c r="AO81" s="257">
        <f>+MIN($O$81-SUM($Q81:AN81),-AO76)</f>
        <v>0</v>
      </c>
      <c r="AP81" s="257">
        <f>+MIN($O$81-SUM($Q81:AO81),-AP76)</f>
        <v>0</v>
      </c>
      <c r="AQ81" s="257">
        <f>+MIN($O$81-SUM($Q81:AP81),-AQ76)</f>
        <v>0</v>
      </c>
      <c r="AR81" s="257">
        <f>+MIN($O$81-SUM($Q81:AQ81),-AR76)</f>
        <v>0</v>
      </c>
      <c r="AS81" s="257">
        <f>+MIN($O$81-SUM($Q81:AR81),-AS76)</f>
        <v>0</v>
      </c>
      <c r="AT81" s="257">
        <f>+MIN($O$81-SUM($Q81:AS81),-AT76)</f>
        <v>0</v>
      </c>
      <c r="AU81" s="257">
        <f>+MIN($O$81-SUM($Q81:AT81),-AU76)</f>
        <v>0</v>
      </c>
      <c r="AV81" s="257">
        <f>+MIN($O$81-SUM($Q81:AU81),-AV76)</f>
        <v>0</v>
      </c>
      <c r="AW81" s="257">
        <f>+MIN($O$81-SUM($Q81:AV81),-AW76)</f>
        <v>0</v>
      </c>
      <c r="AX81" s="257">
        <f>+MIN($O$81-SUM($Q81:AW81),-AX76)</f>
        <v>0</v>
      </c>
      <c r="AY81" s="257">
        <f>+MIN($O$81-SUM($Q81:AX81),-AY76)</f>
        <v>0</v>
      </c>
      <c r="AZ81" s="257">
        <f>+MIN($O$81-SUM($Q81:AY81),-AZ76)</f>
        <v>0</v>
      </c>
      <c r="BA81" s="257">
        <f>+MIN($O$81-SUM($Q81:AZ81),-BA76)</f>
        <v>0</v>
      </c>
      <c r="BB81" s="257">
        <f>+MIN($O$81-SUM($Q81:BA81),-BB76)</f>
        <v>0</v>
      </c>
      <c r="BC81" s="257">
        <f>+MIN($O$81-SUM($Q81:BB81),-BC76)</f>
        <v>0</v>
      </c>
      <c r="BD81" s="257">
        <f>+MIN($O$81-SUM($Q81:BC81),-BD76)</f>
        <v>0</v>
      </c>
      <c r="BE81" s="257">
        <f>+MIN($O$81-SUM($Q81:BD81),-BE76)</f>
        <v>0</v>
      </c>
      <c r="BF81" s="257">
        <f>+MIN($O$81-SUM($Q81:BE81),-BF76)</f>
        <v>0</v>
      </c>
      <c r="BG81" s="257">
        <f>+MIN($O$81-SUM($Q81:BF81),-BG76)</f>
        <v>0</v>
      </c>
    </row>
    <row r="82" spans="3:76">
      <c r="C82" t="s">
        <v>1719</v>
      </c>
      <c r="O82">
        <f>GA!G648*GA!G649</f>
        <v>0</v>
      </c>
      <c r="R82" s="257">
        <f>+MIN($O$82-SUM($Q82:Q82),-(R76+R81))</f>
        <v>0</v>
      </c>
      <c r="S82" s="257">
        <f>+MIN($O$82-SUM($Q82:R82),-(S76+S81))</f>
        <v>0</v>
      </c>
      <c r="T82" s="257">
        <f>+MIN($O$82-SUM($Q82:S82),-(T76+T81))</f>
        <v>0</v>
      </c>
      <c r="U82" s="257">
        <f>+MIN($O$82-SUM($Q82:T82),-(U76+U81))</f>
        <v>0</v>
      </c>
      <c r="V82" s="257">
        <f>+MIN($O$82-SUM($Q82:U82),-(V76+V81))</f>
        <v>0</v>
      </c>
      <c r="W82" s="257">
        <f>+MIN($O$82-SUM($Q82:V82),-(W76+W81))</f>
        <v>0</v>
      </c>
      <c r="X82" s="257">
        <f>+MIN($O$82-SUM($Q82:W82),-(X76+X81))</f>
        <v>0</v>
      </c>
      <c r="Y82" s="257">
        <f>+MIN($O$82-SUM($Q82:X82),-(Y76+Y81))</f>
        <v>0</v>
      </c>
      <c r="Z82" s="257">
        <f>+MIN($O$82-SUM($Q82:Y82),-(Z76+Z81))</f>
        <v>0</v>
      </c>
      <c r="AA82" s="257">
        <f>+MIN($O$82-SUM($Q82:Z82),-(AA76+AA81))</f>
        <v>0</v>
      </c>
      <c r="AB82" s="257">
        <f>+MIN($O$82-SUM($Q82:AA82),-(AB76+AB81))</f>
        <v>0</v>
      </c>
      <c r="AC82" s="257">
        <f>+MIN($O$82-SUM($Q82:AB82),-(AC76+AC81))</f>
        <v>0</v>
      </c>
      <c r="AD82" s="257">
        <f>+MIN($O$82-SUM($Q82:AC82),-(AD76+AD81))</f>
        <v>0</v>
      </c>
      <c r="AE82" s="257">
        <f>+MIN($O$82-SUM($Q82:AD82),-(AE76+AE81))</f>
        <v>0</v>
      </c>
      <c r="AF82" s="257">
        <f>+MIN($O$82-SUM($Q82:AE82),-(AF76+AF81))</f>
        <v>0</v>
      </c>
      <c r="AG82" s="257">
        <f>+MIN($O$82-SUM($Q82:AF82),-(AG76+AG81))</f>
        <v>0</v>
      </c>
      <c r="AH82" s="257">
        <f>+MIN($O$82-SUM($Q82:AG82),-(AH76+AH81))</f>
        <v>0</v>
      </c>
      <c r="AI82" s="257">
        <f>+MIN($O$82-SUM($Q82:AH82),-(AI76+AI81))</f>
        <v>0</v>
      </c>
      <c r="AJ82" s="257">
        <f>+MIN($O$82-SUM($Q82:AI82),-(AJ76+AJ81))</f>
        <v>0</v>
      </c>
      <c r="AK82" s="257">
        <f>+MIN($O$82-SUM($Q82:AJ82),-(AK76+AK81))</f>
        <v>0</v>
      </c>
      <c r="AL82" s="257">
        <f>+MIN($O$82-SUM($Q82:AK82),-(AL76+AL81))</f>
        <v>0</v>
      </c>
      <c r="AM82" s="257">
        <f>+MIN($O$82-SUM($Q82:AL82),-(AM76+AM81))</f>
        <v>0</v>
      </c>
      <c r="AN82" s="257">
        <f>+MIN($O$82-SUM($Q82:AM82),-(AN76+AN81))</f>
        <v>0</v>
      </c>
      <c r="AO82" s="257">
        <f>+MIN($O$82-SUM($Q82:AN82),-(AO76+AO81))</f>
        <v>0</v>
      </c>
      <c r="AP82" s="257">
        <f>+MIN($O$82-SUM($Q82:AO82),-(AP76+AP81))</f>
        <v>0</v>
      </c>
      <c r="AQ82" s="257">
        <f>+MIN($O$82-SUM($Q82:AP82),-(AQ76+AQ81))</f>
        <v>0</v>
      </c>
      <c r="AR82" s="257">
        <f>+MIN($O$82-SUM($Q82:AQ82),-(AR76+AR81))</f>
        <v>0</v>
      </c>
      <c r="AS82" s="257">
        <f>+MIN($O$82-SUM($Q82:AR82),-(AS76+AS81))</f>
        <v>0</v>
      </c>
      <c r="AT82" s="257">
        <f>+MIN($O$82-SUM($Q82:AS82),-(AT76+AT81))</f>
        <v>0</v>
      </c>
      <c r="AU82" s="257">
        <f>+MIN($O$82-SUM($Q82:AT82),-(AU76+AU81))</f>
        <v>0</v>
      </c>
      <c r="AV82" s="257">
        <f>+MIN($O$82-SUM($Q82:AU82),-(AV76+AV81))</f>
        <v>0</v>
      </c>
      <c r="AW82" s="257">
        <f>+MIN($O$82-SUM($Q82:AV82),-(AW76+AW81))</f>
        <v>0</v>
      </c>
      <c r="AX82" s="257">
        <f>+MIN($O$82-SUM($Q82:AW82),-(AX76+AX81))</f>
        <v>0</v>
      </c>
      <c r="AY82" s="257">
        <f>+MIN($O$82-SUM($Q82:AX82),-(AY76+AY81))</f>
        <v>0</v>
      </c>
      <c r="AZ82" s="257">
        <f>+MIN($O$82-SUM($Q82:AY82),-(AZ76+AZ81))</f>
        <v>0</v>
      </c>
      <c r="BA82" s="257">
        <f>+MIN($O$82-SUM($Q82:AZ82),-(BA76+BA81))</f>
        <v>0</v>
      </c>
      <c r="BB82" s="257">
        <f>+MIN($O$82-SUM($Q82:BA82),-(BB76+BB81))</f>
        <v>0</v>
      </c>
      <c r="BC82" s="257">
        <f>+MIN($O$82-SUM($Q82:BB82),-(BC76+BC81))</f>
        <v>0</v>
      </c>
      <c r="BD82" s="257">
        <f>+MIN($O$82-SUM($Q82:BC82),-(BD76+BD81))</f>
        <v>0</v>
      </c>
      <c r="BE82" s="257">
        <f>+MIN($O$82-SUM($Q82:BD82),-(BE76+BE81))</f>
        <v>0</v>
      </c>
      <c r="BF82" s="257">
        <f>+MIN($O$82-SUM($Q82:BE82),-(BF76+BF81))</f>
        <v>0</v>
      </c>
      <c r="BG82" s="257">
        <f>+MIN($O$82-SUM($Q82:BF82),-(BG76+BG81))</f>
        <v>0</v>
      </c>
    </row>
    <row r="83" spans="3:76">
      <c r="C83" t="s">
        <v>1720</v>
      </c>
      <c r="O83" s="259">
        <f>GA!G499*GA!G494</f>
        <v>2500000</v>
      </c>
      <c r="R83" s="257">
        <f>+MIN($O$83-SUM($Q83:Q83),-(R76+R81+R82))</f>
        <v>0</v>
      </c>
      <c r="S83" s="257">
        <f>+MIN($O$83-SUM($Q83:R83),-(S76+S81+S82))</f>
        <v>0</v>
      </c>
      <c r="T83" s="257">
        <f>+MIN($O$83-SUM($Q83:S83),-(T76+T81+T82))</f>
        <v>865082.49171294807</v>
      </c>
      <c r="U83" s="257">
        <f>+MIN($O$83-SUM($Q83:T83),-(U76+U81+U82))</f>
        <v>1634917.5082870517</v>
      </c>
      <c r="V83" s="257">
        <f>+MIN($O$83-SUM($Q83:U83),-(V76+V81+V82))</f>
        <v>0</v>
      </c>
      <c r="W83" s="257">
        <f>+MIN($O$83-SUM($Q83:V83),-(W76+W81+W82))</f>
        <v>0</v>
      </c>
      <c r="X83" s="257">
        <f>+MIN($O$83-SUM($Q83:W83),-(X76+X81+X82))</f>
        <v>0</v>
      </c>
      <c r="Y83" s="257">
        <f>+MIN($O$83-SUM($Q83:X83),-(Y76+Y81+Y82))</f>
        <v>0</v>
      </c>
      <c r="Z83" s="257">
        <f>+MIN($O$83-SUM($Q83:Y83),-(Z76+Z81+Z82))</f>
        <v>0</v>
      </c>
      <c r="AA83" s="257">
        <f>+MIN($O$83-SUM($Q83:Z83),-(AA76+AA81+AA82))</f>
        <v>0</v>
      </c>
      <c r="AB83" s="257">
        <f>+MIN($O$83-SUM($Q83:AA83),-(AB76+AB81+AB82))</f>
        <v>0</v>
      </c>
      <c r="AC83" s="257">
        <f>+MIN($O$83-SUM($Q83:AB83),-(AC76+AC81+AC82))</f>
        <v>0</v>
      </c>
      <c r="AD83" s="257">
        <f>+MIN($O$83-SUM($Q83:AC83),-(AD76+AD81+AD82))</f>
        <v>0</v>
      </c>
      <c r="AE83" s="257">
        <f>+MIN($O$83-SUM($Q83:AD83),-(AE76+AE81+AE82))</f>
        <v>0</v>
      </c>
      <c r="AF83" s="257">
        <f>+MIN($O$83-SUM($Q83:AE83),-(AF76+AF81+AF82))</f>
        <v>0</v>
      </c>
      <c r="AG83" s="257">
        <f>+MIN($O$83-SUM($Q83:AF83),-(AG76+AG81+AG82))</f>
        <v>0</v>
      </c>
      <c r="AH83" s="257">
        <f>+MIN($O$83-SUM($Q83:AG83),-(AH76+AH81+AH82))</f>
        <v>0</v>
      </c>
      <c r="AI83" s="257">
        <f>+MIN($O$83-SUM($Q83:AH83),-(AI76+AI81+AI82))</f>
        <v>0</v>
      </c>
      <c r="AJ83" s="257">
        <f>+MIN($O$83-SUM($Q83:AI83),-(AJ76+AJ81+AJ82))</f>
        <v>0</v>
      </c>
      <c r="AK83" s="257">
        <f>+MIN($O$83-SUM($Q83:AJ83),-(AK76+AK81+AK82))</f>
        <v>0</v>
      </c>
      <c r="AL83" s="257">
        <f>+MIN($O$83-SUM($Q83:AK83),-(AL76+AL81+AL82))</f>
        <v>0</v>
      </c>
      <c r="AM83" s="257">
        <f>+MIN($O$83-SUM($Q83:AL83),-(AM76+AM81+AM82))</f>
        <v>0</v>
      </c>
      <c r="AN83" s="257">
        <f>+MIN($O$83-SUM($Q83:AM83),-(AN76+AN81+AN82))</f>
        <v>0</v>
      </c>
      <c r="AO83" s="257">
        <f>+MIN($O$83-SUM($Q83:AN83),-(AO76+AO81+AO82))</f>
        <v>0</v>
      </c>
      <c r="AP83" s="257">
        <f>+MIN($O$83-SUM($Q83:AO83),-(AP76+AP81+AP82))</f>
        <v>0</v>
      </c>
      <c r="AQ83" s="257">
        <f>+MIN($O$83-SUM($Q83:AP83),-(AQ76+AQ81+AQ82))</f>
        <v>0</v>
      </c>
      <c r="AR83" s="257">
        <f>+MIN($O$83-SUM($Q83:AQ83),-(AR76+AR81+AR82))</f>
        <v>0</v>
      </c>
      <c r="AS83" s="257">
        <f>+MIN($O$83-SUM($Q83:AR83),-(AS76+AS81+AS82))</f>
        <v>0</v>
      </c>
      <c r="AT83" s="257">
        <f>+MIN($O$83-SUM($Q83:AS83),-(AT76+AT81+AT82))</f>
        <v>0</v>
      </c>
      <c r="AU83" s="257">
        <f>+MIN($O$83-SUM($Q83:AT83),-(AU76+AU81+AU82))</f>
        <v>0</v>
      </c>
      <c r="AV83" s="257">
        <f>+MIN($O$83-SUM($Q83:AU83),-(AV76+AV81+AV82))</f>
        <v>0</v>
      </c>
      <c r="AW83" s="257">
        <f>+MIN($O$83-SUM($Q83:AV83),-(AW76+AW81+AW82))</f>
        <v>0</v>
      </c>
      <c r="AX83" s="257">
        <f>+MIN($O$83-SUM($Q83:AW83),-(AX76+AX81+AX82))</f>
        <v>0</v>
      </c>
      <c r="AY83" s="257">
        <f>+MIN($O$83-SUM($Q83:AX83),-(AY76+AY81+AY82))</f>
        <v>0</v>
      </c>
      <c r="AZ83" s="257">
        <f>+MIN($O$83-SUM($Q83:AY83),-(AZ76+AZ81+AZ82))</f>
        <v>0</v>
      </c>
      <c r="BA83" s="257">
        <f>+MIN($O$83-SUM($Q83:AZ83),-(BA76+BA81+BA82))</f>
        <v>0</v>
      </c>
      <c r="BB83" s="257">
        <f>+MIN($O$83-SUM($Q83:BA83),-(BB76+BB81+BB82))</f>
        <v>0</v>
      </c>
      <c r="BC83" s="257">
        <f>+MIN($O$83-SUM($Q83:BB83),-(BC76+BC81+BC82))</f>
        <v>0</v>
      </c>
      <c r="BD83" s="257">
        <f>+MIN($O$83-SUM($Q83:BC83),-(BD76+BD81+BD82))</f>
        <v>0</v>
      </c>
      <c r="BE83" s="257">
        <f>+MIN($O$83-SUM($Q83:BD83),-(BE76+BE81+BE82))</f>
        <v>0</v>
      </c>
      <c r="BF83" s="257">
        <f>+MIN($O$83-SUM($Q83:BE83),-(BF76+BF81+BF82))</f>
        <v>0</v>
      </c>
      <c r="BG83" s="257">
        <f>+MIN($O$83-SUM($Q83:BF83),-(BG76+BG81+BG82))</f>
        <v>0</v>
      </c>
    </row>
    <row r="84" spans="3:76">
      <c r="R84" s="310" t="b">
        <f t="shared" ref="R84:AF84" si="36">ROUND(SUM(R76:R83),2)=0</f>
        <v>1</v>
      </c>
      <c r="S84" s="310" t="b">
        <f t="shared" si="36"/>
        <v>1</v>
      </c>
      <c r="T84" s="310" t="b">
        <f t="shared" si="36"/>
        <v>1</v>
      </c>
      <c r="U84" s="310" t="b">
        <f t="shared" si="36"/>
        <v>1</v>
      </c>
      <c r="V84" s="310" t="b">
        <f t="shared" si="36"/>
        <v>1</v>
      </c>
      <c r="W84" s="310" t="b">
        <f t="shared" si="36"/>
        <v>1</v>
      </c>
      <c r="X84" s="310" t="b">
        <f t="shared" si="36"/>
        <v>1</v>
      </c>
      <c r="Y84" s="310" t="b">
        <f t="shared" si="36"/>
        <v>1</v>
      </c>
      <c r="Z84" s="310" t="b">
        <f t="shared" si="36"/>
        <v>1</v>
      </c>
      <c r="AA84" s="310" t="b">
        <f t="shared" si="36"/>
        <v>1</v>
      </c>
      <c r="AB84" s="310" t="b">
        <f t="shared" si="36"/>
        <v>1</v>
      </c>
      <c r="AC84" s="310" t="b">
        <f t="shared" si="36"/>
        <v>1</v>
      </c>
      <c r="AD84" s="310" t="b">
        <f t="shared" si="36"/>
        <v>1</v>
      </c>
      <c r="AE84" s="310" t="b">
        <f t="shared" si="36"/>
        <v>1</v>
      </c>
      <c r="AF84" s="310" t="b">
        <f t="shared" si="36"/>
        <v>1</v>
      </c>
      <c r="AG84" s="310" t="b">
        <f t="shared" ref="AG84:BG84" si="37">+SUM(AG76:AG83)=0</f>
        <v>1</v>
      </c>
      <c r="AH84" s="310" t="b">
        <f t="shared" si="37"/>
        <v>1</v>
      </c>
      <c r="AI84" s="310" t="b">
        <f t="shared" si="37"/>
        <v>1</v>
      </c>
      <c r="AJ84" s="310" t="b">
        <f t="shared" si="37"/>
        <v>1</v>
      </c>
      <c r="AK84" s="310" t="b">
        <f t="shared" si="37"/>
        <v>1</v>
      </c>
      <c r="AL84" s="310" t="b">
        <f t="shared" si="37"/>
        <v>1</v>
      </c>
      <c r="AM84" s="310" t="b">
        <f t="shared" si="37"/>
        <v>1</v>
      </c>
      <c r="AN84" s="310" t="b">
        <f t="shared" si="37"/>
        <v>1</v>
      </c>
      <c r="AO84" s="310" t="b">
        <f t="shared" si="37"/>
        <v>1</v>
      </c>
      <c r="AP84" s="310" t="b">
        <f t="shared" si="37"/>
        <v>1</v>
      </c>
      <c r="AQ84" s="310" t="b">
        <f t="shared" si="37"/>
        <v>1</v>
      </c>
      <c r="AR84" s="310" t="b">
        <f t="shared" si="37"/>
        <v>1</v>
      </c>
      <c r="AS84" s="310" t="b">
        <f t="shared" si="37"/>
        <v>1</v>
      </c>
      <c r="AT84" s="310" t="b">
        <f t="shared" si="37"/>
        <v>1</v>
      </c>
      <c r="AU84" s="310" t="b">
        <f t="shared" si="37"/>
        <v>1</v>
      </c>
      <c r="AV84" s="310" t="b">
        <f t="shared" si="37"/>
        <v>1</v>
      </c>
      <c r="AW84" s="310" t="b">
        <f t="shared" si="37"/>
        <v>1</v>
      </c>
      <c r="AX84" s="310" t="b">
        <f t="shared" si="37"/>
        <v>1</v>
      </c>
      <c r="AY84" s="310" t="b">
        <f t="shared" si="37"/>
        <v>1</v>
      </c>
      <c r="AZ84" s="310" t="b">
        <f t="shared" si="37"/>
        <v>1</v>
      </c>
      <c r="BA84" s="310" t="b">
        <f t="shared" si="37"/>
        <v>1</v>
      </c>
      <c r="BB84" s="310" t="b">
        <f t="shared" si="37"/>
        <v>1</v>
      </c>
      <c r="BC84" s="310" t="b">
        <f t="shared" si="37"/>
        <v>1</v>
      </c>
      <c r="BD84" s="310" t="b">
        <f t="shared" si="37"/>
        <v>1</v>
      </c>
      <c r="BE84" s="310" t="b">
        <f t="shared" si="37"/>
        <v>1</v>
      </c>
      <c r="BF84" s="310" t="b">
        <f t="shared" si="37"/>
        <v>1</v>
      </c>
      <c r="BG84" s="310" t="b">
        <f t="shared" si="37"/>
        <v>1</v>
      </c>
    </row>
    <row r="85" spans="3:76">
      <c r="C85" t="s">
        <v>1721</v>
      </c>
      <c r="R85" s="310">
        <f t="shared" ref="R85:BG85" si="38">+R81-R194-R201-R227-R276-R277</f>
        <v>126000</v>
      </c>
      <c r="S85" s="310">
        <f t="shared" si="38"/>
        <v>2278438.2092934325</v>
      </c>
      <c r="T85" s="310">
        <f t="shared" si="38"/>
        <v>815361.79070656747</v>
      </c>
      <c r="U85" s="310">
        <f t="shared" si="38"/>
        <v>0</v>
      </c>
      <c r="V85" s="310">
        <f t="shared" si="38"/>
        <v>0</v>
      </c>
      <c r="W85" s="310">
        <f t="shared" si="38"/>
        <v>0</v>
      </c>
      <c r="X85" s="310">
        <f t="shared" si="38"/>
        <v>0</v>
      </c>
      <c r="Y85" s="310">
        <f t="shared" si="38"/>
        <v>0</v>
      </c>
      <c r="Z85" s="310">
        <f t="shared" si="38"/>
        <v>0</v>
      </c>
      <c r="AA85" s="310">
        <f t="shared" si="38"/>
        <v>0</v>
      </c>
      <c r="AB85" s="310">
        <f t="shared" si="38"/>
        <v>0</v>
      </c>
      <c r="AC85" s="310">
        <f t="shared" si="38"/>
        <v>0</v>
      </c>
      <c r="AD85" s="310">
        <f t="shared" si="38"/>
        <v>0</v>
      </c>
      <c r="AE85" s="310">
        <f t="shared" si="38"/>
        <v>0</v>
      </c>
      <c r="AF85" s="310">
        <f t="shared" si="38"/>
        <v>0</v>
      </c>
      <c r="AG85" s="310">
        <f t="shared" si="38"/>
        <v>0</v>
      </c>
      <c r="AH85" s="310">
        <f t="shared" si="38"/>
        <v>0</v>
      </c>
      <c r="AI85" s="310">
        <f t="shared" si="38"/>
        <v>0</v>
      </c>
      <c r="AJ85" s="310">
        <f t="shared" si="38"/>
        <v>0</v>
      </c>
      <c r="AK85" s="310">
        <f t="shared" si="38"/>
        <v>0</v>
      </c>
      <c r="AL85" s="310">
        <f t="shared" si="38"/>
        <v>0</v>
      </c>
      <c r="AM85" s="310">
        <f t="shared" si="38"/>
        <v>0</v>
      </c>
      <c r="AN85" s="310">
        <f t="shared" si="38"/>
        <v>0</v>
      </c>
      <c r="AO85" s="310">
        <f t="shared" si="38"/>
        <v>0</v>
      </c>
      <c r="AP85" s="310">
        <f t="shared" si="38"/>
        <v>0</v>
      </c>
      <c r="AQ85" s="310">
        <f t="shared" si="38"/>
        <v>0</v>
      </c>
      <c r="AR85" s="310">
        <f t="shared" si="38"/>
        <v>0</v>
      </c>
      <c r="AS85" s="310">
        <f t="shared" si="38"/>
        <v>0</v>
      </c>
      <c r="AT85" s="310">
        <f t="shared" si="38"/>
        <v>0</v>
      </c>
      <c r="AU85" s="310">
        <f t="shared" si="38"/>
        <v>0</v>
      </c>
      <c r="AV85" s="310">
        <f t="shared" si="38"/>
        <v>0</v>
      </c>
      <c r="AW85" s="310">
        <f t="shared" si="38"/>
        <v>0</v>
      </c>
      <c r="AX85" s="310">
        <f t="shared" si="38"/>
        <v>0</v>
      </c>
      <c r="AY85" s="310">
        <f t="shared" si="38"/>
        <v>0</v>
      </c>
      <c r="AZ85" s="310">
        <f t="shared" si="38"/>
        <v>0</v>
      </c>
      <c r="BA85" s="310">
        <f t="shared" si="38"/>
        <v>0</v>
      </c>
      <c r="BB85" s="310">
        <f t="shared" si="38"/>
        <v>0</v>
      </c>
      <c r="BC85" s="310">
        <f t="shared" si="38"/>
        <v>0</v>
      </c>
      <c r="BD85" s="310">
        <f t="shared" si="38"/>
        <v>0</v>
      </c>
      <c r="BE85" s="310">
        <f t="shared" si="38"/>
        <v>0</v>
      </c>
      <c r="BF85" s="310">
        <f t="shared" si="38"/>
        <v>0</v>
      </c>
      <c r="BG85" s="310">
        <f t="shared" si="38"/>
        <v>0</v>
      </c>
    </row>
    <row r="87" spans="3:76">
      <c r="C87" s="364" t="s">
        <v>626</v>
      </c>
      <c r="D87" s="364"/>
      <c r="E87" s="364"/>
      <c r="F87" s="364"/>
      <c r="G87" s="364"/>
      <c r="H87" s="364"/>
      <c r="I87" s="364"/>
      <c r="J87" s="364"/>
      <c r="K87" s="364"/>
      <c r="L87" s="364"/>
      <c r="M87" s="364"/>
      <c r="N87" s="364"/>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M87" s="17"/>
      <c r="BN87" s="17"/>
      <c r="BO87" s="17"/>
      <c r="BP87" s="17"/>
      <c r="BQ87" s="17"/>
      <c r="BR87" s="17"/>
      <c r="BS87" s="17"/>
      <c r="BT87" s="17"/>
      <c r="BU87" s="17"/>
      <c r="BV87" s="17"/>
      <c r="BX87" s="17"/>
    </row>
    <row r="88" spans="3:76">
      <c r="C88" t="s">
        <v>364</v>
      </c>
      <c r="R88" s="392"/>
      <c r="S88" s="392"/>
      <c r="T88" s="403">
        <f>PCF!T343</f>
        <v>25046.743737887322</v>
      </c>
      <c r="U88" s="403">
        <f>PCF!U343</f>
        <v>50187.149749711825</v>
      </c>
      <c r="V88" s="403">
        <f>PCF!V343</f>
        <v>75421.480722960478</v>
      </c>
      <c r="W88" s="403">
        <f>PCF!W343</f>
        <v>75562.499999999985</v>
      </c>
      <c r="X88" s="403">
        <f>PCF!X343</f>
        <v>75703.782947764412</v>
      </c>
      <c r="Y88" s="403">
        <f>PCF!Y343</f>
        <v>75845.330059251981</v>
      </c>
      <c r="Z88" s="403">
        <f>PCF!Z343</f>
        <v>75987.14182838265</v>
      </c>
      <c r="AA88" s="403">
        <f>PCF!AA343</f>
        <v>76129.218749999971</v>
      </c>
      <c r="AB88" s="403">
        <f>PCF!AB343</f>
        <v>76271.561319872635</v>
      </c>
      <c r="AC88" s="403">
        <f>PCF!AC343</f>
        <v>76414.170034696348</v>
      </c>
      <c r="AD88" s="403">
        <f>PCF!AD343</f>
        <v>76557.045392095504</v>
      </c>
      <c r="AE88" s="403">
        <f>PCF!AE343</f>
        <v>76700.187890624933</v>
      </c>
      <c r="AF88" s="403">
        <f>PCF!AF343</f>
        <v>0</v>
      </c>
      <c r="AG88" s="403">
        <f>PCF!AG343</f>
        <v>0</v>
      </c>
      <c r="AH88" s="403">
        <f>PCF!AH343</f>
        <v>0</v>
      </c>
      <c r="AI88" s="403">
        <f>PCF!AI343</f>
        <v>0</v>
      </c>
      <c r="AJ88" s="403">
        <f>PCF!AJ343</f>
        <v>0</v>
      </c>
      <c r="AK88" s="403">
        <f>PCF!AK343</f>
        <v>0</v>
      </c>
      <c r="AL88" s="403">
        <f>PCF!AL343</f>
        <v>0</v>
      </c>
      <c r="AM88" s="403">
        <f>PCF!AM343</f>
        <v>0</v>
      </c>
      <c r="AN88" s="403">
        <f>PCF!AN343</f>
        <v>0</v>
      </c>
      <c r="AO88" s="403">
        <f>PCF!AO343</f>
        <v>0</v>
      </c>
      <c r="AP88" s="403">
        <f>PCF!AP343</f>
        <v>0</v>
      </c>
      <c r="AQ88" s="403">
        <f>PCF!AQ343</f>
        <v>0</v>
      </c>
      <c r="AR88" s="403">
        <f>PCF!AR343</f>
        <v>0</v>
      </c>
      <c r="AS88" s="403">
        <f>PCF!AS343</f>
        <v>0</v>
      </c>
      <c r="AT88" s="403">
        <f>PCF!AT343</f>
        <v>0</v>
      </c>
      <c r="AU88" s="403">
        <f>PCF!AU343</f>
        <v>0</v>
      </c>
      <c r="AV88" s="403">
        <f>PCF!AV343</f>
        <v>0</v>
      </c>
      <c r="AW88" s="403">
        <f>PCF!AW343</f>
        <v>0</v>
      </c>
      <c r="AX88" s="403">
        <f>PCF!AX343</f>
        <v>0</v>
      </c>
      <c r="AY88" s="403">
        <f>PCF!AY343</f>
        <v>0</v>
      </c>
      <c r="AZ88" s="403">
        <f>PCF!AZ343</f>
        <v>0</v>
      </c>
      <c r="BA88" s="403">
        <f>PCF!BA343</f>
        <v>0</v>
      </c>
      <c r="BB88" s="403">
        <f>PCF!BB343</f>
        <v>0</v>
      </c>
      <c r="BC88" s="403">
        <f>PCF!BC343</f>
        <v>0</v>
      </c>
      <c r="BD88" s="403">
        <f>PCF!BD343</f>
        <v>0</v>
      </c>
      <c r="BE88" s="403">
        <f>PCF!BE343</f>
        <v>0</v>
      </c>
      <c r="BF88" s="403">
        <f>PCF!BF343</f>
        <v>0</v>
      </c>
      <c r="BG88" s="403">
        <f>PCF!BG343</f>
        <v>0</v>
      </c>
      <c r="BI88" s="1068">
        <f>SUM(T88:BG88)</f>
        <v>835826.31243324804</v>
      </c>
      <c r="BM88" s="310">
        <f t="shared" ref="BM88:BV92" si="39">SUMIF($T$8:$BG$8,BM$6,$T88:$BG88)</f>
        <v>226217.87421055965</v>
      </c>
      <c r="BN88" s="310">
        <f t="shared" si="39"/>
        <v>303665.47358539898</v>
      </c>
      <c r="BO88" s="310">
        <f t="shared" si="39"/>
        <v>305942.96463728941</v>
      </c>
      <c r="BP88" s="310">
        <f t="shared" si="39"/>
        <v>0</v>
      </c>
      <c r="BQ88" s="310">
        <f t="shared" si="39"/>
        <v>0</v>
      </c>
      <c r="BR88" s="310">
        <f t="shared" si="39"/>
        <v>0</v>
      </c>
      <c r="BS88" s="310">
        <f t="shared" si="39"/>
        <v>0</v>
      </c>
      <c r="BT88" s="310">
        <f t="shared" si="39"/>
        <v>0</v>
      </c>
      <c r="BU88" s="310">
        <f t="shared" si="39"/>
        <v>0</v>
      </c>
      <c r="BV88" s="310">
        <f t="shared" si="39"/>
        <v>0</v>
      </c>
      <c r="BX88" s="476">
        <f>SUM(BM88:BW88)</f>
        <v>835826.31243324804</v>
      </c>
    </row>
    <row r="89" spans="3:76">
      <c r="C89" t="s">
        <v>627</v>
      </c>
      <c r="R89" s="392"/>
      <c r="S89" s="392"/>
      <c r="T89" s="403">
        <f>PCF!T344</f>
        <v>0</v>
      </c>
      <c r="U89" s="403">
        <f>PCF!U344</f>
        <v>0</v>
      </c>
      <c r="V89" s="403">
        <f>PCF!V344</f>
        <v>0</v>
      </c>
      <c r="W89" s="403">
        <f>PCF!W344</f>
        <v>0</v>
      </c>
      <c r="X89" s="403">
        <f>PCF!X344</f>
        <v>0</v>
      </c>
      <c r="Y89" s="403">
        <f>PCF!Y344</f>
        <v>0</v>
      </c>
      <c r="Z89" s="403">
        <f>PCF!Z344</f>
        <v>0</v>
      </c>
      <c r="AA89" s="403">
        <f>PCF!AA344</f>
        <v>0</v>
      </c>
      <c r="AB89" s="403">
        <f>PCF!AB344</f>
        <v>0</v>
      </c>
      <c r="AC89" s="403">
        <f>PCF!AC344</f>
        <v>0</v>
      </c>
      <c r="AD89" s="403">
        <f>PCF!AD344</f>
        <v>0</v>
      </c>
      <c r="AE89" s="403">
        <f>PCF!AE344</f>
        <v>0</v>
      </c>
      <c r="AF89" s="403">
        <f>PCF!AF344</f>
        <v>0</v>
      </c>
      <c r="AG89" s="403">
        <f>PCF!AG344</f>
        <v>0</v>
      </c>
      <c r="AH89" s="403">
        <f>PCF!AH344</f>
        <v>0</v>
      </c>
      <c r="AI89" s="403">
        <f>PCF!AI344</f>
        <v>0</v>
      </c>
      <c r="AJ89" s="403">
        <f>PCF!AJ344</f>
        <v>0</v>
      </c>
      <c r="AK89" s="403">
        <f>PCF!AK344</f>
        <v>0</v>
      </c>
      <c r="AL89" s="403">
        <f>PCF!AL344</f>
        <v>0</v>
      </c>
      <c r="AM89" s="403">
        <f>PCF!AM344</f>
        <v>0</v>
      </c>
      <c r="AN89" s="403">
        <f>PCF!AN344</f>
        <v>0</v>
      </c>
      <c r="AO89" s="403">
        <f>PCF!AO344</f>
        <v>0</v>
      </c>
      <c r="AP89" s="403">
        <f>PCF!AP344</f>
        <v>0</v>
      </c>
      <c r="AQ89" s="403">
        <f>PCF!AQ344</f>
        <v>0</v>
      </c>
      <c r="AR89" s="403">
        <f>PCF!AR344</f>
        <v>0</v>
      </c>
      <c r="AS89" s="403">
        <f>PCF!AS344</f>
        <v>0</v>
      </c>
      <c r="AT89" s="403">
        <f>PCF!AT344</f>
        <v>0</v>
      </c>
      <c r="AU89" s="403">
        <f>PCF!AU344</f>
        <v>0</v>
      </c>
      <c r="AV89" s="403">
        <f>PCF!AV344</f>
        <v>0</v>
      </c>
      <c r="AW89" s="403">
        <f>PCF!AW344</f>
        <v>0</v>
      </c>
      <c r="AX89" s="403">
        <f>PCF!AX344</f>
        <v>0</v>
      </c>
      <c r="AY89" s="403">
        <f>PCF!AY344</f>
        <v>0</v>
      </c>
      <c r="AZ89" s="403">
        <f>PCF!AZ344</f>
        <v>0</v>
      </c>
      <c r="BA89" s="403">
        <f>PCF!BA344</f>
        <v>0</v>
      </c>
      <c r="BB89" s="403">
        <f>PCF!BB344</f>
        <v>0</v>
      </c>
      <c r="BC89" s="403">
        <f>PCF!BC344</f>
        <v>0</v>
      </c>
      <c r="BD89" s="403">
        <f>PCF!BD344</f>
        <v>0</v>
      </c>
      <c r="BE89" s="403">
        <f>PCF!BE344</f>
        <v>0</v>
      </c>
      <c r="BF89" s="403">
        <f>PCF!BF344</f>
        <v>0</v>
      </c>
      <c r="BG89" s="403">
        <f>PCF!BG344</f>
        <v>0</v>
      </c>
      <c r="BI89" s="476">
        <f>SUM(T89:BG89)</f>
        <v>0</v>
      </c>
      <c r="BM89" s="310">
        <f t="shared" si="39"/>
        <v>0</v>
      </c>
      <c r="BN89" s="310">
        <f t="shared" si="39"/>
        <v>0</v>
      </c>
      <c r="BO89" s="310">
        <f t="shared" si="39"/>
        <v>0</v>
      </c>
      <c r="BP89" s="310">
        <f t="shared" si="39"/>
        <v>0</v>
      </c>
      <c r="BQ89" s="310">
        <f t="shared" si="39"/>
        <v>0</v>
      </c>
      <c r="BR89" s="310">
        <f t="shared" si="39"/>
        <v>0</v>
      </c>
      <c r="BS89" s="310">
        <f t="shared" si="39"/>
        <v>0</v>
      </c>
      <c r="BT89" s="310">
        <f t="shared" si="39"/>
        <v>0</v>
      </c>
      <c r="BU89" s="310">
        <f t="shared" si="39"/>
        <v>0</v>
      </c>
      <c r="BV89" s="310">
        <f t="shared" si="39"/>
        <v>0</v>
      </c>
      <c r="BX89" s="476">
        <f t="shared" ref="BX89:BX91" si="40">SUM(BM89:BW89)</f>
        <v>0</v>
      </c>
    </row>
    <row r="90" spans="3:76">
      <c r="C90" t="s">
        <v>628</v>
      </c>
      <c r="R90" s="392"/>
      <c r="S90" s="392"/>
      <c r="T90" s="403">
        <f>PCF!T345</f>
        <v>0</v>
      </c>
      <c r="U90" s="403">
        <f>PCF!U345</f>
        <v>0</v>
      </c>
      <c r="V90" s="403">
        <f>PCF!V345</f>
        <v>0</v>
      </c>
      <c r="W90" s="403">
        <f>PCF!W345</f>
        <v>0</v>
      </c>
      <c r="X90" s="403">
        <f>PCF!X345</f>
        <v>0</v>
      </c>
      <c r="Y90" s="403">
        <f>PCF!Y345</f>
        <v>0</v>
      </c>
      <c r="Z90" s="403">
        <f>PCF!Z345</f>
        <v>0</v>
      </c>
      <c r="AA90" s="403">
        <f>PCF!AA345</f>
        <v>0</v>
      </c>
      <c r="AB90" s="403">
        <f>PCF!AB345</f>
        <v>0</v>
      </c>
      <c r="AC90" s="403">
        <f>PCF!AC345</f>
        <v>0</v>
      </c>
      <c r="AD90" s="403">
        <f>PCF!AD345</f>
        <v>0</v>
      </c>
      <c r="AE90" s="403">
        <f>PCF!AE345</f>
        <v>0</v>
      </c>
      <c r="AF90" s="403">
        <f>PCF!AF345</f>
        <v>0</v>
      </c>
      <c r="AG90" s="403">
        <f>PCF!AG345</f>
        <v>0</v>
      </c>
      <c r="AH90" s="403">
        <f>PCF!AH345</f>
        <v>0</v>
      </c>
      <c r="AI90" s="403">
        <f>PCF!AI345</f>
        <v>0</v>
      </c>
      <c r="AJ90" s="403">
        <f>PCF!AJ345</f>
        <v>0</v>
      </c>
      <c r="AK90" s="403">
        <f>PCF!AK345</f>
        <v>0</v>
      </c>
      <c r="AL90" s="403">
        <f>PCF!AL345</f>
        <v>0</v>
      </c>
      <c r="AM90" s="403">
        <f>PCF!AM345</f>
        <v>0</v>
      </c>
      <c r="AN90" s="403">
        <f>PCF!AN345</f>
        <v>0</v>
      </c>
      <c r="AO90" s="403">
        <f>PCF!AO345</f>
        <v>0</v>
      </c>
      <c r="AP90" s="403">
        <f>PCF!AP345</f>
        <v>0</v>
      </c>
      <c r="AQ90" s="403">
        <f>PCF!AQ345</f>
        <v>0</v>
      </c>
      <c r="AR90" s="403">
        <f>PCF!AR345</f>
        <v>0</v>
      </c>
      <c r="AS90" s="403">
        <f>PCF!AS345</f>
        <v>0</v>
      </c>
      <c r="AT90" s="403">
        <f>PCF!AT345</f>
        <v>0</v>
      </c>
      <c r="AU90" s="403">
        <f>PCF!AU345</f>
        <v>0</v>
      </c>
      <c r="AV90" s="403">
        <f>PCF!AV345</f>
        <v>0</v>
      </c>
      <c r="AW90" s="403">
        <f>PCF!AW345</f>
        <v>0</v>
      </c>
      <c r="AX90" s="403">
        <f>PCF!AX345</f>
        <v>0</v>
      </c>
      <c r="AY90" s="403">
        <f>PCF!AY345</f>
        <v>0</v>
      </c>
      <c r="AZ90" s="403">
        <f>PCF!AZ345</f>
        <v>0</v>
      </c>
      <c r="BA90" s="403">
        <f>PCF!BA345</f>
        <v>0</v>
      </c>
      <c r="BB90" s="403">
        <f>PCF!BB345</f>
        <v>0</v>
      </c>
      <c r="BC90" s="403">
        <f>PCF!BC345</f>
        <v>0</v>
      </c>
      <c r="BD90" s="403">
        <f>PCF!BD345</f>
        <v>0</v>
      </c>
      <c r="BE90" s="403">
        <f>PCF!BE345</f>
        <v>0</v>
      </c>
      <c r="BF90" s="403">
        <f>PCF!BF345</f>
        <v>0</v>
      </c>
      <c r="BG90" s="403">
        <f>PCF!BG345</f>
        <v>0</v>
      </c>
      <c r="BI90" s="476">
        <f>SUM(T90:BG90)</f>
        <v>0</v>
      </c>
      <c r="BM90" s="310">
        <f t="shared" si="39"/>
        <v>0</v>
      </c>
      <c r="BN90" s="310">
        <f t="shared" si="39"/>
        <v>0</v>
      </c>
      <c r="BO90" s="310">
        <f t="shared" si="39"/>
        <v>0</v>
      </c>
      <c r="BP90" s="310">
        <f t="shared" si="39"/>
        <v>0</v>
      </c>
      <c r="BQ90" s="310">
        <f t="shared" si="39"/>
        <v>0</v>
      </c>
      <c r="BR90" s="310">
        <f t="shared" si="39"/>
        <v>0</v>
      </c>
      <c r="BS90" s="310">
        <f t="shared" si="39"/>
        <v>0</v>
      </c>
      <c r="BT90" s="310">
        <f t="shared" si="39"/>
        <v>0</v>
      </c>
      <c r="BU90" s="310">
        <f t="shared" si="39"/>
        <v>0</v>
      </c>
      <c r="BV90" s="310">
        <f t="shared" si="39"/>
        <v>0</v>
      </c>
      <c r="BX90" s="476">
        <f t="shared" si="40"/>
        <v>0</v>
      </c>
    </row>
    <row r="91" spans="3:76">
      <c r="C91" t="s">
        <v>629</v>
      </c>
      <c r="R91" s="392"/>
      <c r="S91" s="392"/>
      <c r="T91" s="403">
        <f>PCF!T346</f>
        <v>0</v>
      </c>
      <c r="U91" s="403">
        <f>PCF!U346</f>
        <v>0</v>
      </c>
      <c r="V91" s="403">
        <f>PCF!V346</f>
        <v>0</v>
      </c>
      <c r="W91" s="403">
        <f>PCF!W346</f>
        <v>0</v>
      </c>
      <c r="X91" s="403">
        <f>PCF!X346</f>
        <v>0</v>
      </c>
      <c r="Y91" s="403">
        <f>PCF!Y346</f>
        <v>0</v>
      </c>
      <c r="Z91" s="403">
        <f>PCF!Z346</f>
        <v>0</v>
      </c>
      <c r="AA91" s="403">
        <f>PCF!AA346</f>
        <v>0</v>
      </c>
      <c r="AB91" s="403">
        <f>PCF!AB346</f>
        <v>0</v>
      </c>
      <c r="AC91" s="403">
        <f>PCF!AC346</f>
        <v>0</v>
      </c>
      <c r="AD91" s="403">
        <f>PCF!AD346</f>
        <v>0</v>
      </c>
      <c r="AE91" s="403">
        <f>PCF!AE346</f>
        <v>0</v>
      </c>
      <c r="AF91" s="403">
        <f>PCF!AF346</f>
        <v>0</v>
      </c>
      <c r="AG91" s="403">
        <f>PCF!AG346</f>
        <v>0</v>
      </c>
      <c r="AH91" s="403">
        <f>PCF!AH346</f>
        <v>0</v>
      </c>
      <c r="AI91" s="403">
        <f>PCF!AI346</f>
        <v>0</v>
      </c>
      <c r="AJ91" s="403">
        <f>PCF!AJ346</f>
        <v>0</v>
      </c>
      <c r="AK91" s="403">
        <f>PCF!AK346</f>
        <v>0</v>
      </c>
      <c r="AL91" s="403">
        <f>PCF!AL346</f>
        <v>0</v>
      </c>
      <c r="AM91" s="403">
        <f>PCF!AM346</f>
        <v>0</v>
      </c>
      <c r="AN91" s="403">
        <f>PCF!AN346</f>
        <v>0</v>
      </c>
      <c r="AO91" s="403">
        <f>PCF!AO346</f>
        <v>0</v>
      </c>
      <c r="AP91" s="403">
        <f>PCF!AP346</f>
        <v>0</v>
      </c>
      <c r="AQ91" s="403">
        <f>PCF!AQ346</f>
        <v>0</v>
      </c>
      <c r="AR91" s="403">
        <f>PCF!AR346</f>
        <v>0</v>
      </c>
      <c r="AS91" s="403">
        <f>PCF!AS346</f>
        <v>0</v>
      </c>
      <c r="AT91" s="403">
        <f>PCF!AT346</f>
        <v>0</v>
      </c>
      <c r="AU91" s="403">
        <f>PCF!AU346</f>
        <v>0</v>
      </c>
      <c r="AV91" s="403">
        <f>PCF!AV346</f>
        <v>0</v>
      </c>
      <c r="AW91" s="403">
        <f>PCF!AW346</f>
        <v>0</v>
      </c>
      <c r="AX91" s="403">
        <f>PCF!AX346</f>
        <v>0</v>
      </c>
      <c r="AY91" s="403">
        <f>PCF!AY346</f>
        <v>0</v>
      </c>
      <c r="AZ91" s="403">
        <f>PCF!AZ346</f>
        <v>0</v>
      </c>
      <c r="BA91" s="403">
        <f>PCF!BA346</f>
        <v>0</v>
      </c>
      <c r="BB91" s="403">
        <f>PCF!BB346</f>
        <v>0</v>
      </c>
      <c r="BC91" s="403">
        <f>PCF!BC346</f>
        <v>0</v>
      </c>
      <c r="BD91" s="403">
        <f>PCF!BD346</f>
        <v>0</v>
      </c>
      <c r="BE91" s="403">
        <f>PCF!BE346</f>
        <v>0</v>
      </c>
      <c r="BF91" s="403">
        <f>PCF!BF346</f>
        <v>0</v>
      </c>
      <c r="BG91" s="403">
        <f>PCF!BG346</f>
        <v>0</v>
      </c>
      <c r="BI91" s="476">
        <f>SUM(T91:BG91)</f>
        <v>0</v>
      </c>
      <c r="BM91" s="310">
        <f t="shared" si="39"/>
        <v>0</v>
      </c>
      <c r="BN91" s="310">
        <f t="shared" si="39"/>
        <v>0</v>
      </c>
      <c r="BO91" s="310">
        <f t="shared" si="39"/>
        <v>0</v>
      </c>
      <c r="BP91" s="310">
        <f t="shared" si="39"/>
        <v>0</v>
      </c>
      <c r="BQ91" s="310">
        <f t="shared" si="39"/>
        <v>0</v>
      </c>
      <c r="BR91" s="310">
        <f t="shared" si="39"/>
        <v>0</v>
      </c>
      <c r="BS91" s="310">
        <f t="shared" si="39"/>
        <v>0</v>
      </c>
      <c r="BT91" s="310">
        <f t="shared" si="39"/>
        <v>0</v>
      </c>
      <c r="BU91" s="310">
        <f t="shared" si="39"/>
        <v>0</v>
      </c>
      <c r="BV91" s="310">
        <f t="shared" si="39"/>
        <v>0</v>
      </c>
      <c r="BX91" s="476">
        <f t="shared" si="40"/>
        <v>0</v>
      </c>
    </row>
    <row r="92" spans="3:76">
      <c r="C92" s="253" t="s">
        <v>630</v>
      </c>
      <c r="D92" s="253"/>
      <c r="E92" s="253"/>
      <c r="F92" s="253"/>
      <c r="G92" s="253"/>
      <c r="H92" s="253"/>
      <c r="I92" s="253"/>
      <c r="J92" s="253"/>
      <c r="K92" s="253"/>
      <c r="L92" s="253"/>
      <c r="M92" s="253"/>
      <c r="N92" s="253"/>
      <c r="O92" s="268"/>
      <c r="P92" s="268"/>
      <c r="Q92" s="268"/>
      <c r="R92" s="153"/>
      <c r="S92" s="153"/>
      <c r="T92" s="254">
        <f>SUM(T88:T91)</f>
        <v>25046.743737887322</v>
      </c>
      <c r="U92" s="254">
        <f>SUM(U88:U91)</f>
        <v>50187.149749711825</v>
      </c>
      <c r="V92" s="254">
        <f t="shared" ref="V92:BG92" si="41">SUM(V88:V91)</f>
        <v>75421.480722960478</v>
      </c>
      <c r="W92" s="254">
        <f t="shared" si="41"/>
        <v>75562.499999999985</v>
      </c>
      <c r="X92" s="254">
        <f t="shared" si="41"/>
        <v>75703.782947764412</v>
      </c>
      <c r="Y92" s="254">
        <f t="shared" si="41"/>
        <v>75845.330059251981</v>
      </c>
      <c r="Z92" s="254">
        <f t="shared" si="41"/>
        <v>75987.14182838265</v>
      </c>
      <c r="AA92" s="254">
        <f t="shared" si="41"/>
        <v>76129.218749999971</v>
      </c>
      <c r="AB92" s="254">
        <f t="shared" si="41"/>
        <v>76271.561319872635</v>
      </c>
      <c r="AC92" s="254">
        <f t="shared" si="41"/>
        <v>76414.170034696348</v>
      </c>
      <c r="AD92" s="254">
        <f t="shared" si="41"/>
        <v>76557.045392095504</v>
      </c>
      <c r="AE92" s="254">
        <f t="shared" si="41"/>
        <v>76700.187890624933</v>
      </c>
      <c r="AF92" s="254">
        <f t="shared" si="41"/>
        <v>0</v>
      </c>
      <c r="AG92" s="254">
        <f t="shared" si="41"/>
        <v>0</v>
      </c>
      <c r="AH92" s="254">
        <f t="shared" si="41"/>
        <v>0</v>
      </c>
      <c r="AI92" s="254">
        <f t="shared" si="41"/>
        <v>0</v>
      </c>
      <c r="AJ92" s="254">
        <f t="shared" si="41"/>
        <v>0</v>
      </c>
      <c r="AK92" s="254">
        <f t="shared" si="41"/>
        <v>0</v>
      </c>
      <c r="AL92" s="254">
        <f t="shared" si="41"/>
        <v>0</v>
      </c>
      <c r="AM92" s="254">
        <f t="shared" si="41"/>
        <v>0</v>
      </c>
      <c r="AN92" s="254">
        <f t="shared" si="41"/>
        <v>0</v>
      </c>
      <c r="AO92" s="254">
        <f t="shared" si="41"/>
        <v>0</v>
      </c>
      <c r="AP92" s="254">
        <f t="shared" si="41"/>
        <v>0</v>
      </c>
      <c r="AQ92" s="254">
        <f t="shared" si="41"/>
        <v>0</v>
      </c>
      <c r="AR92" s="254">
        <f t="shared" si="41"/>
        <v>0</v>
      </c>
      <c r="AS92" s="254">
        <f t="shared" si="41"/>
        <v>0</v>
      </c>
      <c r="AT92" s="254">
        <f t="shared" si="41"/>
        <v>0</v>
      </c>
      <c r="AU92" s="254">
        <f t="shared" si="41"/>
        <v>0</v>
      </c>
      <c r="AV92" s="254">
        <f t="shared" si="41"/>
        <v>0</v>
      </c>
      <c r="AW92" s="254">
        <f t="shared" si="41"/>
        <v>0</v>
      </c>
      <c r="AX92" s="254">
        <f t="shared" si="41"/>
        <v>0</v>
      </c>
      <c r="AY92" s="254">
        <f t="shared" si="41"/>
        <v>0</v>
      </c>
      <c r="AZ92" s="254">
        <f t="shared" si="41"/>
        <v>0</v>
      </c>
      <c r="BA92" s="254">
        <f t="shared" si="41"/>
        <v>0</v>
      </c>
      <c r="BB92" s="254">
        <f t="shared" si="41"/>
        <v>0</v>
      </c>
      <c r="BC92" s="254">
        <f t="shared" si="41"/>
        <v>0</v>
      </c>
      <c r="BD92" s="254">
        <f t="shared" si="41"/>
        <v>0</v>
      </c>
      <c r="BE92" s="254">
        <f t="shared" si="41"/>
        <v>0</v>
      </c>
      <c r="BF92" s="254">
        <f t="shared" si="41"/>
        <v>0</v>
      </c>
      <c r="BG92" s="254">
        <f t="shared" si="41"/>
        <v>0</v>
      </c>
      <c r="BI92" s="254">
        <f>SUM(T92:BG92)</f>
        <v>835826.31243324804</v>
      </c>
      <c r="BK92" s="257" t="b">
        <f>ROUND(BI92,GA!$G$112)=ROUND(BX92,GA!$G$112)</f>
        <v>1</v>
      </c>
      <c r="BM92" s="254">
        <f t="shared" si="39"/>
        <v>226217.87421055965</v>
      </c>
      <c r="BN92" s="254">
        <f t="shared" si="39"/>
        <v>303665.47358539898</v>
      </c>
      <c r="BO92" s="254">
        <f t="shared" si="39"/>
        <v>305942.96463728941</v>
      </c>
      <c r="BP92" s="254">
        <f t="shared" si="39"/>
        <v>0</v>
      </c>
      <c r="BQ92" s="254">
        <f t="shared" si="39"/>
        <v>0</v>
      </c>
      <c r="BR92" s="254">
        <f t="shared" si="39"/>
        <v>0</v>
      </c>
      <c r="BS92" s="254">
        <f t="shared" si="39"/>
        <v>0</v>
      </c>
      <c r="BT92" s="254">
        <f t="shared" si="39"/>
        <v>0</v>
      </c>
      <c r="BU92" s="254">
        <f t="shared" si="39"/>
        <v>0</v>
      </c>
      <c r="BV92" s="254">
        <f t="shared" si="39"/>
        <v>0</v>
      </c>
      <c r="BW92" s="39"/>
      <c r="BX92" s="254">
        <f>SUM(BM92:BV92)</f>
        <v>835826.31243324804</v>
      </c>
    </row>
    <row r="93" spans="3:76">
      <c r="C93" s="398" t="s">
        <v>631</v>
      </c>
      <c r="D93" s="398"/>
      <c r="E93" s="398"/>
      <c r="F93" s="398"/>
      <c r="G93" s="398"/>
      <c r="H93" s="398"/>
      <c r="I93" s="398"/>
      <c r="J93" s="398"/>
      <c r="K93" s="398"/>
      <c r="L93" s="398"/>
      <c r="M93" s="398"/>
      <c r="N93" s="398"/>
      <c r="R93" s="392"/>
      <c r="S93" s="392"/>
      <c r="T93" s="404">
        <f>T92*4</f>
        <v>100186.97495154929</v>
      </c>
      <c r="U93" s="404">
        <f>U92*4</f>
        <v>200748.5989988473</v>
      </c>
      <c r="V93" s="404">
        <f t="shared" ref="V93:BG93" si="42">V92*4</f>
        <v>301685.92289184191</v>
      </c>
      <c r="W93" s="404">
        <f t="shared" si="42"/>
        <v>302249.99999999994</v>
      </c>
      <c r="X93" s="404">
        <f t="shared" si="42"/>
        <v>302815.13179105765</v>
      </c>
      <c r="Y93" s="404">
        <f t="shared" si="42"/>
        <v>303381.32023700792</v>
      </c>
      <c r="Z93" s="404">
        <f t="shared" si="42"/>
        <v>303948.5673135306</v>
      </c>
      <c r="AA93" s="404">
        <f t="shared" si="42"/>
        <v>304516.87499999988</v>
      </c>
      <c r="AB93" s="404">
        <f t="shared" si="42"/>
        <v>305086.24527949054</v>
      </c>
      <c r="AC93" s="404">
        <f t="shared" si="42"/>
        <v>305656.68013878539</v>
      </c>
      <c r="AD93" s="404">
        <f t="shared" si="42"/>
        <v>306228.18156838202</v>
      </c>
      <c r="AE93" s="404">
        <f t="shared" si="42"/>
        <v>306800.75156249973</v>
      </c>
      <c r="AF93" s="404">
        <f t="shared" si="42"/>
        <v>0</v>
      </c>
      <c r="AG93" s="404">
        <f t="shared" si="42"/>
        <v>0</v>
      </c>
      <c r="AH93" s="404">
        <f t="shared" si="42"/>
        <v>0</v>
      </c>
      <c r="AI93" s="404">
        <f t="shared" si="42"/>
        <v>0</v>
      </c>
      <c r="AJ93" s="404">
        <f t="shared" si="42"/>
        <v>0</v>
      </c>
      <c r="AK93" s="404">
        <f t="shared" si="42"/>
        <v>0</v>
      </c>
      <c r="AL93" s="404">
        <f t="shared" si="42"/>
        <v>0</v>
      </c>
      <c r="AM93" s="404">
        <f t="shared" si="42"/>
        <v>0</v>
      </c>
      <c r="AN93" s="404">
        <f t="shared" si="42"/>
        <v>0</v>
      </c>
      <c r="AO93" s="404">
        <f t="shared" si="42"/>
        <v>0</v>
      </c>
      <c r="AP93" s="404">
        <f t="shared" si="42"/>
        <v>0</v>
      </c>
      <c r="AQ93" s="404">
        <f t="shared" si="42"/>
        <v>0</v>
      </c>
      <c r="AR93" s="404">
        <f t="shared" si="42"/>
        <v>0</v>
      </c>
      <c r="AS93" s="404">
        <f t="shared" si="42"/>
        <v>0</v>
      </c>
      <c r="AT93" s="404">
        <f t="shared" si="42"/>
        <v>0</v>
      </c>
      <c r="AU93" s="404">
        <f t="shared" si="42"/>
        <v>0</v>
      </c>
      <c r="AV93" s="404">
        <f t="shared" si="42"/>
        <v>0</v>
      </c>
      <c r="AW93" s="404">
        <f t="shared" si="42"/>
        <v>0</v>
      </c>
      <c r="AX93" s="404">
        <f t="shared" si="42"/>
        <v>0</v>
      </c>
      <c r="AY93" s="404">
        <f t="shared" si="42"/>
        <v>0</v>
      </c>
      <c r="AZ93" s="404">
        <f t="shared" si="42"/>
        <v>0</v>
      </c>
      <c r="BA93" s="404">
        <f t="shared" si="42"/>
        <v>0</v>
      </c>
      <c r="BB93" s="404">
        <f t="shared" si="42"/>
        <v>0</v>
      </c>
      <c r="BC93" s="404">
        <f t="shared" si="42"/>
        <v>0</v>
      </c>
      <c r="BD93" s="404">
        <f t="shared" si="42"/>
        <v>0</v>
      </c>
      <c r="BE93" s="404">
        <f t="shared" si="42"/>
        <v>0</v>
      </c>
      <c r="BF93" s="404">
        <f t="shared" si="42"/>
        <v>0</v>
      </c>
      <c r="BG93" s="404">
        <f t="shared" si="42"/>
        <v>0</v>
      </c>
      <c r="BI93" s="39" t="s">
        <v>153</v>
      </c>
      <c r="BM93" s="404"/>
      <c r="BN93" s="404"/>
      <c r="BO93" s="404"/>
      <c r="BP93" s="404"/>
      <c r="BQ93" s="404"/>
      <c r="BR93" s="404"/>
      <c r="BS93" s="404"/>
      <c r="BT93" s="404"/>
      <c r="BU93" s="404"/>
      <c r="BV93" s="404"/>
      <c r="BX93" s="39" t="s">
        <v>153</v>
      </c>
    </row>
    <row r="94" spans="3:76">
      <c r="C94" s="398" t="s">
        <v>632</v>
      </c>
      <c r="D94" s="398"/>
      <c r="E94" s="398"/>
      <c r="F94" s="398"/>
      <c r="G94" s="398"/>
      <c r="H94" s="398"/>
      <c r="I94" s="398"/>
      <c r="J94" s="398"/>
      <c r="K94" s="398"/>
      <c r="L94" s="398"/>
      <c r="M94" s="398"/>
      <c r="N94" s="398"/>
      <c r="R94" s="392"/>
      <c r="S94" s="392"/>
      <c r="T94" s="405">
        <f>IFERROR(T93/12/T$63,0)</f>
        <v>8.3489145792957729</v>
      </c>
      <c r="U94" s="405">
        <f>IFERROR(U93/12/U$63,0)</f>
        <v>8.3645249582853047</v>
      </c>
      <c r="V94" s="405">
        <f t="shared" ref="V94:BG94" si="43">IFERROR(V93/12/V$63,0)</f>
        <v>8.3801645247733862</v>
      </c>
      <c r="W94" s="405">
        <f t="shared" si="43"/>
        <v>8.3958333333333321</v>
      </c>
      <c r="X94" s="405">
        <f t="shared" si="43"/>
        <v>8.4115314386404894</v>
      </c>
      <c r="Y94" s="405">
        <f t="shared" si="43"/>
        <v>8.427258895472443</v>
      </c>
      <c r="Z94" s="405">
        <f t="shared" si="43"/>
        <v>8.4430157587091834</v>
      </c>
      <c r="AA94" s="405">
        <f t="shared" si="43"/>
        <v>8.4588020833333299</v>
      </c>
      <c r="AB94" s="405">
        <f t="shared" si="43"/>
        <v>8.4746179244302926</v>
      </c>
      <c r="AC94" s="405">
        <f t="shared" si="43"/>
        <v>8.4904633371884835</v>
      </c>
      <c r="AD94" s="405">
        <f t="shared" si="43"/>
        <v>8.5063383768995013</v>
      </c>
      <c r="AE94" s="405">
        <f t="shared" si="43"/>
        <v>8.5222430989583255</v>
      </c>
      <c r="AF94" s="405">
        <f t="shared" si="43"/>
        <v>0</v>
      </c>
      <c r="AG94" s="405">
        <f t="shared" si="43"/>
        <v>0</v>
      </c>
      <c r="AH94" s="405">
        <f t="shared" si="43"/>
        <v>0</v>
      </c>
      <c r="AI94" s="405">
        <f t="shared" si="43"/>
        <v>0</v>
      </c>
      <c r="AJ94" s="405">
        <f t="shared" si="43"/>
        <v>0</v>
      </c>
      <c r="AK94" s="405">
        <f t="shared" si="43"/>
        <v>0</v>
      </c>
      <c r="AL94" s="405">
        <f t="shared" si="43"/>
        <v>0</v>
      </c>
      <c r="AM94" s="405">
        <f t="shared" si="43"/>
        <v>0</v>
      </c>
      <c r="AN94" s="405">
        <f t="shared" si="43"/>
        <v>0</v>
      </c>
      <c r="AO94" s="405">
        <f t="shared" si="43"/>
        <v>0</v>
      </c>
      <c r="AP94" s="405">
        <f t="shared" si="43"/>
        <v>0</v>
      </c>
      <c r="AQ94" s="405">
        <f t="shared" si="43"/>
        <v>0</v>
      </c>
      <c r="AR94" s="405">
        <f t="shared" si="43"/>
        <v>0</v>
      </c>
      <c r="AS94" s="405">
        <f t="shared" si="43"/>
        <v>0</v>
      </c>
      <c r="AT94" s="405">
        <f t="shared" si="43"/>
        <v>0</v>
      </c>
      <c r="AU94" s="405">
        <f t="shared" si="43"/>
        <v>0</v>
      </c>
      <c r="AV94" s="405">
        <f t="shared" si="43"/>
        <v>0</v>
      </c>
      <c r="AW94" s="405">
        <f t="shared" si="43"/>
        <v>0</v>
      </c>
      <c r="AX94" s="405">
        <f t="shared" si="43"/>
        <v>0</v>
      </c>
      <c r="AY94" s="405">
        <f t="shared" si="43"/>
        <v>0</v>
      </c>
      <c r="AZ94" s="405">
        <f t="shared" si="43"/>
        <v>0</v>
      </c>
      <c r="BA94" s="405">
        <f t="shared" si="43"/>
        <v>0</v>
      </c>
      <c r="BB94" s="405">
        <f t="shared" si="43"/>
        <v>0</v>
      </c>
      <c r="BC94" s="405">
        <f t="shared" si="43"/>
        <v>0</v>
      </c>
      <c r="BD94" s="405">
        <f t="shared" si="43"/>
        <v>0</v>
      </c>
      <c r="BE94" s="405">
        <f t="shared" si="43"/>
        <v>0</v>
      </c>
      <c r="BF94" s="405">
        <f t="shared" si="43"/>
        <v>0</v>
      </c>
      <c r="BG94" s="405">
        <f t="shared" si="43"/>
        <v>0</v>
      </c>
      <c r="BI94" s="39" t="s">
        <v>153</v>
      </c>
      <c r="BM94" s="405">
        <f>IFERROR(BM92/BM55/12,0)</f>
        <v>8.3784397855762833</v>
      </c>
      <c r="BN94" s="405">
        <f t="shared" ref="BN94:BV94" si="44">IFERROR(BN92/BN55/12,0)</f>
        <v>8.4351520440388601</v>
      </c>
      <c r="BO94" s="405">
        <f t="shared" si="44"/>
        <v>8.4984156843691512</v>
      </c>
      <c r="BP94" s="405">
        <f t="shared" si="44"/>
        <v>0</v>
      </c>
      <c r="BQ94" s="405">
        <f t="shared" si="44"/>
        <v>0</v>
      </c>
      <c r="BR94" s="405">
        <f t="shared" si="44"/>
        <v>0</v>
      </c>
      <c r="BS94" s="405">
        <f t="shared" si="44"/>
        <v>0</v>
      </c>
      <c r="BT94" s="405">
        <f t="shared" si="44"/>
        <v>0</v>
      </c>
      <c r="BU94" s="405">
        <f t="shared" si="44"/>
        <v>0</v>
      </c>
      <c r="BV94" s="405">
        <f t="shared" si="44"/>
        <v>0</v>
      </c>
      <c r="BX94" s="39" t="s">
        <v>153</v>
      </c>
    </row>
    <row r="95" spans="3:76" outlineLevel="1"/>
    <row r="96" spans="3:76" outlineLevel="1">
      <c r="C96" s="364" t="s">
        <v>322</v>
      </c>
      <c r="D96" s="364"/>
      <c r="E96" s="364"/>
      <c r="F96" s="364"/>
      <c r="G96" s="364"/>
      <c r="H96" s="364"/>
      <c r="I96" s="364"/>
      <c r="J96" s="364"/>
      <c r="K96" s="364"/>
      <c r="L96" s="364"/>
      <c r="M96" s="364"/>
      <c r="N96" s="364"/>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M96" s="17"/>
      <c r="BN96" s="17"/>
      <c r="BO96" s="17"/>
      <c r="BP96" s="17"/>
      <c r="BQ96" s="17"/>
      <c r="BR96" s="17"/>
      <c r="BS96" s="17"/>
      <c r="BT96" s="17"/>
      <c r="BU96" s="17"/>
      <c r="BV96" s="17"/>
      <c r="BX96" s="17"/>
    </row>
    <row r="97" spans="3:76" outlineLevel="1">
      <c r="C97" t="s">
        <v>635</v>
      </c>
      <c r="R97" s="392"/>
      <c r="S97" s="392"/>
      <c r="T97" s="403">
        <f>PCF!T351</f>
        <v>0</v>
      </c>
      <c r="U97" s="403">
        <f>PCF!U351</f>
        <v>0</v>
      </c>
      <c r="V97" s="403">
        <f>PCF!V351</f>
        <v>0</v>
      </c>
      <c r="W97" s="403">
        <f>PCF!W351</f>
        <v>0</v>
      </c>
      <c r="X97" s="403">
        <f>PCF!X351</f>
        <v>0</v>
      </c>
      <c r="Y97" s="403">
        <f>PCF!Y351</f>
        <v>0</v>
      </c>
      <c r="Z97" s="403">
        <f>PCF!Z351</f>
        <v>0</v>
      </c>
      <c r="AA97" s="403">
        <f>PCF!AA351</f>
        <v>0</v>
      </c>
      <c r="AB97" s="403">
        <f>PCF!AB351</f>
        <v>0</v>
      </c>
      <c r="AC97" s="403">
        <f>PCF!AC351</f>
        <v>0</v>
      </c>
      <c r="AD97" s="403">
        <f>PCF!AD351</f>
        <v>0</v>
      </c>
      <c r="AE97" s="403">
        <f>PCF!AE351</f>
        <v>0</v>
      </c>
      <c r="AF97" s="403">
        <f>PCF!AF351</f>
        <v>0</v>
      </c>
      <c r="AG97" s="403">
        <f>PCF!AG351</f>
        <v>0</v>
      </c>
      <c r="AH97" s="403">
        <f>PCF!AH351</f>
        <v>0</v>
      </c>
      <c r="AI97" s="403">
        <f>PCF!AI351</f>
        <v>0</v>
      </c>
      <c r="AJ97" s="403">
        <f>PCF!AJ351</f>
        <v>0</v>
      </c>
      <c r="AK97" s="403">
        <f>PCF!AK351</f>
        <v>0</v>
      </c>
      <c r="AL97" s="403">
        <f>PCF!AL351</f>
        <v>0</v>
      </c>
      <c r="AM97" s="403">
        <f>PCF!AM351</f>
        <v>0</v>
      </c>
      <c r="AN97" s="403">
        <f>PCF!AN351</f>
        <v>0</v>
      </c>
      <c r="AO97" s="403">
        <f>PCF!AO351</f>
        <v>0</v>
      </c>
      <c r="AP97" s="403">
        <f>PCF!AP351</f>
        <v>0</v>
      </c>
      <c r="AQ97" s="403">
        <f>PCF!AQ351</f>
        <v>0</v>
      </c>
      <c r="AR97" s="403">
        <f>PCF!AR351</f>
        <v>0</v>
      </c>
      <c r="AS97" s="403">
        <f>PCF!AS351</f>
        <v>0</v>
      </c>
      <c r="AT97" s="403">
        <f>PCF!AT351</f>
        <v>0</v>
      </c>
      <c r="AU97" s="403">
        <f>PCF!AU351</f>
        <v>0</v>
      </c>
      <c r="AV97" s="403">
        <f>PCF!AV351</f>
        <v>0</v>
      </c>
      <c r="AW97" s="403">
        <f>PCF!AW351</f>
        <v>0</v>
      </c>
      <c r="AX97" s="403">
        <f>PCF!AX351</f>
        <v>0</v>
      </c>
      <c r="AY97" s="403">
        <f>PCF!AY351</f>
        <v>0</v>
      </c>
      <c r="AZ97" s="403">
        <f>PCF!AZ351</f>
        <v>0</v>
      </c>
      <c r="BA97" s="403">
        <f>PCF!BA351</f>
        <v>0</v>
      </c>
      <c r="BB97" s="403">
        <f>PCF!BB351</f>
        <v>0</v>
      </c>
      <c r="BC97" s="403">
        <f>PCF!BC351</f>
        <v>0</v>
      </c>
      <c r="BD97" s="403">
        <f>PCF!BD351</f>
        <v>0</v>
      </c>
      <c r="BE97" s="403">
        <f>PCF!BE351</f>
        <v>0</v>
      </c>
      <c r="BF97" s="403">
        <f>PCF!BF351</f>
        <v>0</v>
      </c>
      <c r="BG97" s="403">
        <f>PCF!BG351</f>
        <v>0</v>
      </c>
      <c r="BI97" s="1068">
        <f t="shared" ref="BI97:BI103" si="45">SUM(T97:BG97)</f>
        <v>0</v>
      </c>
      <c r="BM97" s="310">
        <f t="shared" ref="BM97:BV101" si="46">SUMIF($T$8:$BG$8,BM$6,$T97:$BG97)</f>
        <v>0</v>
      </c>
      <c r="BN97" s="310">
        <f t="shared" si="46"/>
        <v>0</v>
      </c>
      <c r="BO97" s="310">
        <f t="shared" si="46"/>
        <v>0</v>
      </c>
      <c r="BP97" s="310">
        <f t="shared" si="46"/>
        <v>0</v>
      </c>
      <c r="BQ97" s="310">
        <f t="shared" si="46"/>
        <v>0</v>
      </c>
      <c r="BR97" s="310">
        <f t="shared" si="46"/>
        <v>0</v>
      </c>
      <c r="BS97" s="310">
        <f t="shared" si="46"/>
        <v>0</v>
      </c>
      <c r="BT97" s="310">
        <f t="shared" si="46"/>
        <v>0</v>
      </c>
      <c r="BU97" s="310">
        <f t="shared" si="46"/>
        <v>0</v>
      </c>
      <c r="BV97" s="310">
        <f t="shared" si="46"/>
        <v>0</v>
      </c>
      <c r="BX97" s="476">
        <f>SUM(BM97:BW97)</f>
        <v>0</v>
      </c>
    </row>
    <row r="98" spans="3:76" outlineLevel="1">
      <c r="C98" t="s">
        <v>636</v>
      </c>
      <c r="R98" s="392"/>
      <c r="S98" s="392"/>
      <c r="T98" s="403">
        <f>PCF!T352</f>
        <v>0</v>
      </c>
      <c r="U98" s="403">
        <f>PCF!U352</f>
        <v>0</v>
      </c>
      <c r="V98" s="403">
        <f>PCF!V352</f>
        <v>0</v>
      </c>
      <c r="W98" s="403">
        <f>PCF!W352</f>
        <v>0</v>
      </c>
      <c r="X98" s="403">
        <f>PCF!X352</f>
        <v>0</v>
      </c>
      <c r="Y98" s="403">
        <f>PCF!Y352</f>
        <v>0</v>
      </c>
      <c r="Z98" s="403">
        <f>PCF!Z352</f>
        <v>0</v>
      </c>
      <c r="AA98" s="403">
        <f>PCF!AA352</f>
        <v>0</v>
      </c>
      <c r="AB98" s="403">
        <f>PCF!AB352</f>
        <v>0</v>
      </c>
      <c r="AC98" s="403">
        <f>PCF!AC352</f>
        <v>0</v>
      </c>
      <c r="AD98" s="403">
        <f>PCF!AD352</f>
        <v>0</v>
      </c>
      <c r="AE98" s="403">
        <f>PCF!AE352</f>
        <v>0</v>
      </c>
      <c r="AF98" s="403">
        <f>PCF!AF352</f>
        <v>0</v>
      </c>
      <c r="AG98" s="403">
        <f>PCF!AG352</f>
        <v>0</v>
      </c>
      <c r="AH98" s="403">
        <f>PCF!AH352</f>
        <v>0</v>
      </c>
      <c r="AI98" s="403">
        <f>PCF!AI352</f>
        <v>0</v>
      </c>
      <c r="AJ98" s="403">
        <f>PCF!AJ352</f>
        <v>0</v>
      </c>
      <c r="AK98" s="403">
        <f>PCF!AK352</f>
        <v>0</v>
      </c>
      <c r="AL98" s="403">
        <f>PCF!AL352</f>
        <v>0</v>
      </c>
      <c r="AM98" s="403">
        <f>PCF!AM352</f>
        <v>0</v>
      </c>
      <c r="AN98" s="403">
        <f>PCF!AN352</f>
        <v>0</v>
      </c>
      <c r="AO98" s="403">
        <f>PCF!AO352</f>
        <v>0</v>
      </c>
      <c r="AP98" s="403">
        <f>PCF!AP352</f>
        <v>0</v>
      </c>
      <c r="AQ98" s="403">
        <f>PCF!AQ352</f>
        <v>0</v>
      </c>
      <c r="AR98" s="403">
        <f>PCF!AR352</f>
        <v>0</v>
      </c>
      <c r="AS98" s="403">
        <f>PCF!AS352</f>
        <v>0</v>
      </c>
      <c r="AT98" s="403">
        <f>PCF!AT352</f>
        <v>0</v>
      </c>
      <c r="AU98" s="403">
        <f>PCF!AU352</f>
        <v>0</v>
      </c>
      <c r="AV98" s="403">
        <f>PCF!AV352</f>
        <v>0</v>
      </c>
      <c r="AW98" s="403">
        <f>PCF!AW352</f>
        <v>0</v>
      </c>
      <c r="AX98" s="403">
        <f>PCF!AX352</f>
        <v>0</v>
      </c>
      <c r="AY98" s="403">
        <f>PCF!AY352</f>
        <v>0</v>
      </c>
      <c r="AZ98" s="403">
        <f>PCF!AZ352</f>
        <v>0</v>
      </c>
      <c r="BA98" s="403">
        <f>PCF!BA352</f>
        <v>0</v>
      </c>
      <c r="BB98" s="403">
        <f>PCF!BB352</f>
        <v>0</v>
      </c>
      <c r="BC98" s="403">
        <f>PCF!BC352</f>
        <v>0</v>
      </c>
      <c r="BD98" s="403">
        <f>PCF!BD352</f>
        <v>0</v>
      </c>
      <c r="BE98" s="403">
        <f>PCF!BE352</f>
        <v>0</v>
      </c>
      <c r="BF98" s="403">
        <f>PCF!BF352</f>
        <v>0</v>
      </c>
      <c r="BG98" s="403">
        <f>PCF!BG352</f>
        <v>0</v>
      </c>
      <c r="BI98" s="476">
        <f t="shared" si="45"/>
        <v>0</v>
      </c>
      <c r="BM98" s="310">
        <f t="shared" si="46"/>
        <v>0</v>
      </c>
      <c r="BN98" s="310">
        <f t="shared" si="46"/>
        <v>0</v>
      </c>
      <c r="BO98" s="310">
        <f t="shared" si="46"/>
        <v>0</v>
      </c>
      <c r="BP98" s="310">
        <f t="shared" si="46"/>
        <v>0</v>
      </c>
      <c r="BQ98" s="310">
        <f t="shared" si="46"/>
        <v>0</v>
      </c>
      <c r="BR98" s="310">
        <f t="shared" si="46"/>
        <v>0</v>
      </c>
      <c r="BS98" s="310">
        <f t="shared" si="46"/>
        <v>0</v>
      </c>
      <c r="BT98" s="310">
        <f t="shared" si="46"/>
        <v>0</v>
      </c>
      <c r="BU98" s="310">
        <f t="shared" si="46"/>
        <v>0</v>
      </c>
      <c r="BV98" s="310">
        <f t="shared" si="46"/>
        <v>0</v>
      </c>
      <c r="BX98" s="476">
        <f t="shared" ref="BX98:BX100" si="47">SUM(BM98:BW98)</f>
        <v>0</v>
      </c>
    </row>
    <row r="99" spans="3:76" outlineLevel="1">
      <c r="C99" t="s">
        <v>637</v>
      </c>
      <c r="R99" s="392"/>
      <c r="S99" s="392"/>
      <c r="T99" s="403">
        <f>PCF!T353</f>
        <v>0</v>
      </c>
      <c r="U99" s="403">
        <f>PCF!U353</f>
        <v>0</v>
      </c>
      <c r="V99" s="403">
        <f>PCF!V353</f>
        <v>0</v>
      </c>
      <c r="W99" s="403">
        <f>PCF!W353</f>
        <v>0</v>
      </c>
      <c r="X99" s="403">
        <f>PCF!X353</f>
        <v>0</v>
      </c>
      <c r="Y99" s="403">
        <f>PCF!Y353</f>
        <v>0</v>
      </c>
      <c r="Z99" s="403">
        <f>PCF!Z353</f>
        <v>0</v>
      </c>
      <c r="AA99" s="403">
        <f>PCF!AA353</f>
        <v>0</v>
      </c>
      <c r="AB99" s="403">
        <f>PCF!AB353</f>
        <v>0</v>
      </c>
      <c r="AC99" s="403">
        <f>PCF!AC353</f>
        <v>0</v>
      </c>
      <c r="AD99" s="403">
        <f>PCF!AD353</f>
        <v>0</v>
      </c>
      <c r="AE99" s="403">
        <f>PCF!AE353</f>
        <v>0</v>
      </c>
      <c r="AF99" s="403">
        <f>PCF!AF353</f>
        <v>0</v>
      </c>
      <c r="AG99" s="403">
        <f>PCF!AG353</f>
        <v>0</v>
      </c>
      <c r="AH99" s="403">
        <f>PCF!AH353</f>
        <v>0</v>
      </c>
      <c r="AI99" s="403">
        <f>PCF!AI353</f>
        <v>0</v>
      </c>
      <c r="AJ99" s="403">
        <f>PCF!AJ353</f>
        <v>0</v>
      </c>
      <c r="AK99" s="403">
        <f>PCF!AK353</f>
        <v>0</v>
      </c>
      <c r="AL99" s="403">
        <f>PCF!AL353</f>
        <v>0</v>
      </c>
      <c r="AM99" s="403">
        <f>PCF!AM353</f>
        <v>0</v>
      </c>
      <c r="AN99" s="403">
        <f>PCF!AN353</f>
        <v>0</v>
      </c>
      <c r="AO99" s="403">
        <f>PCF!AO353</f>
        <v>0</v>
      </c>
      <c r="AP99" s="403">
        <f>PCF!AP353</f>
        <v>0</v>
      </c>
      <c r="AQ99" s="403">
        <f>PCF!AQ353</f>
        <v>0</v>
      </c>
      <c r="AR99" s="403">
        <f>PCF!AR353</f>
        <v>0</v>
      </c>
      <c r="AS99" s="403">
        <f>PCF!AS353</f>
        <v>0</v>
      </c>
      <c r="AT99" s="403">
        <f>PCF!AT353</f>
        <v>0</v>
      </c>
      <c r="AU99" s="403">
        <f>PCF!AU353</f>
        <v>0</v>
      </c>
      <c r="AV99" s="403">
        <f>PCF!AV353</f>
        <v>0</v>
      </c>
      <c r="AW99" s="403">
        <f>PCF!AW353</f>
        <v>0</v>
      </c>
      <c r="AX99" s="403">
        <f>PCF!AX353</f>
        <v>0</v>
      </c>
      <c r="AY99" s="403">
        <f>PCF!AY353</f>
        <v>0</v>
      </c>
      <c r="AZ99" s="403">
        <f>PCF!AZ353</f>
        <v>0</v>
      </c>
      <c r="BA99" s="403">
        <f>PCF!BA353</f>
        <v>0</v>
      </c>
      <c r="BB99" s="403">
        <f>PCF!BB353</f>
        <v>0</v>
      </c>
      <c r="BC99" s="403">
        <f>PCF!BC353</f>
        <v>0</v>
      </c>
      <c r="BD99" s="403">
        <f>PCF!BD353</f>
        <v>0</v>
      </c>
      <c r="BE99" s="403">
        <f>PCF!BE353</f>
        <v>0</v>
      </c>
      <c r="BF99" s="403">
        <f>PCF!BF353</f>
        <v>0</v>
      </c>
      <c r="BG99" s="403">
        <f>PCF!BG353</f>
        <v>0</v>
      </c>
      <c r="BI99" s="476">
        <f t="shared" si="45"/>
        <v>0</v>
      </c>
      <c r="BM99" s="310">
        <f t="shared" si="46"/>
        <v>0</v>
      </c>
      <c r="BN99" s="310">
        <f t="shared" si="46"/>
        <v>0</v>
      </c>
      <c r="BO99" s="310">
        <f t="shared" si="46"/>
        <v>0</v>
      </c>
      <c r="BP99" s="310">
        <f t="shared" si="46"/>
        <v>0</v>
      </c>
      <c r="BQ99" s="310">
        <f t="shared" si="46"/>
        <v>0</v>
      </c>
      <c r="BR99" s="310">
        <f t="shared" si="46"/>
        <v>0</v>
      </c>
      <c r="BS99" s="310">
        <f t="shared" si="46"/>
        <v>0</v>
      </c>
      <c r="BT99" s="310">
        <f t="shared" si="46"/>
        <v>0</v>
      </c>
      <c r="BU99" s="310">
        <f t="shared" si="46"/>
        <v>0</v>
      </c>
      <c r="BV99" s="310">
        <f t="shared" si="46"/>
        <v>0</v>
      </c>
      <c r="BX99" s="476">
        <f t="shared" si="47"/>
        <v>0</v>
      </c>
    </row>
    <row r="100" spans="3:76" outlineLevel="1">
      <c r="C100" t="s">
        <v>638</v>
      </c>
      <c r="R100" s="392"/>
      <c r="S100" s="392"/>
      <c r="T100" s="403">
        <f>PCF!T354</f>
        <v>0</v>
      </c>
      <c r="U100" s="403">
        <f>PCF!U354</f>
        <v>0</v>
      </c>
      <c r="V100" s="403">
        <f>PCF!V354</f>
        <v>0</v>
      </c>
      <c r="W100" s="403">
        <f>PCF!W354</f>
        <v>0</v>
      </c>
      <c r="X100" s="403">
        <f>PCF!X354</f>
        <v>0</v>
      </c>
      <c r="Y100" s="403">
        <f>PCF!Y354</f>
        <v>0</v>
      </c>
      <c r="Z100" s="403">
        <f>PCF!Z354</f>
        <v>0</v>
      </c>
      <c r="AA100" s="403">
        <f>PCF!AA354</f>
        <v>0</v>
      </c>
      <c r="AB100" s="403">
        <f>PCF!AB354</f>
        <v>0</v>
      </c>
      <c r="AC100" s="403">
        <f>PCF!AC354</f>
        <v>0</v>
      </c>
      <c r="AD100" s="403">
        <f>PCF!AD354</f>
        <v>0</v>
      </c>
      <c r="AE100" s="403">
        <f>PCF!AE354</f>
        <v>0</v>
      </c>
      <c r="AF100" s="403">
        <f>PCF!AF354</f>
        <v>0</v>
      </c>
      <c r="AG100" s="403">
        <f>PCF!AG354</f>
        <v>0</v>
      </c>
      <c r="AH100" s="403">
        <f>PCF!AH354</f>
        <v>0</v>
      </c>
      <c r="AI100" s="403">
        <f>PCF!AI354</f>
        <v>0</v>
      </c>
      <c r="AJ100" s="403">
        <f>PCF!AJ354</f>
        <v>0</v>
      </c>
      <c r="AK100" s="403">
        <f>PCF!AK354</f>
        <v>0</v>
      </c>
      <c r="AL100" s="403">
        <f>PCF!AL354</f>
        <v>0</v>
      </c>
      <c r="AM100" s="403">
        <f>PCF!AM354</f>
        <v>0</v>
      </c>
      <c r="AN100" s="403">
        <f>PCF!AN354</f>
        <v>0</v>
      </c>
      <c r="AO100" s="403">
        <f>PCF!AO354</f>
        <v>0</v>
      </c>
      <c r="AP100" s="403">
        <f>PCF!AP354</f>
        <v>0</v>
      </c>
      <c r="AQ100" s="403">
        <f>PCF!AQ354</f>
        <v>0</v>
      </c>
      <c r="AR100" s="403">
        <f>PCF!AR354</f>
        <v>0</v>
      </c>
      <c r="AS100" s="403">
        <f>PCF!AS354</f>
        <v>0</v>
      </c>
      <c r="AT100" s="403">
        <f>PCF!AT354</f>
        <v>0</v>
      </c>
      <c r="AU100" s="403">
        <f>PCF!AU354</f>
        <v>0</v>
      </c>
      <c r="AV100" s="403">
        <f>PCF!AV354</f>
        <v>0</v>
      </c>
      <c r="AW100" s="403">
        <f>PCF!AW354</f>
        <v>0</v>
      </c>
      <c r="AX100" s="403">
        <f>PCF!AX354</f>
        <v>0</v>
      </c>
      <c r="AY100" s="403">
        <f>PCF!AY354</f>
        <v>0</v>
      </c>
      <c r="AZ100" s="403">
        <f>PCF!AZ354</f>
        <v>0</v>
      </c>
      <c r="BA100" s="403">
        <f>PCF!BA354</f>
        <v>0</v>
      </c>
      <c r="BB100" s="403">
        <f>PCF!BB354</f>
        <v>0</v>
      </c>
      <c r="BC100" s="403">
        <f>PCF!BC354</f>
        <v>0</v>
      </c>
      <c r="BD100" s="403">
        <f>PCF!BD354</f>
        <v>0</v>
      </c>
      <c r="BE100" s="403">
        <f>PCF!BE354</f>
        <v>0</v>
      </c>
      <c r="BF100" s="403">
        <f>PCF!BF354</f>
        <v>0</v>
      </c>
      <c r="BG100" s="403">
        <f>PCF!BG354</f>
        <v>0</v>
      </c>
      <c r="BI100" s="1069">
        <f t="shared" si="45"/>
        <v>0</v>
      </c>
      <c r="BM100" s="310">
        <f t="shared" si="46"/>
        <v>0</v>
      </c>
      <c r="BN100" s="310">
        <f t="shared" si="46"/>
        <v>0</v>
      </c>
      <c r="BO100" s="310">
        <f t="shared" si="46"/>
        <v>0</v>
      </c>
      <c r="BP100" s="310">
        <f t="shared" si="46"/>
        <v>0</v>
      </c>
      <c r="BQ100" s="310">
        <f t="shared" si="46"/>
        <v>0</v>
      </c>
      <c r="BR100" s="310">
        <f t="shared" si="46"/>
        <v>0</v>
      </c>
      <c r="BS100" s="310">
        <f t="shared" si="46"/>
        <v>0</v>
      </c>
      <c r="BT100" s="310">
        <f t="shared" si="46"/>
        <v>0</v>
      </c>
      <c r="BU100" s="310">
        <f t="shared" si="46"/>
        <v>0</v>
      </c>
      <c r="BV100" s="310">
        <f t="shared" si="46"/>
        <v>0</v>
      </c>
      <c r="BX100" s="476">
        <f t="shared" si="47"/>
        <v>0</v>
      </c>
    </row>
    <row r="101" spans="3:76" outlineLevel="1">
      <c r="C101" s="253" t="s">
        <v>639</v>
      </c>
      <c r="D101" s="253"/>
      <c r="E101" s="253"/>
      <c r="F101" s="253"/>
      <c r="G101" s="253"/>
      <c r="H101" s="253"/>
      <c r="I101" s="253"/>
      <c r="J101" s="253"/>
      <c r="K101" s="253"/>
      <c r="L101" s="253"/>
      <c r="M101" s="253"/>
      <c r="N101" s="253"/>
      <c r="O101" s="268"/>
      <c r="P101" s="268"/>
      <c r="Q101" s="268"/>
      <c r="R101" s="153"/>
      <c r="S101" s="153"/>
      <c r="T101" s="254">
        <f>SUM(T97:T100)</f>
        <v>0</v>
      </c>
      <c r="U101" s="254">
        <f>SUM(U97:U100)</f>
        <v>0</v>
      </c>
      <c r="V101" s="254">
        <f t="shared" ref="V101" si="48">SUM(V97:V100)</f>
        <v>0</v>
      </c>
      <c r="W101" s="254">
        <f t="shared" ref="W101" si="49">SUM(W97:W100)</f>
        <v>0</v>
      </c>
      <c r="X101" s="254">
        <f t="shared" ref="X101" si="50">SUM(X97:X100)</f>
        <v>0</v>
      </c>
      <c r="Y101" s="254">
        <f t="shared" ref="Y101" si="51">SUM(Y97:Y100)</f>
        <v>0</v>
      </c>
      <c r="Z101" s="254">
        <f t="shared" ref="Z101" si="52">SUM(Z97:Z100)</f>
        <v>0</v>
      </c>
      <c r="AA101" s="254">
        <f t="shared" ref="AA101" si="53">SUM(AA97:AA100)</f>
        <v>0</v>
      </c>
      <c r="AB101" s="254">
        <f t="shared" ref="AB101" si="54">SUM(AB97:AB100)</f>
        <v>0</v>
      </c>
      <c r="AC101" s="254">
        <f t="shared" ref="AC101" si="55">SUM(AC97:AC100)</f>
        <v>0</v>
      </c>
      <c r="AD101" s="254">
        <f t="shared" ref="AD101" si="56">SUM(AD97:AD100)</f>
        <v>0</v>
      </c>
      <c r="AE101" s="254">
        <f t="shared" ref="AE101" si="57">SUM(AE97:AE100)</f>
        <v>0</v>
      </c>
      <c r="AF101" s="254">
        <f t="shared" ref="AF101" si="58">SUM(AF97:AF100)</f>
        <v>0</v>
      </c>
      <c r="AG101" s="254">
        <f t="shared" ref="AG101" si="59">SUM(AG97:AG100)</f>
        <v>0</v>
      </c>
      <c r="AH101" s="254">
        <f t="shared" ref="AH101" si="60">SUM(AH97:AH100)</f>
        <v>0</v>
      </c>
      <c r="AI101" s="254">
        <f t="shared" ref="AI101" si="61">SUM(AI97:AI100)</f>
        <v>0</v>
      </c>
      <c r="AJ101" s="254">
        <f t="shared" ref="AJ101" si="62">SUM(AJ97:AJ100)</f>
        <v>0</v>
      </c>
      <c r="AK101" s="254">
        <f t="shared" ref="AK101" si="63">SUM(AK97:AK100)</f>
        <v>0</v>
      </c>
      <c r="AL101" s="254">
        <f t="shared" ref="AL101" si="64">SUM(AL97:AL100)</f>
        <v>0</v>
      </c>
      <c r="AM101" s="254">
        <f t="shared" ref="AM101" si="65">SUM(AM97:AM100)</f>
        <v>0</v>
      </c>
      <c r="AN101" s="254">
        <f t="shared" ref="AN101" si="66">SUM(AN97:AN100)</f>
        <v>0</v>
      </c>
      <c r="AO101" s="254">
        <f t="shared" ref="AO101" si="67">SUM(AO97:AO100)</f>
        <v>0</v>
      </c>
      <c r="AP101" s="254">
        <f t="shared" ref="AP101" si="68">SUM(AP97:AP100)</f>
        <v>0</v>
      </c>
      <c r="AQ101" s="254">
        <f t="shared" ref="AQ101" si="69">SUM(AQ97:AQ100)</f>
        <v>0</v>
      </c>
      <c r="AR101" s="254">
        <f t="shared" ref="AR101" si="70">SUM(AR97:AR100)</f>
        <v>0</v>
      </c>
      <c r="AS101" s="254">
        <f t="shared" ref="AS101" si="71">SUM(AS97:AS100)</f>
        <v>0</v>
      </c>
      <c r="AT101" s="254">
        <f t="shared" ref="AT101" si="72">SUM(AT97:AT100)</f>
        <v>0</v>
      </c>
      <c r="AU101" s="254">
        <f t="shared" ref="AU101" si="73">SUM(AU97:AU100)</f>
        <v>0</v>
      </c>
      <c r="AV101" s="254">
        <f t="shared" ref="AV101" si="74">SUM(AV97:AV100)</f>
        <v>0</v>
      </c>
      <c r="AW101" s="254">
        <f t="shared" ref="AW101" si="75">SUM(AW97:AW100)</f>
        <v>0</v>
      </c>
      <c r="AX101" s="254">
        <f t="shared" ref="AX101" si="76">SUM(AX97:AX100)</f>
        <v>0</v>
      </c>
      <c r="AY101" s="254">
        <f t="shared" ref="AY101" si="77">SUM(AY97:AY100)</f>
        <v>0</v>
      </c>
      <c r="AZ101" s="254">
        <f t="shared" ref="AZ101" si="78">SUM(AZ97:AZ100)</f>
        <v>0</v>
      </c>
      <c r="BA101" s="254">
        <f t="shared" ref="BA101" si="79">SUM(BA97:BA100)</f>
        <v>0</v>
      </c>
      <c r="BB101" s="254">
        <f t="shared" ref="BB101" si="80">SUM(BB97:BB100)</f>
        <v>0</v>
      </c>
      <c r="BC101" s="254">
        <f t="shared" ref="BC101" si="81">SUM(BC97:BC100)</f>
        <v>0</v>
      </c>
      <c r="BD101" s="254">
        <f t="shared" ref="BD101" si="82">SUM(BD97:BD100)</f>
        <v>0</v>
      </c>
      <c r="BE101" s="254">
        <f t="shared" ref="BE101" si="83">SUM(BE97:BE100)</f>
        <v>0</v>
      </c>
      <c r="BF101" s="254">
        <f t="shared" ref="BF101" si="84">SUM(BF97:BF100)</f>
        <v>0</v>
      </c>
      <c r="BG101" s="254">
        <f t="shared" ref="BG101" si="85">SUM(BG97:BG100)</f>
        <v>0</v>
      </c>
      <c r="BI101" s="254">
        <f t="shared" si="45"/>
        <v>0</v>
      </c>
      <c r="BM101" s="254">
        <f t="shared" si="46"/>
        <v>0</v>
      </c>
      <c r="BN101" s="254">
        <f t="shared" si="46"/>
        <v>0</v>
      </c>
      <c r="BO101" s="254">
        <f t="shared" si="46"/>
        <v>0</v>
      </c>
      <c r="BP101" s="254">
        <f t="shared" si="46"/>
        <v>0</v>
      </c>
      <c r="BQ101" s="254">
        <f t="shared" si="46"/>
        <v>0</v>
      </c>
      <c r="BR101" s="254">
        <f t="shared" si="46"/>
        <v>0</v>
      </c>
      <c r="BS101" s="254">
        <f t="shared" si="46"/>
        <v>0</v>
      </c>
      <c r="BT101" s="254">
        <f t="shared" si="46"/>
        <v>0</v>
      </c>
      <c r="BU101" s="254">
        <f t="shared" si="46"/>
        <v>0</v>
      </c>
      <c r="BV101" s="254">
        <f t="shared" si="46"/>
        <v>0</v>
      </c>
      <c r="BX101" s="254">
        <f>SUM(BM101:BV101)</f>
        <v>0</v>
      </c>
    </row>
    <row r="102" spans="3:76" outlineLevel="1">
      <c r="C102" s="398" t="s">
        <v>633</v>
      </c>
      <c r="D102" s="398"/>
      <c r="E102" s="398"/>
      <c r="F102" s="398"/>
      <c r="G102" s="398"/>
      <c r="H102" s="398"/>
      <c r="I102" s="398"/>
      <c r="J102" s="398"/>
      <c r="K102" s="398"/>
      <c r="L102" s="398"/>
      <c r="M102" s="398"/>
      <c r="N102" s="398"/>
      <c r="R102" s="392"/>
      <c r="S102" s="392"/>
      <c r="T102" s="404">
        <f>T101*4</f>
        <v>0</v>
      </c>
      <c r="U102" s="404">
        <f>U101*4</f>
        <v>0</v>
      </c>
      <c r="V102" s="404">
        <f t="shared" ref="V102" si="86">V101*4</f>
        <v>0</v>
      </c>
      <c r="W102" s="404">
        <f t="shared" ref="W102" si="87">W101*4</f>
        <v>0</v>
      </c>
      <c r="X102" s="404">
        <f t="shared" ref="X102" si="88">X101*4</f>
        <v>0</v>
      </c>
      <c r="Y102" s="404">
        <f t="shared" ref="Y102" si="89">Y101*4</f>
        <v>0</v>
      </c>
      <c r="Z102" s="404">
        <f t="shared" ref="Z102" si="90">Z101*4</f>
        <v>0</v>
      </c>
      <c r="AA102" s="404">
        <f t="shared" ref="AA102" si="91">AA101*4</f>
        <v>0</v>
      </c>
      <c r="AB102" s="404">
        <f t="shared" ref="AB102" si="92">AB101*4</f>
        <v>0</v>
      </c>
      <c r="AC102" s="404">
        <f t="shared" ref="AC102" si="93">AC101*4</f>
        <v>0</v>
      </c>
      <c r="AD102" s="404">
        <f t="shared" ref="AD102" si="94">AD101*4</f>
        <v>0</v>
      </c>
      <c r="AE102" s="404">
        <f t="shared" ref="AE102" si="95">AE101*4</f>
        <v>0</v>
      </c>
      <c r="AF102" s="404">
        <f t="shared" ref="AF102" si="96">AF101*4</f>
        <v>0</v>
      </c>
      <c r="AG102" s="404">
        <f t="shared" ref="AG102" si="97">AG101*4</f>
        <v>0</v>
      </c>
      <c r="AH102" s="404">
        <f t="shared" ref="AH102" si="98">AH101*4</f>
        <v>0</v>
      </c>
      <c r="AI102" s="404">
        <f t="shared" ref="AI102" si="99">AI101*4</f>
        <v>0</v>
      </c>
      <c r="AJ102" s="404">
        <f t="shared" ref="AJ102" si="100">AJ101*4</f>
        <v>0</v>
      </c>
      <c r="AK102" s="404">
        <f t="shared" ref="AK102" si="101">AK101*4</f>
        <v>0</v>
      </c>
      <c r="AL102" s="404">
        <f t="shared" ref="AL102" si="102">AL101*4</f>
        <v>0</v>
      </c>
      <c r="AM102" s="404">
        <f t="shared" ref="AM102" si="103">AM101*4</f>
        <v>0</v>
      </c>
      <c r="AN102" s="404">
        <f t="shared" ref="AN102" si="104">AN101*4</f>
        <v>0</v>
      </c>
      <c r="AO102" s="404">
        <f t="shared" ref="AO102" si="105">AO101*4</f>
        <v>0</v>
      </c>
      <c r="AP102" s="404">
        <f t="shared" ref="AP102" si="106">AP101*4</f>
        <v>0</v>
      </c>
      <c r="AQ102" s="404">
        <f t="shared" ref="AQ102" si="107">AQ101*4</f>
        <v>0</v>
      </c>
      <c r="AR102" s="404">
        <f t="shared" ref="AR102" si="108">AR101*4</f>
        <v>0</v>
      </c>
      <c r="AS102" s="404">
        <f t="shared" ref="AS102" si="109">AS101*4</f>
        <v>0</v>
      </c>
      <c r="AT102" s="404">
        <f t="shared" ref="AT102" si="110">AT101*4</f>
        <v>0</v>
      </c>
      <c r="AU102" s="404">
        <f t="shared" ref="AU102" si="111">AU101*4</f>
        <v>0</v>
      </c>
      <c r="AV102" s="404">
        <f t="shared" ref="AV102" si="112">AV101*4</f>
        <v>0</v>
      </c>
      <c r="AW102" s="404">
        <f t="shared" ref="AW102" si="113">AW101*4</f>
        <v>0</v>
      </c>
      <c r="AX102" s="404">
        <f t="shared" ref="AX102" si="114">AX101*4</f>
        <v>0</v>
      </c>
      <c r="AY102" s="404">
        <f t="shared" ref="AY102" si="115">AY101*4</f>
        <v>0</v>
      </c>
      <c r="AZ102" s="404">
        <f t="shared" ref="AZ102" si="116">AZ101*4</f>
        <v>0</v>
      </c>
      <c r="BA102" s="404">
        <f t="shared" ref="BA102" si="117">BA101*4</f>
        <v>0</v>
      </c>
      <c r="BB102" s="404">
        <f t="shared" ref="BB102" si="118">BB101*4</f>
        <v>0</v>
      </c>
      <c r="BC102" s="404">
        <f t="shared" ref="BC102" si="119">BC101*4</f>
        <v>0</v>
      </c>
      <c r="BD102" s="404">
        <f t="shared" ref="BD102" si="120">BD101*4</f>
        <v>0</v>
      </c>
      <c r="BE102" s="404">
        <f t="shared" ref="BE102" si="121">BE101*4</f>
        <v>0</v>
      </c>
      <c r="BF102" s="404">
        <f t="shared" ref="BF102" si="122">BF101*4</f>
        <v>0</v>
      </c>
      <c r="BG102" s="404">
        <f t="shared" ref="BG102" si="123">BG101*4</f>
        <v>0</v>
      </c>
      <c r="BI102" s="476">
        <f t="shared" si="45"/>
        <v>0</v>
      </c>
      <c r="BX102" s="39" t="s">
        <v>153</v>
      </c>
    </row>
    <row r="103" spans="3:76" outlineLevel="1">
      <c r="C103" s="398" t="s">
        <v>634</v>
      </c>
      <c r="D103" s="398"/>
      <c r="E103" s="398"/>
      <c r="F103" s="398"/>
      <c r="G103" s="398"/>
      <c r="H103" s="398"/>
      <c r="I103" s="398"/>
      <c r="J103" s="398"/>
      <c r="K103" s="398"/>
      <c r="L103" s="398"/>
      <c r="M103" s="398"/>
      <c r="N103" s="398"/>
      <c r="R103" s="392"/>
      <c r="S103" s="392"/>
      <c r="T103" s="405">
        <f>IFERROR(T102/12/T$63,0)</f>
        <v>0</v>
      </c>
      <c r="U103" s="405">
        <f>IFERROR(U102/12/U$63,0)</f>
        <v>0</v>
      </c>
      <c r="V103" s="405">
        <f t="shared" ref="V103" si="124">IFERROR(V102/12/V$63,0)</f>
        <v>0</v>
      </c>
      <c r="W103" s="405">
        <f t="shared" ref="W103" si="125">IFERROR(W102/12/W$63,0)</f>
        <v>0</v>
      </c>
      <c r="X103" s="405">
        <f t="shared" ref="X103" si="126">IFERROR(X102/12/X$63,0)</f>
        <v>0</v>
      </c>
      <c r="Y103" s="405">
        <f t="shared" ref="Y103" si="127">IFERROR(Y102/12/Y$63,0)</f>
        <v>0</v>
      </c>
      <c r="Z103" s="405">
        <f t="shared" ref="Z103" si="128">IFERROR(Z102/12/Z$63,0)</f>
        <v>0</v>
      </c>
      <c r="AA103" s="405">
        <f t="shared" ref="AA103" si="129">IFERROR(AA102/12/AA$63,0)</f>
        <v>0</v>
      </c>
      <c r="AB103" s="405">
        <f t="shared" ref="AB103" si="130">IFERROR(AB102/12/AB$63,0)</f>
        <v>0</v>
      </c>
      <c r="AC103" s="405">
        <f t="shared" ref="AC103" si="131">IFERROR(AC102/12/AC$63,0)</f>
        <v>0</v>
      </c>
      <c r="AD103" s="405">
        <f t="shared" ref="AD103" si="132">IFERROR(AD102/12/AD$63,0)</f>
        <v>0</v>
      </c>
      <c r="AE103" s="405">
        <f t="shared" ref="AE103" si="133">IFERROR(AE102/12/AE$63,0)</f>
        <v>0</v>
      </c>
      <c r="AF103" s="405">
        <f t="shared" ref="AF103" si="134">IFERROR(AF102/12/AF$63,0)</f>
        <v>0</v>
      </c>
      <c r="AG103" s="405">
        <f t="shared" ref="AG103" si="135">IFERROR(AG102/12/AG$63,0)</f>
        <v>0</v>
      </c>
      <c r="AH103" s="405">
        <f t="shared" ref="AH103" si="136">IFERROR(AH102/12/AH$63,0)</f>
        <v>0</v>
      </c>
      <c r="AI103" s="405">
        <f t="shared" ref="AI103" si="137">IFERROR(AI102/12/AI$63,0)</f>
        <v>0</v>
      </c>
      <c r="AJ103" s="405">
        <f t="shared" ref="AJ103" si="138">IFERROR(AJ102/12/AJ$63,0)</f>
        <v>0</v>
      </c>
      <c r="AK103" s="405">
        <f t="shared" ref="AK103" si="139">IFERROR(AK102/12/AK$63,0)</f>
        <v>0</v>
      </c>
      <c r="AL103" s="405">
        <f t="shared" ref="AL103" si="140">IFERROR(AL102/12/AL$63,0)</f>
        <v>0</v>
      </c>
      <c r="AM103" s="405">
        <f t="shared" ref="AM103" si="141">IFERROR(AM102/12/AM$63,0)</f>
        <v>0</v>
      </c>
      <c r="AN103" s="405">
        <f t="shared" ref="AN103" si="142">IFERROR(AN102/12/AN$63,0)</f>
        <v>0</v>
      </c>
      <c r="AO103" s="405">
        <f t="shared" ref="AO103" si="143">IFERROR(AO102/12/AO$63,0)</f>
        <v>0</v>
      </c>
      <c r="AP103" s="405">
        <f t="shared" ref="AP103" si="144">IFERROR(AP102/12/AP$63,0)</f>
        <v>0</v>
      </c>
      <c r="AQ103" s="405">
        <f t="shared" ref="AQ103" si="145">IFERROR(AQ102/12/AQ$63,0)</f>
        <v>0</v>
      </c>
      <c r="AR103" s="405">
        <f t="shared" ref="AR103" si="146">IFERROR(AR102/12/AR$63,0)</f>
        <v>0</v>
      </c>
      <c r="AS103" s="405">
        <f t="shared" ref="AS103" si="147">IFERROR(AS102/12/AS$63,0)</f>
        <v>0</v>
      </c>
      <c r="AT103" s="405">
        <f t="shared" ref="AT103" si="148">IFERROR(AT102/12/AT$63,0)</f>
        <v>0</v>
      </c>
      <c r="AU103" s="405">
        <f t="shared" ref="AU103" si="149">IFERROR(AU102/12/AU$63,0)</f>
        <v>0</v>
      </c>
      <c r="AV103" s="405">
        <f t="shared" ref="AV103" si="150">IFERROR(AV102/12/AV$63,0)</f>
        <v>0</v>
      </c>
      <c r="AW103" s="405">
        <f t="shared" ref="AW103" si="151">IFERROR(AW102/12/AW$63,0)</f>
        <v>0</v>
      </c>
      <c r="AX103" s="405">
        <f t="shared" ref="AX103" si="152">IFERROR(AX102/12/AX$63,0)</f>
        <v>0</v>
      </c>
      <c r="AY103" s="405">
        <f t="shared" ref="AY103" si="153">IFERROR(AY102/12/AY$63,0)</f>
        <v>0</v>
      </c>
      <c r="AZ103" s="405">
        <f t="shared" ref="AZ103" si="154">IFERROR(AZ102/12/AZ$63,0)</f>
        <v>0</v>
      </c>
      <c r="BA103" s="405">
        <f t="shared" ref="BA103" si="155">IFERROR(BA102/12/BA$63,0)</f>
        <v>0</v>
      </c>
      <c r="BB103" s="405">
        <f t="shared" ref="BB103" si="156">IFERROR(BB102/12/BB$63,0)</f>
        <v>0</v>
      </c>
      <c r="BC103" s="405">
        <f t="shared" ref="BC103" si="157">IFERROR(BC102/12/BC$63,0)</f>
        <v>0</v>
      </c>
      <c r="BD103" s="405">
        <f t="shared" ref="BD103" si="158">IFERROR(BD102/12/BD$63,0)</f>
        <v>0</v>
      </c>
      <c r="BE103" s="405">
        <f t="shared" ref="BE103" si="159">IFERROR(BE102/12/BE$63,0)</f>
        <v>0</v>
      </c>
      <c r="BF103" s="405">
        <f t="shared" ref="BF103" si="160">IFERROR(BF102/12/BF$63,0)</f>
        <v>0</v>
      </c>
      <c r="BG103" s="405">
        <f t="shared" ref="BG103" si="161">IFERROR(BG102/12/BG$63,0)</f>
        <v>0</v>
      </c>
      <c r="BI103" s="476">
        <f t="shared" si="45"/>
        <v>0</v>
      </c>
      <c r="BX103" s="39" t="s">
        <v>153</v>
      </c>
    </row>
    <row r="105" spans="3:76">
      <c r="C105" t="s">
        <v>408</v>
      </c>
      <c r="R105" s="392"/>
      <c r="S105" s="392"/>
      <c r="T105" s="403">
        <f>PCF!T358</f>
        <v>0</v>
      </c>
      <c r="U105" s="403">
        <f>PCF!U358</f>
        <v>0</v>
      </c>
      <c r="V105" s="403">
        <f>PCF!V358</f>
        <v>0</v>
      </c>
      <c r="W105" s="403">
        <f>PCF!W358</f>
        <v>0</v>
      </c>
      <c r="X105" s="403">
        <f>PCF!X358</f>
        <v>0</v>
      </c>
      <c r="Y105" s="403">
        <f>PCF!Y358</f>
        <v>0</v>
      </c>
      <c r="Z105" s="403">
        <f>PCF!Z358</f>
        <v>0</v>
      </c>
      <c r="AA105" s="403">
        <f>PCF!AA358</f>
        <v>0</v>
      </c>
      <c r="AB105" s="403">
        <f>PCF!AB358</f>
        <v>0</v>
      </c>
      <c r="AC105" s="403">
        <f>PCF!AC358</f>
        <v>0</v>
      </c>
      <c r="AD105" s="403">
        <f>PCF!AD358</f>
        <v>0</v>
      </c>
      <c r="AE105" s="403">
        <f>PCF!AE358</f>
        <v>0</v>
      </c>
      <c r="AF105" s="403">
        <f>PCF!AF358</f>
        <v>0</v>
      </c>
      <c r="AG105" s="403">
        <f>PCF!AG358</f>
        <v>0</v>
      </c>
      <c r="AH105" s="403">
        <f>PCF!AH358</f>
        <v>0</v>
      </c>
      <c r="AI105" s="403">
        <f>PCF!AI358</f>
        <v>0</v>
      </c>
      <c r="AJ105" s="403">
        <f>PCF!AJ358</f>
        <v>0</v>
      </c>
      <c r="AK105" s="403">
        <f>PCF!AK358</f>
        <v>0</v>
      </c>
      <c r="AL105" s="403">
        <f>PCF!AL358</f>
        <v>0</v>
      </c>
      <c r="AM105" s="403">
        <f>PCF!AM358</f>
        <v>0</v>
      </c>
      <c r="AN105" s="403">
        <f>PCF!AN358</f>
        <v>0</v>
      </c>
      <c r="AO105" s="403">
        <f>PCF!AO358</f>
        <v>0</v>
      </c>
      <c r="AP105" s="403">
        <f>PCF!AP358</f>
        <v>0</v>
      </c>
      <c r="AQ105" s="403">
        <f>PCF!AQ358</f>
        <v>0</v>
      </c>
      <c r="AR105" s="403">
        <f>PCF!AR358</f>
        <v>0</v>
      </c>
      <c r="AS105" s="403">
        <f>PCF!AS358</f>
        <v>0</v>
      </c>
      <c r="AT105" s="403">
        <f>PCF!AT358</f>
        <v>0</v>
      </c>
      <c r="AU105" s="403">
        <f>PCF!AU358</f>
        <v>0</v>
      </c>
      <c r="AV105" s="403">
        <f>PCF!AV358</f>
        <v>0</v>
      </c>
      <c r="AW105" s="403">
        <f>PCF!AW358</f>
        <v>0</v>
      </c>
      <c r="AX105" s="403">
        <f>PCF!AX358</f>
        <v>0</v>
      </c>
      <c r="AY105" s="403">
        <f>PCF!AY358</f>
        <v>0</v>
      </c>
      <c r="AZ105" s="403">
        <f>PCF!AZ358</f>
        <v>0</v>
      </c>
      <c r="BA105" s="403">
        <f>PCF!BA358</f>
        <v>0</v>
      </c>
      <c r="BB105" s="403">
        <f>PCF!BB358</f>
        <v>0</v>
      </c>
      <c r="BC105" s="403">
        <f>PCF!BC358</f>
        <v>0</v>
      </c>
      <c r="BD105" s="403">
        <f>PCF!BD358</f>
        <v>0</v>
      </c>
      <c r="BE105" s="403">
        <f>PCF!BE358</f>
        <v>0</v>
      </c>
      <c r="BF105" s="403">
        <f>PCF!BF358</f>
        <v>0</v>
      </c>
      <c r="BG105" s="403">
        <f>PCF!BG358</f>
        <v>0</v>
      </c>
      <c r="BI105" s="476">
        <f>SUM(T105:BG105)</f>
        <v>0</v>
      </c>
      <c r="BM105" s="310">
        <f t="shared" ref="BM105:BV107" si="162">SUMIF($T$8:$BG$8,BM$6,$T105:$BG105)</f>
        <v>0</v>
      </c>
      <c r="BN105" s="310">
        <f t="shared" si="162"/>
        <v>0</v>
      </c>
      <c r="BO105" s="310">
        <f t="shared" si="162"/>
        <v>0</v>
      </c>
      <c r="BP105" s="310">
        <f t="shared" si="162"/>
        <v>0</v>
      </c>
      <c r="BQ105" s="310">
        <f t="shared" si="162"/>
        <v>0</v>
      </c>
      <c r="BR105" s="310">
        <f t="shared" si="162"/>
        <v>0</v>
      </c>
      <c r="BS105" s="310">
        <f t="shared" si="162"/>
        <v>0</v>
      </c>
      <c r="BT105" s="310">
        <f t="shared" si="162"/>
        <v>0</v>
      </c>
      <c r="BU105" s="310">
        <f t="shared" si="162"/>
        <v>0</v>
      </c>
      <c r="BV105" s="310">
        <f t="shared" si="162"/>
        <v>0</v>
      </c>
      <c r="BX105" s="476">
        <f t="shared" ref="BX105:BX106" si="163">SUM(BM105:BW105)</f>
        <v>0</v>
      </c>
    </row>
    <row r="106" spans="3:76">
      <c r="C106" t="s">
        <v>168</v>
      </c>
      <c r="R106" s="392"/>
      <c r="S106" s="392"/>
      <c r="T106" s="403">
        <f>PCF!T361</f>
        <v>0</v>
      </c>
      <c r="U106" s="403">
        <f>PCF!U361</f>
        <v>0</v>
      </c>
      <c r="V106" s="403">
        <f>PCF!V361</f>
        <v>0</v>
      </c>
      <c r="W106" s="403">
        <f>PCF!W361</f>
        <v>0</v>
      </c>
      <c r="X106" s="403">
        <f>PCF!X361</f>
        <v>0</v>
      </c>
      <c r="Y106" s="403">
        <f>PCF!Y361</f>
        <v>0</v>
      </c>
      <c r="Z106" s="403">
        <f>PCF!Z361</f>
        <v>0</v>
      </c>
      <c r="AA106" s="403">
        <f>PCF!AA361</f>
        <v>0</v>
      </c>
      <c r="AB106" s="403">
        <f>PCF!AB361</f>
        <v>0</v>
      </c>
      <c r="AC106" s="403">
        <f>PCF!AC361</f>
        <v>0</v>
      </c>
      <c r="AD106" s="403">
        <f>PCF!AD361</f>
        <v>0</v>
      </c>
      <c r="AE106" s="403">
        <f>PCF!AE361</f>
        <v>0</v>
      </c>
      <c r="AF106" s="403">
        <f>PCF!AF361</f>
        <v>0</v>
      </c>
      <c r="AG106" s="403">
        <f>PCF!AG361</f>
        <v>0</v>
      </c>
      <c r="AH106" s="403">
        <f>PCF!AH361</f>
        <v>0</v>
      </c>
      <c r="AI106" s="403">
        <f>PCF!AI361</f>
        <v>0</v>
      </c>
      <c r="AJ106" s="403">
        <f>PCF!AJ361</f>
        <v>0</v>
      </c>
      <c r="AK106" s="403">
        <f>PCF!AK361</f>
        <v>0</v>
      </c>
      <c r="AL106" s="403">
        <f>PCF!AL361</f>
        <v>0</v>
      </c>
      <c r="AM106" s="403">
        <f>PCF!AM361</f>
        <v>0</v>
      </c>
      <c r="AN106" s="403">
        <f>PCF!AN361</f>
        <v>0</v>
      </c>
      <c r="AO106" s="403">
        <f>PCF!AO361</f>
        <v>0</v>
      </c>
      <c r="AP106" s="403">
        <f>PCF!AP361</f>
        <v>0</v>
      </c>
      <c r="AQ106" s="403">
        <f>PCF!AQ361</f>
        <v>0</v>
      </c>
      <c r="AR106" s="403">
        <f>PCF!AR361</f>
        <v>0</v>
      </c>
      <c r="AS106" s="403">
        <f>PCF!AS361</f>
        <v>0</v>
      </c>
      <c r="AT106" s="403">
        <f>PCF!AT361</f>
        <v>0</v>
      </c>
      <c r="AU106" s="403">
        <f>PCF!AU361</f>
        <v>0</v>
      </c>
      <c r="AV106" s="403">
        <f>PCF!AV361</f>
        <v>0</v>
      </c>
      <c r="AW106" s="403">
        <f>PCF!AW361</f>
        <v>0</v>
      </c>
      <c r="AX106" s="403">
        <f>PCF!AX361</f>
        <v>0</v>
      </c>
      <c r="AY106" s="403">
        <f>PCF!AY361</f>
        <v>0</v>
      </c>
      <c r="AZ106" s="403">
        <f>PCF!AZ361</f>
        <v>0</v>
      </c>
      <c r="BA106" s="403">
        <f>PCF!BA361</f>
        <v>0</v>
      </c>
      <c r="BB106" s="403">
        <f>PCF!BB361</f>
        <v>0</v>
      </c>
      <c r="BC106" s="403">
        <f>PCF!BC361</f>
        <v>0</v>
      </c>
      <c r="BD106" s="403">
        <f>PCF!BD361</f>
        <v>0</v>
      </c>
      <c r="BE106" s="403">
        <f>PCF!BE361</f>
        <v>0</v>
      </c>
      <c r="BF106" s="403">
        <f>PCF!BF361</f>
        <v>0</v>
      </c>
      <c r="BG106" s="403">
        <f>PCF!BG361</f>
        <v>0</v>
      </c>
      <c r="BI106" s="1069">
        <f>SUM(T106:BG106)</f>
        <v>0</v>
      </c>
      <c r="BM106" s="310">
        <f t="shared" si="162"/>
        <v>0</v>
      </c>
      <c r="BN106" s="310">
        <f t="shared" si="162"/>
        <v>0</v>
      </c>
      <c r="BO106" s="310">
        <f t="shared" si="162"/>
        <v>0</v>
      </c>
      <c r="BP106" s="310">
        <f t="shared" si="162"/>
        <v>0</v>
      </c>
      <c r="BQ106" s="310">
        <f t="shared" si="162"/>
        <v>0</v>
      </c>
      <c r="BR106" s="310">
        <f t="shared" si="162"/>
        <v>0</v>
      </c>
      <c r="BS106" s="310">
        <f t="shared" si="162"/>
        <v>0</v>
      </c>
      <c r="BT106" s="310">
        <f t="shared" si="162"/>
        <v>0</v>
      </c>
      <c r="BU106" s="310">
        <f t="shared" si="162"/>
        <v>0</v>
      </c>
      <c r="BV106" s="310">
        <f t="shared" si="162"/>
        <v>0</v>
      </c>
      <c r="BX106" s="476">
        <f t="shared" si="163"/>
        <v>0</v>
      </c>
    </row>
    <row r="107" spans="3:76">
      <c r="C107" s="253" t="s">
        <v>640</v>
      </c>
      <c r="D107" s="253"/>
      <c r="E107" s="253"/>
      <c r="F107" s="253"/>
      <c r="G107" s="253"/>
      <c r="H107" s="253"/>
      <c r="I107" s="253"/>
      <c r="J107" s="253"/>
      <c r="K107" s="253"/>
      <c r="L107" s="253"/>
      <c r="M107" s="253"/>
      <c r="N107" s="253"/>
      <c r="O107" s="253"/>
      <c r="P107" s="253"/>
      <c r="Q107" s="253"/>
      <c r="R107" s="401"/>
      <c r="S107" s="401"/>
      <c r="T107" s="254">
        <f>SUM(T105:T106)+T101+T92</f>
        <v>25046.743737887322</v>
      </c>
      <c r="U107" s="254">
        <f>SUM(U105:U106)+U101+U92</f>
        <v>50187.149749711825</v>
      </c>
      <c r="V107" s="254">
        <f t="shared" ref="V107:BG107" si="164">SUM(V105:V106)+V101+V92</f>
        <v>75421.480722960478</v>
      </c>
      <c r="W107" s="254">
        <f t="shared" si="164"/>
        <v>75562.499999999985</v>
      </c>
      <c r="X107" s="254">
        <f t="shared" si="164"/>
        <v>75703.782947764412</v>
      </c>
      <c r="Y107" s="254">
        <f t="shared" si="164"/>
        <v>75845.330059251981</v>
      </c>
      <c r="Z107" s="254">
        <f t="shared" si="164"/>
        <v>75987.14182838265</v>
      </c>
      <c r="AA107" s="254">
        <f t="shared" si="164"/>
        <v>76129.218749999971</v>
      </c>
      <c r="AB107" s="254">
        <f t="shared" si="164"/>
        <v>76271.561319872635</v>
      </c>
      <c r="AC107" s="254">
        <f t="shared" si="164"/>
        <v>76414.170034696348</v>
      </c>
      <c r="AD107" s="254">
        <f t="shared" si="164"/>
        <v>76557.045392095504</v>
      </c>
      <c r="AE107" s="254">
        <f t="shared" si="164"/>
        <v>76700.187890624933</v>
      </c>
      <c r="AF107" s="254">
        <f t="shared" si="164"/>
        <v>0</v>
      </c>
      <c r="AG107" s="254">
        <f t="shared" si="164"/>
        <v>0</v>
      </c>
      <c r="AH107" s="254">
        <f t="shared" si="164"/>
        <v>0</v>
      </c>
      <c r="AI107" s="254">
        <f t="shared" si="164"/>
        <v>0</v>
      </c>
      <c r="AJ107" s="254">
        <f t="shared" si="164"/>
        <v>0</v>
      </c>
      <c r="AK107" s="254">
        <f t="shared" si="164"/>
        <v>0</v>
      </c>
      <c r="AL107" s="254">
        <f t="shared" si="164"/>
        <v>0</v>
      </c>
      <c r="AM107" s="254">
        <f t="shared" si="164"/>
        <v>0</v>
      </c>
      <c r="AN107" s="254">
        <f t="shared" si="164"/>
        <v>0</v>
      </c>
      <c r="AO107" s="254">
        <f t="shared" si="164"/>
        <v>0</v>
      </c>
      <c r="AP107" s="254">
        <f t="shared" si="164"/>
        <v>0</v>
      </c>
      <c r="AQ107" s="254">
        <f t="shared" si="164"/>
        <v>0</v>
      </c>
      <c r="AR107" s="254">
        <f t="shared" si="164"/>
        <v>0</v>
      </c>
      <c r="AS107" s="254">
        <f t="shared" si="164"/>
        <v>0</v>
      </c>
      <c r="AT107" s="254">
        <f t="shared" si="164"/>
        <v>0</v>
      </c>
      <c r="AU107" s="254">
        <f t="shared" si="164"/>
        <v>0</v>
      </c>
      <c r="AV107" s="254">
        <f t="shared" si="164"/>
        <v>0</v>
      </c>
      <c r="AW107" s="254">
        <f t="shared" si="164"/>
        <v>0</v>
      </c>
      <c r="AX107" s="254">
        <f t="shared" si="164"/>
        <v>0</v>
      </c>
      <c r="AY107" s="254">
        <f t="shared" si="164"/>
        <v>0</v>
      </c>
      <c r="AZ107" s="254">
        <f t="shared" si="164"/>
        <v>0</v>
      </c>
      <c r="BA107" s="254">
        <f t="shared" si="164"/>
        <v>0</v>
      </c>
      <c r="BB107" s="254">
        <f t="shared" si="164"/>
        <v>0</v>
      </c>
      <c r="BC107" s="254">
        <f t="shared" si="164"/>
        <v>0</v>
      </c>
      <c r="BD107" s="254">
        <f t="shared" si="164"/>
        <v>0</v>
      </c>
      <c r="BE107" s="254">
        <f t="shared" si="164"/>
        <v>0</v>
      </c>
      <c r="BF107" s="254">
        <f t="shared" si="164"/>
        <v>0</v>
      </c>
      <c r="BG107" s="254">
        <f t="shared" si="164"/>
        <v>0</v>
      </c>
      <c r="BI107" s="254">
        <f>SUM(T107:BG107)</f>
        <v>835826.31243324804</v>
      </c>
      <c r="BK107" s="257" t="b">
        <f>ROUND(BI107,GA!$G$112)=ROUND(BX107,GA!$G$112)</f>
        <v>1</v>
      </c>
      <c r="BM107" s="254">
        <f t="shared" si="162"/>
        <v>226217.87421055965</v>
      </c>
      <c r="BN107" s="254">
        <f t="shared" si="162"/>
        <v>303665.47358539898</v>
      </c>
      <c r="BO107" s="254">
        <f t="shared" si="162"/>
        <v>305942.96463728941</v>
      </c>
      <c r="BP107" s="254">
        <f t="shared" si="162"/>
        <v>0</v>
      </c>
      <c r="BQ107" s="254">
        <f t="shared" si="162"/>
        <v>0</v>
      </c>
      <c r="BR107" s="254">
        <f t="shared" si="162"/>
        <v>0</v>
      </c>
      <c r="BS107" s="254">
        <f t="shared" si="162"/>
        <v>0</v>
      </c>
      <c r="BT107" s="254">
        <f t="shared" si="162"/>
        <v>0</v>
      </c>
      <c r="BU107" s="254">
        <f t="shared" si="162"/>
        <v>0</v>
      </c>
      <c r="BV107" s="254">
        <f t="shared" si="162"/>
        <v>0</v>
      </c>
      <c r="BX107" s="254">
        <f>SUM(BM107:BV107)</f>
        <v>835826.31243324804</v>
      </c>
    </row>
    <row r="108" spans="3:7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row>
    <row r="109" spans="3:76">
      <c r="C109" s="364" t="s">
        <v>641</v>
      </c>
      <c r="D109" s="364"/>
      <c r="E109" s="364"/>
      <c r="F109" s="364"/>
      <c r="G109" s="364"/>
      <c r="H109" s="364"/>
      <c r="I109" s="364"/>
      <c r="J109" s="364"/>
      <c r="K109" s="364"/>
      <c r="L109" s="364"/>
      <c r="M109" s="364"/>
      <c r="N109" s="364"/>
      <c r="O109" s="17"/>
      <c r="P109" s="17"/>
      <c r="Q109" s="17"/>
      <c r="R109" s="17"/>
      <c r="S109" s="17"/>
      <c r="T109" s="369"/>
      <c r="U109" s="369"/>
      <c r="V109" s="369"/>
      <c r="W109" s="369"/>
      <c r="X109" s="369"/>
      <c r="Y109" s="369"/>
      <c r="Z109" s="369"/>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17"/>
      <c r="AY109" s="17"/>
      <c r="AZ109" s="17"/>
      <c r="BA109" s="17"/>
      <c r="BB109" s="17"/>
      <c r="BC109" s="17"/>
      <c r="BD109" s="17"/>
      <c r="BE109" s="17"/>
      <c r="BF109" s="17"/>
      <c r="BG109" s="17"/>
      <c r="BM109" s="17"/>
      <c r="BN109" s="17"/>
      <c r="BO109" s="17"/>
      <c r="BP109" s="17"/>
      <c r="BQ109" s="17"/>
      <c r="BR109" s="17"/>
      <c r="BS109" s="17"/>
      <c r="BT109" s="17"/>
      <c r="BU109" s="17"/>
      <c r="BV109" s="17"/>
      <c r="BX109" s="17"/>
    </row>
    <row r="110" spans="3:76">
      <c r="C110" t="s">
        <v>411</v>
      </c>
      <c r="O110" s="1353" t="e">
        <f>-4*SUM(T110:BG110)/(SUM(T37:BG37)-SUM($T$55:$BG$55))</f>
        <v>#DIV/0!</v>
      </c>
      <c r="R110" s="392"/>
      <c r="S110" s="392"/>
      <c r="T110" s="403">
        <f>PCF!T364</f>
        <v>0</v>
      </c>
      <c r="U110" s="403">
        <f>PCF!U364</f>
        <v>0</v>
      </c>
      <c r="V110" s="403">
        <f>PCF!V364</f>
        <v>0</v>
      </c>
      <c r="W110" s="403">
        <f>PCF!W364</f>
        <v>0</v>
      </c>
      <c r="X110" s="403">
        <f>PCF!X364</f>
        <v>0</v>
      </c>
      <c r="Y110" s="403">
        <f>PCF!Y364</f>
        <v>0</v>
      </c>
      <c r="Z110" s="403">
        <f>PCF!Z364</f>
        <v>0</v>
      </c>
      <c r="AA110" s="403">
        <f>PCF!AA364</f>
        <v>0</v>
      </c>
      <c r="AB110" s="403">
        <f>PCF!AB364</f>
        <v>0</v>
      </c>
      <c r="AC110" s="403">
        <f>PCF!AC364</f>
        <v>0</v>
      </c>
      <c r="AD110" s="403">
        <f>PCF!AD364</f>
        <v>0</v>
      </c>
      <c r="AE110" s="403">
        <f>PCF!AE364</f>
        <v>0</v>
      </c>
      <c r="AF110" s="403">
        <f>PCF!AF364</f>
        <v>0</v>
      </c>
      <c r="AG110" s="403">
        <f>PCF!AG364</f>
        <v>0</v>
      </c>
      <c r="AH110" s="403">
        <f>PCF!AH364</f>
        <v>0</v>
      </c>
      <c r="AI110" s="403">
        <f>PCF!AI364</f>
        <v>0</v>
      </c>
      <c r="AJ110" s="403">
        <f>PCF!AJ364</f>
        <v>0</v>
      </c>
      <c r="AK110" s="403">
        <f>PCF!AK364</f>
        <v>0</v>
      </c>
      <c r="AL110" s="403">
        <f>PCF!AL364</f>
        <v>0</v>
      </c>
      <c r="AM110" s="403">
        <f>PCF!AM364</f>
        <v>0</v>
      </c>
      <c r="AN110" s="403">
        <f>PCF!AN364</f>
        <v>0</v>
      </c>
      <c r="AO110" s="403">
        <f>PCF!AO364</f>
        <v>0</v>
      </c>
      <c r="AP110" s="403">
        <f>PCF!AP364</f>
        <v>0</v>
      </c>
      <c r="AQ110" s="403">
        <f>PCF!AQ364</f>
        <v>0</v>
      </c>
      <c r="AR110" s="403">
        <f>PCF!AR364</f>
        <v>0</v>
      </c>
      <c r="AS110" s="403">
        <f>PCF!AS364</f>
        <v>0</v>
      </c>
      <c r="AT110" s="403">
        <f>PCF!AT364</f>
        <v>0</v>
      </c>
      <c r="AU110" s="403">
        <f>PCF!AU364</f>
        <v>0</v>
      </c>
      <c r="AV110" s="403">
        <f>PCF!AV364</f>
        <v>0</v>
      </c>
      <c r="AW110" s="403">
        <f>PCF!AW364</f>
        <v>0</v>
      </c>
      <c r="AX110" s="403">
        <f>PCF!AX364</f>
        <v>0</v>
      </c>
      <c r="AY110" s="403">
        <f>PCF!AY364</f>
        <v>0</v>
      </c>
      <c r="AZ110" s="403">
        <f>PCF!AZ364</f>
        <v>0</v>
      </c>
      <c r="BA110" s="403">
        <f>PCF!BA364</f>
        <v>0</v>
      </c>
      <c r="BB110" s="403">
        <f>PCF!BB364</f>
        <v>0</v>
      </c>
      <c r="BC110" s="403">
        <f>PCF!BC364</f>
        <v>0</v>
      </c>
      <c r="BD110" s="403">
        <f>PCF!BD364</f>
        <v>0</v>
      </c>
      <c r="BE110" s="403">
        <f>PCF!BE364</f>
        <v>0</v>
      </c>
      <c r="BF110" s="403">
        <f>PCF!BF364</f>
        <v>0</v>
      </c>
      <c r="BG110" s="403">
        <f>PCF!BG364</f>
        <v>0</v>
      </c>
      <c r="BI110" s="1068">
        <f t="shared" ref="BI110:BI115" si="165">SUM(T110:BG110)</f>
        <v>0</v>
      </c>
      <c r="BM110" s="310">
        <f t="shared" ref="BM110:BV115" si="166">SUMIF($T$8:$BG$8,BM$6,$T110:$BG110)</f>
        <v>0</v>
      </c>
      <c r="BN110" s="310">
        <f t="shared" si="166"/>
        <v>0</v>
      </c>
      <c r="BO110" s="310">
        <f t="shared" si="166"/>
        <v>0</v>
      </c>
      <c r="BP110" s="310">
        <f t="shared" si="166"/>
        <v>0</v>
      </c>
      <c r="BQ110" s="310">
        <f t="shared" si="166"/>
        <v>0</v>
      </c>
      <c r="BR110" s="310">
        <f t="shared" si="166"/>
        <v>0</v>
      </c>
      <c r="BS110" s="310">
        <f t="shared" si="166"/>
        <v>0</v>
      </c>
      <c r="BT110" s="310">
        <f t="shared" si="166"/>
        <v>0</v>
      </c>
      <c r="BU110" s="310">
        <f t="shared" si="166"/>
        <v>0</v>
      </c>
      <c r="BV110" s="310">
        <f t="shared" si="166"/>
        <v>0</v>
      </c>
      <c r="BX110" s="476">
        <f>SUM(BM110:BW110)</f>
        <v>0</v>
      </c>
    </row>
    <row r="111" spans="3:76">
      <c r="C111" t="s">
        <v>415</v>
      </c>
      <c r="O111" s="479">
        <f>-SUM(T111:BG111)/SUM($T$92:$BG$92)</f>
        <v>3.0585407081422475E-2</v>
      </c>
      <c r="R111" s="392"/>
      <c r="S111" s="392"/>
      <c r="T111" s="403">
        <f>PCF!T365</f>
        <v>-300.56092485464785</v>
      </c>
      <c r="U111" s="403">
        <f>PCF!U365</f>
        <v>-1304.8658934925074</v>
      </c>
      <c r="V111" s="403">
        <f>PCF!V365</f>
        <v>-2375.7766427732549</v>
      </c>
      <c r="W111" s="403">
        <f>PCF!W365</f>
        <v>-2380.21875</v>
      </c>
      <c r="X111" s="403">
        <f>PCF!X365</f>
        <v>-2384.6691628545796</v>
      </c>
      <c r="Y111" s="403">
        <f>PCF!Y365</f>
        <v>-2389.1278968664374</v>
      </c>
      <c r="Z111" s="403">
        <f>PCF!Z365</f>
        <v>-2393.5949675940537</v>
      </c>
      <c r="AA111" s="403">
        <f>PCF!AA365</f>
        <v>-2398.0703906249992</v>
      </c>
      <c r="AB111" s="403">
        <f>PCF!AB365</f>
        <v>-2402.554181575988</v>
      </c>
      <c r="AC111" s="403">
        <f>PCF!AC365</f>
        <v>-2407.0463560929347</v>
      </c>
      <c r="AD111" s="403">
        <f>PCF!AD365</f>
        <v>-2411.5469298510088</v>
      </c>
      <c r="AE111" s="403">
        <f>PCF!AE365</f>
        <v>-2416.0559185546854</v>
      </c>
      <c r="AF111" s="403">
        <f>PCF!AF365</f>
        <v>0</v>
      </c>
      <c r="AG111" s="403">
        <f>PCF!AG365</f>
        <v>0</v>
      </c>
      <c r="AH111" s="403">
        <f>PCF!AH365</f>
        <v>0</v>
      </c>
      <c r="AI111" s="403">
        <f>PCF!AI365</f>
        <v>0</v>
      </c>
      <c r="AJ111" s="403">
        <f>PCF!AJ365</f>
        <v>0</v>
      </c>
      <c r="AK111" s="403">
        <f>PCF!AK365</f>
        <v>0</v>
      </c>
      <c r="AL111" s="403">
        <f>PCF!AL365</f>
        <v>0</v>
      </c>
      <c r="AM111" s="403">
        <f>PCF!AM365</f>
        <v>0</v>
      </c>
      <c r="AN111" s="403">
        <f>PCF!AN365</f>
        <v>0</v>
      </c>
      <c r="AO111" s="403">
        <f>PCF!AO365</f>
        <v>0</v>
      </c>
      <c r="AP111" s="403">
        <f>PCF!AP365</f>
        <v>0</v>
      </c>
      <c r="AQ111" s="403">
        <f>PCF!AQ365</f>
        <v>0</v>
      </c>
      <c r="AR111" s="403">
        <f>PCF!AR365</f>
        <v>0</v>
      </c>
      <c r="AS111" s="403">
        <f>PCF!AS365</f>
        <v>0</v>
      </c>
      <c r="AT111" s="403">
        <f>PCF!AT365</f>
        <v>0</v>
      </c>
      <c r="AU111" s="403">
        <f>PCF!AU365</f>
        <v>0</v>
      </c>
      <c r="AV111" s="403">
        <f>PCF!AV365</f>
        <v>0</v>
      </c>
      <c r="AW111" s="403">
        <f>PCF!AW365</f>
        <v>0</v>
      </c>
      <c r="AX111" s="403">
        <f>PCF!AX365</f>
        <v>0</v>
      </c>
      <c r="AY111" s="403">
        <f>PCF!AY365</f>
        <v>0</v>
      </c>
      <c r="AZ111" s="403">
        <f>PCF!AZ365</f>
        <v>0</v>
      </c>
      <c r="BA111" s="403">
        <f>PCF!BA365</f>
        <v>0</v>
      </c>
      <c r="BB111" s="403">
        <f>PCF!BB365</f>
        <v>0</v>
      </c>
      <c r="BC111" s="403">
        <f>PCF!BC365</f>
        <v>0</v>
      </c>
      <c r="BD111" s="403">
        <f>PCF!BD365</f>
        <v>0</v>
      </c>
      <c r="BE111" s="403">
        <f>PCF!BE365</f>
        <v>0</v>
      </c>
      <c r="BF111" s="403">
        <f>PCF!BF365</f>
        <v>0</v>
      </c>
      <c r="BG111" s="403">
        <f>PCF!BG365</f>
        <v>0</v>
      </c>
      <c r="BI111" s="476">
        <f t="shared" si="165"/>
        <v>-25564.088015135098</v>
      </c>
      <c r="BM111" s="310">
        <f t="shared" si="166"/>
        <v>-6361.4222111204108</v>
      </c>
      <c r="BN111" s="310">
        <f t="shared" si="166"/>
        <v>-9565.4624179400707</v>
      </c>
      <c r="BO111" s="310">
        <f t="shared" si="166"/>
        <v>-9637.203386074616</v>
      </c>
      <c r="BP111" s="310">
        <f t="shared" si="166"/>
        <v>0</v>
      </c>
      <c r="BQ111" s="310">
        <f t="shared" si="166"/>
        <v>0</v>
      </c>
      <c r="BR111" s="310">
        <f t="shared" si="166"/>
        <v>0</v>
      </c>
      <c r="BS111" s="310">
        <f t="shared" si="166"/>
        <v>0</v>
      </c>
      <c r="BT111" s="310">
        <f t="shared" si="166"/>
        <v>0</v>
      </c>
      <c r="BU111" s="310">
        <f t="shared" si="166"/>
        <v>0</v>
      </c>
      <c r="BV111" s="310">
        <f t="shared" si="166"/>
        <v>0</v>
      </c>
      <c r="BX111" s="476">
        <f t="shared" ref="BX111:BX112" si="167">SUM(BM111:BW111)</f>
        <v>-25564.088015135098</v>
      </c>
    </row>
    <row r="112" spans="3:76">
      <c r="C112" t="s">
        <v>417</v>
      </c>
      <c r="O112" s="1353">
        <f>-4*SUM(T112:BG112)/SUM(T55:BG55)</f>
        <v>4.248309760712301</v>
      </c>
      <c r="R112" s="392"/>
      <c r="S112" s="392"/>
      <c r="T112" s="403">
        <f>PCF!T366</f>
        <v>-1306.451811045165</v>
      </c>
      <c r="U112" s="403">
        <f>PCF!U366</f>
        <v>-2474.3787098987095</v>
      </c>
      <c r="V112" s="403">
        <f>PCF!V366</f>
        <v>-3057.5754622011896</v>
      </c>
      <c r="W112" s="403">
        <f>PCF!W366</f>
        <v>-3072.7500000000005</v>
      </c>
      <c r="X112" s="403">
        <f>PCF!X366</f>
        <v>-3087.9998479915625</v>
      </c>
      <c r="Y112" s="403">
        <f>PCF!Y366</f>
        <v>-3103.3253799352087</v>
      </c>
      <c r="Z112" s="403">
        <f>PCF!Z366</f>
        <v>-3118.7269714452145</v>
      </c>
      <c r="AA112" s="403">
        <f>PCF!AA366</f>
        <v>-3134.2050000000027</v>
      </c>
      <c r="AB112" s="403">
        <f>PCF!AB366</f>
        <v>-3149.7598449513957</v>
      </c>
      <c r="AC112" s="403">
        <f>PCF!AC366</f>
        <v>-3165.3918875339141</v>
      </c>
      <c r="AD112" s="403">
        <f>PCF!AD366</f>
        <v>-3181.1015108741194</v>
      </c>
      <c r="AE112" s="403">
        <f>PCF!AE366</f>
        <v>-3196.8891000000035</v>
      </c>
      <c r="AF112" s="403">
        <f>PCF!AF366</f>
        <v>0</v>
      </c>
      <c r="AG112" s="403">
        <f>PCF!AG366</f>
        <v>0</v>
      </c>
      <c r="AH112" s="403">
        <f>PCF!AH366</f>
        <v>0</v>
      </c>
      <c r="AI112" s="403">
        <f>PCF!AI366</f>
        <v>0</v>
      </c>
      <c r="AJ112" s="403">
        <f>PCF!AJ366</f>
        <v>0</v>
      </c>
      <c r="AK112" s="403">
        <f>PCF!AK366</f>
        <v>0</v>
      </c>
      <c r="AL112" s="403">
        <f>PCF!AL366</f>
        <v>0</v>
      </c>
      <c r="AM112" s="403">
        <f>PCF!AM366</f>
        <v>0</v>
      </c>
      <c r="AN112" s="403">
        <f>PCF!AN366</f>
        <v>0</v>
      </c>
      <c r="AO112" s="403">
        <f>PCF!AO366</f>
        <v>0</v>
      </c>
      <c r="AP112" s="403">
        <f>PCF!AP366</f>
        <v>0</v>
      </c>
      <c r="AQ112" s="403">
        <f>PCF!AQ366</f>
        <v>0</v>
      </c>
      <c r="AR112" s="403">
        <f>PCF!AR366</f>
        <v>0</v>
      </c>
      <c r="AS112" s="403">
        <f>PCF!AS366</f>
        <v>0</v>
      </c>
      <c r="AT112" s="403">
        <f>PCF!AT366</f>
        <v>0</v>
      </c>
      <c r="AU112" s="403">
        <f>PCF!AU366</f>
        <v>0</v>
      </c>
      <c r="AV112" s="403">
        <f>PCF!AV366</f>
        <v>0</v>
      </c>
      <c r="AW112" s="403">
        <f>PCF!AW366</f>
        <v>0</v>
      </c>
      <c r="AX112" s="403">
        <f>PCF!AX366</f>
        <v>0</v>
      </c>
      <c r="AY112" s="403">
        <f>PCF!AY366</f>
        <v>0</v>
      </c>
      <c r="AZ112" s="403">
        <f>PCF!AZ366</f>
        <v>0</v>
      </c>
      <c r="BA112" s="403">
        <f>PCF!BA366</f>
        <v>0</v>
      </c>
      <c r="BB112" s="403">
        <f>PCF!BB366</f>
        <v>0</v>
      </c>
      <c r="BC112" s="403">
        <f>PCF!BC366</f>
        <v>0</v>
      </c>
      <c r="BD112" s="403">
        <f>PCF!BD366</f>
        <v>0</v>
      </c>
      <c r="BE112" s="403">
        <f>PCF!BE366</f>
        <v>0</v>
      </c>
      <c r="BF112" s="403">
        <f>PCF!BF366</f>
        <v>0</v>
      </c>
      <c r="BG112" s="403">
        <f>PCF!BG366</f>
        <v>0</v>
      </c>
      <c r="BI112" s="476">
        <f t="shared" si="165"/>
        <v>-35048.555525876487</v>
      </c>
      <c r="BM112" s="310">
        <f t="shared" si="166"/>
        <v>-9911.155983145065</v>
      </c>
      <c r="BN112" s="310">
        <f t="shared" si="166"/>
        <v>-12444.257199371987</v>
      </c>
      <c r="BO112" s="310">
        <f t="shared" si="166"/>
        <v>-12693.142343359434</v>
      </c>
      <c r="BP112" s="310">
        <f t="shared" si="166"/>
        <v>0</v>
      </c>
      <c r="BQ112" s="310">
        <f t="shared" si="166"/>
        <v>0</v>
      </c>
      <c r="BR112" s="310">
        <f t="shared" si="166"/>
        <v>0</v>
      </c>
      <c r="BS112" s="310">
        <f t="shared" si="166"/>
        <v>0</v>
      </c>
      <c r="BT112" s="310">
        <f t="shared" si="166"/>
        <v>0</v>
      </c>
      <c r="BU112" s="310">
        <f t="shared" si="166"/>
        <v>0</v>
      </c>
      <c r="BV112" s="310">
        <f t="shared" si="166"/>
        <v>0</v>
      </c>
      <c r="BX112" s="476">
        <f t="shared" si="167"/>
        <v>-35048.555525876487</v>
      </c>
    </row>
    <row r="113" spans="3:76">
      <c r="C113" t="s">
        <v>642</v>
      </c>
      <c r="O113" s="479">
        <f>-SUM(T113:BG113)/SUM($T$92:$BG$92)</f>
        <v>1.3819977207301408E-2</v>
      </c>
      <c r="R113" s="392"/>
      <c r="S113" s="392"/>
      <c r="T113" s="403">
        <f>PCF!T367</f>
        <v>-300.56092485464785</v>
      </c>
      <c r="U113" s="403">
        <f>PCF!U367</f>
        <v>-602.24579699654191</v>
      </c>
      <c r="V113" s="403">
        <f>PCF!V367</f>
        <v>-1055.9007301214467</v>
      </c>
      <c r="W113" s="403">
        <f>PCF!W367</f>
        <v>-1057.8749999999998</v>
      </c>
      <c r="X113" s="403">
        <f>PCF!X367</f>
        <v>-1059.8529612687018</v>
      </c>
      <c r="Y113" s="403">
        <f>PCF!Y367</f>
        <v>-1061.8346208295277</v>
      </c>
      <c r="Z113" s="403">
        <f>PCF!Z367</f>
        <v>-1063.8199855973571</v>
      </c>
      <c r="AA113" s="403">
        <f>PCF!AA367</f>
        <v>-1065.8090624999995</v>
      </c>
      <c r="AB113" s="403">
        <f>PCF!AB367</f>
        <v>-1067.8018584782167</v>
      </c>
      <c r="AC113" s="403">
        <f>PCF!AC367</f>
        <v>-1069.7983804857488</v>
      </c>
      <c r="AD113" s="403">
        <f>PCF!AD367</f>
        <v>-1071.7986354893369</v>
      </c>
      <c r="AE113" s="403">
        <f>PCF!AE367</f>
        <v>-1073.8026304687492</v>
      </c>
      <c r="AF113" s="403">
        <f>PCF!AF367</f>
        <v>0</v>
      </c>
      <c r="AG113" s="403">
        <f>PCF!AG367</f>
        <v>0</v>
      </c>
      <c r="AH113" s="403">
        <f>PCF!AH367</f>
        <v>0</v>
      </c>
      <c r="AI113" s="403">
        <f>PCF!AI367</f>
        <v>0</v>
      </c>
      <c r="AJ113" s="403">
        <f>PCF!AJ367</f>
        <v>0</v>
      </c>
      <c r="AK113" s="403">
        <f>PCF!AK367</f>
        <v>0</v>
      </c>
      <c r="AL113" s="403">
        <f>PCF!AL367</f>
        <v>0</v>
      </c>
      <c r="AM113" s="403">
        <f>PCF!AM367</f>
        <v>0</v>
      </c>
      <c r="AN113" s="403">
        <f>PCF!AN367</f>
        <v>0</v>
      </c>
      <c r="AO113" s="403">
        <f>PCF!AO367</f>
        <v>0</v>
      </c>
      <c r="AP113" s="403">
        <f>PCF!AP367</f>
        <v>0</v>
      </c>
      <c r="AQ113" s="403">
        <f>PCF!AQ367</f>
        <v>0</v>
      </c>
      <c r="AR113" s="403">
        <f>PCF!AR367</f>
        <v>0</v>
      </c>
      <c r="AS113" s="403">
        <f>PCF!AS367</f>
        <v>0</v>
      </c>
      <c r="AT113" s="403">
        <f>PCF!AT367</f>
        <v>0</v>
      </c>
      <c r="AU113" s="403">
        <f>PCF!AU367</f>
        <v>0</v>
      </c>
      <c r="AV113" s="403">
        <f>PCF!AV367</f>
        <v>0</v>
      </c>
      <c r="AW113" s="403">
        <f>PCF!AW367</f>
        <v>0</v>
      </c>
      <c r="AX113" s="403">
        <f>PCF!AX367</f>
        <v>0</v>
      </c>
      <c r="AY113" s="403">
        <f>PCF!AY367</f>
        <v>0</v>
      </c>
      <c r="AZ113" s="403">
        <f>PCF!AZ367</f>
        <v>0</v>
      </c>
      <c r="BA113" s="403">
        <f>PCF!BA367</f>
        <v>0</v>
      </c>
      <c r="BB113" s="403">
        <f>PCF!BB367</f>
        <v>0</v>
      </c>
      <c r="BC113" s="403">
        <f>PCF!BC367</f>
        <v>0</v>
      </c>
      <c r="BD113" s="403">
        <f>PCF!BD367</f>
        <v>0</v>
      </c>
      <c r="BE113" s="403">
        <f>PCF!BE367</f>
        <v>0</v>
      </c>
      <c r="BF113" s="403">
        <f>PCF!BF367</f>
        <v>0</v>
      </c>
      <c r="BG113" s="403">
        <f>PCF!BG367</f>
        <v>0</v>
      </c>
      <c r="BI113" s="476">
        <f t="shared" si="165"/>
        <v>-11551.100587090274</v>
      </c>
      <c r="BM113" s="310">
        <f t="shared" si="166"/>
        <v>-3016.5824519726366</v>
      </c>
      <c r="BN113" s="310">
        <f t="shared" si="166"/>
        <v>-4251.3166301955862</v>
      </c>
      <c r="BO113" s="310">
        <f t="shared" si="166"/>
        <v>-4283.2015049220518</v>
      </c>
      <c r="BP113" s="310">
        <f t="shared" si="166"/>
        <v>0</v>
      </c>
      <c r="BQ113" s="310">
        <f t="shared" si="166"/>
        <v>0</v>
      </c>
      <c r="BR113" s="310">
        <f t="shared" si="166"/>
        <v>0</v>
      </c>
      <c r="BS113" s="310">
        <f t="shared" si="166"/>
        <v>0</v>
      </c>
      <c r="BT113" s="310">
        <f t="shared" si="166"/>
        <v>0</v>
      </c>
      <c r="BU113" s="310">
        <f t="shared" si="166"/>
        <v>0</v>
      </c>
      <c r="BV113" s="310">
        <f t="shared" si="166"/>
        <v>0</v>
      </c>
      <c r="BX113" s="476">
        <f t="shared" ref="BX113:BX114" si="168">SUM(BM113:BW113)</f>
        <v>-11551.100587090274</v>
      </c>
    </row>
    <row r="114" spans="3:76">
      <c r="C114" t="s">
        <v>424</v>
      </c>
      <c r="O114" s="21"/>
      <c r="R114" s="392"/>
      <c r="S114" s="392"/>
      <c r="T114" s="403">
        <f>PCF!T368</f>
        <v>0</v>
      </c>
      <c r="U114" s="403">
        <f>PCF!U368</f>
        <v>0</v>
      </c>
      <c r="V114" s="403">
        <f>PCF!V368</f>
        <v>0</v>
      </c>
      <c r="W114" s="403">
        <f>PCF!W368</f>
        <v>0</v>
      </c>
      <c r="X114" s="403">
        <f>PCF!X368</f>
        <v>0</v>
      </c>
      <c r="Y114" s="403">
        <f>PCF!Y368</f>
        <v>0</v>
      </c>
      <c r="Z114" s="403">
        <f>PCF!Z368</f>
        <v>0</v>
      </c>
      <c r="AA114" s="403">
        <f>PCF!AA368</f>
        <v>0</v>
      </c>
      <c r="AB114" s="403">
        <f>PCF!AB368</f>
        <v>0</v>
      </c>
      <c r="AC114" s="403">
        <f>PCF!AC368</f>
        <v>0</v>
      </c>
      <c r="AD114" s="403">
        <f>PCF!AD368</f>
        <v>0</v>
      </c>
      <c r="AE114" s="403">
        <f>PCF!AE368</f>
        <v>0</v>
      </c>
      <c r="AF114" s="403">
        <f>PCF!AF368</f>
        <v>0</v>
      </c>
      <c r="AG114" s="403">
        <f>PCF!AG368</f>
        <v>0</v>
      </c>
      <c r="AH114" s="403">
        <f>PCF!AH368</f>
        <v>0</v>
      </c>
      <c r="AI114" s="403">
        <f>PCF!AI368</f>
        <v>0</v>
      </c>
      <c r="AJ114" s="403">
        <f>PCF!AJ368</f>
        <v>0</v>
      </c>
      <c r="AK114" s="403">
        <f>PCF!AK368</f>
        <v>0</v>
      </c>
      <c r="AL114" s="403">
        <f>PCF!AL368</f>
        <v>0</v>
      </c>
      <c r="AM114" s="403">
        <f>PCF!AM368</f>
        <v>0</v>
      </c>
      <c r="AN114" s="403">
        <f>PCF!AN368</f>
        <v>0</v>
      </c>
      <c r="AO114" s="403">
        <f>PCF!AO368</f>
        <v>0</v>
      </c>
      <c r="AP114" s="403">
        <f>PCF!AP368</f>
        <v>0</v>
      </c>
      <c r="AQ114" s="403">
        <f>PCF!AQ368</f>
        <v>0</v>
      </c>
      <c r="AR114" s="403">
        <f>PCF!AR368</f>
        <v>0</v>
      </c>
      <c r="AS114" s="403">
        <f>PCF!AS368</f>
        <v>0</v>
      </c>
      <c r="AT114" s="403">
        <f>PCF!AT368</f>
        <v>0</v>
      </c>
      <c r="AU114" s="403">
        <f>PCF!AU368</f>
        <v>0</v>
      </c>
      <c r="AV114" s="403">
        <f>PCF!AV368</f>
        <v>0</v>
      </c>
      <c r="AW114" s="403">
        <f>PCF!AW368</f>
        <v>0</v>
      </c>
      <c r="AX114" s="403">
        <f>PCF!AX368</f>
        <v>0</v>
      </c>
      <c r="AY114" s="403">
        <f>PCF!AY368</f>
        <v>0</v>
      </c>
      <c r="AZ114" s="403">
        <f>PCF!AZ368</f>
        <v>0</v>
      </c>
      <c r="BA114" s="403">
        <f>PCF!BA368</f>
        <v>0</v>
      </c>
      <c r="BB114" s="403">
        <f>PCF!BB368</f>
        <v>0</v>
      </c>
      <c r="BC114" s="403">
        <f>PCF!BC368</f>
        <v>0</v>
      </c>
      <c r="BD114" s="403">
        <f>PCF!BD368</f>
        <v>0</v>
      </c>
      <c r="BE114" s="403">
        <f>PCF!BE368</f>
        <v>0</v>
      </c>
      <c r="BF114" s="403">
        <f>PCF!BF368</f>
        <v>0</v>
      </c>
      <c r="BG114" s="403">
        <f>PCF!BG368</f>
        <v>0</v>
      </c>
      <c r="BI114" s="1069">
        <f t="shared" si="165"/>
        <v>0</v>
      </c>
      <c r="BM114" s="310">
        <f t="shared" si="166"/>
        <v>0</v>
      </c>
      <c r="BN114" s="310">
        <f t="shared" si="166"/>
        <v>0</v>
      </c>
      <c r="BO114" s="310">
        <f t="shared" si="166"/>
        <v>0</v>
      </c>
      <c r="BP114" s="310">
        <f t="shared" si="166"/>
        <v>0</v>
      </c>
      <c r="BQ114" s="310">
        <f t="shared" si="166"/>
        <v>0</v>
      </c>
      <c r="BR114" s="310">
        <f t="shared" si="166"/>
        <v>0</v>
      </c>
      <c r="BS114" s="310">
        <f t="shared" si="166"/>
        <v>0</v>
      </c>
      <c r="BT114" s="310">
        <f t="shared" si="166"/>
        <v>0</v>
      </c>
      <c r="BU114" s="310">
        <f t="shared" si="166"/>
        <v>0</v>
      </c>
      <c r="BV114" s="310">
        <f t="shared" si="166"/>
        <v>0</v>
      </c>
      <c r="BX114" s="476">
        <f t="shared" si="168"/>
        <v>0</v>
      </c>
    </row>
    <row r="115" spans="3:76">
      <c r="C115" s="253" t="s">
        <v>643</v>
      </c>
      <c r="D115" s="253"/>
      <c r="E115" s="253"/>
      <c r="F115" s="253"/>
      <c r="G115" s="253"/>
      <c r="H115" s="253"/>
      <c r="I115" s="253"/>
      <c r="J115" s="253"/>
      <c r="K115" s="253"/>
      <c r="L115" s="253"/>
      <c r="M115" s="253"/>
      <c r="N115" s="253"/>
      <c r="O115" s="253"/>
      <c r="P115" s="253"/>
      <c r="Q115" s="253"/>
      <c r="R115" s="401"/>
      <c r="S115" s="401"/>
      <c r="T115" s="254">
        <f>SUM(T110:T114)</f>
        <v>-1907.5736607544609</v>
      </c>
      <c r="U115" s="254">
        <f>SUM(U110:U114)</f>
        <v>-4381.4904003877591</v>
      </c>
      <c r="V115" s="254">
        <f t="shared" ref="V115:BG115" si="169">SUM(V110:V114)</f>
        <v>-6489.2528350958919</v>
      </c>
      <c r="W115" s="254">
        <f t="shared" si="169"/>
        <v>-6510.84375</v>
      </c>
      <c r="X115" s="254">
        <f t="shared" si="169"/>
        <v>-6532.5219721148442</v>
      </c>
      <c r="Y115" s="254">
        <f t="shared" si="169"/>
        <v>-6554.287897631174</v>
      </c>
      <c r="Z115" s="254">
        <f t="shared" si="169"/>
        <v>-6576.1419246366249</v>
      </c>
      <c r="AA115" s="254">
        <f t="shared" si="169"/>
        <v>-6598.0844531250013</v>
      </c>
      <c r="AB115" s="254">
        <f t="shared" si="169"/>
        <v>-6620.1158850055999</v>
      </c>
      <c r="AC115" s="254">
        <f t="shared" si="169"/>
        <v>-6642.2366241125974</v>
      </c>
      <c r="AD115" s="254">
        <f t="shared" si="169"/>
        <v>-6664.4470762144647</v>
      </c>
      <c r="AE115" s="254">
        <f t="shared" si="169"/>
        <v>-6686.7476490234376</v>
      </c>
      <c r="AF115" s="254">
        <f t="shared" si="169"/>
        <v>0</v>
      </c>
      <c r="AG115" s="254">
        <f t="shared" si="169"/>
        <v>0</v>
      </c>
      <c r="AH115" s="254">
        <f t="shared" si="169"/>
        <v>0</v>
      </c>
      <c r="AI115" s="254">
        <f t="shared" si="169"/>
        <v>0</v>
      </c>
      <c r="AJ115" s="254">
        <f t="shared" si="169"/>
        <v>0</v>
      </c>
      <c r="AK115" s="254">
        <f t="shared" si="169"/>
        <v>0</v>
      </c>
      <c r="AL115" s="254">
        <f t="shared" si="169"/>
        <v>0</v>
      </c>
      <c r="AM115" s="254">
        <f t="shared" si="169"/>
        <v>0</v>
      </c>
      <c r="AN115" s="254">
        <f t="shared" si="169"/>
        <v>0</v>
      </c>
      <c r="AO115" s="254">
        <f t="shared" si="169"/>
        <v>0</v>
      </c>
      <c r="AP115" s="254">
        <f t="shared" si="169"/>
        <v>0</v>
      </c>
      <c r="AQ115" s="254">
        <f t="shared" si="169"/>
        <v>0</v>
      </c>
      <c r="AR115" s="254">
        <f t="shared" si="169"/>
        <v>0</v>
      </c>
      <c r="AS115" s="254">
        <f t="shared" si="169"/>
        <v>0</v>
      </c>
      <c r="AT115" s="254">
        <f t="shared" si="169"/>
        <v>0</v>
      </c>
      <c r="AU115" s="254">
        <f t="shared" si="169"/>
        <v>0</v>
      </c>
      <c r="AV115" s="254">
        <f t="shared" si="169"/>
        <v>0</v>
      </c>
      <c r="AW115" s="254">
        <f t="shared" si="169"/>
        <v>0</v>
      </c>
      <c r="AX115" s="254">
        <f t="shared" si="169"/>
        <v>0</v>
      </c>
      <c r="AY115" s="254">
        <f t="shared" si="169"/>
        <v>0</v>
      </c>
      <c r="AZ115" s="254">
        <f t="shared" si="169"/>
        <v>0</v>
      </c>
      <c r="BA115" s="254">
        <f t="shared" si="169"/>
        <v>0</v>
      </c>
      <c r="BB115" s="254">
        <f t="shared" si="169"/>
        <v>0</v>
      </c>
      <c r="BC115" s="254">
        <f t="shared" si="169"/>
        <v>0</v>
      </c>
      <c r="BD115" s="254">
        <f t="shared" si="169"/>
        <v>0</v>
      </c>
      <c r="BE115" s="254">
        <f t="shared" si="169"/>
        <v>0</v>
      </c>
      <c r="BF115" s="254">
        <f t="shared" si="169"/>
        <v>0</v>
      </c>
      <c r="BG115" s="254">
        <f t="shared" si="169"/>
        <v>0</v>
      </c>
      <c r="BI115" s="254">
        <f t="shared" si="165"/>
        <v>-72163.744128101855</v>
      </c>
      <c r="BK115" s="257" t="b">
        <f>ROUND(BI115,GA!$G$112)=ROUND(BX115,GA!$G$112)</f>
        <v>1</v>
      </c>
      <c r="BM115" s="254">
        <f t="shared" si="166"/>
        <v>-19289.160646238113</v>
      </c>
      <c r="BN115" s="254">
        <f t="shared" si="166"/>
        <v>-26261.036247507644</v>
      </c>
      <c r="BO115" s="254">
        <f t="shared" si="166"/>
        <v>-26613.547234356101</v>
      </c>
      <c r="BP115" s="254">
        <f t="shared" si="166"/>
        <v>0</v>
      </c>
      <c r="BQ115" s="254">
        <f t="shared" si="166"/>
        <v>0</v>
      </c>
      <c r="BR115" s="254">
        <f t="shared" si="166"/>
        <v>0</v>
      </c>
      <c r="BS115" s="254">
        <f t="shared" si="166"/>
        <v>0</v>
      </c>
      <c r="BT115" s="254">
        <f t="shared" si="166"/>
        <v>0</v>
      </c>
      <c r="BU115" s="254">
        <f t="shared" si="166"/>
        <v>0</v>
      </c>
      <c r="BV115" s="254">
        <f t="shared" si="166"/>
        <v>0</v>
      </c>
      <c r="BX115" s="254">
        <f>SUM(BM115:BV115)</f>
        <v>-72163.744128101855</v>
      </c>
    </row>
    <row r="116" spans="3:76">
      <c r="C116" s="398" t="s">
        <v>647</v>
      </c>
      <c r="D116" s="398"/>
      <c r="E116" s="398"/>
      <c r="F116" s="398"/>
      <c r="G116" s="398"/>
      <c r="H116" s="398"/>
      <c r="I116" s="398"/>
      <c r="J116" s="398"/>
      <c r="K116" s="398"/>
      <c r="L116" s="398"/>
      <c r="M116" s="398"/>
      <c r="N116" s="398"/>
      <c r="T116" s="1077">
        <f>-IFERROR(T115/T107,0)</f>
        <v>7.6160545287527415E-2</v>
      </c>
      <c r="U116" s="1077">
        <f>-IFERROR(U115/U107,0)</f>
        <v>8.7303033191537593E-2</v>
      </c>
      <c r="V116" s="1077">
        <f t="shared" ref="V116:BG116" si="170">-IFERROR(V115/V107,0)</f>
        <v>8.6039849296148538E-2</v>
      </c>
      <c r="W116" s="1077">
        <f t="shared" si="170"/>
        <v>8.6165012406947905E-2</v>
      </c>
      <c r="X116" s="1077">
        <f t="shared" si="170"/>
        <v>8.6290561947509045E-2</v>
      </c>
      <c r="Y116" s="1077">
        <f t="shared" si="170"/>
        <v>8.6416499110898784E-2</v>
      </c>
      <c r="Z116" s="1077">
        <f t="shared" si="170"/>
        <v>8.6542825093867529E-2</v>
      </c>
      <c r="AA116" s="1077">
        <f t="shared" si="170"/>
        <v>8.6669541096860453E-2</v>
      </c>
      <c r="AB116" s="1077">
        <f t="shared" si="170"/>
        <v>8.6796648324029016E-2</v>
      </c>
      <c r="AC116" s="1077">
        <f t="shared" si="170"/>
        <v>8.6924147983242467E-2</v>
      </c>
      <c r="AD116" s="1077">
        <f t="shared" si="170"/>
        <v>8.7052041286099155E-2</v>
      </c>
      <c r="AE116" s="1077">
        <f t="shared" si="170"/>
        <v>8.7180329447938146E-2</v>
      </c>
      <c r="AF116" s="1077">
        <f t="shared" si="170"/>
        <v>0</v>
      </c>
      <c r="AG116" s="1077">
        <f t="shared" si="170"/>
        <v>0</v>
      </c>
      <c r="AH116" s="1077">
        <f t="shared" si="170"/>
        <v>0</v>
      </c>
      <c r="AI116" s="1077">
        <f t="shared" si="170"/>
        <v>0</v>
      </c>
      <c r="AJ116" s="1077">
        <f t="shared" si="170"/>
        <v>0</v>
      </c>
      <c r="AK116" s="1077">
        <f t="shared" si="170"/>
        <v>0</v>
      </c>
      <c r="AL116" s="1077">
        <f t="shared" si="170"/>
        <v>0</v>
      </c>
      <c r="AM116" s="1077">
        <f t="shared" si="170"/>
        <v>0</v>
      </c>
      <c r="AN116" s="1077">
        <f t="shared" si="170"/>
        <v>0</v>
      </c>
      <c r="AO116" s="1077">
        <f t="shared" si="170"/>
        <v>0</v>
      </c>
      <c r="AP116" s="1077">
        <f t="shared" si="170"/>
        <v>0</v>
      </c>
      <c r="AQ116" s="1077">
        <f t="shared" si="170"/>
        <v>0</v>
      </c>
      <c r="AR116" s="1077">
        <f t="shared" si="170"/>
        <v>0</v>
      </c>
      <c r="AS116" s="1077">
        <f t="shared" si="170"/>
        <v>0</v>
      </c>
      <c r="AT116" s="1077">
        <f t="shared" si="170"/>
        <v>0</v>
      </c>
      <c r="AU116" s="1077">
        <f t="shared" si="170"/>
        <v>0</v>
      </c>
      <c r="AV116" s="1077">
        <f t="shared" si="170"/>
        <v>0</v>
      </c>
      <c r="AW116" s="1077">
        <f t="shared" si="170"/>
        <v>0</v>
      </c>
      <c r="AX116" s="1077">
        <f t="shared" si="170"/>
        <v>0</v>
      </c>
      <c r="AY116" s="1077">
        <f t="shared" si="170"/>
        <v>0</v>
      </c>
      <c r="AZ116" s="1077">
        <f t="shared" si="170"/>
        <v>0</v>
      </c>
      <c r="BA116" s="1077">
        <f t="shared" si="170"/>
        <v>0</v>
      </c>
      <c r="BB116" s="1077">
        <f t="shared" si="170"/>
        <v>0</v>
      </c>
      <c r="BC116" s="1077">
        <f t="shared" si="170"/>
        <v>0</v>
      </c>
      <c r="BD116" s="1077">
        <f t="shared" si="170"/>
        <v>0</v>
      </c>
      <c r="BE116" s="1077">
        <f t="shared" si="170"/>
        <v>0</v>
      </c>
      <c r="BF116" s="1077">
        <f t="shared" si="170"/>
        <v>0</v>
      </c>
      <c r="BG116" s="1077">
        <f t="shared" si="170"/>
        <v>0</v>
      </c>
      <c r="BI116" s="39" t="s">
        <v>153</v>
      </c>
      <c r="BM116" s="1077">
        <f>-IFERROR(BM115/BM107,0)</f>
        <v>8.5268066078121221E-2</v>
      </c>
      <c r="BN116" s="1077">
        <f t="shared" ref="BN116:BV116" si="171">-IFERROR(BN115/BN107,0)</f>
        <v>8.6480151784928974E-2</v>
      </c>
      <c r="BO116" s="1077">
        <f t="shared" si="171"/>
        <v>8.6988590392682461E-2</v>
      </c>
      <c r="BP116" s="1077">
        <f t="shared" si="171"/>
        <v>0</v>
      </c>
      <c r="BQ116" s="1077">
        <f t="shared" si="171"/>
        <v>0</v>
      </c>
      <c r="BR116" s="1077">
        <f t="shared" si="171"/>
        <v>0</v>
      </c>
      <c r="BS116" s="1077">
        <f t="shared" si="171"/>
        <v>0</v>
      </c>
      <c r="BT116" s="1077">
        <f t="shared" si="171"/>
        <v>0</v>
      </c>
      <c r="BU116" s="1077">
        <f t="shared" si="171"/>
        <v>0</v>
      </c>
      <c r="BV116" s="1077">
        <f t="shared" si="171"/>
        <v>0</v>
      </c>
      <c r="BX116" s="476" t="s">
        <v>153</v>
      </c>
    </row>
    <row r="118" spans="3:76">
      <c r="C118" s="253" t="s">
        <v>644</v>
      </c>
      <c r="D118" s="253"/>
      <c r="E118" s="253"/>
      <c r="F118" s="253"/>
      <c r="G118" s="253"/>
      <c r="H118" s="253"/>
      <c r="I118" s="253"/>
      <c r="J118" s="253"/>
      <c r="K118" s="253"/>
      <c r="L118" s="253"/>
      <c r="M118" s="253"/>
      <c r="N118" s="253"/>
      <c r="O118" s="268"/>
      <c r="P118" s="268"/>
      <c r="Q118" s="268"/>
      <c r="R118" s="153"/>
      <c r="S118" s="153"/>
      <c r="T118" s="254">
        <f>+T107+T115</f>
        <v>23139.170077132861</v>
      </c>
      <c r="U118" s="254">
        <f>+U107+U115</f>
        <v>45805.659349324065</v>
      </c>
      <c r="V118" s="254">
        <f t="shared" ref="V118:BG118" si="172">+V107+V115</f>
        <v>68932.227887864588</v>
      </c>
      <c r="W118" s="254">
        <f t="shared" si="172"/>
        <v>69051.656249999985</v>
      </c>
      <c r="X118" s="254">
        <f t="shared" si="172"/>
        <v>69171.260975649566</v>
      </c>
      <c r="Y118" s="254">
        <f t="shared" si="172"/>
        <v>69291.042161620804</v>
      </c>
      <c r="Z118" s="254">
        <f t="shared" si="172"/>
        <v>69410.999903746022</v>
      </c>
      <c r="AA118" s="254">
        <f t="shared" si="172"/>
        <v>69531.134296874967</v>
      </c>
      <c r="AB118" s="254">
        <f t="shared" si="172"/>
        <v>69651.445434867041</v>
      </c>
      <c r="AC118" s="254">
        <f t="shared" si="172"/>
        <v>69771.933410583748</v>
      </c>
      <c r="AD118" s="254">
        <f t="shared" si="172"/>
        <v>69892.598315881041</v>
      </c>
      <c r="AE118" s="254">
        <f t="shared" si="172"/>
        <v>70013.440241601493</v>
      </c>
      <c r="AF118" s="254">
        <f t="shared" si="172"/>
        <v>0</v>
      </c>
      <c r="AG118" s="254">
        <f t="shared" si="172"/>
        <v>0</v>
      </c>
      <c r="AH118" s="254">
        <f t="shared" si="172"/>
        <v>0</v>
      </c>
      <c r="AI118" s="254">
        <f t="shared" si="172"/>
        <v>0</v>
      </c>
      <c r="AJ118" s="254">
        <f t="shared" si="172"/>
        <v>0</v>
      </c>
      <c r="AK118" s="254">
        <f t="shared" si="172"/>
        <v>0</v>
      </c>
      <c r="AL118" s="254">
        <f t="shared" si="172"/>
        <v>0</v>
      </c>
      <c r="AM118" s="254">
        <f t="shared" si="172"/>
        <v>0</v>
      </c>
      <c r="AN118" s="254">
        <f t="shared" si="172"/>
        <v>0</v>
      </c>
      <c r="AO118" s="254">
        <f t="shared" si="172"/>
        <v>0</v>
      </c>
      <c r="AP118" s="254">
        <f t="shared" si="172"/>
        <v>0</v>
      </c>
      <c r="AQ118" s="254">
        <f t="shared" si="172"/>
        <v>0</v>
      </c>
      <c r="AR118" s="254">
        <f t="shared" si="172"/>
        <v>0</v>
      </c>
      <c r="AS118" s="254">
        <f t="shared" si="172"/>
        <v>0</v>
      </c>
      <c r="AT118" s="254">
        <f t="shared" si="172"/>
        <v>0</v>
      </c>
      <c r="AU118" s="254">
        <f t="shared" si="172"/>
        <v>0</v>
      </c>
      <c r="AV118" s="254">
        <f t="shared" si="172"/>
        <v>0</v>
      </c>
      <c r="AW118" s="254">
        <f t="shared" si="172"/>
        <v>0</v>
      </c>
      <c r="AX118" s="254">
        <f t="shared" si="172"/>
        <v>0</v>
      </c>
      <c r="AY118" s="254">
        <f t="shared" si="172"/>
        <v>0</v>
      </c>
      <c r="AZ118" s="254">
        <f t="shared" si="172"/>
        <v>0</v>
      </c>
      <c r="BA118" s="254">
        <f t="shared" si="172"/>
        <v>0</v>
      </c>
      <c r="BB118" s="254">
        <f t="shared" si="172"/>
        <v>0</v>
      </c>
      <c r="BC118" s="254">
        <f t="shared" si="172"/>
        <v>0</v>
      </c>
      <c r="BD118" s="254">
        <f t="shared" si="172"/>
        <v>0</v>
      </c>
      <c r="BE118" s="254">
        <f t="shared" si="172"/>
        <v>0</v>
      </c>
      <c r="BF118" s="254">
        <f t="shared" si="172"/>
        <v>0</v>
      </c>
      <c r="BG118" s="254">
        <f t="shared" si="172"/>
        <v>0</v>
      </c>
      <c r="BI118" s="254">
        <f>SUM(T118:BG118)</f>
        <v>763662.56830514618</v>
      </c>
      <c r="BK118" s="257" t="b">
        <f>ROUND(BI118,GA!$G$112)=ROUND(BX118,GA!$G$112)</f>
        <v>1</v>
      </c>
      <c r="BM118" s="254">
        <f t="shared" ref="BM118:BV118" si="173">SUMIF($T$8:$BG$8,BM$6,$T118:$BG118)</f>
        <v>206928.71356432152</v>
      </c>
      <c r="BN118" s="254">
        <f t="shared" si="173"/>
        <v>277404.43733789137</v>
      </c>
      <c r="BO118" s="254">
        <f t="shared" si="173"/>
        <v>279329.41740293335</v>
      </c>
      <c r="BP118" s="254">
        <f t="shared" si="173"/>
        <v>0</v>
      </c>
      <c r="BQ118" s="254">
        <f t="shared" si="173"/>
        <v>0</v>
      </c>
      <c r="BR118" s="254">
        <f t="shared" si="173"/>
        <v>0</v>
      </c>
      <c r="BS118" s="254">
        <f t="shared" si="173"/>
        <v>0</v>
      </c>
      <c r="BT118" s="254">
        <f t="shared" si="173"/>
        <v>0</v>
      </c>
      <c r="BU118" s="254">
        <f t="shared" si="173"/>
        <v>0</v>
      </c>
      <c r="BV118" s="254">
        <f t="shared" si="173"/>
        <v>0</v>
      </c>
      <c r="BX118" s="254">
        <f>SUM(BM118:BV118)</f>
        <v>763662.56830514618</v>
      </c>
    </row>
    <row r="119" spans="3:76">
      <c r="C119" s="398" t="s">
        <v>645</v>
      </c>
      <c r="D119" s="398"/>
      <c r="E119" s="398"/>
      <c r="F119" s="398"/>
      <c r="G119" s="398"/>
      <c r="H119" s="398"/>
      <c r="I119" s="398"/>
      <c r="J119" s="398"/>
      <c r="K119" s="398"/>
      <c r="L119" s="398"/>
      <c r="M119" s="398"/>
      <c r="N119" s="398"/>
      <c r="R119" s="392"/>
      <c r="S119" s="392"/>
      <c r="T119" s="404">
        <f>T118*4</f>
        <v>92556.680308531446</v>
      </c>
      <c r="U119" s="404">
        <f>U118*4</f>
        <v>183222.63739729626</v>
      </c>
      <c r="V119" s="404">
        <f t="shared" ref="V119:BG119" si="174">V118*4</f>
        <v>275728.91155145835</v>
      </c>
      <c r="W119" s="404">
        <f t="shared" si="174"/>
        <v>276206.62499999994</v>
      </c>
      <c r="X119" s="404">
        <f t="shared" si="174"/>
        <v>276685.04390259826</v>
      </c>
      <c r="Y119" s="404">
        <f t="shared" si="174"/>
        <v>277164.16864648322</v>
      </c>
      <c r="Z119" s="404">
        <f t="shared" si="174"/>
        <v>277643.99961498409</v>
      </c>
      <c r="AA119" s="404">
        <f t="shared" si="174"/>
        <v>278124.53718749987</v>
      </c>
      <c r="AB119" s="404">
        <f t="shared" si="174"/>
        <v>278605.78173946816</v>
      </c>
      <c r="AC119" s="404">
        <f t="shared" si="174"/>
        <v>279087.73364233499</v>
      </c>
      <c r="AD119" s="404">
        <f t="shared" si="174"/>
        <v>279570.39326352417</v>
      </c>
      <c r="AE119" s="404">
        <f t="shared" si="174"/>
        <v>280053.76096640597</v>
      </c>
      <c r="AF119" s="404">
        <f t="shared" si="174"/>
        <v>0</v>
      </c>
      <c r="AG119" s="404">
        <f t="shared" si="174"/>
        <v>0</v>
      </c>
      <c r="AH119" s="404">
        <f t="shared" si="174"/>
        <v>0</v>
      </c>
      <c r="AI119" s="404">
        <f t="shared" si="174"/>
        <v>0</v>
      </c>
      <c r="AJ119" s="404">
        <f t="shared" si="174"/>
        <v>0</v>
      </c>
      <c r="AK119" s="404">
        <f t="shared" si="174"/>
        <v>0</v>
      </c>
      <c r="AL119" s="404">
        <f t="shared" si="174"/>
        <v>0</v>
      </c>
      <c r="AM119" s="404">
        <f t="shared" si="174"/>
        <v>0</v>
      </c>
      <c r="AN119" s="404">
        <f t="shared" si="174"/>
        <v>0</v>
      </c>
      <c r="AO119" s="404">
        <f t="shared" si="174"/>
        <v>0</v>
      </c>
      <c r="AP119" s="404">
        <f t="shared" si="174"/>
        <v>0</v>
      </c>
      <c r="AQ119" s="404">
        <f t="shared" si="174"/>
        <v>0</v>
      </c>
      <c r="AR119" s="404">
        <f t="shared" si="174"/>
        <v>0</v>
      </c>
      <c r="AS119" s="404">
        <f t="shared" si="174"/>
        <v>0</v>
      </c>
      <c r="AT119" s="404">
        <f t="shared" si="174"/>
        <v>0</v>
      </c>
      <c r="AU119" s="404">
        <f t="shared" si="174"/>
        <v>0</v>
      </c>
      <c r="AV119" s="404">
        <f t="shared" si="174"/>
        <v>0</v>
      </c>
      <c r="AW119" s="404">
        <f t="shared" si="174"/>
        <v>0</v>
      </c>
      <c r="AX119" s="404">
        <f t="shared" si="174"/>
        <v>0</v>
      </c>
      <c r="AY119" s="404">
        <f t="shared" si="174"/>
        <v>0</v>
      </c>
      <c r="AZ119" s="404">
        <f t="shared" si="174"/>
        <v>0</v>
      </c>
      <c r="BA119" s="404">
        <f t="shared" si="174"/>
        <v>0</v>
      </c>
      <c r="BB119" s="404">
        <f t="shared" si="174"/>
        <v>0</v>
      </c>
      <c r="BC119" s="404">
        <f t="shared" si="174"/>
        <v>0</v>
      </c>
      <c r="BD119" s="404">
        <f t="shared" si="174"/>
        <v>0</v>
      </c>
      <c r="BE119" s="404">
        <f t="shared" si="174"/>
        <v>0</v>
      </c>
      <c r="BF119" s="404">
        <f t="shared" si="174"/>
        <v>0</v>
      </c>
      <c r="BG119" s="404">
        <f t="shared" si="174"/>
        <v>0</v>
      </c>
      <c r="BI119" s="39" t="s">
        <v>153</v>
      </c>
      <c r="BM119" s="1078">
        <f t="shared" ref="BM119:BV120" si="175">AVERAGEIF($T$8:$BG$8,BM$6,$T119:$BG119)</f>
        <v>206928.71356432152</v>
      </c>
      <c r="BN119" s="1078">
        <f t="shared" si="175"/>
        <v>277404.43733789137</v>
      </c>
      <c r="BO119" s="1078">
        <f t="shared" si="175"/>
        <v>279329.41740293335</v>
      </c>
      <c r="BP119" s="1078">
        <f t="shared" si="175"/>
        <v>0</v>
      </c>
      <c r="BQ119" s="1078">
        <f t="shared" si="175"/>
        <v>0</v>
      </c>
      <c r="BR119" s="1078">
        <f t="shared" si="175"/>
        <v>0</v>
      </c>
      <c r="BS119" s="1078">
        <f t="shared" si="175"/>
        <v>0</v>
      </c>
      <c r="BT119" s="1078">
        <f t="shared" si="175"/>
        <v>0</v>
      </c>
      <c r="BU119" s="1078">
        <f t="shared" si="175"/>
        <v>0</v>
      </c>
      <c r="BV119" s="1078">
        <f t="shared" si="175"/>
        <v>0</v>
      </c>
      <c r="BX119" s="476" t="s">
        <v>153</v>
      </c>
    </row>
    <row r="120" spans="3:76">
      <c r="C120" s="398" t="s">
        <v>646</v>
      </c>
      <c r="D120" s="398"/>
      <c r="E120" s="398"/>
      <c r="F120" s="398"/>
      <c r="G120" s="398"/>
      <c r="H120" s="398"/>
      <c r="I120" s="398"/>
      <c r="J120" s="398"/>
      <c r="K120" s="398"/>
      <c r="L120" s="398"/>
      <c r="M120" s="398"/>
      <c r="N120" s="398"/>
      <c r="R120" s="392"/>
      <c r="S120" s="392"/>
      <c r="T120" s="1077">
        <f>IFERROR(T118/T107,0)</f>
        <v>0.92383945471247264</v>
      </c>
      <c r="U120" s="1077">
        <f>IFERROR(U118/U107,0)</f>
        <v>0.91269696680846235</v>
      </c>
      <c r="V120" s="1077">
        <f t="shared" ref="V120:BG120" si="176">IFERROR(V118/V107,0)</f>
        <v>0.9139601507038515</v>
      </c>
      <c r="W120" s="1077">
        <f t="shared" si="176"/>
        <v>0.91383498759305204</v>
      </c>
      <c r="X120" s="1077">
        <f t="shared" si="176"/>
        <v>0.91370943805249094</v>
      </c>
      <c r="Y120" s="1077">
        <f t="shared" si="176"/>
        <v>0.91358350088910123</v>
      </c>
      <c r="Z120" s="1077">
        <f t="shared" si="176"/>
        <v>0.91345717490613243</v>
      </c>
      <c r="AA120" s="1077">
        <f t="shared" si="176"/>
        <v>0.91333045890313946</v>
      </c>
      <c r="AB120" s="1077">
        <f t="shared" si="176"/>
        <v>0.913203351675971</v>
      </c>
      <c r="AC120" s="1077">
        <f t="shared" si="176"/>
        <v>0.91307585201675745</v>
      </c>
      <c r="AD120" s="1077">
        <f t="shared" si="176"/>
        <v>0.91294795871390089</v>
      </c>
      <c r="AE120" s="1077">
        <f t="shared" si="176"/>
        <v>0.91281967055206181</v>
      </c>
      <c r="AF120" s="1077">
        <f t="shared" si="176"/>
        <v>0</v>
      </c>
      <c r="AG120" s="1077">
        <f t="shared" si="176"/>
        <v>0</v>
      </c>
      <c r="AH120" s="1077">
        <f t="shared" si="176"/>
        <v>0</v>
      </c>
      <c r="AI120" s="1077">
        <f t="shared" si="176"/>
        <v>0</v>
      </c>
      <c r="AJ120" s="1077">
        <f t="shared" si="176"/>
        <v>0</v>
      </c>
      <c r="AK120" s="1077">
        <f t="shared" si="176"/>
        <v>0</v>
      </c>
      <c r="AL120" s="1077">
        <f t="shared" si="176"/>
        <v>0</v>
      </c>
      <c r="AM120" s="1077">
        <f t="shared" si="176"/>
        <v>0</v>
      </c>
      <c r="AN120" s="1077">
        <f t="shared" si="176"/>
        <v>0</v>
      </c>
      <c r="AO120" s="1077">
        <f t="shared" si="176"/>
        <v>0</v>
      </c>
      <c r="AP120" s="1077">
        <f t="shared" si="176"/>
        <v>0</v>
      </c>
      <c r="AQ120" s="1077">
        <f t="shared" si="176"/>
        <v>0</v>
      </c>
      <c r="AR120" s="1077">
        <f t="shared" si="176"/>
        <v>0</v>
      </c>
      <c r="AS120" s="1077">
        <f t="shared" si="176"/>
        <v>0</v>
      </c>
      <c r="AT120" s="1077">
        <f t="shared" si="176"/>
        <v>0</v>
      </c>
      <c r="AU120" s="1077">
        <f t="shared" si="176"/>
        <v>0</v>
      </c>
      <c r="AV120" s="1077">
        <f t="shared" si="176"/>
        <v>0</v>
      </c>
      <c r="AW120" s="1077">
        <f t="shared" si="176"/>
        <v>0</v>
      </c>
      <c r="AX120" s="1077">
        <f t="shared" si="176"/>
        <v>0</v>
      </c>
      <c r="AY120" s="1077">
        <f t="shared" si="176"/>
        <v>0</v>
      </c>
      <c r="AZ120" s="1077">
        <f t="shared" si="176"/>
        <v>0</v>
      </c>
      <c r="BA120" s="1077">
        <f t="shared" si="176"/>
        <v>0</v>
      </c>
      <c r="BB120" s="1077">
        <f t="shared" si="176"/>
        <v>0</v>
      </c>
      <c r="BC120" s="1077">
        <f t="shared" si="176"/>
        <v>0</v>
      </c>
      <c r="BD120" s="1077">
        <f t="shared" si="176"/>
        <v>0</v>
      </c>
      <c r="BE120" s="1077">
        <f t="shared" si="176"/>
        <v>0</v>
      </c>
      <c r="BF120" s="1077">
        <f t="shared" si="176"/>
        <v>0</v>
      </c>
      <c r="BG120" s="1077">
        <f t="shared" si="176"/>
        <v>0</v>
      </c>
      <c r="BI120" s="39" t="s">
        <v>153</v>
      </c>
      <c r="BM120" s="1077">
        <f t="shared" si="175"/>
        <v>0.91608288995445974</v>
      </c>
      <c r="BN120" s="1077">
        <f t="shared" si="175"/>
        <v>0.91352014318771602</v>
      </c>
      <c r="BO120" s="1077">
        <f t="shared" si="175"/>
        <v>0.9130117082396727</v>
      </c>
      <c r="BP120" s="1077">
        <f t="shared" si="175"/>
        <v>0</v>
      </c>
      <c r="BQ120" s="1077">
        <f t="shared" si="175"/>
        <v>0</v>
      </c>
      <c r="BR120" s="1077">
        <f t="shared" si="175"/>
        <v>0</v>
      </c>
      <c r="BS120" s="1077">
        <f t="shared" si="175"/>
        <v>0</v>
      </c>
      <c r="BT120" s="1077">
        <f t="shared" si="175"/>
        <v>0</v>
      </c>
      <c r="BU120" s="1077">
        <f t="shared" si="175"/>
        <v>0</v>
      </c>
      <c r="BV120" s="1077">
        <f t="shared" si="175"/>
        <v>0</v>
      </c>
      <c r="BX120" s="476" t="s">
        <v>153</v>
      </c>
    </row>
    <row r="122" spans="3:76">
      <c r="C122" s="39" t="s">
        <v>650</v>
      </c>
      <c r="D122" s="39"/>
      <c r="E122" s="39"/>
      <c r="F122" s="39"/>
      <c r="G122" s="39"/>
      <c r="H122" s="39"/>
      <c r="I122" s="39"/>
      <c r="J122" s="39"/>
      <c r="K122" s="39"/>
      <c r="L122" s="39"/>
      <c r="M122" s="39"/>
      <c r="N122" s="39"/>
      <c r="BM122" s="17"/>
      <c r="BN122" s="17"/>
      <c r="BO122" s="17"/>
      <c r="BP122" s="17"/>
      <c r="BQ122" s="17"/>
      <c r="BR122" s="17"/>
      <c r="BS122" s="17"/>
      <c r="BT122" s="17"/>
      <c r="BU122" s="17"/>
      <c r="BV122" s="17"/>
      <c r="BX122" s="17"/>
    </row>
    <row r="123" spans="3:76">
      <c r="C123" s="269" t="s">
        <v>651</v>
      </c>
      <c r="D123" s="269"/>
      <c r="E123" s="269"/>
      <c r="F123" s="269"/>
      <c r="G123" s="269"/>
      <c r="H123" s="269"/>
      <c r="I123" s="269"/>
      <c r="J123" s="269"/>
      <c r="K123" s="269"/>
      <c r="L123" s="269"/>
      <c r="M123" s="269"/>
      <c r="N123" s="269"/>
      <c r="O123" s="412">
        <f>GA!G124</f>
        <v>0</v>
      </c>
      <c r="P123" s="269"/>
      <c r="Q123" s="269"/>
      <c r="R123" s="248"/>
      <c r="S123" s="248"/>
      <c r="T123" s="1351">
        <f>PCF!T372</f>
        <v>0</v>
      </c>
      <c r="U123" s="1351">
        <f>PCF!U372</f>
        <v>0</v>
      </c>
      <c r="V123" s="1351">
        <f>PCF!V372</f>
        <v>0</v>
      </c>
      <c r="W123" s="1351">
        <f>PCF!W372</f>
        <v>0</v>
      </c>
      <c r="X123" s="1351">
        <f>PCF!X372</f>
        <v>0</v>
      </c>
      <c r="Y123" s="1351">
        <f>PCF!Y372</f>
        <v>0</v>
      </c>
      <c r="Z123" s="1351">
        <f>PCF!Z372</f>
        <v>0</v>
      </c>
      <c r="AA123" s="1351">
        <f>PCF!AA372</f>
        <v>0</v>
      </c>
      <c r="AB123" s="1351">
        <f>PCF!AB372</f>
        <v>0</v>
      </c>
      <c r="AC123" s="1351">
        <f>PCF!AC372</f>
        <v>0</v>
      </c>
      <c r="AD123" s="1351">
        <f>PCF!AD372</f>
        <v>0</v>
      </c>
      <c r="AE123" s="1351">
        <f>PCF!AE372</f>
        <v>0</v>
      </c>
      <c r="AF123" s="1351">
        <f>PCF!AF372</f>
        <v>0</v>
      </c>
      <c r="AG123" s="1351">
        <f>PCF!AG372</f>
        <v>0</v>
      </c>
      <c r="AH123" s="1351">
        <f>PCF!AH372</f>
        <v>0</v>
      </c>
      <c r="AI123" s="1351">
        <f>PCF!AI372</f>
        <v>0</v>
      </c>
      <c r="AJ123" s="1351">
        <f>PCF!AJ372</f>
        <v>0</v>
      </c>
      <c r="AK123" s="1351">
        <f>PCF!AK372</f>
        <v>0</v>
      </c>
      <c r="AL123" s="1351">
        <f>PCF!AL372</f>
        <v>0</v>
      </c>
      <c r="AM123" s="1351">
        <f>PCF!AM372</f>
        <v>0</v>
      </c>
      <c r="AN123" s="1351">
        <f>PCF!AN372</f>
        <v>0</v>
      </c>
      <c r="AO123" s="1351">
        <f>PCF!AO372</f>
        <v>0</v>
      </c>
      <c r="AP123" s="1351">
        <f>PCF!AP372</f>
        <v>0</v>
      </c>
      <c r="AQ123" s="1351">
        <f>PCF!AQ372</f>
        <v>0</v>
      </c>
      <c r="AR123" s="1351">
        <f>PCF!AR372</f>
        <v>0</v>
      </c>
      <c r="AS123" s="1351">
        <f>PCF!AS372</f>
        <v>0</v>
      </c>
      <c r="AT123" s="1351">
        <f>PCF!AT372</f>
        <v>0</v>
      </c>
      <c r="AU123" s="1351">
        <f>PCF!AU372</f>
        <v>0</v>
      </c>
      <c r="AV123" s="1351">
        <f>PCF!AV372</f>
        <v>0</v>
      </c>
      <c r="AW123" s="1351">
        <f>PCF!AW372</f>
        <v>0</v>
      </c>
      <c r="AX123" s="1351">
        <f>PCF!AX372</f>
        <v>0</v>
      </c>
      <c r="AY123" s="1351">
        <f>PCF!AY372</f>
        <v>0</v>
      </c>
      <c r="AZ123" s="1351">
        <f>PCF!AZ372</f>
        <v>0</v>
      </c>
      <c r="BA123" s="1351">
        <f>PCF!BA372</f>
        <v>0</v>
      </c>
      <c r="BB123" s="1351">
        <f>PCF!BB372</f>
        <v>0</v>
      </c>
      <c r="BC123" s="1351">
        <f>PCF!BC372</f>
        <v>0</v>
      </c>
      <c r="BD123" s="1351">
        <f>PCF!BD372</f>
        <v>0</v>
      </c>
      <c r="BE123" s="1351">
        <f>PCF!BE372</f>
        <v>0</v>
      </c>
      <c r="BF123" s="1351">
        <f>PCF!BF372</f>
        <v>0</v>
      </c>
      <c r="BG123" s="1351">
        <f>PCF!BG372</f>
        <v>0</v>
      </c>
      <c r="BI123" s="1068">
        <f>SUM(T123:BG123)</f>
        <v>0</v>
      </c>
      <c r="BM123" s="310">
        <f t="shared" ref="BM123:BV126" si="177">SUMIF($T$8:$BG$8,BM$6,$T123:$BG123)</f>
        <v>0</v>
      </c>
      <c r="BN123" s="310">
        <f t="shared" si="177"/>
        <v>0</v>
      </c>
      <c r="BO123" s="310">
        <f t="shared" si="177"/>
        <v>0</v>
      </c>
      <c r="BP123" s="310">
        <f t="shared" si="177"/>
        <v>0</v>
      </c>
      <c r="BQ123" s="310">
        <f t="shared" si="177"/>
        <v>0</v>
      </c>
      <c r="BR123" s="310">
        <f t="shared" si="177"/>
        <v>0</v>
      </c>
      <c r="BS123" s="310">
        <f t="shared" si="177"/>
        <v>0</v>
      </c>
      <c r="BT123" s="310">
        <f t="shared" si="177"/>
        <v>0</v>
      </c>
      <c r="BU123" s="310">
        <f t="shared" si="177"/>
        <v>0</v>
      </c>
      <c r="BV123" s="310">
        <f t="shared" si="177"/>
        <v>0</v>
      </c>
      <c r="BX123" s="476">
        <f>SUM(BM123:BW123)</f>
        <v>0</v>
      </c>
    </row>
    <row r="124" spans="3:76">
      <c r="C124" t="s">
        <v>653</v>
      </c>
      <c r="O124" s="410">
        <f>GA!G126</f>
        <v>3.0000000000000001E-3</v>
      </c>
      <c r="R124" s="392"/>
      <c r="S124" s="392"/>
      <c r="T124" s="403">
        <f>PCF!T373</f>
        <v>-1444.0970276188536</v>
      </c>
      <c r="U124" s="403">
        <f>PCF!U373</f>
        <v>-2853.67432670578</v>
      </c>
      <c r="V124" s="403">
        <f>PCF!V373</f>
        <v>-4240.5374999999995</v>
      </c>
      <c r="W124" s="403">
        <f>PCF!W373</f>
        <v>-4240.5374999999995</v>
      </c>
      <c r="X124" s="403">
        <f>PCF!X373</f>
        <v>-4240.5374999999995</v>
      </c>
      <c r="Y124" s="403">
        <f>PCF!Y373</f>
        <v>-4240.5374999999995</v>
      </c>
      <c r="Z124" s="403">
        <f>PCF!Z373</f>
        <v>-4240.5374999999995</v>
      </c>
      <c r="AA124" s="403">
        <f>PCF!AA373</f>
        <v>-4240.5374999999995</v>
      </c>
      <c r="AB124" s="403">
        <f>PCF!AB373</f>
        <v>-4240.5374999999995</v>
      </c>
      <c r="AC124" s="403">
        <f>PCF!AC373</f>
        <v>-4240.5374999999995</v>
      </c>
      <c r="AD124" s="403">
        <f>PCF!AD373</f>
        <v>-4240.5374999999995</v>
      </c>
      <c r="AE124" s="403">
        <f>PCF!AE373</f>
        <v>-4240.5374999999995</v>
      </c>
      <c r="AF124" s="403">
        <f>PCF!AF373</f>
        <v>0</v>
      </c>
      <c r="AG124" s="403">
        <f>PCF!AG373</f>
        <v>0</v>
      </c>
      <c r="AH124" s="403">
        <f>PCF!AH373</f>
        <v>0</v>
      </c>
      <c r="AI124" s="403">
        <f>PCF!AI373</f>
        <v>0</v>
      </c>
      <c r="AJ124" s="403">
        <f>PCF!AJ373</f>
        <v>0</v>
      </c>
      <c r="AK124" s="403">
        <f>PCF!AK373</f>
        <v>0</v>
      </c>
      <c r="AL124" s="403">
        <f>PCF!AL373</f>
        <v>0</v>
      </c>
      <c r="AM124" s="403">
        <f>PCF!AM373</f>
        <v>0</v>
      </c>
      <c r="AN124" s="403">
        <f>PCF!AN373</f>
        <v>0</v>
      </c>
      <c r="AO124" s="403">
        <f>PCF!AO373</f>
        <v>0</v>
      </c>
      <c r="AP124" s="403">
        <f>PCF!AP373</f>
        <v>0</v>
      </c>
      <c r="AQ124" s="403">
        <f>PCF!AQ373</f>
        <v>0</v>
      </c>
      <c r="AR124" s="403">
        <f>PCF!AR373</f>
        <v>0</v>
      </c>
      <c r="AS124" s="403">
        <f>PCF!AS373</f>
        <v>0</v>
      </c>
      <c r="AT124" s="403">
        <f>PCF!AT373</f>
        <v>0</v>
      </c>
      <c r="AU124" s="403">
        <f>PCF!AU373</f>
        <v>0</v>
      </c>
      <c r="AV124" s="403">
        <f>PCF!AV373</f>
        <v>0</v>
      </c>
      <c r="AW124" s="403">
        <f>PCF!AW373</f>
        <v>0</v>
      </c>
      <c r="AX124" s="403">
        <f>PCF!AX373</f>
        <v>0</v>
      </c>
      <c r="AY124" s="403">
        <f>PCF!AY373</f>
        <v>0</v>
      </c>
      <c r="AZ124" s="403">
        <f>PCF!AZ373</f>
        <v>0</v>
      </c>
      <c r="BA124" s="403">
        <f>PCF!BA373</f>
        <v>0</v>
      </c>
      <c r="BB124" s="403">
        <f>PCF!BB373</f>
        <v>0</v>
      </c>
      <c r="BC124" s="403">
        <f>PCF!BC373</f>
        <v>0</v>
      </c>
      <c r="BD124" s="403">
        <f>PCF!BD373</f>
        <v>0</v>
      </c>
      <c r="BE124" s="403">
        <f>PCF!BE373</f>
        <v>0</v>
      </c>
      <c r="BF124" s="403">
        <f>PCF!BF373</f>
        <v>0</v>
      </c>
      <c r="BG124" s="403">
        <f>PCF!BG373</f>
        <v>0</v>
      </c>
      <c r="BI124" s="476">
        <f>SUM(T124:BG124)</f>
        <v>-46703.146354324621</v>
      </c>
      <c r="BM124" s="310">
        <f t="shared" si="177"/>
        <v>-12778.846354324633</v>
      </c>
      <c r="BN124" s="310">
        <f t="shared" si="177"/>
        <v>-16962.149999999998</v>
      </c>
      <c r="BO124" s="310">
        <f t="shared" si="177"/>
        <v>-16962.149999999998</v>
      </c>
      <c r="BP124" s="310">
        <f t="shared" si="177"/>
        <v>0</v>
      </c>
      <c r="BQ124" s="310">
        <f t="shared" si="177"/>
        <v>0</v>
      </c>
      <c r="BR124" s="310">
        <f t="shared" si="177"/>
        <v>0</v>
      </c>
      <c r="BS124" s="310">
        <f t="shared" si="177"/>
        <v>0</v>
      </c>
      <c r="BT124" s="310">
        <f t="shared" si="177"/>
        <v>0</v>
      </c>
      <c r="BU124" s="310">
        <f t="shared" si="177"/>
        <v>0</v>
      </c>
      <c r="BV124" s="310">
        <f t="shared" si="177"/>
        <v>0</v>
      </c>
      <c r="BX124" s="476">
        <f t="shared" ref="BX124:BX125" si="178">SUM(BM124:BW124)</f>
        <v>-46703.146354324628</v>
      </c>
    </row>
    <row r="125" spans="3:76">
      <c r="C125" t="s">
        <v>654</v>
      </c>
      <c r="O125" s="411">
        <f>GA!$G$125</f>
        <v>50000</v>
      </c>
      <c r="R125" s="392"/>
      <c r="S125" s="392"/>
      <c r="T125" s="310">
        <f>-$O$125/4*T$20*T$16</f>
        <v>-12562.036644665048</v>
      </c>
      <c r="U125" s="310">
        <f t="shared" ref="U125:BG125" si="179">-$O$125/4*U$20*U$16</f>
        <v>-12624.381172952601</v>
      </c>
      <c r="V125" s="310">
        <f t="shared" si="179"/>
        <v>-12687.035112868007</v>
      </c>
      <c r="W125" s="310">
        <f t="shared" si="179"/>
        <v>-12750.000000000004</v>
      </c>
      <c r="X125" s="310">
        <f t="shared" si="179"/>
        <v>-12813.277377558352</v>
      </c>
      <c r="Y125" s="310">
        <f t="shared" si="179"/>
        <v>-12876.868796411656</v>
      </c>
      <c r="Z125" s="310">
        <f t="shared" si="179"/>
        <v>-12940.775815125371</v>
      </c>
      <c r="AA125" s="310">
        <f t="shared" si="179"/>
        <v>-13005.000000000011</v>
      </c>
      <c r="AB125" s="310">
        <f t="shared" si="179"/>
        <v>-13069.542925109527</v>
      </c>
      <c r="AC125" s="310">
        <f t="shared" si="179"/>
        <v>-13134.406172339894</v>
      </c>
      <c r="AD125" s="310">
        <f t="shared" si="179"/>
        <v>-13199.591331427882</v>
      </c>
      <c r="AE125" s="310">
        <f t="shared" si="179"/>
        <v>-13265.100000000013</v>
      </c>
      <c r="AF125" s="310">
        <f t="shared" si="179"/>
        <v>0</v>
      </c>
      <c r="AG125" s="310">
        <f t="shared" si="179"/>
        <v>0</v>
      </c>
      <c r="AH125" s="310">
        <f t="shared" si="179"/>
        <v>0</v>
      </c>
      <c r="AI125" s="310">
        <f t="shared" si="179"/>
        <v>0</v>
      </c>
      <c r="AJ125" s="310">
        <f t="shared" si="179"/>
        <v>0</v>
      </c>
      <c r="AK125" s="310">
        <f t="shared" si="179"/>
        <v>0</v>
      </c>
      <c r="AL125" s="310">
        <f t="shared" si="179"/>
        <v>0</v>
      </c>
      <c r="AM125" s="310">
        <f t="shared" si="179"/>
        <v>0</v>
      </c>
      <c r="AN125" s="310">
        <f t="shared" si="179"/>
        <v>0</v>
      </c>
      <c r="AO125" s="310">
        <f t="shared" si="179"/>
        <v>0</v>
      </c>
      <c r="AP125" s="310">
        <f t="shared" si="179"/>
        <v>0</v>
      </c>
      <c r="AQ125" s="310">
        <f t="shared" si="179"/>
        <v>0</v>
      </c>
      <c r="AR125" s="310">
        <f t="shared" si="179"/>
        <v>0</v>
      </c>
      <c r="AS125" s="310">
        <f t="shared" si="179"/>
        <v>0</v>
      </c>
      <c r="AT125" s="310">
        <f t="shared" si="179"/>
        <v>0</v>
      </c>
      <c r="AU125" s="310">
        <f t="shared" si="179"/>
        <v>0</v>
      </c>
      <c r="AV125" s="310">
        <f t="shared" si="179"/>
        <v>0</v>
      </c>
      <c r="AW125" s="310">
        <f t="shared" si="179"/>
        <v>0</v>
      </c>
      <c r="AX125" s="310">
        <f t="shared" si="179"/>
        <v>0</v>
      </c>
      <c r="AY125" s="310">
        <f t="shared" si="179"/>
        <v>0</v>
      </c>
      <c r="AZ125" s="310">
        <f t="shared" si="179"/>
        <v>0</v>
      </c>
      <c r="BA125" s="310">
        <f t="shared" si="179"/>
        <v>0</v>
      </c>
      <c r="BB125" s="310">
        <f t="shared" si="179"/>
        <v>0</v>
      </c>
      <c r="BC125" s="310">
        <f t="shared" si="179"/>
        <v>0</v>
      </c>
      <c r="BD125" s="310">
        <f t="shared" si="179"/>
        <v>0</v>
      </c>
      <c r="BE125" s="310">
        <f t="shared" si="179"/>
        <v>0</v>
      </c>
      <c r="BF125" s="310">
        <f t="shared" si="179"/>
        <v>0</v>
      </c>
      <c r="BG125" s="310">
        <f t="shared" si="179"/>
        <v>0</v>
      </c>
      <c r="BI125" s="476">
        <f>SUM(T125:BG125)</f>
        <v>-154928.01534845834</v>
      </c>
      <c r="BM125" s="310">
        <f t="shared" si="177"/>
        <v>-50623.452930485655</v>
      </c>
      <c r="BN125" s="310">
        <f t="shared" si="177"/>
        <v>-51635.921989095397</v>
      </c>
      <c r="BO125" s="310">
        <f t="shared" si="177"/>
        <v>-52668.640428877312</v>
      </c>
      <c r="BP125" s="310">
        <f t="shared" si="177"/>
        <v>0</v>
      </c>
      <c r="BQ125" s="310">
        <f t="shared" si="177"/>
        <v>0</v>
      </c>
      <c r="BR125" s="310">
        <f t="shared" si="177"/>
        <v>0</v>
      </c>
      <c r="BS125" s="310">
        <f t="shared" si="177"/>
        <v>0</v>
      </c>
      <c r="BT125" s="310">
        <f t="shared" si="177"/>
        <v>0</v>
      </c>
      <c r="BU125" s="310">
        <f t="shared" si="177"/>
        <v>0</v>
      </c>
      <c r="BV125" s="310">
        <f t="shared" si="177"/>
        <v>0</v>
      </c>
      <c r="BX125" s="476">
        <f t="shared" si="178"/>
        <v>-154928.01534845837</v>
      </c>
    </row>
    <row r="126" spans="3:76">
      <c r="C126" s="253" t="s">
        <v>655</v>
      </c>
      <c r="D126" s="253"/>
      <c r="E126" s="253"/>
      <c r="F126" s="253"/>
      <c r="G126" s="253"/>
      <c r="H126" s="253"/>
      <c r="I126" s="253"/>
      <c r="J126" s="253"/>
      <c r="K126" s="253"/>
      <c r="L126" s="253"/>
      <c r="M126" s="253"/>
      <c r="N126" s="253"/>
      <c r="O126" s="268"/>
      <c r="P126" s="268"/>
      <c r="Q126" s="268"/>
      <c r="R126" s="153"/>
      <c r="S126" s="153"/>
      <c r="T126" s="254">
        <f>SUM(T123:T125)</f>
        <v>-14006.133672283901</v>
      </c>
      <c r="U126" s="254">
        <f t="shared" ref="U126:BG126" si="180">SUM(U123:U125)</f>
        <v>-15478.055499658381</v>
      </c>
      <c r="V126" s="254">
        <f t="shared" si="180"/>
        <v>-16927.572612868007</v>
      </c>
      <c r="W126" s="254">
        <f t="shared" si="180"/>
        <v>-16990.537500000002</v>
      </c>
      <c r="X126" s="254">
        <f t="shared" si="180"/>
        <v>-17053.81487755835</v>
      </c>
      <c r="Y126" s="254">
        <f t="shared" si="180"/>
        <v>-17117.406296411657</v>
      </c>
      <c r="Z126" s="254">
        <f t="shared" si="180"/>
        <v>-17181.313315125371</v>
      </c>
      <c r="AA126" s="254">
        <f t="shared" si="180"/>
        <v>-17245.537500000009</v>
      </c>
      <c r="AB126" s="254">
        <f t="shared" si="180"/>
        <v>-17310.080425109525</v>
      </c>
      <c r="AC126" s="254">
        <f t="shared" si="180"/>
        <v>-17374.943672339894</v>
      </c>
      <c r="AD126" s="254">
        <f t="shared" si="180"/>
        <v>-17440.128831427883</v>
      </c>
      <c r="AE126" s="254">
        <f t="shared" si="180"/>
        <v>-17505.637500000012</v>
      </c>
      <c r="AF126" s="254">
        <f t="shared" si="180"/>
        <v>0</v>
      </c>
      <c r="AG126" s="254">
        <f t="shared" si="180"/>
        <v>0</v>
      </c>
      <c r="AH126" s="254">
        <f t="shared" si="180"/>
        <v>0</v>
      </c>
      <c r="AI126" s="254">
        <f t="shared" si="180"/>
        <v>0</v>
      </c>
      <c r="AJ126" s="254">
        <f t="shared" si="180"/>
        <v>0</v>
      </c>
      <c r="AK126" s="254">
        <f t="shared" si="180"/>
        <v>0</v>
      </c>
      <c r="AL126" s="254">
        <f t="shared" si="180"/>
        <v>0</v>
      </c>
      <c r="AM126" s="254">
        <f t="shared" si="180"/>
        <v>0</v>
      </c>
      <c r="AN126" s="254">
        <f t="shared" si="180"/>
        <v>0</v>
      </c>
      <c r="AO126" s="254">
        <f t="shared" si="180"/>
        <v>0</v>
      </c>
      <c r="AP126" s="254">
        <f t="shared" si="180"/>
        <v>0</v>
      </c>
      <c r="AQ126" s="254">
        <f t="shared" si="180"/>
        <v>0</v>
      </c>
      <c r="AR126" s="254">
        <f t="shared" si="180"/>
        <v>0</v>
      </c>
      <c r="AS126" s="254">
        <f t="shared" si="180"/>
        <v>0</v>
      </c>
      <c r="AT126" s="254">
        <f t="shared" si="180"/>
        <v>0</v>
      </c>
      <c r="AU126" s="254">
        <f t="shared" si="180"/>
        <v>0</v>
      </c>
      <c r="AV126" s="254">
        <f t="shared" si="180"/>
        <v>0</v>
      </c>
      <c r="AW126" s="254">
        <f t="shared" si="180"/>
        <v>0</v>
      </c>
      <c r="AX126" s="254">
        <f t="shared" si="180"/>
        <v>0</v>
      </c>
      <c r="AY126" s="254">
        <f t="shared" si="180"/>
        <v>0</v>
      </c>
      <c r="AZ126" s="254">
        <f t="shared" si="180"/>
        <v>0</v>
      </c>
      <c r="BA126" s="254">
        <f t="shared" si="180"/>
        <v>0</v>
      </c>
      <c r="BB126" s="254">
        <f t="shared" si="180"/>
        <v>0</v>
      </c>
      <c r="BC126" s="254">
        <f t="shared" si="180"/>
        <v>0</v>
      </c>
      <c r="BD126" s="254">
        <f t="shared" si="180"/>
        <v>0</v>
      </c>
      <c r="BE126" s="254">
        <f t="shared" si="180"/>
        <v>0</v>
      </c>
      <c r="BF126" s="254">
        <f t="shared" si="180"/>
        <v>0</v>
      </c>
      <c r="BG126" s="254">
        <f t="shared" si="180"/>
        <v>0</v>
      </c>
      <c r="BI126" s="254">
        <f>SUM(T126:BG126)</f>
        <v>-201631.16170278302</v>
      </c>
      <c r="BK126" s="257" t="b">
        <f>ROUND(BI126,GA!$G$112)=ROUND(BX126,GA!$G$112)</f>
        <v>1</v>
      </c>
      <c r="BM126" s="254">
        <f t="shared" si="177"/>
        <v>-63402.299284810288</v>
      </c>
      <c r="BN126" s="254">
        <f t="shared" si="177"/>
        <v>-68598.071989095391</v>
      </c>
      <c r="BO126" s="254">
        <f t="shared" si="177"/>
        <v>-69630.790428877313</v>
      </c>
      <c r="BP126" s="254">
        <f t="shared" si="177"/>
        <v>0</v>
      </c>
      <c r="BQ126" s="254">
        <f t="shared" si="177"/>
        <v>0</v>
      </c>
      <c r="BR126" s="254">
        <f t="shared" si="177"/>
        <v>0</v>
      </c>
      <c r="BS126" s="254">
        <f t="shared" si="177"/>
        <v>0</v>
      </c>
      <c r="BT126" s="254">
        <f t="shared" si="177"/>
        <v>0</v>
      </c>
      <c r="BU126" s="254">
        <f t="shared" si="177"/>
        <v>0</v>
      </c>
      <c r="BV126" s="254">
        <f t="shared" si="177"/>
        <v>0</v>
      </c>
      <c r="BX126" s="254">
        <f>SUM(BM126:BV126)</f>
        <v>-201631.16170278299</v>
      </c>
    </row>
    <row r="127" spans="3:76">
      <c r="R127" s="392"/>
      <c r="S127" s="392"/>
    </row>
    <row r="128" spans="3:76">
      <c r="C128" s="253" t="s">
        <v>522</v>
      </c>
      <c r="D128" s="253"/>
      <c r="E128" s="253"/>
      <c r="F128" s="253"/>
      <c r="G128" s="253"/>
      <c r="H128" s="253"/>
      <c r="I128" s="253"/>
      <c r="J128" s="253"/>
      <c r="K128" s="253"/>
      <c r="L128" s="253"/>
      <c r="M128" s="253"/>
      <c r="N128" s="253"/>
      <c r="O128" s="268"/>
      <c r="P128" s="268"/>
      <c r="Q128" s="268"/>
      <c r="R128" s="153"/>
      <c r="S128" s="153"/>
      <c r="T128" s="254">
        <f>T126+T118</f>
        <v>9133.036404848961</v>
      </c>
      <c r="U128" s="254">
        <f t="shared" ref="U128:BG128" si="181">U126+U118</f>
        <v>30327.603849665684</v>
      </c>
      <c r="V128" s="254">
        <f t="shared" si="181"/>
        <v>52004.655274996578</v>
      </c>
      <c r="W128" s="254">
        <f t="shared" si="181"/>
        <v>52061.11874999998</v>
      </c>
      <c r="X128" s="254">
        <f t="shared" si="181"/>
        <v>52117.446098091212</v>
      </c>
      <c r="Y128" s="254">
        <f t="shared" si="181"/>
        <v>52173.635865209144</v>
      </c>
      <c r="Z128" s="254">
        <f t="shared" si="181"/>
        <v>52229.686588620651</v>
      </c>
      <c r="AA128" s="254">
        <f t="shared" si="181"/>
        <v>52285.596796874961</v>
      </c>
      <c r="AB128" s="254">
        <f t="shared" si="181"/>
        <v>52341.365009757516</v>
      </c>
      <c r="AC128" s="254">
        <f t="shared" si="181"/>
        <v>52396.98973824385</v>
      </c>
      <c r="AD128" s="254">
        <f t="shared" si="181"/>
        <v>52452.469484453162</v>
      </c>
      <c r="AE128" s="254">
        <f t="shared" si="181"/>
        <v>52507.802741601481</v>
      </c>
      <c r="AF128" s="254">
        <f t="shared" si="181"/>
        <v>0</v>
      </c>
      <c r="AG128" s="254">
        <f t="shared" si="181"/>
        <v>0</v>
      </c>
      <c r="AH128" s="254">
        <f t="shared" si="181"/>
        <v>0</v>
      </c>
      <c r="AI128" s="254">
        <f t="shared" si="181"/>
        <v>0</v>
      </c>
      <c r="AJ128" s="254">
        <f t="shared" si="181"/>
        <v>0</v>
      </c>
      <c r="AK128" s="254">
        <f t="shared" si="181"/>
        <v>0</v>
      </c>
      <c r="AL128" s="254">
        <f t="shared" si="181"/>
        <v>0</v>
      </c>
      <c r="AM128" s="254">
        <f t="shared" si="181"/>
        <v>0</v>
      </c>
      <c r="AN128" s="254">
        <f t="shared" si="181"/>
        <v>0</v>
      </c>
      <c r="AO128" s="254">
        <f t="shared" si="181"/>
        <v>0</v>
      </c>
      <c r="AP128" s="254">
        <f t="shared" si="181"/>
        <v>0</v>
      </c>
      <c r="AQ128" s="254">
        <f t="shared" si="181"/>
        <v>0</v>
      </c>
      <c r="AR128" s="254">
        <f t="shared" si="181"/>
        <v>0</v>
      </c>
      <c r="AS128" s="254">
        <f t="shared" si="181"/>
        <v>0</v>
      </c>
      <c r="AT128" s="254">
        <f t="shared" si="181"/>
        <v>0</v>
      </c>
      <c r="AU128" s="254">
        <f t="shared" si="181"/>
        <v>0</v>
      </c>
      <c r="AV128" s="254">
        <f t="shared" si="181"/>
        <v>0</v>
      </c>
      <c r="AW128" s="254">
        <f t="shared" si="181"/>
        <v>0</v>
      </c>
      <c r="AX128" s="254">
        <f t="shared" si="181"/>
        <v>0</v>
      </c>
      <c r="AY128" s="254">
        <f t="shared" si="181"/>
        <v>0</v>
      </c>
      <c r="AZ128" s="254">
        <f t="shared" si="181"/>
        <v>0</v>
      </c>
      <c r="BA128" s="254">
        <f t="shared" si="181"/>
        <v>0</v>
      </c>
      <c r="BB128" s="254">
        <f t="shared" si="181"/>
        <v>0</v>
      </c>
      <c r="BC128" s="254">
        <f t="shared" si="181"/>
        <v>0</v>
      </c>
      <c r="BD128" s="254">
        <f t="shared" si="181"/>
        <v>0</v>
      </c>
      <c r="BE128" s="254">
        <f t="shared" si="181"/>
        <v>0</v>
      </c>
      <c r="BF128" s="254">
        <f t="shared" si="181"/>
        <v>0</v>
      </c>
      <c r="BG128" s="254">
        <f t="shared" si="181"/>
        <v>0</v>
      </c>
      <c r="BI128" s="254">
        <f>SUM(T128:BG128)</f>
        <v>562031.4066023631</v>
      </c>
      <c r="BK128" s="257" t="b">
        <f>ROUND(BI128,GA!$G$112)=ROUND(BX128,GA!$G$112)</f>
        <v>1</v>
      </c>
      <c r="BM128" s="254">
        <f t="shared" ref="BM128:BV128" si="182">SUMIF($T$8:$BG$8,BM$6,$T128:$BG128)</f>
        <v>143526.4142795112</v>
      </c>
      <c r="BN128" s="254">
        <f t="shared" si="182"/>
        <v>208806.36534879595</v>
      </c>
      <c r="BO128" s="254">
        <f t="shared" si="182"/>
        <v>209698.62697405601</v>
      </c>
      <c r="BP128" s="254">
        <f t="shared" si="182"/>
        <v>0</v>
      </c>
      <c r="BQ128" s="254">
        <f t="shared" si="182"/>
        <v>0</v>
      </c>
      <c r="BR128" s="254">
        <f t="shared" si="182"/>
        <v>0</v>
      </c>
      <c r="BS128" s="254">
        <f t="shared" si="182"/>
        <v>0</v>
      </c>
      <c r="BT128" s="254">
        <f t="shared" si="182"/>
        <v>0</v>
      </c>
      <c r="BU128" s="254">
        <f t="shared" si="182"/>
        <v>0</v>
      </c>
      <c r="BV128" s="254">
        <f t="shared" si="182"/>
        <v>0</v>
      </c>
      <c r="BX128" s="254">
        <f>SUM(BM128:BV128)</f>
        <v>562031.4066023631</v>
      </c>
    </row>
    <row r="129" spans="3:76">
      <c r="C129" s="398" t="s">
        <v>656</v>
      </c>
      <c r="D129" s="398"/>
      <c r="E129" s="398"/>
      <c r="F129" s="398"/>
      <c r="G129" s="398"/>
      <c r="H129" s="398"/>
      <c r="I129" s="398"/>
      <c r="J129" s="398"/>
      <c r="K129" s="398"/>
      <c r="L129" s="398"/>
      <c r="M129" s="398"/>
      <c r="N129" s="398"/>
      <c r="T129" s="404">
        <f>T128*4</f>
        <v>36532.145619395844</v>
      </c>
      <c r="U129" s="404">
        <f t="shared" ref="U129:BG129" si="183">U128*4</f>
        <v>121310.41539866274</v>
      </c>
      <c r="V129" s="404">
        <f t="shared" si="183"/>
        <v>208018.62109998631</v>
      </c>
      <c r="W129" s="404">
        <f t="shared" si="183"/>
        <v>208244.47499999992</v>
      </c>
      <c r="X129" s="404">
        <f t="shared" si="183"/>
        <v>208469.78439236485</v>
      </c>
      <c r="Y129" s="404">
        <f t="shared" si="183"/>
        <v>208694.54346083658</v>
      </c>
      <c r="Z129" s="404">
        <f t="shared" si="183"/>
        <v>208918.7463544826</v>
      </c>
      <c r="AA129" s="404">
        <f t="shared" si="183"/>
        <v>209142.38718749984</v>
      </c>
      <c r="AB129" s="404">
        <f t="shared" si="183"/>
        <v>209365.46003903006</v>
      </c>
      <c r="AC129" s="404">
        <f t="shared" si="183"/>
        <v>209587.9589529754</v>
      </c>
      <c r="AD129" s="404">
        <f t="shared" si="183"/>
        <v>209809.87793781265</v>
      </c>
      <c r="AE129" s="404">
        <f t="shared" si="183"/>
        <v>210031.21096640592</v>
      </c>
      <c r="AF129" s="404">
        <f t="shared" si="183"/>
        <v>0</v>
      </c>
      <c r="AG129" s="404">
        <f t="shared" si="183"/>
        <v>0</v>
      </c>
      <c r="AH129" s="404">
        <f t="shared" si="183"/>
        <v>0</v>
      </c>
      <c r="AI129" s="404">
        <f t="shared" si="183"/>
        <v>0</v>
      </c>
      <c r="AJ129" s="404">
        <f t="shared" si="183"/>
        <v>0</v>
      </c>
      <c r="AK129" s="404">
        <f t="shared" si="183"/>
        <v>0</v>
      </c>
      <c r="AL129" s="404">
        <f t="shared" si="183"/>
        <v>0</v>
      </c>
      <c r="AM129" s="404">
        <f t="shared" si="183"/>
        <v>0</v>
      </c>
      <c r="AN129" s="404">
        <f t="shared" si="183"/>
        <v>0</v>
      </c>
      <c r="AO129" s="404">
        <f t="shared" si="183"/>
        <v>0</v>
      </c>
      <c r="AP129" s="404">
        <f t="shared" si="183"/>
        <v>0</v>
      </c>
      <c r="AQ129" s="404">
        <f t="shared" si="183"/>
        <v>0</v>
      </c>
      <c r="AR129" s="404">
        <f t="shared" si="183"/>
        <v>0</v>
      </c>
      <c r="AS129" s="404">
        <f t="shared" si="183"/>
        <v>0</v>
      </c>
      <c r="AT129" s="404">
        <f t="shared" si="183"/>
        <v>0</v>
      </c>
      <c r="AU129" s="404">
        <f t="shared" si="183"/>
        <v>0</v>
      </c>
      <c r="AV129" s="404">
        <f t="shared" si="183"/>
        <v>0</v>
      </c>
      <c r="AW129" s="404">
        <f t="shared" si="183"/>
        <v>0</v>
      </c>
      <c r="AX129" s="404">
        <f t="shared" si="183"/>
        <v>0</v>
      </c>
      <c r="AY129" s="404">
        <f t="shared" si="183"/>
        <v>0</v>
      </c>
      <c r="AZ129" s="404">
        <f t="shared" si="183"/>
        <v>0</v>
      </c>
      <c r="BA129" s="404">
        <f t="shared" si="183"/>
        <v>0</v>
      </c>
      <c r="BB129" s="404">
        <f t="shared" si="183"/>
        <v>0</v>
      </c>
      <c r="BC129" s="404">
        <f t="shared" si="183"/>
        <v>0</v>
      </c>
      <c r="BD129" s="404">
        <f t="shared" si="183"/>
        <v>0</v>
      </c>
      <c r="BE129" s="404">
        <f t="shared" si="183"/>
        <v>0</v>
      </c>
      <c r="BF129" s="404">
        <f t="shared" si="183"/>
        <v>0</v>
      </c>
      <c r="BG129" s="404">
        <f t="shared" si="183"/>
        <v>0</v>
      </c>
      <c r="BI129" s="1068">
        <f>SUM(T129:BG129)</f>
        <v>2248125.6264094524</v>
      </c>
      <c r="BM129" s="1078">
        <f t="shared" ref="BM129:BV129" si="184">AVERAGEIF($T$8:$BG$8,BM$6,$T129:$BG129)</f>
        <v>143526.4142795112</v>
      </c>
      <c r="BN129" s="1078">
        <f t="shared" si="184"/>
        <v>208806.36534879595</v>
      </c>
      <c r="BO129" s="1078">
        <f t="shared" si="184"/>
        <v>209698.62697405601</v>
      </c>
      <c r="BP129" s="1078">
        <f t="shared" si="184"/>
        <v>0</v>
      </c>
      <c r="BQ129" s="1078">
        <f t="shared" si="184"/>
        <v>0</v>
      </c>
      <c r="BR129" s="1078">
        <f t="shared" si="184"/>
        <v>0</v>
      </c>
      <c r="BS129" s="1078">
        <f t="shared" si="184"/>
        <v>0</v>
      </c>
      <c r="BT129" s="1078">
        <f t="shared" si="184"/>
        <v>0</v>
      </c>
      <c r="BU129" s="1078">
        <f t="shared" si="184"/>
        <v>0</v>
      </c>
      <c r="BV129" s="1078">
        <f t="shared" si="184"/>
        <v>0</v>
      </c>
      <c r="BX129" s="476" t="s">
        <v>153</v>
      </c>
    </row>
    <row r="131" spans="3:76">
      <c r="C131" s="39" t="s">
        <v>657</v>
      </c>
      <c r="D131" s="39"/>
      <c r="E131" s="39"/>
      <c r="F131" s="39"/>
      <c r="G131" s="39"/>
      <c r="H131" s="39"/>
      <c r="I131" s="39"/>
      <c r="J131" s="39"/>
      <c r="K131" s="39"/>
      <c r="L131" s="39"/>
      <c r="M131" s="39"/>
      <c r="N131" s="39"/>
      <c r="BM131" s="17"/>
      <c r="BN131" s="17"/>
      <c r="BO131" s="17"/>
      <c r="BP131" s="17"/>
      <c r="BQ131" s="17"/>
      <c r="BR131" s="17"/>
      <c r="BS131" s="17"/>
      <c r="BT131" s="17"/>
      <c r="BU131" s="17"/>
      <c r="BV131" s="17"/>
      <c r="BX131" s="17"/>
    </row>
    <row r="132" spans="3:76">
      <c r="C132" s="269" t="s">
        <v>446</v>
      </c>
      <c r="D132" s="269"/>
      <c r="E132" s="269"/>
      <c r="F132" s="269"/>
      <c r="G132" s="269"/>
      <c r="H132" s="269"/>
      <c r="I132" s="269"/>
      <c r="J132" s="269"/>
      <c r="K132" s="269"/>
      <c r="L132" s="269"/>
      <c r="M132" s="269"/>
      <c r="N132" s="269"/>
      <c r="O132" s="269"/>
      <c r="P132" s="269"/>
      <c r="Q132" s="269"/>
      <c r="R132" s="248"/>
      <c r="S132" s="248"/>
      <c r="T132" s="1351">
        <f>PCF!T377</f>
        <v>0</v>
      </c>
      <c r="U132" s="1351">
        <f>PCF!U377</f>
        <v>0</v>
      </c>
      <c r="V132" s="1351">
        <f>PCF!V377</f>
        <v>0</v>
      </c>
      <c r="W132" s="1351">
        <f>PCF!W377</f>
        <v>0</v>
      </c>
      <c r="X132" s="1351">
        <f>PCF!X377</f>
        <v>0</v>
      </c>
      <c r="Y132" s="1351">
        <f>PCF!Y377</f>
        <v>0</v>
      </c>
      <c r="Z132" s="1351">
        <f>PCF!Z377</f>
        <v>0</v>
      </c>
      <c r="AA132" s="1351">
        <f>PCF!AA377</f>
        <v>0</v>
      </c>
      <c r="AB132" s="1351">
        <f>PCF!AB377</f>
        <v>0</v>
      </c>
      <c r="AC132" s="1351">
        <f>PCF!AC377</f>
        <v>0</v>
      </c>
      <c r="AD132" s="1351">
        <f>PCF!AD377</f>
        <v>0</v>
      </c>
      <c r="AE132" s="1351">
        <f>PCF!AE377</f>
        <v>0</v>
      </c>
      <c r="AF132" s="1351">
        <f>PCF!AF377</f>
        <v>0</v>
      </c>
      <c r="AG132" s="1351">
        <f>PCF!AG377</f>
        <v>0</v>
      </c>
      <c r="AH132" s="1351">
        <f>PCF!AH377</f>
        <v>0</v>
      </c>
      <c r="AI132" s="1351">
        <f>PCF!AI377</f>
        <v>0</v>
      </c>
      <c r="AJ132" s="1351">
        <f>PCF!AJ377</f>
        <v>0</v>
      </c>
      <c r="AK132" s="1351">
        <f>PCF!AK377</f>
        <v>0</v>
      </c>
      <c r="AL132" s="1351">
        <f>PCF!AL377</f>
        <v>0</v>
      </c>
      <c r="AM132" s="1351">
        <f>PCF!AM377</f>
        <v>0</v>
      </c>
      <c r="AN132" s="1351">
        <f>PCF!AN377</f>
        <v>0</v>
      </c>
      <c r="AO132" s="1351">
        <f>PCF!AO377</f>
        <v>0</v>
      </c>
      <c r="AP132" s="1351">
        <f>PCF!AP377</f>
        <v>0</v>
      </c>
      <c r="AQ132" s="1351">
        <f>PCF!AQ377</f>
        <v>0</v>
      </c>
      <c r="AR132" s="1351">
        <f>PCF!AR377</f>
        <v>0</v>
      </c>
      <c r="AS132" s="1351">
        <f>PCF!AS377</f>
        <v>0</v>
      </c>
      <c r="AT132" s="1351">
        <f>PCF!AT377</f>
        <v>0</v>
      </c>
      <c r="AU132" s="1351">
        <f>PCF!AU377</f>
        <v>0</v>
      </c>
      <c r="AV132" s="1351">
        <f>PCF!AV377</f>
        <v>0</v>
      </c>
      <c r="AW132" s="1351">
        <f>PCF!AW377</f>
        <v>0</v>
      </c>
      <c r="AX132" s="1351">
        <f>PCF!AX377</f>
        <v>0</v>
      </c>
      <c r="AY132" s="1351">
        <f>PCF!AY377</f>
        <v>0</v>
      </c>
      <c r="AZ132" s="1351">
        <f>PCF!AZ377</f>
        <v>0</v>
      </c>
      <c r="BA132" s="1351">
        <f>PCF!BA377</f>
        <v>0</v>
      </c>
      <c r="BB132" s="1351">
        <f>PCF!BB377</f>
        <v>0</v>
      </c>
      <c r="BC132" s="1351">
        <f>PCF!BC377</f>
        <v>0</v>
      </c>
      <c r="BD132" s="1351">
        <f>PCF!BD377</f>
        <v>0</v>
      </c>
      <c r="BE132" s="1351">
        <f>PCF!BE377</f>
        <v>0</v>
      </c>
      <c r="BF132" s="1351">
        <f>PCF!BF377</f>
        <v>0</v>
      </c>
      <c r="BG132" s="1351">
        <f>PCF!BG377</f>
        <v>0</v>
      </c>
      <c r="BI132" s="1068">
        <f t="shared" ref="BI132:BI138" si="185">SUM(T132:BG132)</f>
        <v>0</v>
      </c>
      <c r="BM132" s="310">
        <f t="shared" ref="BM132:BV138" si="186">SUMIF($T$8:$BG$8,BM$6,$T132:$BG132)</f>
        <v>0</v>
      </c>
      <c r="BN132" s="310">
        <f t="shared" si="186"/>
        <v>0</v>
      </c>
      <c r="BO132" s="310">
        <f t="shared" si="186"/>
        <v>0</v>
      </c>
      <c r="BP132" s="310">
        <f t="shared" si="186"/>
        <v>0</v>
      </c>
      <c r="BQ132" s="310">
        <f t="shared" si="186"/>
        <v>0</v>
      </c>
      <c r="BR132" s="310">
        <f t="shared" si="186"/>
        <v>0</v>
      </c>
      <c r="BS132" s="310">
        <f t="shared" si="186"/>
        <v>0</v>
      </c>
      <c r="BT132" s="310">
        <f t="shared" si="186"/>
        <v>0</v>
      </c>
      <c r="BU132" s="310">
        <f t="shared" si="186"/>
        <v>0</v>
      </c>
      <c r="BV132" s="310">
        <f t="shared" si="186"/>
        <v>0</v>
      </c>
      <c r="BX132" s="476">
        <f>SUM(BM132:BW132)</f>
        <v>0</v>
      </c>
    </row>
    <row r="133" spans="3:76">
      <c r="C133" t="s">
        <v>658</v>
      </c>
      <c r="R133" s="392"/>
      <c r="S133" s="392"/>
      <c r="T133" s="403">
        <f>PCF!T378</f>
        <v>0</v>
      </c>
      <c r="U133" s="403">
        <f>PCF!U378</f>
        <v>0</v>
      </c>
      <c r="V133" s="403">
        <f>PCF!V378</f>
        <v>0</v>
      </c>
      <c r="W133" s="403">
        <f>PCF!W378</f>
        <v>0</v>
      </c>
      <c r="X133" s="403">
        <f>PCF!X378</f>
        <v>0</v>
      </c>
      <c r="Y133" s="403">
        <f>PCF!Y378</f>
        <v>0</v>
      </c>
      <c r="Z133" s="403">
        <f>PCF!Z378</f>
        <v>0</v>
      </c>
      <c r="AA133" s="403">
        <f>PCF!AA378</f>
        <v>0</v>
      </c>
      <c r="AB133" s="403">
        <f>PCF!AB378</f>
        <v>0</v>
      </c>
      <c r="AC133" s="403">
        <f>PCF!AC378</f>
        <v>0</v>
      </c>
      <c r="AD133" s="403">
        <f>PCF!AD378</f>
        <v>0</v>
      </c>
      <c r="AE133" s="403">
        <f>PCF!AE378</f>
        <v>0</v>
      </c>
      <c r="AF133" s="403">
        <f>PCF!AF378</f>
        <v>0</v>
      </c>
      <c r="AG133" s="403">
        <f>PCF!AG378</f>
        <v>0</v>
      </c>
      <c r="AH133" s="403">
        <f>PCF!AH378</f>
        <v>0</v>
      </c>
      <c r="AI133" s="403">
        <f>PCF!AI378</f>
        <v>0</v>
      </c>
      <c r="AJ133" s="403">
        <f>PCF!AJ378</f>
        <v>0</v>
      </c>
      <c r="AK133" s="403">
        <f>PCF!AK378</f>
        <v>0</v>
      </c>
      <c r="AL133" s="403">
        <f>PCF!AL378</f>
        <v>0</v>
      </c>
      <c r="AM133" s="403">
        <f>PCF!AM378</f>
        <v>0</v>
      </c>
      <c r="AN133" s="403">
        <f>PCF!AN378</f>
        <v>0</v>
      </c>
      <c r="AO133" s="403">
        <f>PCF!AO378</f>
        <v>0</v>
      </c>
      <c r="AP133" s="403">
        <f>PCF!AP378</f>
        <v>0</v>
      </c>
      <c r="AQ133" s="403">
        <f>PCF!AQ378</f>
        <v>0</v>
      </c>
      <c r="AR133" s="403">
        <f>PCF!AR378</f>
        <v>0</v>
      </c>
      <c r="AS133" s="403">
        <f>PCF!AS378</f>
        <v>0</v>
      </c>
      <c r="AT133" s="403">
        <f>PCF!AT378</f>
        <v>0</v>
      </c>
      <c r="AU133" s="403">
        <f>PCF!AU378</f>
        <v>0</v>
      </c>
      <c r="AV133" s="403">
        <f>PCF!AV378</f>
        <v>0</v>
      </c>
      <c r="AW133" s="403">
        <f>PCF!AW378</f>
        <v>0</v>
      </c>
      <c r="AX133" s="403">
        <f>PCF!AX378</f>
        <v>0</v>
      </c>
      <c r="AY133" s="403">
        <f>PCF!AY378</f>
        <v>0</v>
      </c>
      <c r="AZ133" s="403">
        <f>PCF!AZ378</f>
        <v>0</v>
      </c>
      <c r="BA133" s="403">
        <f>PCF!BA378</f>
        <v>0</v>
      </c>
      <c r="BB133" s="403">
        <f>PCF!BB378</f>
        <v>0</v>
      </c>
      <c r="BC133" s="403">
        <f>PCF!BC378</f>
        <v>0</v>
      </c>
      <c r="BD133" s="403">
        <f>PCF!BD378</f>
        <v>0</v>
      </c>
      <c r="BE133" s="403">
        <f>PCF!BE378</f>
        <v>0</v>
      </c>
      <c r="BF133" s="403">
        <f>PCF!BF378</f>
        <v>0</v>
      </c>
      <c r="BG133" s="403">
        <f>PCF!BG378</f>
        <v>0</v>
      </c>
      <c r="BI133" s="476">
        <f t="shared" si="185"/>
        <v>0</v>
      </c>
      <c r="BM133" s="310">
        <f t="shared" si="186"/>
        <v>0</v>
      </c>
      <c r="BN133" s="310">
        <f t="shared" si="186"/>
        <v>0</v>
      </c>
      <c r="BO133" s="310">
        <f t="shared" si="186"/>
        <v>0</v>
      </c>
      <c r="BP133" s="310">
        <f t="shared" si="186"/>
        <v>0</v>
      </c>
      <c r="BQ133" s="310">
        <f t="shared" si="186"/>
        <v>0</v>
      </c>
      <c r="BR133" s="310">
        <f t="shared" si="186"/>
        <v>0</v>
      </c>
      <c r="BS133" s="310">
        <f t="shared" si="186"/>
        <v>0</v>
      </c>
      <c r="BT133" s="310">
        <f t="shared" si="186"/>
        <v>0</v>
      </c>
      <c r="BU133" s="310">
        <f t="shared" si="186"/>
        <v>0</v>
      </c>
      <c r="BV133" s="310">
        <f t="shared" si="186"/>
        <v>0</v>
      </c>
      <c r="BX133" s="476">
        <f t="shared" ref="BX133" si="187">SUM(BM133:BW133)</f>
        <v>0</v>
      </c>
    </row>
    <row r="134" spans="3:76">
      <c r="C134" t="s">
        <v>444</v>
      </c>
      <c r="R134" s="392"/>
      <c r="S134" s="392"/>
      <c r="T134" s="403">
        <f>PCF!T379</f>
        <v>0</v>
      </c>
      <c r="U134" s="403">
        <f>PCF!U379</f>
        <v>0</v>
      </c>
      <c r="V134" s="403">
        <f>PCF!V379</f>
        <v>0</v>
      </c>
      <c r="W134" s="403">
        <f>PCF!W379</f>
        <v>0</v>
      </c>
      <c r="X134" s="403">
        <f>PCF!X379</f>
        <v>0</v>
      </c>
      <c r="Y134" s="403">
        <f>PCF!Y379</f>
        <v>0</v>
      </c>
      <c r="Z134" s="403">
        <f>PCF!Z379</f>
        <v>0</v>
      </c>
      <c r="AA134" s="403">
        <f>PCF!AA379</f>
        <v>0</v>
      </c>
      <c r="AB134" s="403">
        <f>PCF!AB379</f>
        <v>0</v>
      </c>
      <c r="AC134" s="403">
        <f>PCF!AC379</f>
        <v>0</v>
      </c>
      <c r="AD134" s="403">
        <f>PCF!AD379</f>
        <v>0</v>
      </c>
      <c r="AE134" s="403">
        <f>PCF!AE379</f>
        <v>0</v>
      </c>
      <c r="AF134" s="403">
        <f>PCF!AF379</f>
        <v>0</v>
      </c>
      <c r="AG134" s="403">
        <f>PCF!AG379</f>
        <v>0</v>
      </c>
      <c r="AH134" s="403">
        <f>PCF!AH379</f>
        <v>0</v>
      </c>
      <c r="AI134" s="403">
        <f>PCF!AI379</f>
        <v>0</v>
      </c>
      <c r="AJ134" s="403">
        <f>PCF!AJ379</f>
        <v>0</v>
      </c>
      <c r="AK134" s="403">
        <f>PCF!AK379</f>
        <v>0</v>
      </c>
      <c r="AL134" s="403">
        <f>PCF!AL379</f>
        <v>0</v>
      </c>
      <c r="AM134" s="403">
        <f>PCF!AM379</f>
        <v>0</v>
      </c>
      <c r="AN134" s="403">
        <f>PCF!AN379</f>
        <v>0</v>
      </c>
      <c r="AO134" s="403">
        <f>PCF!AO379</f>
        <v>0</v>
      </c>
      <c r="AP134" s="403">
        <f>PCF!AP379</f>
        <v>0</v>
      </c>
      <c r="AQ134" s="403">
        <f>PCF!AQ379</f>
        <v>0</v>
      </c>
      <c r="AR134" s="403">
        <f>PCF!AR379</f>
        <v>0</v>
      </c>
      <c r="AS134" s="403">
        <f>PCF!AS379</f>
        <v>0</v>
      </c>
      <c r="AT134" s="403">
        <f>PCF!AT379</f>
        <v>0</v>
      </c>
      <c r="AU134" s="403">
        <f>PCF!AU379</f>
        <v>0</v>
      </c>
      <c r="AV134" s="403">
        <f>PCF!AV379</f>
        <v>0</v>
      </c>
      <c r="AW134" s="403">
        <f>PCF!AW379</f>
        <v>0</v>
      </c>
      <c r="AX134" s="403">
        <f>PCF!AX379</f>
        <v>0</v>
      </c>
      <c r="AY134" s="403">
        <f>PCF!AY379</f>
        <v>0</v>
      </c>
      <c r="AZ134" s="403">
        <f>PCF!AZ379</f>
        <v>0</v>
      </c>
      <c r="BA134" s="403">
        <f>PCF!BA379</f>
        <v>0</v>
      </c>
      <c r="BB134" s="403">
        <f>PCF!BB379</f>
        <v>0</v>
      </c>
      <c r="BC134" s="403">
        <f>PCF!BC379</f>
        <v>0</v>
      </c>
      <c r="BD134" s="403">
        <f>PCF!BD379</f>
        <v>0</v>
      </c>
      <c r="BE134" s="403">
        <f>PCF!BE379</f>
        <v>0</v>
      </c>
      <c r="BF134" s="403">
        <f>PCF!BF379</f>
        <v>0</v>
      </c>
      <c r="BG134" s="403">
        <f>PCF!BG379</f>
        <v>0</v>
      </c>
      <c r="BI134" s="476">
        <f t="shared" si="185"/>
        <v>0</v>
      </c>
      <c r="BM134" s="310">
        <f t="shared" si="186"/>
        <v>0</v>
      </c>
      <c r="BN134" s="310">
        <f t="shared" si="186"/>
        <v>0</v>
      </c>
      <c r="BO134" s="310">
        <f t="shared" si="186"/>
        <v>0</v>
      </c>
      <c r="BP134" s="310">
        <f t="shared" si="186"/>
        <v>0</v>
      </c>
      <c r="BQ134" s="310">
        <f t="shared" si="186"/>
        <v>0</v>
      </c>
      <c r="BR134" s="310">
        <f t="shared" si="186"/>
        <v>0</v>
      </c>
      <c r="BS134" s="310">
        <f t="shared" si="186"/>
        <v>0</v>
      </c>
      <c r="BT134" s="310">
        <f t="shared" si="186"/>
        <v>0</v>
      </c>
      <c r="BU134" s="310">
        <f t="shared" si="186"/>
        <v>0</v>
      </c>
      <c r="BV134" s="310">
        <f t="shared" si="186"/>
        <v>0</v>
      </c>
      <c r="BX134" s="476">
        <f t="shared" ref="BX134:BX137" si="188">SUM(BM134:BW134)</f>
        <v>0</v>
      </c>
    </row>
    <row r="135" spans="3:76">
      <c r="C135" t="s">
        <v>659</v>
      </c>
      <c r="R135" s="392"/>
      <c r="S135" s="392"/>
      <c r="T135" s="403">
        <f>PCF!T380</f>
        <v>0</v>
      </c>
      <c r="U135" s="403">
        <f>PCF!U380</f>
        <v>0</v>
      </c>
      <c r="V135" s="403">
        <f>PCF!V380</f>
        <v>0</v>
      </c>
      <c r="W135" s="403">
        <f>PCF!W380</f>
        <v>0</v>
      </c>
      <c r="X135" s="403">
        <f>PCF!X380</f>
        <v>0</v>
      </c>
      <c r="Y135" s="403">
        <f>PCF!Y380</f>
        <v>0</v>
      </c>
      <c r="Z135" s="403">
        <f>PCF!Z380</f>
        <v>0</v>
      </c>
      <c r="AA135" s="403">
        <f>PCF!AA380</f>
        <v>0</v>
      </c>
      <c r="AB135" s="403">
        <f>PCF!AB380</f>
        <v>0</v>
      </c>
      <c r="AC135" s="403">
        <f>PCF!AC380</f>
        <v>0</v>
      </c>
      <c r="AD135" s="403">
        <f>PCF!AD380</f>
        <v>0</v>
      </c>
      <c r="AE135" s="403">
        <f>PCF!AE380</f>
        <v>0</v>
      </c>
      <c r="AF135" s="403">
        <f>PCF!AF380</f>
        <v>0</v>
      </c>
      <c r="AG135" s="403">
        <f>PCF!AG380</f>
        <v>0</v>
      </c>
      <c r="AH135" s="403">
        <f>PCF!AH380</f>
        <v>0</v>
      </c>
      <c r="AI135" s="403">
        <f>PCF!AI380</f>
        <v>0</v>
      </c>
      <c r="AJ135" s="403">
        <f>PCF!AJ380</f>
        <v>0</v>
      </c>
      <c r="AK135" s="403">
        <f>PCF!AK380</f>
        <v>0</v>
      </c>
      <c r="AL135" s="403">
        <f>PCF!AL380</f>
        <v>0</v>
      </c>
      <c r="AM135" s="403">
        <f>PCF!AM380</f>
        <v>0</v>
      </c>
      <c r="AN135" s="403">
        <f>PCF!AN380</f>
        <v>0</v>
      </c>
      <c r="AO135" s="403">
        <f>PCF!AO380</f>
        <v>0</v>
      </c>
      <c r="AP135" s="403">
        <f>PCF!AP380</f>
        <v>0</v>
      </c>
      <c r="AQ135" s="403">
        <f>PCF!AQ380</f>
        <v>0</v>
      </c>
      <c r="AR135" s="403">
        <f>PCF!AR380</f>
        <v>0</v>
      </c>
      <c r="AS135" s="403">
        <f>PCF!AS380</f>
        <v>0</v>
      </c>
      <c r="AT135" s="403">
        <f>PCF!AT380</f>
        <v>0</v>
      </c>
      <c r="AU135" s="403">
        <f>PCF!AU380</f>
        <v>0</v>
      </c>
      <c r="AV135" s="403">
        <f>PCF!AV380</f>
        <v>0</v>
      </c>
      <c r="AW135" s="403">
        <f>PCF!AW380</f>
        <v>0</v>
      </c>
      <c r="AX135" s="403">
        <f>PCF!AX380</f>
        <v>0</v>
      </c>
      <c r="AY135" s="403">
        <f>PCF!AY380</f>
        <v>0</v>
      </c>
      <c r="AZ135" s="403">
        <f>PCF!AZ380</f>
        <v>0</v>
      </c>
      <c r="BA135" s="403">
        <f>PCF!BA380</f>
        <v>0</v>
      </c>
      <c r="BB135" s="403">
        <f>PCF!BB380</f>
        <v>0</v>
      </c>
      <c r="BC135" s="403">
        <f>PCF!BC380</f>
        <v>0</v>
      </c>
      <c r="BD135" s="403">
        <f>PCF!BD380</f>
        <v>0</v>
      </c>
      <c r="BE135" s="403">
        <f>PCF!BE380</f>
        <v>0</v>
      </c>
      <c r="BF135" s="403">
        <f>PCF!BF380</f>
        <v>0</v>
      </c>
      <c r="BG135" s="403">
        <f>PCF!BG380</f>
        <v>0</v>
      </c>
      <c r="BI135" s="476">
        <f t="shared" si="185"/>
        <v>0</v>
      </c>
      <c r="BM135" s="310">
        <f t="shared" si="186"/>
        <v>0</v>
      </c>
      <c r="BN135" s="310">
        <f t="shared" si="186"/>
        <v>0</v>
      </c>
      <c r="BO135" s="310">
        <f t="shared" si="186"/>
        <v>0</v>
      </c>
      <c r="BP135" s="310">
        <f t="shared" si="186"/>
        <v>0</v>
      </c>
      <c r="BQ135" s="310">
        <f t="shared" si="186"/>
        <v>0</v>
      </c>
      <c r="BR135" s="310">
        <f t="shared" si="186"/>
        <v>0</v>
      </c>
      <c r="BS135" s="310">
        <f t="shared" si="186"/>
        <v>0</v>
      </c>
      <c r="BT135" s="310">
        <f t="shared" si="186"/>
        <v>0</v>
      </c>
      <c r="BU135" s="310">
        <f t="shared" si="186"/>
        <v>0</v>
      </c>
      <c r="BV135" s="310">
        <f t="shared" si="186"/>
        <v>0</v>
      </c>
      <c r="BX135" s="476">
        <f t="shared" si="188"/>
        <v>0</v>
      </c>
    </row>
    <row r="136" spans="3:76">
      <c r="C136" t="s">
        <v>1282</v>
      </c>
      <c r="R136" s="392"/>
      <c r="S136" s="392"/>
      <c r="T136" s="403">
        <f>PCF!T381</f>
        <v>0</v>
      </c>
      <c r="U136" s="403">
        <f>PCF!U381</f>
        <v>0</v>
      </c>
      <c r="V136" s="403">
        <f>PCF!V381</f>
        <v>0</v>
      </c>
      <c r="W136" s="403">
        <f>PCF!W381</f>
        <v>0</v>
      </c>
      <c r="X136" s="403">
        <f>PCF!X381</f>
        <v>0</v>
      </c>
      <c r="Y136" s="403">
        <f>PCF!Y381</f>
        <v>0</v>
      </c>
      <c r="Z136" s="403">
        <f>PCF!Z381</f>
        <v>0</v>
      </c>
      <c r="AA136" s="403">
        <f>PCF!AA381</f>
        <v>0</v>
      </c>
      <c r="AB136" s="403">
        <f>PCF!AB381</f>
        <v>0</v>
      </c>
      <c r="AC136" s="403">
        <f>PCF!AC381</f>
        <v>0</v>
      </c>
      <c r="AD136" s="403">
        <f>PCF!AD381</f>
        <v>0</v>
      </c>
      <c r="AE136" s="403">
        <f>PCF!AE381</f>
        <v>0</v>
      </c>
      <c r="AF136" s="403">
        <f>PCF!AF381</f>
        <v>0</v>
      </c>
      <c r="AG136" s="403">
        <f>PCF!AG381</f>
        <v>0</v>
      </c>
      <c r="AH136" s="403">
        <f>PCF!AH381</f>
        <v>0</v>
      </c>
      <c r="AI136" s="403">
        <f>PCF!AI381</f>
        <v>0</v>
      </c>
      <c r="AJ136" s="403">
        <f>PCF!AJ381</f>
        <v>0</v>
      </c>
      <c r="AK136" s="403">
        <f>PCF!AK381</f>
        <v>0</v>
      </c>
      <c r="AL136" s="403">
        <f>PCF!AL381</f>
        <v>0</v>
      </c>
      <c r="AM136" s="403">
        <f>PCF!AM381</f>
        <v>0</v>
      </c>
      <c r="AN136" s="403">
        <f>PCF!AN381</f>
        <v>0</v>
      </c>
      <c r="AO136" s="403">
        <f>PCF!AO381</f>
        <v>0</v>
      </c>
      <c r="AP136" s="403">
        <f>PCF!AP381</f>
        <v>0</v>
      </c>
      <c r="AQ136" s="403">
        <f>PCF!AQ381</f>
        <v>0</v>
      </c>
      <c r="AR136" s="403">
        <f>PCF!AR381</f>
        <v>0</v>
      </c>
      <c r="AS136" s="403">
        <f>PCF!AS381</f>
        <v>0</v>
      </c>
      <c r="AT136" s="403">
        <f>PCF!AT381</f>
        <v>0</v>
      </c>
      <c r="AU136" s="403">
        <f>PCF!AU381</f>
        <v>0</v>
      </c>
      <c r="AV136" s="403">
        <f>PCF!AV381</f>
        <v>0</v>
      </c>
      <c r="AW136" s="403">
        <f>PCF!AW381</f>
        <v>0</v>
      </c>
      <c r="AX136" s="403">
        <f>PCF!AX381</f>
        <v>0</v>
      </c>
      <c r="AY136" s="403">
        <f>PCF!AY381</f>
        <v>0</v>
      </c>
      <c r="AZ136" s="403">
        <f>PCF!AZ381</f>
        <v>0</v>
      </c>
      <c r="BA136" s="403">
        <f>PCF!BA381</f>
        <v>0</v>
      </c>
      <c r="BB136" s="403">
        <f>PCF!BB381</f>
        <v>0</v>
      </c>
      <c r="BC136" s="403">
        <f>PCF!BC381</f>
        <v>0</v>
      </c>
      <c r="BD136" s="403">
        <f>PCF!BD381</f>
        <v>0</v>
      </c>
      <c r="BE136" s="403">
        <f>PCF!BE381</f>
        <v>0</v>
      </c>
      <c r="BF136" s="403">
        <f>PCF!BF381</f>
        <v>0</v>
      </c>
      <c r="BG136" s="403">
        <f>PCF!BG381</f>
        <v>0</v>
      </c>
      <c r="BI136" s="476">
        <f t="shared" si="185"/>
        <v>0</v>
      </c>
      <c r="BM136" s="310">
        <f t="shared" si="186"/>
        <v>0</v>
      </c>
      <c r="BN136" s="310">
        <f t="shared" si="186"/>
        <v>0</v>
      </c>
      <c r="BO136" s="310">
        <f t="shared" si="186"/>
        <v>0</v>
      </c>
      <c r="BP136" s="310">
        <f t="shared" si="186"/>
        <v>0</v>
      </c>
      <c r="BQ136" s="310">
        <f t="shared" si="186"/>
        <v>0</v>
      </c>
      <c r="BR136" s="310">
        <f t="shared" si="186"/>
        <v>0</v>
      </c>
      <c r="BS136" s="310">
        <f t="shared" si="186"/>
        <v>0</v>
      </c>
      <c r="BT136" s="310">
        <f t="shared" si="186"/>
        <v>0</v>
      </c>
      <c r="BU136" s="310">
        <f t="shared" si="186"/>
        <v>0</v>
      </c>
      <c r="BV136" s="310">
        <f t="shared" si="186"/>
        <v>0</v>
      </c>
      <c r="BX136" s="476">
        <f t="shared" ref="BX136" si="189">SUM(BM136:BW136)</f>
        <v>0</v>
      </c>
    </row>
    <row r="137" spans="3:76">
      <c r="C137" t="s">
        <v>373</v>
      </c>
      <c r="R137" s="392"/>
      <c r="S137" s="392"/>
      <c r="T137" s="403">
        <f>PCF!T382</f>
        <v>0</v>
      </c>
      <c r="U137" s="403">
        <f>PCF!U382</f>
        <v>0</v>
      </c>
      <c r="V137" s="403">
        <f>PCF!V382</f>
        <v>0</v>
      </c>
      <c r="W137" s="403">
        <f>PCF!W382</f>
        <v>0</v>
      </c>
      <c r="X137" s="403">
        <f>PCF!X382</f>
        <v>0</v>
      </c>
      <c r="Y137" s="403">
        <f>PCF!Y382</f>
        <v>0</v>
      </c>
      <c r="Z137" s="403">
        <f>PCF!Z382</f>
        <v>0</v>
      </c>
      <c r="AA137" s="403">
        <f>PCF!AA382</f>
        <v>0</v>
      </c>
      <c r="AB137" s="403">
        <f>PCF!AB382</f>
        <v>0</v>
      </c>
      <c r="AC137" s="403">
        <f>PCF!AC382</f>
        <v>0</v>
      </c>
      <c r="AD137" s="403">
        <f>PCF!AD382</f>
        <v>0</v>
      </c>
      <c r="AE137" s="403">
        <f>PCF!AE382</f>
        <v>0</v>
      </c>
      <c r="AF137" s="403">
        <f>PCF!AF382</f>
        <v>0</v>
      </c>
      <c r="AG137" s="403">
        <f>PCF!AG382</f>
        <v>0</v>
      </c>
      <c r="AH137" s="403">
        <f>PCF!AH382</f>
        <v>0</v>
      </c>
      <c r="AI137" s="403">
        <f>PCF!AI382</f>
        <v>0</v>
      </c>
      <c r="AJ137" s="403">
        <f>PCF!AJ382</f>
        <v>0</v>
      </c>
      <c r="AK137" s="403">
        <f>PCF!AK382</f>
        <v>0</v>
      </c>
      <c r="AL137" s="403">
        <f>PCF!AL382</f>
        <v>0</v>
      </c>
      <c r="AM137" s="403">
        <f>PCF!AM382</f>
        <v>0</v>
      </c>
      <c r="AN137" s="403">
        <f>PCF!AN382</f>
        <v>0</v>
      </c>
      <c r="AO137" s="403">
        <f>PCF!AO382</f>
        <v>0</v>
      </c>
      <c r="AP137" s="403">
        <f>PCF!AP382</f>
        <v>0</v>
      </c>
      <c r="AQ137" s="403">
        <f>PCF!AQ382</f>
        <v>0</v>
      </c>
      <c r="AR137" s="403">
        <f>PCF!AR382</f>
        <v>0</v>
      </c>
      <c r="AS137" s="403">
        <f>PCF!AS382</f>
        <v>0</v>
      </c>
      <c r="AT137" s="403">
        <f>PCF!AT382</f>
        <v>0</v>
      </c>
      <c r="AU137" s="403">
        <f>PCF!AU382</f>
        <v>0</v>
      </c>
      <c r="AV137" s="403">
        <f>PCF!AV382</f>
        <v>0</v>
      </c>
      <c r="AW137" s="403">
        <f>PCF!AW382</f>
        <v>0</v>
      </c>
      <c r="AX137" s="403">
        <f>PCF!AX382</f>
        <v>0</v>
      </c>
      <c r="AY137" s="403">
        <f>PCF!AY382</f>
        <v>0</v>
      </c>
      <c r="AZ137" s="403">
        <f>PCF!AZ382</f>
        <v>0</v>
      </c>
      <c r="BA137" s="403">
        <f>PCF!BA382</f>
        <v>0</v>
      </c>
      <c r="BB137" s="403">
        <f>PCF!BB382</f>
        <v>0</v>
      </c>
      <c r="BC137" s="403">
        <f>PCF!BC382</f>
        <v>0</v>
      </c>
      <c r="BD137" s="403">
        <f>PCF!BD382</f>
        <v>0</v>
      </c>
      <c r="BE137" s="403">
        <f>PCF!BE382</f>
        <v>0</v>
      </c>
      <c r="BF137" s="403">
        <f>PCF!BF382</f>
        <v>0</v>
      </c>
      <c r="BG137" s="403">
        <f>PCF!BG382</f>
        <v>0</v>
      </c>
      <c r="BI137" s="476">
        <f t="shared" si="185"/>
        <v>0</v>
      </c>
      <c r="BM137" s="310">
        <f t="shared" si="186"/>
        <v>0</v>
      </c>
      <c r="BN137" s="310">
        <f t="shared" si="186"/>
        <v>0</v>
      </c>
      <c r="BO137" s="310">
        <f t="shared" si="186"/>
        <v>0</v>
      </c>
      <c r="BP137" s="310">
        <f t="shared" si="186"/>
        <v>0</v>
      </c>
      <c r="BQ137" s="310">
        <f t="shared" si="186"/>
        <v>0</v>
      </c>
      <c r="BR137" s="310">
        <f t="shared" si="186"/>
        <v>0</v>
      </c>
      <c r="BS137" s="310">
        <f t="shared" si="186"/>
        <v>0</v>
      </c>
      <c r="BT137" s="310">
        <f t="shared" si="186"/>
        <v>0</v>
      </c>
      <c r="BU137" s="310">
        <f t="shared" si="186"/>
        <v>0</v>
      </c>
      <c r="BV137" s="310">
        <f t="shared" si="186"/>
        <v>0</v>
      </c>
      <c r="BX137" s="476">
        <f t="shared" si="188"/>
        <v>0</v>
      </c>
    </row>
    <row r="138" spans="3:76">
      <c r="C138" s="253" t="s">
        <v>660</v>
      </c>
      <c r="D138" s="253"/>
      <c r="E138" s="253"/>
      <c r="F138" s="253"/>
      <c r="G138" s="253"/>
      <c r="H138" s="253"/>
      <c r="I138" s="253"/>
      <c r="J138" s="253"/>
      <c r="K138" s="253"/>
      <c r="L138" s="253"/>
      <c r="M138" s="253"/>
      <c r="N138" s="253"/>
      <c r="O138" s="268"/>
      <c r="P138" s="268"/>
      <c r="Q138" s="268"/>
      <c r="R138" s="153"/>
      <c r="S138" s="153"/>
      <c r="T138" s="254">
        <f>SUM(T132:T137)</f>
        <v>0</v>
      </c>
      <c r="U138" s="254">
        <f t="shared" ref="U138:BG138" si="190">SUM(U132:U137)</f>
        <v>0</v>
      </c>
      <c r="V138" s="254">
        <f t="shared" si="190"/>
        <v>0</v>
      </c>
      <c r="W138" s="254">
        <f t="shared" si="190"/>
        <v>0</v>
      </c>
      <c r="X138" s="254">
        <f t="shared" si="190"/>
        <v>0</v>
      </c>
      <c r="Y138" s="254">
        <f t="shared" si="190"/>
        <v>0</v>
      </c>
      <c r="Z138" s="254">
        <f t="shared" si="190"/>
        <v>0</v>
      </c>
      <c r="AA138" s="254">
        <f t="shared" si="190"/>
        <v>0</v>
      </c>
      <c r="AB138" s="254">
        <f t="shared" si="190"/>
        <v>0</v>
      </c>
      <c r="AC138" s="254">
        <f t="shared" si="190"/>
        <v>0</v>
      </c>
      <c r="AD138" s="254">
        <f t="shared" si="190"/>
        <v>0</v>
      </c>
      <c r="AE138" s="254">
        <f t="shared" si="190"/>
        <v>0</v>
      </c>
      <c r="AF138" s="254">
        <f t="shared" si="190"/>
        <v>0</v>
      </c>
      <c r="AG138" s="254">
        <f t="shared" si="190"/>
        <v>0</v>
      </c>
      <c r="AH138" s="254">
        <f t="shared" si="190"/>
        <v>0</v>
      </c>
      <c r="AI138" s="254">
        <f t="shared" si="190"/>
        <v>0</v>
      </c>
      <c r="AJ138" s="254">
        <f t="shared" si="190"/>
        <v>0</v>
      </c>
      <c r="AK138" s="254">
        <f t="shared" si="190"/>
        <v>0</v>
      </c>
      <c r="AL138" s="254">
        <f t="shared" si="190"/>
        <v>0</v>
      </c>
      <c r="AM138" s="254">
        <f t="shared" si="190"/>
        <v>0</v>
      </c>
      <c r="AN138" s="254">
        <f t="shared" si="190"/>
        <v>0</v>
      </c>
      <c r="AO138" s="254">
        <f t="shared" si="190"/>
        <v>0</v>
      </c>
      <c r="AP138" s="254">
        <f t="shared" si="190"/>
        <v>0</v>
      </c>
      <c r="AQ138" s="254">
        <f t="shared" si="190"/>
        <v>0</v>
      </c>
      <c r="AR138" s="254">
        <f t="shared" si="190"/>
        <v>0</v>
      </c>
      <c r="AS138" s="254">
        <f t="shared" si="190"/>
        <v>0</v>
      </c>
      <c r="AT138" s="254">
        <f t="shared" si="190"/>
        <v>0</v>
      </c>
      <c r="AU138" s="254">
        <f t="shared" si="190"/>
        <v>0</v>
      </c>
      <c r="AV138" s="254">
        <f t="shared" si="190"/>
        <v>0</v>
      </c>
      <c r="AW138" s="254">
        <f t="shared" si="190"/>
        <v>0</v>
      </c>
      <c r="AX138" s="254">
        <f t="shared" si="190"/>
        <v>0</v>
      </c>
      <c r="AY138" s="254">
        <f t="shared" si="190"/>
        <v>0</v>
      </c>
      <c r="AZ138" s="254">
        <f t="shared" si="190"/>
        <v>0</v>
      </c>
      <c r="BA138" s="254">
        <f t="shared" si="190"/>
        <v>0</v>
      </c>
      <c r="BB138" s="254">
        <f t="shared" si="190"/>
        <v>0</v>
      </c>
      <c r="BC138" s="254">
        <f t="shared" si="190"/>
        <v>0</v>
      </c>
      <c r="BD138" s="254">
        <f t="shared" si="190"/>
        <v>0</v>
      </c>
      <c r="BE138" s="254">
        <f t="shared" si="190"/>
        <v>0</v>
      </c>
      <c r="BF138" s="254">
        <f t="shared" si="190"/>
        <v>0</v>
      </c>
      <c r="BG138" s="254">
        <f t="shared" si="190"/>
        <v>0</v>
      </c>
      <c r="BI138" s="254">
        <f t="shared" si="185"/>
        <v>0</v>
      </c>
      <c r="BK138" s="257" t="b">
        <f>ROUND(BI138,GA!$G$112)=ROUND(BX138,GA!$G$112)</f>
        <v>1</v>
      </c>
      <c r="BM138" s="254">
        <f t="shared" si="186"/>
        <v>0</v>
      </c>
      <c r="BN138" s="254">
        <f t="shared" si="186"/>
        <v>0</v>
      </c>
      <c r="BO138" s="254">
        <f t="shared" si="186"/>
        <v>0</v>
      </c>
      <c r="BP138" s="254">
        <f t="shared" si="186"/>
        <v>0</v>
      </c>
      <c r="BQ138" s="254">
        <f t="shared" si="186"/>
        <v>0</v>
      </c>
      <c r="BR138" s="254">
        <f t="shared" si="186"/>
        <v>0</v>
      </c>
      <c r="BS138" s="254">
        <f t="shared" si="186"/>
        <v>0</v>
      </c>
      <c r="BT138" s="254">
        <f t="shared" si="186"/>
        <v>0</v>
      </c>
      <c r="BU138" s="254">
        <f t="shared" si="186"/>
        <v>0</v>
      </c>
      <c r="BV138" s="254">
        <f t="shared" si="186"/>
        <v>0</v>
      </c>
      <c r="BX138" s="254">
        <f>SUM(BM138:BV138)</f>
        <v>0</v>
      </c>
    </row>
    <row r="139" spans="3:76">
      <c r="C139" s="398" t="s">
        <v>661</v>
      </c>
      <c r="D139" s="398"/>
      <c r="E139" s="398"/>
      <c r="F139" s="398"/>
      <c r="G139" s="398"/>
      <c r="H139" s="398"/>
      <c r="I139" s="398"/>
      <c r="J139" s="398"/>
      <c r="K139" s="398"/>
      <c r="L139" s="398"/>
      <c r="M139" s="398"/>
      <c r="N139" s="398"/>
      <c r="T139" s="413">
        <f>-IF(T37=0,0,T138/T37)</f>
        <v>0</v>
      </c>
      <c r="U139" s="413">
        <f t="shared" ref="U139:BG139" si="191">-IF(U37=0,0,U138/U37)</f>
        <v>0</v>
      </c>
      <c r="V139" s="413">
        <f t="shared" si="191"/>
        <v>0</v>
      </c>
      <c r="W139" s="413">
        <f t="shared" si="191"/>
        <v>0</v>
      </c>
      <c r="X139" s="413">
        <f t="shared" si="191"/>
        <v>0</v>
      </c>
      <c r="Y139" s="413">
        <f t="shared" si="191"/>
        <v>0</v>
      </c>
      <c r="Z139" s="413">
        <f t="shared" si="191"/>
        <v>0</v>
      </c>
      <c r="AA139" s="413">
        <f t="shared" si="191"/>
        <v>0</v>
      </c>
      <c r="AB139" s="413">
        <f t="shared" si="191"/>
        <v>0</v>
      </c>
      <c r="AC139" s="413">
        <f t="shared" si="191"/>
        <v>0</v>
      </c>
      <c r="AD139" s="413">
        <f t="shared" si="191"/>
        <v>0</v>
      </c>
      <c r="AE139" s="413">
        <f t="shared" si="191"/>
        <v>0</v>
      </c>
      <c r="AF139" s="413">
        <f t="shared" si="191"/>
        <v>0</v>
      </c>
      <c r="AG139" s="413">
        <f t="shared" si="191"/>
        <v>0</v>
      </c>
      <c r="AH139" s="413">
        <f t="shared" si="191"/>
        <v>0</v>
      </c>
      <c r="AI139" s="413">
        <f t="shared" si="191"/>
        <v>0</v>
      </c>
      <c r="AJ139" s="413">
        <f t="shared" si="191"/>
        <v>0</v>
      </c>
      <c r="AK139" s="413">
        <f t="shared" si="191"/>
        <v>0</v>
      </c>
      <c r="AL139" s="413">
        <f t="shared" si="191"/>
        <v>0</v>
      </c>
      <c r="AM139" s="413">
        <f t="shared" si="191"/>
        <v>0</v>
      </c>
      <c r="AN139" s="413">
        <f t="shared" si="191"/>
        <v>0</v>
      </c>
      <c r="AO139" s="413">
        <f t="shared" si="191"/>
        <v>0</v>
      </c>
      <c r="AP139" s="413">
        <f t="shared" si="191"/>
        <v>0</v>
      </c>
      <c r="AQ139" s="413">
        <f t="shared" si="191"/>
        <v>0</v>
      </c>
      <c r="AR139" s="413">
        <f t="shared" si="191"/>
        <v>0</v>
      </c>
      <c r="AS139" s="413">
        <f t="shared" si="191"/>
        <v>0</v>
      </c>
      <c r="AT139" s="413">
        <f t="shared" si="191"/>
        <v>0</v>
      </c>
      <c r="AU139" s="413">
        <f t="shared" si="191"/>
        <v>0</v>
      </c>
      <c r="AV139" s="413">
        <f t="shared" si="191"/>
        <v>0</v>
      </c>
      <c r="AW139" s="413">
        <f t="shared" si="191"/>
        <v>0</v>
      </c>
      <c r="AX139" s="413">
        <f t="shared" si="191"/>
        <v>0</v>
      </c>
      <c r="AY139" s="413">
        <f t="shared" si="191"/>
        <v>0</v>
      </c>
      <c r="AZ139" s="413">
        <f t="shared" si="191"/>
        <v>0</v>
      </c>
      <c r="BA139" s="413">
        <f t="shared" si="191"/>
        <v>0</v>
      </c>
      <c r="BB139" s="413">
        <f t="shared" si="191"/>
        <v>0</v>
      </c>
      <c r="BC139" s="413">
        <f t="shared" si="191"/>
        <v>0</v>
      </c>
      <c r="BD139" s="413">
        <f t="shared" si="191"/>
        <v>0</v>
      </c>
      <c r="BE139" s="413">
        <f t="shared" si="191"/>
        <v>0</v>
      </c>
      <c r="BF139" s="413">
        <f t="shared" si="191"/>
        <v>0</v>
      </c>
      <c r="BG139" s="413">
        <f t="shared" si="191"/>
        <v>0</v>
      </c>
      <c r="BI139" s="1068"/>
      <c r="BM139" s="1079">
        <f t="shared" ref="BM139:BV139" si="192">AVERAGEIF($T$8:$BG$8,BM$6,$T139:$BG139)</f>
        <v>0</v>
      </c>
      <c r="BN139" s="1079">
        <f t="shared" si="192"/>
        <v>0</v>
      </c>
      <c r="BO139" s="1079">
        <f t="shared" si="192"/>
        <v>0</v>
      </c>
      <c r="BP139" s="1079">
        <f t="shared" si="192"/>
        <v>0</v>
      </c>
      <c r="BQ139" s="1079">
        <f t="shared" si="192"/>
        <v>0</v>
      </c>
      <c r="BR139" s="1079">
        <f t="shared" si="192"/>
        <v>0</v>
      </c>
      <c r="BS139" s="1079">
        <f t="shared" si="192"/>
        <v>0</v>
      </c>
      <c r="BT139" s="1079">
        <f t="shared" si="192"/>
        <v>0</v>
      </c>
      <c r="BU139" s="1079">
        <f t="shared" si="192"/>
        <v>0</v>
      </c>
      <c r="BV139" s="1079">
        <f t="shared" si="192"/>
        <v>0</v>
      </c>
      <c r="BX139" s="476" t="s">
        <v>153</v>
      </c>
    </row>
    <row r="141" spans="3:76">
      <c r="C141" s="253" t="s">
        <v>662</v>
      </c>
      <c r="D141" s="253"/>
      <c r="E141" s="253"/>
      <c r="F141" s="253"/>
      <c r="G141" s="253"/>
      <c r="H141" s="253"/>
      <c r="I141" s="253"/>
      <c r="J141" s="253"/>
      <c r="K141" s="253"/>
      <c r="L141" s="253"/>
      <c r="M141" s="253"/>
      <c r="N141" s="253"/>
      <c r="O141" s="253"/>
      <c r="P141" s="253"/>
      <c r="Q141" s="253"/>
      <c r="R141" s="401"/>
      <c r="S141" s="401"/>
      <c r="T141" s="254">
        <f>T138+T128</f>
        <v>9133.036404848961</v>
      </c>
      <c r="U141" s="254">
        <f t="shared" ref="U141:BG141" si="193">U138+U128</f>
        <v>30327.603849665684</v>
      </c>
      <c r="V141" s="254">
        <f t="shared" si="193"/>
        <v>52004.655274996578</v>
      </c>
      <c r="W141" s="254">
        <f t="shared" si="193"/>
        <v>52061.11874999998</v>
      </c>
      <c r="X141" s="254">
        <f t="shared" si="193"/>
        <v>52117.446098091212</v>
      </c>
      <c r="Y141" s="254">
        <f t="shared" si="193"/>
        <v>52173.635865209144</v>
      </c>
      <c r="Z141" s="254">
        <f t="shared" si="193"/>
        <v>52229.686588620651</v>
      </c>
      <c r="AA141" s="254">
        <f t="shared" si="193"/>
        <v>52285.596796874961</v>
      </c>
      <c r="AB141" s="254">
        <f t="shared" si="193"/>
        <v>52341.365009757516</v>
      </c>
      <c r="AC141" s="254">
        <f t="shared" si="193"/>
        <v>52396.98973824385</v>
      </c>
      <c r="AD141" s="254">
        <f t="shared" si="193"/>
        <v>52452.469484453162</v>
      </c>
      <c r="AE141" s="254">
        <f t="shared" si="193"/>
        <v>52507.802741601481</v>
      </c>
      <c r="AF141" s="254">
        <f t="shared" si="193"/>
        <v>0</v>
      </c>
      <c r="AG141" s="254">
        <f t="shared" si="193"/>
        <v>0</v>
      </c>
      <c r="AH141" s="254">
        <f t="shared" si="193"/>
        <v>0</v>
      </c>
      <c r="AI141" s="254">
        <f t="shared" si="193"/>
        <v>0</v>
      </c>
      <c r="AJ141" s="254">
        <f t="shared" si="193"/>
        <v>0</v>
      </c>
      <c r="AK141" s="254">
        <f t="shared" si="193"/>
        <v>0</v>
      </c>
      <c r="AL141" s="254">
        <f t="shared" si="193"/>
        <v>0</v>
      </c>
      <c r="AM141" s="254">
        <f t="shared" si="193"/>
        <v>0</v>
      </c>
      <c r="AN141" s="254">
        <f t="shared" si="193"/>
        <v>0</v>
      </c>
      <c r="AO141" s="254">
        <f t="shared" si="193"/>
        <v>0</v>
      </c>
      <c r="AP141" s="254">
        <f t="shared" si="193"/>
        <v>0</v>
      </c>
      <c r="AQ141" s="254">
        <f t="shared" si="193"/>
        <v>0</v>
      </c>
      <c r="AR141" s="254">
        <f t="shared" si="193"/>
        <v>0</v>
      </c>
      <c r="AS141" s="254">
        <f t="shared" si="193"/>
        <v>0</v>
      </c>
      <c r="AT141" s="254">
        <f t="shared" si="193"/>
        <v>0</v>
      </c>
      <c r="AU141" s="254">
        <f t="shared" si="193"/>
        <v>0</v>
      </c>
      <c r="AV141" s="254">
        <f t="shared" si="193"/>
        <v>0</v>
      </c>
      <c r="AW141" s="254">
        <f t="shared" si="193"/>
        <v>0</v>
      </c>
      <c r="AX141" s="254">
        <f t="shared" si="193"/>
        <v>0</v>
      </c>
      <c r="AY141" s="254">
        <f t="shared" si="193"/>
        <v>0</v>
      </c>
      <c r="AZ141" s="254">
        <f t="shared" si="193"/>
        <v>0</v>
      </c>
      <c r="BA141" s="254">
        <f t="shared" si="193"/>
        <v>0</v>
      </c>
      <c r="BB141" s="254">
        <f t="shared" si="193"/>
        <v>0</v>
      </c>
      <c r="BC141" s="254">
        <f t="shared" si="193"/>
        <v>0</v>
      </c>
      <c r="BD141" s="254">
        <f t="shared" si="193"/>
        <v>0</v>
      </c>
      <c r="BE141" s="254">
        <f t="shared" si="193"/>
        <v>0</v>
      </c>
      <c r="BF141" s="254">
        <f t="shared" si="193"/>
        <v>0</v>
      </c>
      <c r="BG141" s="254">
        <f t="shared" si="193"/>
        <v>0</v>
      </c>
      <c r="BI141" s="254">
        <f>SUM(T141:BG141)</f>
        <v>562031.4066023631</v>
      </c>
      <c r="BK141" s="257" t="b">
        <f>ROUND(BI141,GA!$G$112)=ROUND(BX141,GA!$G$112)</f>
        <v>1</v>
      </c>
      <c r="BM141" s="254">
        <f t="shared" ref="BM141:BV141" si="194">SUMIF($T$8:$BG$8,BM$6,$T141:$BG141)</f>
        <v>143526.4142795112</v>
      </c>
      <c r="BN141" s="254">
        <f t="shared" si="194"/>
        <v>208806.36534879595</v>
      </c>
      <c r="BO141" s="254">
        <f t="shared" si="194"/>
        <v>209698.62697405601</v>
      </c>
      <c r="BP141" s="254">
        <f t="shared" si="194"/>
        <v>0</v>
      </c>
      <c r="BQ141" s="254">
        <f t="shared" si="194"/>
        <v>0</v>
      </c>
      <c r="BR141" s="254">
        <f t="shared" si="194"/>
        <v>0</v>
      </c>
      <c r="BS141" s="254">
        <f t="shared" si="194"/>
        <v>0</v>
      </c>
      <c r="BT141" s="254">
        <f t="shared" si="194"/>
        <v>0</v>
      </c>
      <c r="BU141" s="254">
        <f t="shared" si="194"/>
        <v>0</v>
      </c>
      <c r="BV141" s="254">
        <f t="shared" si="194"/>
        <v>0</v>
      </c>
      <c r="BX141" s="254">
        <f>SUM(BM141:BV141)</f>
        <v>562031.4066023631</v>
      </c>
    </row>
    <row r="143" spans="3:76">
      <c r="C143" s="39" t="s">
        <v>663</v>
      </c>
      <c r="D143" s="39"/>
      <c r="E143" s="39"/>
      <c r="F143" s="39"/>
      <c r="G143" s="39"/>
      <c r="H143" s="39"/>
      <c r="I143" s="39"/>
      <c r="J143" s="39"/>
      <c r="K143" s="39"/>
      <c r="L143" s="39"/>
      <c r="M143" s="39"/>
      <c r="N143" s="39"/>
      <c r="BM143" s="17"/>
      <c r="BN143" s="17"/>
      <c r="BO143" s="17"/>
      <c r="BP143" s="17"/>
      <c r="BQ143" s="17"/>
      <c r="BR143" s="17"/>
      <c r="BS143" s="17"/>
      <c r="BT143" s="17"/>
      <c r="BU143" s="17"/>
      <c r="BV143" s="17"/>
      <c r="BX143" s="17"/>
    </row>
    <row r="144" spans="3:76">
      <c r="C144" s="269" t="s">
        <v>473</v>
      </c>
      <c r="D144" s="269"/>
      <c r="E144" s="269"/>
      <c r="F144" s="269"/>
      <c r="G144" s="269"/>
      <c r="H144" s="269"/>
      <c r="I144" s="269"/>
      <c r="J144" s="269"/>
      <c r="K144" s="269"/>
      <c r="L144" s="269"/>
      <c r="M144" s="269"/>
      <c r="N144" s="269"/>
      <c r="O144" s="269"/>
      <c r="P144" s="269"/>
      <c r="Q144" s="269"/>
      <c r="R144" s="248"/>
      <c r="S144" s="248"/>
      <c r="T144" s="1351">
        <f>PCF!T385</f>
        <v>0</v>
      </c>
      <c r="U144" s="1351">
        <f>PCF!U385</f>
        <v>0</v>
      </c>
      <c r="V144" s="1351">
        <f>PCF!V385</f>
        <v>0</v>
      </c>
      <c r="W144" s="1351">
        <f>PCF!W385</f>
        <v>0</v>
      </c>
      <c r="X144" s="1351">
        <f>PCF!X385</f>
        <v>0</v>
      </c>
      <c r="Y144" s="1351">
        <f>PCF!Y385</f>
        <v>0</v>
      </c>
      <c r="Z144" s="1351">
        <f>PCF!Z385</f>
        <v>0</v>
      </c>
      <c r="AA144" s="1351">
        <f>PCF!AA385</f>
        <v>0</v>
      </c>
      <c r="AB144" s="1351">
        <f>PCF!AB385</f>
        <v>0</v>
      </c>
      <c r="AC144" s="1351">
        <f>PCF!AC385</f>
        <v>0</v>
      </c>
      <c r="AD144" s="1351">
        <f>PCF!AD385</f>
        <v>0</v>
      </c>
      <c r="AE144" s="1351">
        <f>PCF!AE385</f>
        <v>3681609.018749997</v>
      </c>
      <c r="AF144" s="1351">
        <f>PCF!AF385</f>
        <v>0</v>
      </c>
      <c r="AG144" s="1351">
        <f>PCF!AG385</f>
        <v>0</v>
      </c>
      <c r="AH144" s="1351">
        <f>PCF!AH385</f>
        <v>0</v>
      </c>
      <c r="AI144" s="1351">
        <f>PCF!AI385</f>
        <v>0</v>
      </c>
      <c r="AJ144" s="1351">
        <f>PCF!AJ385</f>
        <v>0</v>
      </c>
      <c r="AK144" s="1351">
        <f>PCF!AK385</f>
        <v>0</v>
      </c>
      <c r="AL144" s="1351">
        <f>PCF!AL385</f>
        <v>0</v>
      </c>
      <c r="AM144" s="1351">
        <f>PCF!AM385</f>
        <v>0</v>
      </c>
      <c r="AN144" s="1351">
        <f>PCF!AN385</f>
        <v>0</v>
      </c>
      <c r="AO144" s="1351">
        <f>PCF!AO385</f>
        <v>0</v>
      </c>
      <c r="AP144" s="1351">
        <f>PCF!AP385</f>
        <v>0</v>
      </c>
      <c r="AQ144" s="1351">
        <f>PCF!AQ385</f>
        <v>0</v>
      </c>
      <c r="AR144" s="1351">
        <f>PCF!AR385</f>
        <v>0</v>
      </c>
      <c r="AS144" s="1351">
        <f>PCF!AS385</f>
        <v>0</v>
      </c>
      <c r="AT144" s="1351">
        <f>PCF!AT385</f>
        <v>0</v>
      </c>
      <c r="AU144" s="1351">
        <f>PCF!AU385</f>
        <v>0</v>
      </c>
      <c r="AV144" s="1351">
        <f>PCF!AV385</f>
        <v>0</v>
      </c>
      <c r="AW144" s="1351">
        <f>PCF!AW385</f>
        <v>0</v>
      </c>
      <c r="AX144" s="1351">
        <f>PCF!AX385</f>
        <v>0</v>
      </c>
      <c r="AY144" s="1351">
        <f>PCF!AY385</f>
        <v>0</v>
      </c>
      <c r="AZ144" s="1351">
        <f>PCF!AZ385</f>
        <v>0</v>
      </c>
      <c r="BA144" s="1351">
        <f>PCF!BA385</f>
        <v>0</v>
      </c>
      <c r="BB144" s="1351">
        <f>PCF!BB385</f>
        <v>0</v>
      </c>
      <c r="BC144" s="1351">
        <f>PCF!BC385</f>
        <v>0</v>
      </c>
      <c r="BD144" s="1351">
        <f>PCF!BD385</f>
        <v>0</v>
      </c>
      <c r="BE144" s="1351">
        <f>PCF!BE385</f>
        <v>0</v>
      </c>
      <c r="BF144" s="1351">
        <f>PCF!BF385</f>
        <v>0</v>
      </c>
      <c r="BG144" s="1351">
        <f>PCF!BG385</f>
        <v>0</v>
      </c>
      <c r="BI144" s="1068">
        <f t="shared" ref="BI144:BI150" si="195">SUM(T144:BG144)</f>
        <v>3681609.018749997</v>
      </c>
      <c r="BM144" s="310">
        <f t="shared" ref="BM144:BV150" si="196">SUMIF($T$8:$BG$8,BM$6,$T144:$BG144)</f>
        <v>0</v>
      </c>
      <c r="BN144" s="310">
        <f t="shared" si="196"/>
        <v>0</v>
      </c>
      <c r="BO144" s="310">
        <f t="shared" si="196"/>
        <v>3681609.018749997</v>
      </c>
      <c r="BP144" s="310">
        <f t="shared" si="196"/>
        <v>0</v>
      </c>
      <c r="BQ144" s="310">
        <f t="shared" si="196"/>
        <v>0</v>
      </c>
      <c r="BR144" s="310">
        <f t="shared" si="196"/>
        <v>0</v>
      </c>
      <c r="BS144" s="310">
        <f t="shared" si="196"/>
        <v>0</v>
      </c>
      <c r="BT144" s="310">
        <f t="shared" si="196"/>
        <v>0</v>
      </c>
      <c r="BU144" s="310">
        <f t="shared" si="196"/>
        <v>0</v>
      </c>
      <c r="BV144" s="310">
        <f t="shared" si="196"/>
        <v>0</v>
      </c>
      <c r="BX144" s="476">
        <f>SUM(BM144:BW144)</f>
        <v>3681609.018749997</v>
      </c>
    </row>
    <row r="145" spans="3:76">
      <c r="C145" t="s">
        <v>1369</v>
      </c>
      <c r="R145" s="392"/>
      <c r="S145" s="392"/>
      <c r="T145" s="403">
        <f>PCF!T386</f>
        <v>0</v>
      </c>
      <c r="U145" s="403">
        <f>PCF!U386</f>
        <v>0</v>
      </c>
      <c r="V145" s="403">
        <f>PCF!V386</f>
        <v>0</v>
      </c>
      <c r="W145" s="403">
        <f>PCF!W386</f>
        <v>0</v>
      </c>
      <c r="X145" s="403">
        <f>PCF!X386</f>
        <v>0</v>
      </c>
      <c r="Y145" s="403">
        <f>PCF!Y386</f>
        <v>0</v>
      </c>
      <c r="Z145" s="403">
        <f>PCF!Z386</f>
        <v>0</v>
      </c>
      <c r="AA145" s="403">
        <f>PCF!AA386</f>
        <v>0</v>
      </c>
      <c r="AB145" s="403">
        <f>PCF!AB386</f>
        <v>0</v>
      </c>
      <c r="AC145" s="403">
        <f>PCF!AC386</f>
        <v>0</v>
      </c>
      <c r="AD145" s="403">
        <f>PCF!AD386</f>
        <v>0</v>
      </c>
      <c r="AE145" s="403">
        <f>PCF!AE386</f>
        <v>0</v>
      </c>
      <c r="AF145" s="403">
        <f>PCF!AF386</f>
        <v>0</v>
      </c>
      <c r="AG145" s="403">
        <f>PCF!AG386</f>
        <v>0</v>
      </c>
      <c r="AH145" s="403">
        <f>PCF!AH386</f>
        <v>0</v>
      </c>
      <c r="AI145" s="403">
        <f>PCF!AI386</f>
        <v>0</v>
      </c>
      <c r="AJ145" s="403">
        <f>PCF!AJ386</f>
        <v>0</v>
      </c>
      <c r="AK145" s="403">
        <f>PCF!AK386</f>
        <v>0</v>
      </c>
      <c r="AL145" s="403">
        <f>PCF!AL386</f>
        <v>0</v>
      </c>
      <c r="AM145" s="403">
        <f>PCF!AM386</f>
        <v>0</v>
      </c>
      <c r="AN145" s="403">
        <f>PCF!AN386</f>
        <v>0</v>
      </c>
      <c r="AO145" s="403">
        <f>PCF!AO386</f>
        <v>0</v>
      </c>
      <c r="AP145" s="403">
        <f>PCF!AP386</f>
        <v>0</v>
      </c>
      <c r="AQ145" s="403">
        <f>PCF!AQ386</f>
        <v>0</v>
      </c>
      <c r="AR145" s="403">
        <f>PCF!AR386</f>
        <v>0</v>
      </c>
      <c r="AS145" s="403">
        <f>PCF!AS386</f>
        <v>0</v>
      </c>
      <c r="AT145" s="403">
        <f>PCF!AT386</f>
        <v>0</v>
      </c>
      <c r="AU145" s="403">
        <f>PCF!AU386</f>
        <v>0</v>
      </c>
      <c r="AV145" s="403">
        <f>PCF!AV386</f>
        <v>0</v>
      </c>
      <c r="AW145" s="403">
        <f>PCF!AW386</f>
        <v>0</v>
      </c>
      <c r="AX145" s="403">
        <f>PCF!AX386</f>
        <v>0</v>
      </c>
      <c r="AY145" s="403">
        <f>PCF!AY386</f>
        <v>0</v>
      </c>
      <c r="AZ145" s="403">
        <f>PCF!AZ386</f>
        <v>0</v>
      </c>
      <c r="BA145" s="403">
        <f>PCF!BA386</f>
        <v>0</v>
      </c>
      <c r="BB145" s="403">
        <f>PCF!BB386</f>
        <v>0</v>
      </c>
      <c r="BC145" s="403">
        <f>PCF!BC386</f>
        <v>0</v>
      </c>
      <c r="BD145" s="403">
        <f>PCF!BD386</f>
        <v>0</v>
      </c>
      <c r="BE145" s="403">
        <f>PCF!BE386</f>
        <v>0</v>
      </c>
      <c r="BF145" s="403">
        <f>PCF!BF386</f>
        <v>0</v>
      </c>
      <c r="BG145" s="403">
        <f>PCF!BG386</f>
        <v>0</v>
      </c>
      <c r="BI145" s="476">
        <f t="shared" si="195"/>
        <v>0</v>
      </c>
      <c r="BM145" s="310">
        <f t="shared" si="196"/>
        <v>0</v>
      </c>
      <c r="BN145" s="310">
        <f t="shared" si="196"/>
        <v>0</v>
      </c>
      <c r="BO145" s="310">
        <f t="shared" si="196"/>
        <v>0</v>
      </c>
      <c r="BP145" s="310">
        <f t="shared" si="196"/>
        <v>0</v>
      </c>
      <c r="BQ145" s="310">
        <f t="shared" si="196"/>
        <v>0</v>
      </c>
      <c r="BR145" s="310">
        <f t="shared" si="196"/>
        <v>0</v>
      </c>
      <c r="BS145" s="310">
        <f t="shared" si="196"/>
        <v>0</v>
      </c>
      <c r="BT145" s="310">
        <f t="shared" si="196"/>
        <v>0</v>
      </c>
      <c r="BU145" s="310">
        <f t="shared" si="196"/>
        <v>0</v>
      </c>
      <c r="BV145" s="310">
        <f t="shared" si="196"/>
        <v>0</v>
      </c>
      <c r="BX145" s="476">
        <f t="shared" ref="BX145" si="197">SUM(BM145:BW145)</f>
        <v>0</v>
      </c>
    </row>
    <row r="146" spans="3:76">
      <c r="C146" s="17" t="s">
        <v>664</v>
      </c>
      <c r="D146" s="17"/>
      <c r="E146" s="17"/>
      <c r="F146" s="17"/>
      <c r="G146" s="17"/>
      <c r="H146" s="17"/>
      <c r="I146" s="17"/>
      <c r="J146" s="17"/>
      <c r="K146" s="17"/>
      <c r="L146" s="17"/>
      <c r="M146" s="17"/>
      <c r="N146" s="17"/>
      <c r="O146" s="17"/>
      <c r="P146" s="17"/>
      <c r="Q146" s="17"/>
      <c r="R146" s="416"/>
      <c r="S146" s="416"/>
      <c r="T146" s="1354">
        <f>PCF!T387</f>
        <v>0</v>
      </c>
      <c r="U146" s="1354">
        <f>PCF!U387</f>
        <v>0</v>
      </c>
      <c r="V146" s="1354">
        <f>PCF!V387</f>
        <v>0</v>
      </c>
      <c r="W146" s="1354">
        <f>PCF!W387</f>
        <v>0</v>
      </c>
      <c r="X146" s="1354">
        <f>PCF!X387</f>
        <v>0</v>
      </c>
      <c r="Y146" s="1354">
        <f>PCF!Y387</f>
        <v>0</v>
      </c>
      <c r="Z146" s="1354">
        <f>PCF!Z387</f>
        <v>0</v>
      </c>
      <c r="AA146" s="1354">
        <f>PCF!AA387</f>
        <v>0</v>
      </c>
      <c r="AB146" s="1354">
        <f>PCF!AB387</f>
        <v>0</v>
      </c>
      <c r="AC146" s="1354">
        <f>PCF!AC387</f>
        <v>0</v>
      </c>
      <c r="AD146" s="1354">
        <f>PCF!AD387</f>
        <v>0</v>
      </c>
      <c r="AE146" s="1354">
        <f>PCF!AE387</f>
        <v>0</v>
      </c>
      <c r="AF146" s="1354">
        <f>PCF!AF387</f>
        <v>0</v>
      </c>
      <c r="AG146" s="1354">
        <f>PCF!AG387</f>
        <v>0</v>
      </c>
      <c r="AH146" s="1354">
        <f>PCF!AH387</f>
        <v>0</v>
      </c>
      <c r="AI146" s="1354">
        <f>PCF!AI387</f>
        <v>0</v>
      </c>
      <c r="AJ146" s="1354">
        <f>PCF!AJ387</f>
        <v>0</v>
      </c>
      <c r="AK146" s="1354">
        <f>PCF!AK387</f>
        <v>0</v>
      </c>
      <c r="AL146" s="1354">
        <f>PCF!AL387</f>
        <v>0</v>
      </c>
      <c r="AM146" s="1354">
        <f>PCF!AM387</f>
        <v>0</v>
      </c>
      <c r="AN146" s="1354">
        <f>PCF!AN387</f>
        <v>0</v>
      </c>
      <c r="AO146" s="1354">
        <f>PCF!AO387</f>
        <v>0</v>
      </c>
      <c r="AP146" s="1354">
        <f>PCF!AP387</f>
        <v>0</v>
      </c>
      <c r="AQ146" s="1354">
        <f>PCF!AQ387</f>
        <v>0</v>
      </c>
      <c r="AR146" s="1354">
        <f>PCF!AR387</f>
        <v>0</v>
      </c>
      <c r="AS146" s="1354">
        <f>PCF!AS387</f>
        <v>0</v>
      </c>
      <c r="AT146" s="1354">
        <f>PCF!AT387</f>
        <v>0</v>
      </c>
      <c r="AU146" s="1354">
        <f>PCF!AU387</f>
        <v>0</v>
      </c>
      <c r="AV146" s="1354">
        <f>PCF!AV387</f>
        <v>0</v>
      </c>
      <c r="AW146" s="1354">
        <f>PCF!AW387</f>
        <v>0</v>
      </c>
      <c r="AX146" s="1354">
        <f>PCF!AX387</f>
        <v>0</v>
      </c>
      <c r="AY146" s="1354">
        <f>PCF!AY387</f>
        <v>0</v>
      </c>
      <c r="AZ146" s="1354">
        <f>PCF!AZ387</f>
        <v>0</v>
      </c>
      <c r="BA146" s="1354">
        <f>PCF!BA387</f>
        <v>0</v>
      </c>
      <c r="BB146" s="1354">
        <f>PCF!BB387</f>
        <v>0</v>
      </c>
      <c r="BC146" s="1354">
        <f>PCF!BC387</f>
        <v>0</v>
      </c>
      <c r="BD146" s="1354">
        <f>PCF!BD387</f>
        <v>0</v>
      </c>
      <c r="BE146" s="1354">
        <f>PCF!BE387</f>
        <v>0</v>
      </c>
      <c r="BF146" s="1354">
        <f>PCF!BF387</f>
        <v>0</v>
      </c>
      <c r="BG146" s="1354">
        <f>PCF!BG387</f>
        <v>0</v>
      </c>
      <c r="BI146" s="476">
        <f t="shared" si="195"/>
        <v>0</v>
      </c>
      <c r="BM146" s="369">
        <f t="shared" si="196"/>
        <v>0</v>
      </c>
      <c r="BN146" s="369">
        <f t="shared" si="196"/>
        <v>0</v>
      </c>
      <c r="BO146" s="369">
        <f t="shared" si="196"/>
        <v>0</v>
      </c>
      <c r="BP146" s="369">
        <f t="shared" si="196"/>
        <v>0</v>
      </c>
      <c r="BQ146" s="369">
        <f t="shared" si="196"/>
        <v>0</v>
      </c>
      <c r="BR146" s="369">
        <f t="shared" si="196"/>
        <v>0</v>
      </c>
      <c r="BS146" s="369">
        <f t="shared" si="196"/>
        <v>0</v>
      </c>
      <c r="BT146" s="369">
        <f t="shared" si="196"/>
        <v>0</v>
      </c>
      <c r="BU146" s="369">
        <f t="shared" si="196"/>
        <v>0</v>
      </c>
      <c r="BV146" s="369">
        <f t="shared" si="196"/>
        <v>0</v>
      </c>
      <c r="BX146" s="1069">
        <f t="shared" ref="BX146" si="198">SUM(BM146:BW146)</f>
        <v>0</v>
      </c>
    </row>
    <row r="147" spans="3:76">
      <c r="C147" t="s">
        <v>665</v>
      </c>
      <c r="R147" s="392"/>
      <c r="S147" s="392"/>
      <c r="T147" s="403">
        <f>PCF!T388</f>
        <v>0</v>
      </c>
      <c r="U147" s="403">
        <f>PCF!U388</f>
        <v>0</v>
      </c>
      <c r="V147" s="403">
        <f>PCF!V388</f>
        <v>0</v>
      </c>
      <c r="W147" s="403">
        <f>PCF!W388</f>
        <v>0</v>
      </c>
      <c r="X147" s="403">
        <f>PCF!X388</f>
        <v>0</v>
      </c>
      <c r="Y147" s="403">
        <f>PCF!Y388</f>
        <v>0</v>
      </c>
      <c r="Z147" s="403">
        <f>PCF!Z388</f>
        <v>0</v>
      </c>
      <c r="AA147" s="403">
        <f>PCF!AA388</f>
        <v>0</v>
      </c>
      <c r="AB147" s="403">
        <f>PCF!AB388</f>
        <v>0</v>
      </c>
      <c r="AC147" s="403">
        <f>PCF!AC388</f>
        <v>0</v>
      </c>
      <c r="AD147" s="403">
        <f>PCF!AD388</f>
        <v>0</v>
      </c>
      <c r="AE147" s="403">
        <f>PCF!AE388</f>
        <v>3681609.018749997</v>
      </c>
      <c r="AF147" s="403">
        <f>PCF!AF388</f>
        <v>0</v>
      </c>
      <c r="AG147" s="403">
        <f>PCF!AG388</f>
        <v>0</v>
      </c>
      <c r="AH147" s="403">
        <f>PCF!AH388</f>
        <v>0</v>
      </c>
      <c r="AI147" s="403">
        <f>PCF!AI388</f>
        <v>0</v>
      </c>
      <c r="AJ147" s="403">
        <f>PCF!AJ388</f>
        <v>0</v>
      </c>
      <c r="AK147" s="403">
        <f>PCF!AK388</f>
        <v>0</v>
      </c>
      <c r="AL147" s="403">
        <f>PCF!AL388</f>
        <v>0</v>
      </c>
      <c r="AM147" s="403">
        <f>PCF!AM388</f>
        <v>0</v>
      </c>
      <c r="AN147" s="403">
        <f>PCF!AN388</f>
        <v>0</v>
      </c>
      <c r="AO147" s="403">
        <f>PCF!AO388</f>
        <v>0</v>
      </c>
      <c r="AP147" s="403">
        <f>PCF!AP388</f>
        <v>0</v>
      </c>
      <c r="AQ147" s="403">
        <f>PCF!AQ388</f>
        <v>0</v>
      </c>
      <c r="AR147" s="403">
        <f>PCF!AR388</f>
        <v>0</v>
      </c>
      <c r="AS147" s="403">
        <f>PCF!AS388</f>
        <v>0</v>
      </c>
      <c r="AT147" s="403">
        <f>PCF!AT388</f>
        <v>0</v>
      </c>
      <c r="AU147" s="403">
        <f>PCF!AU388</f>
        <v>0</v>
      </c>
      <c r="AV147" s="403">
        <f>PCF!AV388</f>
        <v>0</v>
      </c>
      <c r="AW147" s="403">
        <f>PCF!AW388</f>
        <v>0</v>
      </c>
      <c r="AX147" s="403">
        <f>PCF!AX388</f>
        <v>0</v>
      </c>
      <c r="AY147" s="403">
        <f>PCF!AY388</f>
        <v>0</v>
      </c>
      <c r="AZ147" s="403">
        <f>PCF!AZ388</f>
        <v>0</v>
      </c>
      <c r="BA147" s="403">
        <f>PCF!BA388</f>
        <v>0</v>
      </c>
      <c r="BB147" s="403">
        <f>PCF!BB388</f>
        <v>0</v>
      </c>
      <c r="BC147" s="403">
        <f>PCF!BC388</f>
        <v>0</v>
      </c>
      <c r="BD147" s="403">
        <f>PCF!BD388</f>
        <v>0</v>
      </c>
      <c r="BE147" s="403">
        <f>PCF!BE388</f>
        <v>0</v>
      </c>
      <c r="BF147" s="403">
        <f>PCF!BF388</f>
        <v>0</v>
      </c>
      <c r="BG147" s="403">
        <f>PCF!BG388</f>
        <v>0</v>
      </c>
      <c r="BI147" s="1068">
        <f t="shared" si="195"/>
        <v>3681609.018749997</v>
      </c>
      <c r="BM147" s="310">
        <f t="shared" si="196"/>
        <v>0</v>
      </c>
      <c r="BN147" s="310">
        <f t="shared" si="196"/>
        <v>0</v>
      </c>
      <c r="BO147" s="310">
        <f t="shared" si="196"/>
        <v>3681609.018749997</v>
      </c>
      <c r="BP147" s="310">
        <f t="shared" si="196"/>
        <v>0</v>
      </c>
      <c r="BQ147" s="310">
        <f t="shared" si="196"/>
        <v>0</v>
      </c>
      <c r="BR147" s="310">
        <f t="shared" si="196"/>
        <v>0</v>
      </c>
      <c r="BS147" s="310">
        <f t="shared" si="196"/>
        <v>0</v>
      </c>
      <c r="BT147" s="310">
        <f t="shared" si="196"/>
        <v>0</v>
      </c>
      <c r="BU147" s="310">
        <f t="shared" si="196"/>
        <v>0</v>
      </c>
      <c r="BV147" s="310">
        <f t="shared" si="196"/>
        <v>0</v>
      </c>
      <c r="BX147" s="476">
        <f t="shared" ref="BX147" si="199">SUM(BM147:BW147)</f>
        <v>3681609.018749997</v>
      </c>
    </row>
    <row r="148" spans="3:76">
      <c r="C148" t="s">
        <v>666</v>
      </c>
      <c r="O148" s="318">
        <f>GA!G484</f>
        <v>1.2999999999999999E-3</v>
      </c>
      <c r="R148" s="392"/>
      <c r="S148" s="392"/>
      <c r="T148" s="403">
        <f>PCF!T389</f>
        <v>0</v>
      </c>
      <c r="U148" s="403">
        <f>PCF!U389</f>
        <v>0</v>
      </c>
      <c r="V148" s="403">
        <f>PCF!V389</f>
        <v>0</v>
      </c>
      <c r="W148" s="403">
        <f>PCF!W389</f>
        <v>0</v>
      </c>
      <c r="X148" s="403">
        <f>PCF!X389</f>
        <v>0</v>
      </c>
      <c r="Y148" s="403">
        <f>PCF!Y389</f>
        <v>0</v>
      </c>
      <c r="Z148" s="403">
        <f>PCF!Z389</f>
        <v>0</v>
      </c>
      <c r="AA148" s="403">
        <f>PCF!AA389</f>
        <v>0</v>
      </c>
      <c r="AB148" s="403">
        <f>PCF!AB389</f>
        <v>0</v>
      </c>
      <c r="AC148" s="403">
        <f>PCF!AC389</f>
        <v>0</v>
      </c>
      <c r="AD148" s="403">
        <f>PCF!AD389</f>
        <v>0</v>
      </c>
      <c r="AE148" s="403">
        <f>PCF!AE389</f>
        <v>-4786.0917243749955</v>
      </c>
      <c r="AF148" s="403">
        <f>PCF!AF389</f>
        <v>0</v>
      </c>
      <c r="AG148" s="403">
        <f>PCF!AG389</f>
        <v>0</v>
      </c>
      <c r="AH148" s="403">
        <f>PCF!AH389</f>
        <v>0</v>
      </c>
      <c r="AI148" s="403">
        <f>PCF!AI389</f>
        <v>0</v>
      </c>
      <c r="AJ148" s="403">
        <f>PCF!AJ389</f>
        <v>0</v>
      </c>
      <c r="AK148" s="403">
        <f>PCF!AK389</f>
        <v>0</v>
      </c>
      <c r="AL148" s="403">
        <f>PCF!AL389</f>
        <v>0</v>
      </c>
      <c r="AM148" s="403">
        <f>PCF!AM389</f>
        <v>0</v>
      </c>
      <c r="AN148" s="403">
        <f>PCF!AN389</f>
        <v>0</v>
      </c>
      <c r="AO148" s="403">
        <f>PCF!AO389</f>
        <v>0</v>
      </c>
      <c r="AP148" s="403">
        <f>PCF!AP389</f>
        <v>0</v>
      </c>
      <c r="AQ148" s="403">
        <f>PCF!AQ389</f>
        <v>0</v>
      </c>
      <c r="AR148" s="403">
        <f>PCF!AR389</f>
        <v>0</v>
      </c>
      <c r="AS148" s="403">
        <f>PCF!AS389</f>
        <v>0</v>
      </c>
      <c r="AT148" s="403">
        <f>PCF!AT389</f>
        <v>0</v>
      </c>
      <c r="AU148" s="403">
        <f>PCF!AU389</f>
        <v>0</v>
      </c>
      <c r="AV148" s="403">
        <f>PCF!AV389</f>
        <v>0</v>
      </c>
      <c r="AW148" s="403">
        <f>PCF!AW389</f>
        <v>0</v>
      </c>
      <c r="AX148" s="403">
        <f>PCF!AX389</f>
        <v>0</v>
      </c>
      <c r="AY148" s="403">
        <f>PCF!AY389</f>
        <v>0</v>
      </c>
      <c r="AZ148" s="403">
        <f>PCF!AZ389</f>
        <v>0</v>
      </c>
      <c r="BA148" s="403">
        <f>PCF!BA389</f>
        <v>0</v>
      </c>
      <c r="BB148" s="403">
        <f>PCF!BB389</f>
        <v>0</v>
      </c>
      <c r="BC148" s="403">
        <f>PCF!BC389</f>
        <v>0</v>
      </c>
      <c r="BD148" s="403">
        <f>PCF!BD389</f>
        <v>0</v>
      </c>
      <c r="BE148" s="403">
        <f>PCF!BE389</f>
        <v>0</v>
      </c>
      <c r="BF148" s="403">
        <f>PCF!BF389</f>
        <v>0</v>
      </c>
      <c r="BG148" s="403">
        <f>PCF!BG389</f>
        <v>0</v>
      </c>
      <c r="BI148" s="476">
        <f t="shared" si="195"/>
        <v>-4786.0917243749955</v>
      </c>
      <c r="BM148" s="310">
        <f t="shared" si="196"/>
        <v>0</v>
      </c>
      <c r="BN148" s="310">
        <f t="shared" si="196"/>
        <v>0</v>
      </c>
      <c r="BO148" s="310">
        <f t="shared" si="196"/>
        <v>-4786.0917243749955</v>
      </c>
      <c r="BP148" s="310">
        <f t="shared" si="196"/>
        <v>0</v>
      </c>
      <c r="BQ148" s="310">
        <f t="shared" si="196"/>
        <v>0</v>
      </c>
      <c r="BR148" s="310">
        <f t="shared" si="196"/>
        <v>0</v>
      </c>
      <c r="BS148" s="310">
        <f t="shared" si="196"/>
        <v>0</v>
      </c>
      <c r="BT148" s="310">
        <f t="shared" si="196"/>
        <v>0</v>
      </c>
      <c r="BU148" s="310">
        <f t="shared" si="196"/>
        <v>0</v>
      </c>
      <c r="BV148" s="310">
        <f t="shared" si="196"/>
        <v>0</v>
      </c>
      <c r="BX148" s="476">
        <f t="shared" ref="BX148:BX149" si="200">SUM(BM148:BW148)</f>
        <v>-4786.0917243749955</v>
      </c>
    </row>
    <row r="149" spans="3:76">
      <c r="C149" t="s">
        <v>667</v>
      </c>
      <c r="O149" s="318">
        <f>GA!G485</f>
        <v>0</v>
      </c>
      <c r="R149" s="392"/>
      <c r="S149" s="392"/>
      <c r="T149" s="403">
        <f>PCF!T390</f>
        <v>0</v>
      </c>
      <c r="U149" s="403">
        <f>PCF!U390</f>
        <v>0</v>
      </c>
      <c r="V149" s="403">
        <f>PCF!V390</f>
        <v>0</v>
      </c>
      <c r="W149" s="403">
        <f>PCF!W390</f>
        <v>0</v>
      </c>
      <c r="X149" s="403">
        <f>PCF!X390</f>
        <v>0</v>
      </c>
      <c r="Y149" s="403">
        <f>PCF!Y390</f>
        <v>0</v>
      </c>
      <c r="Z149" s="403">
        <f>PCF!Z390</f>
        <v>0</v>
      </c>
      <c r="AA149" s="403">
        <f>PCF!AA390</f>
        <v>0</v>
      </c>
      <c r="AB149" s="403">
        <f>PCF!AB390</f>
        <v>0</v>
      </c>
      <c r="AC149" s="403">
        <f>PCF!AC390</f>
        <v>0</v>
      </c>
      <c r="AD149" s="403">
        <f>PCF!AD390</f>
        <v>0</v>
      </c>
      <c r="AE149" s="403">
        <f>PCF!AE390</f>
        <v>0</v>
      </c>
      <c r="AF149" s="403">
        <f>PCF!AF390</f>
        <v>0</v>
      </c>
      <c r="AG149" s="403">
        <f>PCF!AG390</f>
        <v>0</v>
      </c>
      <c r="AH149" s="403">
        <f>PCF!AH390</f>
        <v>0</v>
      </c>
      <c r="AI149" s="403">
        <f>PCF!AI390</f>
        <v>0</v>
      </c>
      <c r="AJ149" s="403">
        <f>PCF!AJ390</f>
        <v>0</v>
      </c>
      <c r="AK149" s="403">
        <f>PCF!AK390</f>
        <v>0</v>
      </c>
      <c r="AL149" s="403">
        <f>PCF!AL390</f>
        <v>0</v>
      </c>
      <c r="AM149" s="403">
        <f>PCF!AM390</f>
        <v>0</v>
      </c>
      <c r="AN149" s="403">
        <f>PCF!AN390</f>
        <v>0</v>
      </c>
      <c r="AO149" s="403">
        <f>PCF!AO390</f>
        <v>0</v>
      </c>
      <c r="AP149" s="403">
        <f>PCF!AP390</f>
        <v>0</v>
      </c>
      <c r="AQ149" s="403">
        <f>PCF!AQ390</f>
        <v>0</v>
      </c>
      <c r="AR149" s="403">
        <f>PCF!AR390</f>
        <v>0</v>
      </c>
      <c r="AS149" s="403">
        <f>PCF!AS390</f>
        <v>0</v>
      </c>
      <c r="AT149" s="403">
        <f>PCF!AT390</f>
        <v>0</v>
      </c>
      <c r="AU149" s="403">
        <f>PCF!AU390</f>
        <v>0</v>
      </c>
      <c r="AV149" s="403">
        <f>PCF!AV390</f>
        <v>0</v>
      </c>
      <c r="AW149" s="403">
        <f>PCF!AW390</f>
        <v>0</v>
      </c>
      <c r="AX149" s="403">
        <f>PCF!AX390</f>
        <v>0</v>
      </c>
      <c r="AY149" s="403">
        <f>PCF!AY390</f>
        <v>0</v>
      </c>
      <c r="AZ149" s="403">
        <f>PCF!AZ390</f>
        <v>0</v>
      </c>
      <c r="BA149" s="403">
        <f>PCF!BA390</f>
        <v>0</v>
      </c>
      <c r="BB149" s="403">
        <f>PCF!BB390</f>
        <v>0</v>
      </c>
      <c r="BC149" s="403">
        <f>PCF!BC390</f>
        <v>0</v>
      </c>
      <c r="BD149" s="403">
        <f>PCF!BD390</f>
        <v>0</v>
      </c>
      <c r="BE149" s="403">
        <f>PCF!BE390</f>
        <v>0</v>
      </c>
      <c r="BF149" s="403">
        <f>PCF!BF390</f>
        <v>0</v>
      </c>
      <c r="BG149" s="403">
        <f>PCF!BG390</f>
        <v>0</v>
      </c>
      <c r="BI149" s="476">
        <f t="shared" si="195"/>
        <v>0</v>
      </c>
      <c r="BM149" s="369">
        <f t="shared" si="196"/>
        <v>0</v>
      </c>
      <c r="BN149" s="369">
        <f t="shared" si="196"/>
        <v>0</v>
      </c>
      <c r="BO149" s="369">
        <f t="shared" si="196"/>
        <v>0</v>
      </c>
      <c r="BP149" s="369">
        <f t="shared" si="196"/>
        <v>0</v>
      </c>
      <c r="BQ149" s="369">
        <f t="shared" si="196"/>
        <v>0</v>
      </c>
      <c r="BR149" s="369">
        <f t="shared" si="196"/>
        <v>0</v>
      </c>
      <c r="BS149" s="369">
        <f t="shared" si="196"/>
        <v>0</v>
      </c>
      <c r="BT149" s="369">
        <f t="shared" si="196"/>
        <v>0</v>
      </c>
      <c r="BU149" s="369">
        <f t="shared" si="196"/>
        <v>0</v>
      </c>
      <c r="BV149" s="369">
        <f t="shared" si="196"/>
        <v>0</v>
      </c>
      <c r="BX149" s="1069">
        <f t="shared" si="200"/>
        <v>0</v>
      </c>
    </row>
    <row r="150" spans="3:76">
      <c r="C150" s="253" t="s">
        <v>668</v>
      </c>
      <c r="D150" s="253"/>
      <c r="E150" s="253"/>
      <c r="F150" s="253"/>
      <c r="G150" s="253"/>
      <c r="H150" s="253"/>
      <c r="I150" s="253"/>
      <c r="J150" s="253"/>
      <c r="K150" s="253"/>
      <c r="L150" s="253"/>
      <c r="M150" s="253"/>
      <c r="N150" s="253"/>
      <c r="O150" s="268"/>
      <c r="P150" s="268"/>
      <c r="Q150" s="268"/>
      <c r="R150" s="153"/>
      <c r="S150" s="153"/>
      <c r="T150" s="1352">
        <f>PCF!T391</f>
        <v>0</v>
      </c>
      <c r="U150" s="1352">
        <f>PCF!U391</f>
        <v>0</v>
      </c>
      <c r="V150" s="1352">
        <f>PCF!V391</f>
        <v>0</v>
      </c>
      <c r="W150" s="1352">
        <f>PCF!W391</f>
        <v>0</v>
      </c>
      <c r="X150" s="1352">
        <f>PCF!X391</f>
        <v>0</v>
      </c>
      <c r="Y150" s="1352">
        <f>PCF!Y391</f>
        <v>0</v>
      </c>
      <c r="Z150" s="1352">
        <f>PCF!Z391</f>
        <v>0</v>
      </c>
      <c r="AA150" s="1352">
        <f>PCF!AA391</f>
        <v>0</v>
      </c>
      <c r="AB150" s="1352">
        <f>PCF!AB391</f>
        <v>0</v>
      </c>
      <c r="AC150" s="1352">
        <f>PCF!AC391</f>
        <v>0</v>
      </c>
      <c r="AD150" s="1352">
        <f>PCF!AD391</f>
        <v>0</v>
      </c>
      <c r="AE150" s="1352">
        <f>PCF!AE391</f>
        <v>3676822.9270256222</v>
      </c>
      <c r="AF150" s="1352">
        <f>PCF!AF391</f>
        <v>0</v>
      </c>
      <c r="AG150" s="1352">
        <f>PCF!AG391</f>
        <v>0</v>
      </c>
      <c r="AH150" s="1352">
        <f>PCF!AH391</f>
        <v>0</v>
      </c>
      <c r="AI150" s="1352">
        <f>PCF!AI391</f>
        <v>0</v>
      </c>
      <c r="AJ150" s="1352">
        <f>PCF!AJ391</f>
        <v>0</v>
      </c>
      <c r="AK150" s="1352">
        <f>PCF!AK391</f>
        <v>0</v>
      </c>
      <c r="AL150" s="1352">
        <f>PCF!AL391</f>
        <v>0</v>
      </c>
      <c r="AM150" s="1352">
        <f>PCF!AM391</f>
        <v>0</v>
      </c>
      <c r="AN150" s="1352">
        <f>PCF!AN391</f>
        <v>0</v>
      </c>
      <c r="AO150" s="1352">
        <f>PCF!AO391</f>
        <v>0</v>
      </c>
      <c r="AP150" s="1352">
        <f>PCF!AP391</f>
        <v>0</v>
      </c>
      <c r="AQ150" s="1352">
        <f>PCF!AQ391</f>
        <v>0</v>
      </c>
      <c r="AR150" s="1352">
        <f>PCF!AR391</f>
        <v>0</v>
      </c>
      <c r="AS150" s="1352">
        <f>PCF!AS391</f>
        <v>0</v>
      </c>
      <c r="AT150" s="1352">
        <f>PCF!AT391</f>
        <v>0</v>
      </c>
      <c r="AU150" s="1352">
        <f>PCF!AU391</f>
        <v>0</v>
      </c>
      <c r="AV150" s="1352">
        <f>PCF!AV391</f>
        <v>0</v>
      </c>
      <c r="AW150" s="1352">
        <f>PCF!AW391</f>
        <v>0</v>
      </c>
      <c r="AX150" s="1352">
        <f>PCF!AX391</f>
        <v>0</v>
      </c>
      <c r="AY150" s="1352">
        <f>PCF!AY391</f>
        <v>0</v>
      </c>
      <c r="AZ150" s="1352">
        <f>PCF!AZ391</f>
        <v>0</v>
      </c>
      <c r="BA150" s="1352">
        <f>PCF!BA391</f>
        <v>0</v>
      </c>
      <c r="BB150" s="1352">
        <f>PCF!BB391</f>
        <v>0</v>
      </c>
      <c r="BC150" s="1352">
        <f>PCF!BC391</f>
        <v>0</v>
      </c>
      <c r="BD150" s="1352">
        <f>PCF!BD391</f>
        <v>0</v>
      </c>
      <c r="BE150" s="1352">
        <f>PCF!BE391</f>
        <v>0</v>
      </c>
      <c r="BF150" s="1352">
        <f>PCF!BF391</f>
        <v>0</v>
      </c>
      <c r="BG150" s="1352">
        <f>PCF!BG391</f>
        <v>0</v>
      </c>
      <c r="BI150" s="254">
        <f t="shared" si="195"/>
        <v>3676822.9270256222</v>
      </c>
      <c r="BK150" s="257" t="b">
        <f>ROUND(BI150,GA!$G$112)=ROUND(BX150,GA!$G$112)</f>
        <v>1</v>
      </c>
      <c r="BM150" s="254">
        <f t="shared" si="196"/>
        <v>0</v>
      </c>
      <c r="BN150" s="254">
        <f t="shared" si="196"/>
        <v>0</v>
      </c>
      <c r="BO150" s="254">
        <f t="shared" si="196"/>
        <v>3676822.9270256222</v>
      </c>
      <c r="BP150" s="254">
        <f t="shared" si="196"/>
        <v>0</v>
      </c>
      <c r="BQ150" s="254">
        <f t="shared" si="196"/>
        <v>0</v>
      </c>
      <c r="BR150" s="254">
        <f t="shared" si="196"/>
        <v>0</v>
      </c>
      <c r="BS150" s="254">
        <f t="shared" si="196"/>
        <v>0</v>
      </c>
      <c r="BT150" s="254">
        <f t="shared" si="196"/>
        <v>0</v>
      </c>
      <c r="BU150" s="254">
        <f t="shared" si="196"/>
        <v>0</v>
      </c>
      <c r="BV150" s="254">
        <f t="shared" si="196"/>
        <v>0</v>
      </c>
      <c r="BX150" s="254">
        <f>SUM(BM150:BV150)</f>
        <v>3676822.9270256222</v>
      </c>
    </row>
    <row r="151" spans="3:76" outlineLevel="1">
      <c r="C151" s="398" t="s">
        <v>669</v>
      </c>
      <c r="D151" s="398"/>
      <c r="E151" s="398"/>
      <c r="F151" s="398"/>
      <c r="G151" s="398"/>
      <c r="H151" s="398"/>
      <c r="I151" s="398"/>
      <c r="J151" s="398"/>
      <c r="K151" s="398"/>
      <c r="L151" s="398"/>
      <c r="M151" s="398"/>
      <c r="N151" s="398"/>
      <c r="R151" s="392"/>
      <c r="S151" s="392"/>
      <c r="T151" s="1115">
        <f>IF(SUM($T$150:$BG$150)=0,0,T150/SUM($T$150:$BG$150))</f>
        <v>0</v>
      </c>
      <c r="U151" s="1115">
        <f t="shared" ref="U151:BG151" si="201">IF(SUM($T$150:$BG$150)=0,0,U150/SUM($T$150:$BG$150))</f>
        <v>0</v>
      </c>
      <c r="V151" s="1115">
        <f t="shared" si="201"/>
        <v>0</v>
      </c>
      <c r="W151" s="1115">
        <f t="shared" si="201"/>
        <v>0</v>
      </c>
      <c r="X151" s="1115">
        <f t="shared" si="201"/>
        <v>0</v>
      </c>
      <c r="Y151" s="1115">
        <f t="shared" si="201"/>
        <v>0</v>
      </c>
      <c r="Z151" s="1115">
        <f t="shared" si="201"/>
        <v>0</v>
      </c>
      <c r="AA151" s="1115">
        <f t="shared" si="201"/>
        <v>0</v>
      </c>
      <c r="AB151" s="1115">
        <f t="shared" si="201"/>
        <v>0</v>
      </c>
      <c r="AC151" s="1115">
        <f t="shared" si="201"/>
        <v>0</v>
      </c>
      <c r="AD151" s="1115">
        <f t="shared" si="201"/>
        <v>0</v>
      </c>
      <c r="AE151" s="1115">
        <f t="shared" si="201"/>
        <v>1</v>
      </c>
      <c r="AF151" s="1115">
        <f t="shared" si="201"/>
        <v>0</v>
      </c>
      <c r="AG151" s="1115">
        <f t="shared" si="201"/>
        <v>0</v>
      </c>
      <c r="AH151" s="1115">
        <f t="shared" si="201"/>
        <v>0</v>
      </c>
      <c r="AI151" s="1115">
        <f t="shared" si="201"/>
        <v>0</v>
      </c>
      <c r="AJ151" s="1115">
        <f t="shared" si="201"/>
        <v>0</v>
      </c>
      <c r="AK151" s="1115">
        <f t="shared" si="201"/>
        <v>0</v>
      </c>
      <c r="AL151" s="1115">
        <f t="shared" si="201"/>
        <v>0</v>
      </c>
      <c r="AM151" s="1115">
        <f t="shared" si="201"/>
        <v>0</v>
      </c>
      <c r="AN151" s="1115">
        <f t="shared" si="201"/>
        <v>0</v>
      </c>
      <c r="AO151" s="1115">
        <f t="shared" si="201"/>
        <v>0</v>
      </c>
      <c r="AP151" s="1115">
        <f t="shared" si="201"/>
        <v>0</v>
      </c>
      <c r="AQ151" s="1115">
        <f t="shared" si="201"/>
        <v>0</v>
      </c>
      <c r="AR151" s="1115">
        <f t="shared" si="201"/>
        <v>0</v>
      </c>
      <c r="AS151" s="1115">
        <f t="shared" si="201"/>
        <v>0</v>
      </c>
      <c r="AT151" s="1115">
        <f t="shared" si="201"/>
        <v>0</v>
      </c>
      <c r="AU151" s="1115">
        <f t="shared" si="201"/>
        <v>0</v>
      </c>
      <c r="AV151" s="1115">
        <f t="shared" si="201"/>
        <v>0</v>
      </c>
      <c r="AW151" s="1115">
        <f t="shared" si="201"/>
        <v>0</v>
      </c>
      <c r="AX151" s="1115">
        <f t="shared" si="201"/>
        <v>0</v>
      </c>
      <c r="AY151" s="1115">
        <f t="shared" si="201"/>
        <v>0</v>
      </c>
      <c r="AZ151" s="1115">
        <f t="shared" si="201"/>
        <v>0</v>
      </c>
      <c r="BA151" s="1115">
        <f t="shared" si="201"/>
        <v>0</v>
      </c>
      <c r="BB151" s="1115">
        <f t="shared" si="201"/>
        <v>0</v>
      </c>
      <c r="BC151" s="1115">
        <f t="shared" si="201"/>
        <v>0</v>
      </c>
      <c r="BD151" s="1115">
        <f t="shared" si="201"/>
        <v>0</v>
      </c>
      <c r="BE151" s="1115">
        <f t="shared" si="201"/>
        <v>0</v>
      </c>
      <c r="BF151" s="1115">
        <f t="shared" si="201"/>
        <v>0</v>
      </c>
      <c r="BG151" s="1115">
        <f t="shared" si="201"/>
        <v>0</v>
      </c>
      <c r="BI151" s="39" t="s">
        <v>153</v>
      </c>
      <c r="BM151" s="319">
        <f>IFERROR(BM150/$BX$150,0)</f>
        <v>0</v>
      </c>
      <c r="BN151" s="319">
        <f t="shared" ref="BN151:BV151" si="202">IFERROR(BN150/$BX$150,0)</f>
        <v>0</v>
      </c>
      <c r="BO151" s="319">
        <f t="shared" si="202"/>
        <v>1</v>
      </c>
      <c r="BP151" s="319">
        <f t="shared" si="202"/>
        <v>0</v>
      </c>
      <c r="BQ151" s="319">
        <f t="shared" si="202"/>
        <v>0</v>
      </c>
      <c r="BR151" s="319">
        <f t="shared" si="202"/>
        <v>0</v>
      </c>
      <c r="BS151" s="319">
        <f t="shared" si="202"/>
        <v>0</v>
      </c>
      <c r="BT151" s="319">
        <f t="shared" si="202"/>
        <v>0</v>
      </c>
      <c r="BU151" s="319">
        <f t="shared" si="202"/>
        <v>0</v>
      </c>
      <c r="BV151" s="319">
        <f t="shared" si="202"/>
        <v>0</v>
      </c>
      <c r="BX151" s="1080">
        <f t="shared" ref="BX151" si="203">SUM(BM151:BW151)</f>
        <v>1</v>
      </c>
    </row>
    <row r="152" spans="3:76" outlineLevel="1">
      <c r="C152" s="398" t="s">
        <v>670</v>
      </c>
      <c r="D152" s="398"/>
      <c r="E152" s="398"/>
      <c r="F152" s="398"/>
      <c r="G152" s="398"/>
      <c r="H152" s="398"/>
      <c r="I152" s="398"/>
      <c r="J152" s="398"/>
      <c r="K152" s="398"/>
      <c r="L152" s="398"/>
      <c r="M152" s="398"/>
      <c r="N152" s="398"/>
      <c r="R152" s="392"/>
      <c r="S152" s="392"/>
      <c r="T152" s="1116">
        <f>IF(PCF!T398=0,0,T150/PCF!T398)</f>
        <v>0</v>
      </c>
      <c r="U152" s="1116">
        <f>IF(PCF!U398=0,0,U150/PCF!U398)</f>
        <v>0</v>
      </c>
      <c r="V152" s="1116">
        <f>IF(PCF!V398=0,0,V150/PCF!V398)</f>
        <v>0</v>
      </c>
      <c r="W152" s="1116">
        <f>IF(PCF!W398=0,0,W150/PCF!W398)</f>
        <v>0</v>
      </c>
      <c r="X152" s="1116">
        <f>IF(PCF!X398=0,0,X150/PCF!X398)</f>
        <v>0</v>
      </c>
      <c r="Y152" s="1116">
        <f>IF(PCF!Y398=0,0,Y150/PCF!Y398)</f>
        <v>0</v>
      </c>
      <c r="Z152" s="1116">
        <f>IF(PCF!Z398=0,0,Z150/PCF!Z398)</f>
        <v>0</v>
      </c>
      <c r="AA152" s="1116">
        <f>IF(PCF!AA398=0,0,AA150/PCF!AA398)</f>
        <v>0</v>
      </c>
      <c r="AB152" s="1116">
        <f>IF(PCF!AB398=0,0,AB150/PCF!AB398)</f>
        <v>0</v>
      </c>
      <c r="AC152" s="1116">
        <f>IF(PCF!AC398=0,0,AC150/PCF!AC398)</f>
        <v>0</v>
      </c>
      <c r="AD152" s="1116">
        <f>IF(PCF!AD398=0,0,AD150/PCF!AD398)</f>
        <v>0</v>
      </c>
      <c r="AE152" s="1116">
        <f>IF(PCF!AE398=0,0,AE150/PCF!AE398)</f>
        <v>11.984400000000001</v>
      </c>
      <c r="AF152" s="1116">
        <f>IF(PCF!AF398=0,0,AF150/PCF!AF398)</f>
        <v>0</v>
      </c>
      <c r="AG152" s="1116">
        <f>IF(PCF!AG398=0,0,AG150/PCF!AG398)</f>
        <v>0</v>
      </c>
      <c r="AH152" s="1116">
        <f>IF(PCF!AH398=0,0,AH150/PCF!AH398)</f>
        <v>0</v>
      </c>
      <c r="AI152" s="1116">
        <f>IF(PCF!AI398=0,0,AI150/PCF!AI398)</f>
        <v>0</v>
      </c>
      <c r="AJ152" s="1116">
        <f>IF(PCF!AJ398=0,0,AJ150/PCF!AJ398)</f>
        <v>0</v>
      </c>
      <c r="AK152" s="1116">
        <f>IF(PCF!AK398=0,0,AK150/PCF!AK398)</f>
        <v>0</v>
      </c>
      <c r="AL152" s="1116">
        <f>IF(PCF!AL398=0,0,AL150/PCF!AL398)</f>
        <v>0</v>
      </c>
      <c r="AM152" s="1116">
        <f>IF(PCF!AM398=0,0,AM150/PCF!AM398)</f>
        <v>0</v>
      </c>
      <c r="AN152" s="1116">
        <f>IF(PCF!AN398=0,0,AN150/PCF!AN398)</f>
        <v>0</v>
      </c>
      <c r="AO152" s="1116">
        <f>IF(PCF!AO398=0,0,AO150/PCF!AO398)</f>
        <v>0</v>
      </c>
      <c r="AP152" s="1116">
        <f>IF(PCF!AP398=0,0,AP150/PCF!AP398)</f>
        <v>0</v>
      </c>
      <c r="AQ152" s="1116">
        <f>IF(PCF!AQ398=0,0,AQ150/PCF!AQ398)</f>
        <v>0</v>
      </c>
      <c r="AR152" s="1116">
        <f>IF(PCF!AR398=0,0,AR150/PCF!AR398)</f>
        <v>0</v>
      </c>
      <c r="AS152" s="1116">
        <f>IF(PCF!AS398=0,0,AS150/PCF!AS398)</f>
        <v>0</v>
      </c>
      <c r="AT152" s="1116">
        <f>IF(PCF!AT398=0,0,AT150/PCF!AT398)</f>
        <v>0</v>
      </c>
      <c r="AU152" s="1116">
        <f>IF(PCF!AU398=0,0,AU150/PCF!AU398)</f>
        <v>0</v>
      </c>
      <c r="AV152" s="1116">
        <f>IF(PCF!AV398=0,0,AV150/PCF!AV398)</f>
        <v>0</v>
      </c>
      <c r="AW152" s="1116">
        <f>IF(PCF!AW398=0,0,AW150/PCF!AW398)</f>
        <v>0</v>
      </c>
      <c r="AX152" s="1116">
        <f>IF(PCF!AX398=0,0,AX150/PCF!AX398)</f>
        <v>0</v>
      </c>
      <c r="AY152" s="1116">
        <f>IF(PCF!AY398=0,0,AY150/PCF!AY398)</f>
        <v>0</v>
      </c>
      <c r="AZ152" s="1116">
        <f>IF(PCF!AZ398=0,0,AZ150/PCF!AZ398)</f>
        <v>0</v>
      </c>
      <c r="BA152" s="1116">
        <f>IF(PCF!BA398=0,0,BA150/PCF!BA398)</f>
        <v>0</v>
      </c>
      <c r="BB152" s="1116">
        <f>IF(PCF!BB398=0,0,BB150/PCF!BB398)</f>
        <v>0</v>
      </c>
      <c r="BC152" s="1116">
        <f>IF(PCF!BC398=0,0,BC150/PCF!BC398)</f>
        <v>0</v>
      </c>
      <c r="BD152" s="1116">
        <f>IF(PCF!BD398=0,0,BD150/PCF!BD398)</f>
        <v>0</v>
      </c>
      <c r="BE152" s="1116">
        <f>IF(PCF!BE398=0,0,BE150/PCF!BE398)</f>
        <v>0</v>
      </c>
      <c r="BF152" s="1116">
        <f>IF(PCF!BF398=0,0,BF150/PCF!BF398)</f>
        <v>0</v>
      </c>
      <c r="BG152" s="1116">
        <f>IF(PCF!BG398=0,0,BG150/PCF!BG398)</f>
        <v>0</v>
      </c>
      <c r="BI152" s="39" t="s">
        <v>153</v>
      </c>
    </row>
    <row r="153" spans="3:76" outlineLevel="1">
      <c r="C153" s="398" t="s">
        <v>671</v>
      </c>
      <c r="D153" s="398"/>
      <c r="E153" s="398"/>
      <c r="F153" s="398"/>
      <c r="G153" s="398"/>
      <c r="H153" s="398"/>
      <c r="I153" s="398"/>
      <c r="J153" s="398"/>
      <c r="K153" s="398"/>
      <c r="L153" s="398"/>
      <c r="M153" s="398"/>
      <c r="N153" s="398"/>
      <c r="R153" s="392"/>
      <c r="S153" s="392"/>
      <c r="T153" s="1077">
        <f>IF(T150=0,0,PCF!T402/T150)</f>
        <v>0</v>
      </c>
      <c r="U153" s="1077">
        <f>IF(U150=0,0,PCF!U402/U150)</f>
        <v>0</v>
      </c>
      <c r="V153" s="1077">
        <f>IF(V150=0,0,PCF!V402/V150)</f>
        <v>0</v>
      </c>
      <c r="W153" s="1077">
        <f>IF(W150=0,0,PCF!W402/W150)</f>
        <v>0</v>
      </c>
      <c r="X153" s="1077">
        <f>IF(X150=0,0,PCF!X402/X150)</f>
        <v>0</v>
      </c>
      <c r="Y153" s="1077">
        <f>IF(Y150=0,0,PCF!Y402/Y150)</f>
        <v>0</v>
      </c>
      <c r="Z153" s="1077">
        <f>IF(Z150=0,0,PCF!Z402/Z150)</f>
        <v>0</v>
      </c>
      <c r="AA153" s="1077">
        <f>IF(AA150=0,0,PCF!AA402/AA150)</f>
        <v>0</v>
      </c>
      <c r="AB153" s="1077">
        <f>IF(AB150=0,0,PCF!AB402/AB150)</f>
        <v>0</v>
      </c>
      <c r="AC153" s="1077">
        <f>IF(AC150=0,0,PCF!AC402/AC150)</f>
        <v>0</v>
      </c>
      <c r="AD153" s="1077">
        <f>IF(AD150=0,0,PCF!AD402/AD150)</f>
        <v>0</v>
      </c>
      <c r="AE153" s="1077">
        <f>IF(AE150=0,0,PCF!AE402/AE150)</f>
        <v>7.6167323399758166E-2</v>
      </c>
      <c r="AF153" s="1077">
        <f>IF(AF150=0,0,PCF!AF402/AF150)</f>
        <v>0</v>
      </c>
      <c r="AG153" s="1077">
        <f>IF(AG150=0,0,PCF!AG402/AG150)</f>
        <v>0</v>
      </c>
      <c r="AH153" s="1077">
        <f>IF(AH150=0,0,PCF!AH402/AH150)</f>
        <v>0</v>
      </c>
      <c r="AI153" s="1077">
        <f>IF(AI150=0,0,PCF!AI402/AI150)</f>
        <v>0</v>
      </c>
      <c r="AJ153" s="1077">
        <f>IF(AJ150=0,0,PCF!AJ402/AJ150)</f>
        <v>0</v>
      </c>
      <c r="AK153" s="1077">
        <f>IF(AK150=0,0,PCF!AK402/AK150)</f>
        <v>0</v>
      </c>
      <c r="AL153" s="1077">
        <f>IF(AL150=0,0,PCF!AL402/AL150)</f>
        <v>0</v>
      </c>
      <c r="AM153" s="1077">
        <f>IF(AM150=0,0,PCF!AM402/AM150)</f>
        <v>0</v>
      </c>
      <c r="AN153" s="1077">
        <f>IF(AN150=0,0,PCF!AN402/AN150)</f>
        <v>0</v>
      </c>
      <c r="AO153" s="1077">
        <f>IF(AO150=0,0,PCF!AO402/AO150)</f>
        <v>0</v>
      </c>
      <c r="AP153" s="1077">
        <f>IF(AP150=0,0,PCF!AP402/AP150)</f>
        <v>0</v>
      </c>
      <c r="AQ153" s="1077">
        <f>IF(AQ150=0,0,PCF!AQ402/AQ150)</f>
        <v>0</v>
      </c>
      <c r="AR153" s="1077">
        <f>IF(AR150=0,0,PCF!AR402/AR150)</f>
        <v>0</v>
      </c>
      <c r="AS153" s="1077">
        <f>IF(AS150=0,0,PCF!AS402/AS150)</f>
        <v>0</v>
      </c>
      <c r="AT153" s="1077">
        <f>IF(AT150=0,0,PCF!AT402/AT150)</f>
        <v>0</v>
      </c>
      <c r="AU153" s="1077">
        <f>IF(AU150=0,0,PCF!AU402/AU150)</f>
        <v>0</v>
      </c>
      <c r="AV153" s="1077">
        <f>IF(AV150=0,0,PCF!AV402/AV150)</f>
        <v>0</v>
      </c>
      <c r="AW153" s="1077">
        <f>IF(AW150=0,0,PCF!AW402/AW150)</f>
        <v>0</v>
      </c>
      <c r="AX153" s="1077">
        <f>IF(AX150=0,0,PCF!AX402/AX150)</f>
        <v>0</v>
      </c>
      <c r="AY153" s="1077">
        <f>IF(AY150=0,0,PCF!AY402/AY150)</f>
        <v>0</v>
      </c>
      <c r="AZ153" s="1077">
        <f>IF(AZ150=0,0,PCF!AZ402/AZ150)</f>
        <v>0</v>
      </c>
      <c r="BA153" s="1077">
        <f>IF(BA150=0,0,PCF!BA402/BA150)</f>
        <v>0</v>
      </c>
      <c r="BB153" s="1077">
        <f>IF(BB150=0,0,PCF!BB402/BB150)</f>
        <v>0</v>
      </c>
      <c r="BC153" s="1077">
        <f>IF(BC150=0,0,PCF!BC402/BC150)</f>
        <v>0</v>
      </c>
      <c r="BD153" s="1077">
        <f>IF(BD150=0,0,PCF!BD402/BD150)</f>
        <v>0</v>
      </c>
      <c r="BE153" s="1077">
        <f>IF(BE150=0,0,PCF!BE402/BE150)</f>
        <v>0</v>
      </c>
      <c r="BF153" s="1077">
        <f>IF(BF150=0,0,PCF!BF402/BF150)</f>
        <v>0</v>
      </c>
      <c r="BG153" s="1077">
        <f>IF(BG150=0,0,PCF!BG402/BG150)</f>
        <v>0</v>
      </c>
      <c r="BI153" s="39" t="s">
        <v>153</v>
      </c>
    </row>
    <row r="154" spans="3:76" outlineLevel="1">
      <c r="C154" s="398" t="s">
        <v>672</v>
      </c>
      <c r="D154" s="398"/>
      <c r="E154" s="398"/>
      <c r="F154" s="398"/>
      <c r="G154" s="398"/>
      <c r="H154" s="398"/>
      <c r="I154" s="398"/>
      <c r="J154" s="398"/>
      <c r="K154" s="398"/>
      <c r="L154" s="398"/>
      <c r="M154" s="398"/>
      <c r="N154" s="398"/>
      <c r="R154" s="392"/>
      <c r="S154" s="392"/>
      <c r="T154" s="1116">
        <f>IF(PCF!T403=0,0,T150/PCF!T403)</f>
        <v>0</v>
      </c>
      <c r="U154" s="1116">
        <f>IF(PCF!U403=0,0,U150/PCF!U403)</f>
        <v>0</v>
      </c>
      <c r="V154" s="1116">
        <f>IF(PCF!V403=0,0,V150/PCF!V403)</f>
        <v>0</v>
      </c>
      <c r="W154" s="1116">
        <f>IF(PCF!W403=0,0,W150/PCF!W403)</f>
        <v>0</v>
      </c>
      <c r="X154" s="1116">
        <f>IF(PCF!X403=0,0,X150/PCF!X403)</f>
        <v>0</v>
      </c>
      <c r="Y154" s="1116">
        <f>IF(PCF!Y403=0,0,Y150/PCF!Y403)</f>
        <v>0</v>
      </c>
      <c r="Z154" s="1116">
        <f>IF(PCF!Z403=0,0,Z150/PCF!Z403)</f>
        <v>0</v>
      </c>
      <c r="AA154" s="1116">
        <f>IF(PCF!AA403=0,0,AA150/PCF!AA403)</f>
        <v>0</v>
      </c>
      <c r="AB154" s="1116">
        <f>IF(PCF!AB403=0,0,AB150/PCF!AB403)</f>
        <v>0</v>
      </c>
      <c r="AC154" s="1116">
        <f>IF(PCF!AC403=0,0,AC150/PCF!AC403)</f>
        <v>0</v>
      </c>
      <c r="AD154" s="1116">
        <f>IF(PCF!AD403=0,0,AD150/PCF!AD403)</f>
        <v>0</v>
      </c>
      <c r="AE154" s="1116">
        <f>IF(PCF!AE403=0,0,AE150/PCF!AE403)</f>
        <v>17.506078787565162</v>
      </c>
      <c r="AF154" s="1116">
        <f>IF(PCF!AF403=0,0,AF150/PCF!AF403)</f>
        <v>0</v>
      </c>
      <c r="AG154" s="1116">
        <f>IF(PCF!AG403=0,0,AG150/PCF!AG403)</f>
        <v>0</v>
      </c>
      <c r="AH154" s="1116">
        <f>IF(PCF!AH403=0,0,AH150/PCF!AH403)</f>
        <v>0</v>
      </c>
      <c r="AI154" s="1116">
        <f>IF(PCF!AI403=0,0,AI150/PCF!AI403)</f>
        <v>0</v>
      </c>
      <c r="AJ154" s="1116">
        <f>IF(PCF!AJ403=0,0,AJ150/PCF!AJ403)</f>
        <v>0</v>
      </c>
      <c r="AK154" s="1116">
        <f>IF(PCF!AK403=0,0,AK150/PCF!AK403)</f>
        <v>0</v>
      </c>
      <c r="AL154" s="1116">
        <f>IF(PCF!AL403=0,0,AL150/PCF!AL403)</f>
        <v>0</v>
      </c>
      <c r="AM154" s="1116">
        <f>IF(PCF!AM403=0,0,AM150/PCF!AM403)</f>
        <v>0</v>
      </c>
      <c r="AN154" s="1116">
        <f>IF(PCF!AN403=0,0,AN150/PCF!AN403)</f>
        <v>0</v>
      </c>
      <c r="AO154" s="1116">
        <f>IF(PCF!AO403=0,0,AO150/PCF!AO403)</f>
        <v>0</v>
      </c>
      <c r="AP154" s="1116">
        <f>IF(PCF!AP403=0,0,AP150/PCF!AP403)</f>
        <v>0</v>
      </c>
      <c r="AQ154" s="1116">
        <f>IF(PCF!AQ403=0,0,AQ150/PCF!AQ403)</f>
        <v>0</v>
      </c>
      <c r="AR154" s="1116">
        <f>IF(PCF!AR403=0,0,AR150/PCF!AR403)</f>
        <v>0</v>
      </c>
      <c r="AS154" s="1116">
        <f>IF(PCF!AS403=0,0,AS150/PCF!AS403)</f>
        <v>0</v>
      </c>
      <c r="AT154" s="1116">
        <f>IF(PCF!AT403=0,0,AT150/PCF!AT403)</f>
        <v>0</v>
      </c>
      <c r="AU154" s="1116">
        <f>IF(PCF!AU403=0,0,AU150/PCF!AU403)</f>
        <v>0</v>
      </c>
      <c r="AV154" s="1116">
        <f>IF(PCF!AV403=0,0,AV150/PCF!AV403)</f>
        <v>0</v>
      </c>
      <c r="AW154" s="1116">
        <f>IF(PCF!AW403=0,0,AW150/PCF!AW403)</f>
        <v>0</v>
      </c>
      <c r="AX154" s="1116">
        <f>IF(PCF!AX403=0,0,AX150/PCF!AX403)</f>
        <v>0</v>
      </c>
      <c r="AY154" s="1116">
        <f>IF(PCF!AY403=0,0,AY150/PCF!AY403)</f>
        <v>0</v>
      </c>
      <c r="AZ154" s="1116">
        <f>IF(PCF!AZ403=0,0,AZ150/PCF!AZ403)</f>
        <v>0</v>
      </c>
      <c r="BA154" s="1116">
        <f>IF(PCF!BA403=0,0,BA150/PCF!BA403)</f>
        <v>0</v>
      </c>
      <c r="BB154" s="1116">
        <f>IF(PCF!BB403=0,0,BB150/PCF!BB403)</f>
        <v>0</v>
      </c>
      <c r="BC154" s="1116">
        <f>IF(PCF!BC403=0,0,BC150/PCF!BC403)</f>
        <v>0</v>
      </c>
      <c r="BD154" s="1116">
        <f>IF(PCF!BD403=0,0,BD150/PCF!BD403)</f>
        <v>0</v>
      </c>
      <c r="BE154" s="1116">
        <f>IF(PCF!BE403=0,0,BE150/PCF!BE403)</f>
        <v>0</v>
      </c>
      <c r="BF154" s="1116">
        <f>IF(PCF!BF403=0,0,BF150/PCF!BF403)</f>
        <v>0</v>
      </c>
      <c r="BG154" s="1116">
        <f>IF(PCF!BG403=0,0,BG150/PCF!BG403)</f>
        <v>0</v>
      </c>
      <c r="BI154" s="39" t="s">
        <v>153</v>
      </c>
    </row>
    <row r="155" spans="3:76" outlineLevel="1">
      <c r="C155" s="398" t="s">
        <v>1426</v>
      </c>
      <c r="D155" s="398"/>
      <c r="E155" s="398"/>
      <c r="F155" s="398"/>
      <c r="G155" s="398"/>
      <c r="H155" s="398"/>
      <c r="I155" s="398"/>
      <c r="J155" s="398"/>
      <c r="K155" s="398"/>
      <c r="L155" s="398"/>
      <c r="M155" s="398"/>
      <c r="N155" s="398"/>
      <c r="R155" s="392"/>
      <c r="S155" s="392"/>
      <c r="T155" s="404">
        <f>IF(PCF!T405=0,0,T150/PCF!T405)</f>
        <v>0</v>
      </c>
      <c r="U155" s="404">
        <f>IF(PCF!U405=0,0,U150/PCF!U405)</f>
        <v>0</v>
      </c>
      <c r="V155" s="404">
        <f>IF(PCF!V405=0,0,V150/PCF!V405)</f>
        <v>0</v>
      </c>
      <c r="W155" s="404">
        <f>IF(PCF!W405=0,0,W150/PCF!W405)</f>
        <v>0</v>
      </c>
      <c r="X155" s="404">
        <f>IF(PCF!X405=0,0,X150/PCF!X405)</f>
        <v>0</v>
      </c>
      <c r="Y155" s="404">
        <f>IF(PCF!Y405=0,0,Y150/PCF!Y405)</f>
        <v>0</v>
      </c>
      <c r="Z155" s="404">
        <f>IF(PCF!Z405=0,0,Z150/PCF!Z405)</f>
        <v>0</v>
      </c>
      <c r="AA155" s="404">
        <f>IF(PCF!AA405=0,0,AA150/PCF!AA405)</f>
        <v>0</v>
      </c>
      <c r="AB155" s="404">
        <f>IF(PCF!AB405=0,0,AB150/PCF!AB405)</f>
        <v>0</v>
      </c>
      <c r="AC155" s="404">
        <f>IF(PCF!AC405=0,0,AC150/PCF!AC405)</f>
        <v>0</v>
      </c>
      <c r="AD155" s="404">
        <f>IF(PCF!AD405=0,0,AD150/PCF!AD405)</f>
        <v>0</v>
      </c>
      <c r="AE155" s="404">
        <f>IF(PCF!AE405=0,0,AE150/PCF!AE405)</f>
        <v>1225.607642341874</v>
      </c>
      <c r="AF155" s="404">
        <f>IF(PCF!AF405=0,0,AF150/PCF!AF405)</f>
        <v>0</v>
      </c>
      <c r="AG155" s="404">
        <f>IF(PCF!AG405=0,0,AG150/PCF!AG405)</f>
        <v>0</v>
      </c>
      <c r="AH155" s="404">
        <f>IF(PCF!AH405=0,0,AH150/PCF!AH405)</f>
        <v>0</v>
      </c>
      <c r="AI155" s="404">
        <f>IF(PCF!AI405=0,0,AI150/PCF!AI405)</f>
        <v>0</v>
      </c>
      <c r="AJ155" s="404">
        <f>IF(PCF!AJ405=0,0,AJ150/PCF!AJ405)</f>
        <v>0</v>
      </c>
      <c r="AK155" s="404">
        <f>IF(PCF!AK405=0,0,AK150/PCF!AK405)</f>
        <v>0</v>
      </c>
      <c r="AL155" s="404">
        <f>IF(PCF!AL405=0,0,AL150/PCF!AL405)</f>
        <v>0</v>
      </c>
      <c r="AM155" s="404">
        <f>IF(PCF!AM405=0,0,AM150/PCF!AM405)</f>
        <v>0</v>
      </c>
      <c r="AN155" s="404">
        <f>IF(PCF!AN405=0,0,AN150/PCF!AN405)</f>
        <v>0</v>
      </c>
      <c r="AO155" s="404">
        <f>IF(PCF!AO405=0,0,AO150/PCF!AO405)</f>
        <v>0</v>
      </c>
      <c r="AP155" s="404">
        <f>IF(PCF!AP405=0,0,AP150/PCF!AP405)</f>
        <v>0</v>
      </c>
      <c r="AQ155" s="404">
        <f>IF(PCF!AQ405=0,0,AQ150/PCF!AQ405)</f>
        <v>0</v>
      </c>
      <c r="AR155" s="404">
        <f>IF(PCF!AR405=0,0,AR150/PCF!AR405)</f>
        <v>0</v>
      </c>
      <c r="AS155" s="404">
        <f>IF(PCF!AS405=0,0,AS150/PCF!AS405)</f>
        <v>0</v>
      </c>
      <c r="AT155" s="404">
        <f>IF(PCF!AT405=0,0,AT150/PCF!AT405)</f>
        <v>0</v>
      </c>
      <c r="AU155" s="404">
        <f>IF(PCF!AU405=0,0,AU150/PCF!AU405)</f>
        <v>0</v>
      </c>
      <c r="AV155" s="404">
        <f>IF(PCF!AV405=0,0,AV150/PCF!AV405)</f>
        <v>0</v>
      </c>
      <c r="AW155" s="404">
        <f>IF(PCF!AW405=0,0,AW150/PCF!AW405)</f>
        <v>0</v>
      </c>
      <c r="AX155" s="404">
        <f>IF(PCF!AX405=0,0,AX150/PCF!AX405)</f>
        <v>0</v>
      </c>
      <c r="AY155" s="404">
        <f>IF(PCF!AY405=0,0,AY150/PCF!AY405)</f>
        <v>0</v>
      </c>
      <c r="AZ155" s="404">
        <f>IF(PCF!AZ405=0,0,AZ150/PCF!AZ405)</f>
        <v>0</v>
      </c>
      <c r="BA155" s="404">
        <f>IF(PCF!BA405=0,0,BA150/PCF!BA405)</f>
        <v>0</v>
      </c>
      <c r="BB155" s="404">
        <f>IF(PCF!BB405=0,0,BB150/PCF!BB405)</f>
        <v>0</v>
      </c>
      <c r="BC155" s="404">
        <f>IF(PCF!BC405=0,0,BC150/PCF!BC405)</f>
        <v>0</v>
      </c>
      <c r="BD155" s="404">
        <f>IF(PCF!BD405=0,0,BD150/PCF!BD405)</f>
        <v>0</v>
      </c>
      <c r="BE155" s="404">
        <f>IF(PCF!BE405=0,0,BE150/PCF!BE405)</f>
        <v>0</v>
      </c>
      <c r="BF155" s="404">
        <f>IF(PCF!BF405=0,0,BF150/PCF!BF405)</f>
        <v>0</v>
      </c>
      <c r="BG155" s="404">
        <f>IF(PCF!BG405=0,0,BG150/PCF!BG405)</f>
        <v>0</v>
      </c>
      <c r="BI155" s="39" t="s">
        <v>153</v>
      </c>
    </row>
    <row r="157" spans="3:76">
      <c r="C157" s="268" t="s">
        <v>678</v>
      </c>
      <c r="D157" s="268"/>
      <c r="E157" s="268"/>
      <c r="F157" s="268"/>
      <c r="G157" s="268"/>
      <c r="H157" s="268"/>
      <c r="I157" s="268"/>
      <c r="J157" s="268"/>
      <c r="K157" s="268"/>
      <c r="L157" s="268"/>
      <c r="M157" s="268"/>
      <c r="N157" s="268"/>
      <c r="O157" s="268"/>
      <c r="P157" s="268"/>
      <c r="Q157" s="268"/>
      <c r="R157" s="367">
        <f>R75+R141+R150</f>
        <v>-126000</v>
      </c>
      <c r="S157" s="367">
        <f t="shared" ref="S157:AF157" si="204">S75+S141+S150</f>
        <v>-2231438.2092934325</v>
      </c>
      <c r="T157" s="367">
        <f t="shared" si="204"/>
        <v>-1652561.2460146665</v>
      </c>
      <c r="U157" s="367">
        <f t="shared" si="204"/>
        <v>-1604589.904437386</v>
      </c>
      <c r="V157" s="367">
        <f t="shared" si="204"/>
        <v>52004.655274996578</v>
      </c>
      <c r="W157" s="367">
        <f t="shared" si="204"/>
        <v>52061.11874999998</v>
      </c>
      <c r="X157" s="367">
        <f t="shared" si="204"/>
        <v>52117.446098091212</v>
      </c>
      <c r="Y157" s="367">
        <f t="shared" si="204"/>
        <v>52173.635865209144</v>
      </c>
      <c r="Z157" s="367">
        <f t="shared" si="204"/>
        <v>52229.686588620651</v>
      </c>
      <c r="AA157" s="367">
        <f t="shared" si="204"/>
        <v>52285.596796874961</v>
      </c>
      <c r="AB157" s="367">
        <f t="shared" si="204"/>
        <v>52341.365009757516</v>
      </c>
      <c r="AC157" s="367">
        <f t="shared" si="204"/>
        <v>52396.98973824385</v>
      </c>
      <c r="AD157" s="367">
        <f t="shared" si="204"/>
        <v>52452.469484453162</v>
      </c>
      <c r="AE157" s="367">
        <f t="shared" si="204"/>
        <v>3729330.7297672238</v>
      </c>
      <c r="AF157" s="367">
        <f t="shared" si="204"/>
        <v>0</v>
      </c>
      <c r="AG157" s="367">
        <f t="shared" ref="AG157:BG157" si="205">AG141+AG150</f>
        <v>0</v>
      </c>
      <c r="AH157" s="367">
        <f t="shared" si="205"/>
        <v>0</v>
      </c>
      <c r="AI157" s="367">
        <f t="shared" si="205"/>
        <v>0</v>
      </c>
      <c r="AJ157" s="367">
        <f t="shared" si="205"/>
        <v>0</v>
      </c>
      <c r="AK157" s="367">
        <f t="shared" si="205"/>
        <v>0</v>
      </c>
      <c r="AL157" s="367">
        <f t="shared" si="205"/>
        <v>0</v>
      </c>
      <c r="AM157" s="367">
        <f t="shared" si="205"/>
        <v>0</v>
      </c>
      <c r="AN157" s="367">
        <f t="shared" si="205"/>
        <v>0</v>
      </c>
      <c r="AO157" s="367">
        <f t="shared" si="205"/>
        <v>0</v>
      </c>
      <c r="AP157" s="367">
        <f t="shared" si="205"/>
        <v>0</v>
      </c>
      <c r="AQ157" s="367">
        <f t="shared" si="205"/>
        <v>0</v>
      </c>
      <c r="AR157" s="367">
        <f t="shared" si="205"/>
        <v>0</v>
      </c>
      <c r="AS157" s="367">
        <f t="shared" si="205"/>
        <v>0</v>
      </c>
      <c r="AT157" s="367">
        <f t="shared" si="205"/>
        <v>0</v>
      </c>
      <c r="AU157" s="367">
        <f t="shared" si="205"/>
        <v>0</v>
      </c>
      <c r="AV157" s="367">
        <f t="shared" si="205"/>
        <v>0</v>
      </c>
      <c r="AW157" s="367">
        <f t="shared" si="205"/>
        <v>0</v>
      </c>
      <c r="AX157" s="367">
        <f t="shared" si="205"/>
        <v>0</v>
      </c>
      <c r="AY157" s="367">
        <f t="shared" si="205"/>
        <v>0</v>
      </c>
      <c r="AZ157" s="367">
        <f t="shared" si="205"/>
        <v>0</v>
      </c>
      <c r="BA157" s="367">
        <f t="shared" si="205"/>
        <v>0</v>
      </c>
      <c r="BB157" s="367">
        <f t="shared" si="205"/>
        <v>0</v>
      </c>
      <c r="BC157" s="367">
        <f t="shared" si="205"/>
        <v>0</v>
      </c>
      <c r="BD157" s="367">
        <f t="shared" si="205"/>
        <v>0</v>
      </c>
      <c r="BE157" s="367">
        <f t="shared" si="205"/>
        <v>0</v>
      </c>
      <c r="BF157" s="367">
        <f t="shared" si="205"/>
        <v>0</v>
      </c>
      <c r="BG157" s="367">
        <f t="shared" si="205"/>
        <v>0</v>
      </c>
      <c r="BI157" s="254">
        <f>SUM(R157:BG157)</f>
        <v>-1415195.6663720151</v>
      </c>
      <c r="BM157" s="254">
        <f t="shared" ref="BM157:BV157" si="206">SUMIF($T$8:$BG$8,BM$6,$T157:$BG157)</f>
        <v>-3153085.3764270558</v>
      </c>
      <c r="BN157" s="254">
        <f t="shared" si="206"/>
        <v>208806.36534879595</v>
      </c>
      <c r="BO157" s="254">
        <f t="shared" si="206"/>
        <v>3886521.5539996782</v>
      </c>
      <c r="BP157" s="254">
        <f t="shared" si="206"/>
        <v>0</v>
      </c>
      <c r="BQ157" s="254">
        <f t="shared" si="206"/>
        <v>0</v>
      </c>
      <c r="BR157" s="254">
        <f t="shared" si="206"/>
        <v>0</v>
      </c>
      <c r="BS157" s="254">
        <f t="shared" si="206"/>
        <v>0</v>
      </c>
      <c r="BT157" s="254">
        <f t="shared" si="206"/>
        <v>0</v>
      </c>
      <c r="BU157" s="254">
        <f t="shared" si="206"/>
        <v>0</v>
      </c>
      <c r="BV157" s="254">
        <f t="shared" si="206"/>
        <v>0</v>
      </c>
      <c r="BX157" s="254">
        <f>SUM(BM157:BV157)</f>
        <v>942242.54292141832</v>
      </c>
    </row>
    <row r="158" spans="3:76">
      <c r="AM158" s="310"/>
    </row>
    <row r="159" spans="3:76">
      <c r="C159" s="268" t="s">
        <v>679</v>
      </c>
      <c r="D159" s="268"/>
      <c r="E159" s="268"/>
      <c r="F159" s="268"/>
      <c r="G159" s="268"/>
      <c r="H159" s="268"/>
      <c r="I159" s="268"/>
      <c r="J159" s="268"/>
      <c r="K159" s="268"/>
      <c r="L159" s="268"/>
      <c r="M159" s="268"/>
      <c r="N159" s="268"/>
      <c r="O159" s="268"/>
      <c r="P159" s="268"/>
      <c r="Q159" s="268"/>
      <c r="R159" s="153"/>
      <c r="S159" s="153"/>
      <c r="T159" s="367">
        <f>T442</f>
        <v>0</v>
      </c>
      <c r="U159" s="367">
        <f t="shared" ref="U159:BG159" si="207">U442</f>
        <v>0</v>
      </c>
      <c r="V159" s="367">
        <f t="shared" si="207"/>
        <v>0</v>
      </c>
      <c r="W159" s="367">
        <f t="shared" si="207"/>
        <v>0</v>
      </c>
      <c r="X159" s="367">
        <f t="shared" si="207"/>
        <v>0</v>
      </c>
      <c r="Y159" s="367">
        <f t="shared" si="207"/>
        <v>0</v>
      </c>
      <c r="Z159" s="367">
        <f t="shared" si="207"/>
        <v>0</v>
      </c>
      <c r="AA159" s="367">
        <f t="shared" si="207"/>
        <v>0</v>
      </c>
      <c r="AB159" s="367">
        <f t="shared" si="207"/>
        <v>0</v>
      </c>
      <c r="AC159" s="367">
        <f t="shared" si="207"/>
        <v>0</v>
      </c>
      <c r="AD159" s="367">
        <f t="shared" si="207"/>
        <v>0</v>
      </c>
      <c r="AE159" s="367">
        <f t="shared" si="207"/>
        <v>-278.23851046038078</v>
      </c>
      <c r="AF159" s="367">
        <f t="shared" si="207"/>
        <v>0</v>
      </c>
      <c r="AG159" s="367">
        <f t="shared" si="207"/>
        <v>0</v>
      </c>
      <c r="AH159" s="367">
        <f t="shared" si="207"/>
        <v>0</v>
      </c>
      <c r="AI159" s="367">
        <f t="shared" si="207"/>
        <v>0</v>
      </c>
      <c r="AJ159" s="367">
        <f t="shared" si="207"/>
        <v>0</v>
      </c>
      <c r="AK159" s="367">
        <f t="shared" si="207"/>
        <v>0</v>
      </c>
      <c r="AL159" s="367">
        <f t="shared" si="207"/>
        <v>0</v>
      </c>
      <c r="AM159" s="367">
        <f t="shared" si="207"/>
        <v>0</v>
      </c>
      <c r="AN159" s="367">
        <f t="shared" si="207"/>
        <v>0</v>
      </c>
      <c r="AO159" s="367">
        <f t="shared" si="207"/>
        <v>0</v>
      </c>
      <c r="AP159" s="367">
        <f t="shared" si="207"/>
        <v>0</v>
      </c>
      <c r="AQ159" s="367">
        <f t="shared" si="207"/>
        <v>0</v>
      </c>
      <c r="AR159" s="367">
        <f t="shared" si="207"/>
        <v>0</v>
      </c>
      <c r="AS159" s="367">
        <f t="shared" si="207"/>
        <v>0</v>
      </c>
      <c r="AT159" s="367">
        <f t="shared" si="207"/>
        <v>0</v>
      </c>
      <c r="AU159" s="367">
        <f t="shared" si="207"/>
        <v>0</v>
      </c>
      <c r="AV159" s="367">
        <f t="shared" si="207"/>
        <v>0</v>
      </c>
      <c r="AW159" s="367">
        <f t="shared" si="207"/>
        <v>0</v>
      </c>
      <c r="AX159" s="367">
        <f t="shared" si="207"/>
        <v>0</v>
      </c>
      <c r="AY159" s="367">
        <f t="shared" si="207"/>
        <v>0</v>
      </c>
      <c r="AZ159" s="367">
        <f t="shared" si="207"/>
        <v>0</v>
      </c>
      <c r="BA159" s="367">
        <f t="shared" si="207"/>
        <v>0</v>
      </c>
      <c r="BB159" s="367">
        <f t="shared" si="207"/>
        <v>0</v>
      </c>
      <c r="BC159" s="367">
        <f t="shared" si="207"/>
        <v>0</v>
      </c>
      <c r="BD159" s="367">
        <f t="shared" si="207"/>
        <v>0</v>
      </c>
      <c r="BE159" s="367">
        <f t="shared" si="207"/>
        <v>0</v>
      </c>
      <c r="BF159" s="367">
        <f t="shared" si="207"/>
        <v>0</v>
      </c>
      <c r="BG159" s="367">
        <f t="shared" si="207"/>
        <v>0</v>
      </c>
      <c r="BI159" s="254">
        <f>SUM(R159:BG159)</f>
        <v>-278.23851046038078</v>
      </c>
      <c r="BM159" s="254">
        <f t="shared" ref="BM159:BV159" si="208">SUMIF($T$8:$BG$8,BM$6,$T159:$BG159)</f>
        <v>0</v>
      </c>
      <c r="BN159" s="254">
        <f t="shared" si="208"/>
        <v>0</v>
      </c>
      <c r="BO159" s="254">
        <f t="shared" si="208"/>
        <v>-278.23851046038078</v>
      </c>
      <c r="BP159" s="254">
        <f t="shared" si="208"/>
        <v>0</v>
      </c>
      <c r="BQ159" s="254">
        <f t="shared" si="208"/>
        <v>0</v>
      </c>
      <c r="BR159" s="254">
        <f t="shared" si="208"/>
        <v>0</v>
      </c>
      <c r="BS159" s="254">
        <f t="shared" si="208"/>
        <v>0</v>
      </c>
      <c r="BT159" s="254">
        <f t="shared" si="208"/>
        <v>0</v>
      </c>
      <c r="BU159" s="254">
        <f t="shared" si="208"/>
        <v>0</v>
      </c>
      <c r="BV159" s="254">
        <f t="shared" si="208"/>
        <v>0</v>
      </c>
      <c r="BX159" s="254">
        <f>SUM(BM159:BV159)</f>
        <v>-278.23851046038078</v>
      </c>
    </row>
    <row r="160" spans="3:76" outlineLevel="1"/>
    <row r="161" spans="2:76" outlineLevel="1">
      <c r="C161" s="268" t="s">
        <v>680</v>
      </c>
      <c r="D161" s="268"/>
      <c r="E161" s="268"/>
      <c r="F161" s="268"/>
      <c r="G161" s="268"/>
      <c r="H161" s="268"/>
      <c r="I161" s="268"/>
      <c r="J161" s="268"/>
      <c r="K161" s="268"/>
      <c r="L161" s="268"/>
      <c r="M161" s="268"/>
      <c r="N161" s="268"/>
      <c r="O161" s="268"/>
      <c r="P161" s="268"/>
      <c r="Q161" s="268"/>
      <c r="R161" s="367">
        <f>R157+R159</f>
        <v>-126000</v>
      </c>
      <c r="S161" s="367">
        <f t="shared" ref="S161:BG161" si="209">S157+S159</f>
        <v>-2231438.2092934325</v>
      </c>
      <c r="T161" s="367">
        <f t="shared" si="209"/>
        <v>-1652561.2460146665</v>
      </c>
      <c r="U161" s="367">
        <f t="shared" si="209"/>
        <v>-1604589.904437386</v>
      </c>
      <c r="V161" s="367">
        <f t="shared" si="209"/>
        <v>52004.655274996578</v>
      </c>
      <c r="W161" s="367">
        <f t="shared" si="209"/>
        <v>52061.11874999998</v>
      </c>
      <c r="X161" s="367">
        <f t="shared" si="209"/>
        <v>52117.446098091212</v>
      </c>
      <c r="Y161" s="367">
        <f t="shared" si="209"/>
        <v>52173.635865209144</v>
      </c>
      <c r="Z161" s="367">
        <f t="shared" si="209"/>
        <v>52229.686588620651</v>
      </c>
      <c r="AA161" s="367">
        <f t="shared" si="209"/>
        <v>52285.596796874961</v>
      </c>
      <c r="AB161" s="367">
        <f t="shared" si="209"/>
        <v>52341.365009757516</v>
      </c>
      <c r="AC161" s="367">
        <f t="shared" si="209"/>
        <v>52396.98973824385</v>
      </c>
      <c r="AD161" s="367">
        <f t="shared" si="209"/>
        <v>52452.469484453162</v>
      </c>
      <c r="AE161" s="367">
        <f t="shared" si="209"/>
        <v>3729052.4912567632</v>
      </c>
      <c r="AF161" s="367">
        <f t="shared" si="209"/>
        <v>0</v>
      </c>
      <c r="AG161" s="367">
        <f t="shared" si="209"/>
        <v>0</v>
      </c>
      <c r="AH161" s="367">
        <f t="shared" si="209"/>
        <v>0</v>
      </c>
      <c r="AI161" s="367">
        <f t="shared" si="209"/>
        <v>0</v>
      </c>
      <c r="AJ161" s="367">
        <f t="shared" si="209"/>
        <v>0</v>
      </c>
      <c r="AK161" s="367">
        <f t="shared" si="209"/>
        <v>0</v>
      </c>
      <c r="AL161" s="367">
        <f t="shared" si="209"/>
        <v>0</v>
      </c>
      <c r="AM161" s="367">
        <f t="shared" si="209"/>
        <v>0</v>
      </c>
      <c r="AN161" s="367">
        <f t="shared" si="209"/>
        <v>0</v>
      </c>
      <c r="AO161" s="367">
        <f t="shared" si="209"/>
        <v>0</v>
      </c>
      <c r="AP161" s="367">
        <f t="shared" si="209"/>
        <v>0</v>
      </c>
      <c r="AQ161" s="367">
        <f t="shared" si="209"/>
        <v>0</v>
      </c>
      <c r="AR161" s="367">
        <f t="shared" si="209"/>
        <v>0</v>
      </c>
      <c r="AS161" s="367">
        <f t="shared" si="209"/>
        <v>0</v>
      </c>
      <c r="AT161" s="367">
        <f t="shared" si="209"/>
        <v>0</v>
      </c>
      <c r="AU161" s="367">
        <f t="shared" si="209"/>
        <v>0</v>
      </c>
      <c r="AV161" s="367">
        <f t="shared" si="209"/>
        <v>0</v>
      </c>
      <c r="AW161" s="367">
        <f t="shared" si="209"/>
        <v>0</v>
      </c>
      <c r="AX161" s="367">
        <f t="shared" si="209"/>
        <v>0</v>
      </c>
      <c r="AY161" s="367">
        <f t="shared" si="209"/>
        <v>0</v>
      </c>
      <c r="AZ161" s="367">
        <f t="shared" si="209"/>
        <v>0</v>
      </c>
      <c r="BA161" s="367">
        <f t="shared" si="209"/>
        <v>0</v>
      </c>
      <c r="BB161" s="367">
        <f t="shared" si="209"/>
        <v>0</v>
      </c>
      <c r="BC161" s="367">
        <f t="shared" si="209"/>
        <v>0</v>
      </c>
      <c r="BD161" s="367">
        <f t="shared" si="209"/>
        <v>0</v>
      </c>
      <c r="BE161" s="367">
        <f t="shared" si="209"/>
        <v>0</v>
      </c>
      <c r="BF161" s="367">
        <f t="shared" si="209"/>
        <v>0</v>
      </c>
      <c r="BG161" s="367">
        <f t="shared" si="209"/>
        <v>0</v>
      </c>
      <c r="BI161" s="254">
        <f>SUM(R161:BG161)</f>
        <v>-1415473.9048824757</v>
      </c>
      <c r="BM161" s="254">
        <f t="shared" ref="BM161:BV161" si="210">SUMIF($T$8:$BG$8,BM$6,$T161:$BG161)</f>
        <v>-3153085.3764270558</v>
      </c>
      <c r="BN161" s="254">
        <f t="shared" si="210"/>
        <v>208806.36534879595</v>
      </c>
      <c r="BO161" s="254">
        <f t="shared" si="210"/>
        <v>3886243.3154892176</v>
      </c>
      <c r="BP161" s="254">
        <f t="shared" si="210"/>
        <v>0</v>
      </c>
      <c r="BQ161" s="254">
        <f t="shared" si="210"/>
        <v>0</v>
      </c>
      <c r="BR161" s="254">
        <f t="shared" si="210"/>
        <v>0</v>
      </c>
      <c r="BS161" s="254">
        <f t="shared" si="210"/>
        <v>0</v>
      </c>
      <c r="BT161" s="254">
        <f t="shared" si="210"/>
        <v>0</v>
      </c>
      <c r="BU161" s="254">
        <f t="shared" si="210"/>
        <v>0</v>
      </c>
      <c r="BV161" s="254">
        <f t="shared" si="210"/>
        <v>0</v>
      </c>
      <c r="BX161" s="254">
        <f>SUM(BM161:BV161)</f>
        <v>941964.30441095773</v>
      </c>
    </row>
    <row r="162" spans="2:76" outlineLevel="1">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c r="AS162" s="310"/>
      <c r="AT162" s="310"/>
      <c r="AU162" s="310"/>
      <c r="AV162" s="310"/>
      <c r="AW162" s="310"/>
      <c r="AX162" s="310"/>
      <c r="AY162" s="310"/>
      <c r="AZ162" s="310"/>
      <c r="BA162" s="310"/>
      <c r="BB162" s="310"/>
      <c r="BC162" s="310"/>
      <c r="BD162" s="310"/>
      <c r="BE162" s="310"/>
      <c r="BF162" s="310"/>
      <c r="BG162" s="310"/>
    </row>
    <row r="163" spans="2:76" outlineLevel="1">
      <c r="C163" s="255" t="s">
        <v>859</v>
      </c>
      <c r="D163" s="255"/>
      <c r="E163" s="255"/>
      <c r="F163" s="255"/>
      <c r="G163" s="255"/>
      <c r="H163" s="255"/>
      <c r="I163" s="255"/>
      <c r="J163" s="255"/>
      <c r="K163" s="255"/>
      <c r="L163" s="255"/>
      <c r="M163" s="255"/>
      <c r="N163" s="255"/>
    </row>
    <row r="164" spans="2:76" outlineLevel="1">
      <c r="C164" s="417" t="s">
        <v>681</v>
      </c>
      <c r="D164" s="1427"/>
      <c r="E164" s="1427"/>
      <c r="F164" s="1427"/>
      <c r="G164" s="1427"/>
      <c r="H164" s="1427"/>
      <c r="I164" s="1427"/>
      <c r="J164" s="1427"/>
      <c r="K164" s="1427"/>
      <c r="L164" s="1427"/>
      <c r="M164" s="1427"/>
      <c r="N164" s="1427"/>
      <c r="O164" s="471">
        <f>GA!G695</f>
        <v>0</v>
      </c>
      <c r="P164" s="421" t="s">
        <v>688</v>
      </c>
      <c r="Q164" s="419"/>
      <c r="R164" s="419"/>
      <c r="S164" s="419"/>
      <c r="T164" s="419"/>
      <c r="U164" s="419"/>
      <c r="V164" s="419"/>
      <c r="W164" s="419"/>
      <c r="X164" s="418"/>
      <c r="Y164" s="418"/>
      <c r="Z164" s="418"/>
      <c r="AA164" s="418"/>
      <c r="AB164" s="418"/>
      <c r="AC164" s="418"/>
      <c r="AD164" s="418"/>
      <c r="AE164" s="418"/>
      <c r="AF164" s="418"/>
      <c r="AG164" s="418"/>
      <c r="AH164" s="418"/>
      <c r="AI164" s="418"/>
      <c r="AJ164" s="418"/>
      <c r="AK164" s="418"/>
      <c r="AL164" s="418"/>
      <c r="AM164" s="418"/>
      <c r="AN164" s="418"/>
      <c r="AO164" s="418"/>
      <c r="AP164" s="418"/>
      <c r="AQ164" s="418"/>
      <c r="AR164" s="418"/>
      <c r="AS164" s="418"/>
      <c r="AT164" s="418"/>
      <c r="AU164" s="418"/>
      <c r="AV164" s="418"/>
      <c r="AW164" s="418"/>
      <c r="AX164" s="418"/>
      <c r="AY164" s="418"/>
      <c r="AZ164" s="418"/>
      <c r="BA164" s="418"/>
      <c r="BB164" s="418"/>
      <c r="BC164" s="418"/>
      <c r="BD164" s="418"/>
      <c r="BE164" s="418"/>
      <c r="BF164" s="418"/>
      <c r="BG164" s="418"/>
      <c r="BI164" s="418"/>
      <c r="BM164" s="418"/>
      <c r="BN164" s="418"/>
      <c r="BO164" s="418"/>
      <c r="BP164" s="418"/>
      <c r="BQ164" s="418"/>
      <c r="BR164" s="418"/>
      <c r="BS164" s="418"/>
      <c r="BT164" s="418"/>
      <c r="BU164" s="418"/>
      <c r="BV164" s="418"/>
      <c r="BX164" s="418"/>
    </row>
    <row r="165" spans="2:76" outlineLevel="1">
      <c r="C165" s="418" t="s">
        <v>682</v>
      </c>
      <c r="D165" s="418"/>
      <c r="E165" s="418"/>
      <c r="F165" s="418"/>
      <c r="G165" s="418"/>
      <c r="H165" s="418"/>
      <c r="I165" s="418"/>
      <c r="J165" s="418"/>
      <c r="K165" s="418"/>
      <c r="L165" s="418"/>
      <c r="M165" s="418"/>
      <c r="N165" s="418"/>
      <c r="O165" s="420">
        <f>-O164*SUMIFS($T$157:$BG$157,$T$157:$BG$157,"&lt;0")</f>
        <v>0</v>
      </c>
      <c r="P165" s="472">
        <f>GA!G696</f>
        <v>0</v>
      </c>
      <c r="Q165" s="418"/>
      <c r="R165" s="418"/>
      <c r="S165" s="422"/>
      <c r="T165" s="422">
        <f>S167</f>
        <v>0</v>
      </c>
      <c r="U165" s="422">
        <f t="shared" ref="U165:BG165" si="211">T167</f>
        <v>0</v>
      </c>
      <c r="V165" s="422">
        <f t="shared" si="211"/>
        <v>0</v>
      </c>
      <c r="W165" s="422">
        <f t="shared" si="211"/>
        <v>0</v>
      </c>
      <c r="X165" s="423">
        <f t="shared" si="211"/>
        <v>0</v>
      </c>
      <c r="Y165" s="423">
        <f t="shared" si="211"/>
        <v>0</v>
      </c>
      <c r="Z165" s="423">
        <f t="shared" si="211"/>
        <v>0</v>
      </c>
      <c r="AA165" s="423">
        <f t="shared" si="211"/>
        <v>0</v>
      </c>
      <c r="AB165" s="423">
        <f t="shared" si="211"/>
        <v>0</v>
      </c>
      <c r="AC165" s="423">
        <f t="shared" si="211"/>
        <v>0</v>
      </c>
      <c r="AD165" s="423">
        <f t="shared" si="211"/>
        <v>0</v>
      </c>
      <c r="AE165" s="423">
        <f t="shared" si="211"/>
        <v>0</v>
      </c>
      <c r="AF165" s="423">
        <f t="shared" si="211"/>
        <v>0</v>
      </c>
      <c r="AG165" s="423">
        <f t="shared" si="211"/>
        <v>0</v>
      </c>
      <c r="AH165" s="423">
        <f t="shared" si="211"/>
        <v>0</v>
      </c>
      <c r="AI165" s="423">
        <f t="shared" si="211"/>
        <v>0</v>
      </c>
      <c r="AJ165" s="423">
        <f t="shared" si="211"/>
        <v>0</v>
      </c>
      <c r="AK165" s="423">
        <f t="shared" si="211"/>
        <v>0</v>
      </c>
      <c r="AL165" s="423">
        <f t="shared" si="211"/>
        <v>0</v>
      </c>
      <c r="AM165" s="423">
        <f t="shared" si="211"/>
        <v>0</v>
      </c>
      <c r="AN165" s="423">
        <f t="shared" si="211"/>
        <v>0</v>
      </c>
      <c r="AO165" s="423">
        <f t="shared" si="211"/>
        <v>0</v>
      </c>
      <c r="AP165" s="423">
        <f t="shared" si="211"/>
        <v>0</v>
      </c>
      <c r="AQ165" s="423">
        <f t="shared" si="211"/>
        <v>0</v>
      </c>
      <c r="AR165" s="423">
        <f t="shared" si="211"/>
        <v>0</v>
      </c>
      <c r="AS165" s="423">
        <f t="shared" si="211"/>
        <v>0</v>
      </c>
      <c r="AT165" s="423">
        <f t="shared" si="211"/>
        <v>0</v>
      </c>
      <c r="AU165" s="423">
        <f t="shared" si="211"/>
        <v>0</v>
      </c>
      <c r="AV165" s="423">
        <f t="shared" si="211"/>
        <v>0</v>
      </c>
      <c r="AW165" s="423">
        <f t="shared" si="211"/>
        <v>0</v>
      </c>
      <c r="AX165" s="423">
        <f t="shared" si="211"/>
        <v>0</v>
      </c>
      <c r="AY165" s="423">
        <f t="shared" si="211"/>
        <v>0</v>
      </c>
      <c r="AZ165" s="423">
        <f t="shared" si="211"/>
        <v>0</v>
      </c>
      <c r="BA165" s="423">
        <f t="shared" si="211"/>
        <v>0</v>
      </c>
      <c r="BB165" s="423">
        <f t="shared" si="211"/>
        <v>0</v>
      </c>
      <c r="BC165" s="423">
        <f t="shared" si="211"/>
        <v>0</v>
      </c>
      <c r="BD165" s="423">
        <f t="shared" si="211"/>
        <v>0</v>
      </c>
      <c r="BE165" s="423">
        <f t="shared" si="211"/>
        <v>0</v>
      </c>
      <c r="BF165" s="423">
        <f t="shared" si="211"/>
        <v>0</v>
      </c>
      <c r="BG165" s="423">
        <f t="shared" si="211"/>
        <v>0</v>
      </c>
      <c r="BI165" s="1070" t="s">
        <v>153</v>
      </c>
      <c r="BM165" s="423">
        <f t="shared" ref="BM165:BV165" si="212">INDEX($T165:$BG165,MATCH(BM$5-3,$T$5:$BG$5,0))</f>
        <v>0</v>
      </c>
      <c r="BN165" s="423">
        <f t="shared" si="212"/>
        <v>0</v>
      </c>
      <c r="BO165" s="423">
        <f t="shared" si="212"/>
        <v>0</v>
      </c>
      <c r="BP165" s="423">
        <f t="shared" si="212"/>
        <v>0</v>
      </c>
      <c r="BQ165" s="423">
        <f t="shared" si="212"/>
        <v>0</v>
      </c>
      <c r="BR165" s="423">
        <f t="shared" si="212"/>
        <v>0</v>
      </c>
      <c r="BS165" s="423">
        <f t="shared" si="212"/>
        <v>0</v>
      </c>
      <c r="BT165" s="423">
        <f t="shared" si="212"/>
        <v>0</v>
      </c>
      <c r="BU165" s="423">
        <f t="shared" si="212"/>
        <v>0</v>
      </c>
      <c r="BV165" s="423">
        <f t="shared" si="212"/>
        <v>0</v>
      </c>
      <c r="BX165" s="1070" t="s">
        <v>153</v>
      </c>
    </row>
    <row r="166" spans="2:76" outlineLevel="1">
      <c r="C166" s="418" t="s">
        <v>683</v>
      </c>
      <c r="D166" s="418"/>
      <c r="E166" s="418"/>
      <c r="F166" s="418"/>
      <c r="G166" s="418"/>
      <c r="H166" s="418"/>
      <c r="I166" s="418"/>
      <c r="J166" s="418"/>
      <c r="K166" s="418"/>
      <c r="L166" s="418"/>
      <c r="M166" s="418"/>
      <c r="N166" s="418"/>
      <c r="O166" s="418"/>
      <c r="P166" s="418"/>
      <c r="Q166" s="418"/>
      <c r="R166" s="418"/>
      <c r="S166" s="422">
        <f>IF(P165&lt;&gt;0,P165,O165)*O164</f>
        <v>0</v>
      </c>
      <c r="T166" s="422">
        <f>$O$164*MIN(MAX(-T165,T157),0)</f>
        <v>0</v>
      </c>
      <c r="U166" s="422">
        <f t="shared" ref="U166:BG166" si="213">$O$164*MIN(MAX(-U165,U157),0)</f>
        <v>0</v>
      </c>
      <c r="V166" s="422">
        <f t="shared" si="213"/>
        <v>0</v>
      </c>
      <c r="W166" s="422">
        <f t="shared" si="213"/>
        <v>0</v>
      </c>
      <c r="X166" s="422">
        <f t="shared" si="213"/>
        <v>0</v>
      </c>
      <c r="Y166" s="422">
        <f t="shared" si="213"/>
        <v>0</v>
      </c>
      <c r="Z166" s="422">
        <f t="shared" si="213"/>
        <v>0</v>
      </c>
      <c r="AA166" s="422">
        <f t="shared" si="213"/>
        <v>0</v>
      </c>
      <c r="AB166" s="422">
        <f t="shared" si="213"/>
        <v>0</v>
      </c>
      <c r="AC166" s="422">
        <f t="shared" si="213"/>
        <v>0</v>
      </c>
      <c r="AD166" s="422">
        <f t="shared" si="213"/>
        <v>0</v>
      </c>
      <c r="AE166" s="422">
        <f t="shared" si="213"/>
        <v>0</v>
      </c>
      <c r="AF166" s="422">
        <f t="shared" si="213"/>
        <v>0</v>
      </c>
      <c r="AG166" s="422">
        <f t="shared" si="213"/>
        <v>0</v>
      </c>
      <c r="AH166" s="422">
        <f t="shared" si="213"/>
        <v>0</v>
      </c>
      <c r="AI166" s="422">
        <f t="shared" si="213"/>
        <v>0</v>
      </c>
      <c r="AJ166" s="422">
        <f t="shared" si="213"/>
        <v>0</v>
      </c>
      <c r="AK166" s="422">
        <f t="shared" si="213"/>
        <v>0</v>
      </c>
      <c r="AL166" s="422">
        <f t="shared" si="213"/>
        <v>0</v>
      </c>
      <c r="AM166" s="422">
        <f t="shared" si="213"/>
        <v>0</v>
      </c>
      <c r="AN166" s="422">
        <f t="shared" si="213"/>
        <v>0</v>
      </c>
      <c r="AO166" s="422">
        <f t="shared" si="213"/>
        <v>0</v>
      </c>
      <c r="AP166" s="422">
        <f t="shared" si="213"/>
        <v>0</v>
      </c>
      <c r="AQ166" s="422">
        <f t="shared" si="213"/>
        <v>0</v>
      </c>
      <c r="AR166" s="422">
        <f t="shared" si="213"/>
        <v>0</v>
      </c>
      <c r="AS166" s="422">
        <f t="shared" si="213"/>
        <v>0</v>
      </c>
      <c r="AT166" s="422">
        <f t="shared" si="213"/>
        <v>0</v>
      </c>
      <c r="AU166" s="422">
        <f t="shared" si="213"/>
        <v>0</v>
      </c>
      <c r="AV166" s="422">
        <f t="shared" si="213"/>
        <v>0</v>
      </c>
      <c r="AW166" s="422">
        <f t="shared" si="213"/>
        <v>0</v>
      </c>
      <c r="AX166" s="422">
        <f t="shared" si="213"/>
        <v>0</v>
      </c>
      <c r="AY166" s="422">
        <f t="shared" si="213"/>
        <v>0</v>
      </c>
      <c r="AZ166" s="422">
        <f t="shared" si="213"/>
        <v>0</v>
      </c>
      <c r="BA166" s="422">
        <f t="shared" si="213"/>
        <v>0</v>
      </c>
      <c r="BB166" s="422">
        <f t="shared" si="213"/>
        <v>0</v>
      </c>
      <c r="BC166" s="422">
        <f t="shared" si="213"/>
        <v>0</v>
      </c>
      <c r="BD166" s="422">
        <f t="shared" si="213"/>
        <v>0</v>
      </c>
      <c r="BE166" s="422">
        <f t="shared" si="213"/>
        <v>0</v>
      </c>
      <c r="BF166" s="422">
        <f t="shared" si="213"/>
        <v>0</v>
      </c>
      <c r="BG166" s="422">
        <f t="shared" si="213"/>
        <v>0</v>
      </c>
      <c r="BI166" s="1071" t="s">
        <v>153</v>
      </c>
      <c r="BM166" s="422">
        <f t="shared" ref="BM166:BV166" si="214">SUMIFS($T$166:$BG$166,$T$8:$BG$8,BM$6)</f>
        <v>0</v>
      </c>
      <c r="BN166" s="422">
        <f t="shared" si="214"/>
        <v>0</v>
      </c>
      <c r="BO166" s="422">
        <f t="shared" si="214"/>
        <v>0</v>
      </c>
      <c r="BP166" s="422">
        <f t="shared" si="214"/>
        <v>0</v>
      </c>
      <c r="BQ166" s="422">
        <f t="shared" si="214"/>
        <v>0</v>
      </c>
      <c r="BR166" s="422">
        <f t="shared" si="214"/>
        <v>0</v>
      </c>
      <c r="BS166" s="422">
        <f t="shared" si="214"/>
        <v>0</v>
      </c>
      <c r="BT166" s="422">
        <f t="shared" si="214"/>
        <v>0</v>
      </c>
      <c r="BU166" s="422">
        <f t="shared" si="214"/>
        <v>0</v>
      </c>
      <c r="BV166" s="422">
        <f t="shared" si="214"/>
        <v>0</v>
      </c>
      <c r="BX166" s="1071" t="s">
        <v>153</v>
      </c>
    </row>
    <row r="167" spans="2:76" outlineLevel="1">
      <c r="C167" s="419" t="s">
        <v>684</v>
      </c>
      <c r="D167" s="419"/>
      <c r="E167" s="419"/>
      <c r="F167" s="419"/>
      <c r="G167" s="419"/>
      <c r="H167" s="419"/>
      <c r="I167" s="419"/>
      <c r="J167" s="419"/>
      <c r="K167" s="419"/>
      <c r="L167" s="419"/>
      <c r="M167" s="419"/>
      <c r="N167" s="419"/>
      <c r="O167" s="419"/>
      <c r="P167" s="419"/>
      <c r="Q167" s="419"/>
      <c r="R167" s="419"/>
      <c r="S167" s="424">
        <f>SUM(S165:S166)</f>
        <v>0</v>
      </c>
      <c r="T167" s="424">
        <f>SUM(T165:T166)</f>
        <v>0</v>
      </c>
      <c r="U167" s="424">
        <f t="shared" ref="U167:BG167" si="215">SUM(U165:U166)</f>
        <v>0</v>
      </c>
      <c r="V167" s="424">
        <f t="shared" si="215"/>
        <v>0</v>
      </c>
      <c r="W167" s="424">
        <f t="shared" si="215"/>
        <v>0</v>
      </c>
      <c r="X167" s="424">
        <f t="shared" si="215"/>
        <v>0</v>
      </c>
      <c r="Y167" s="424">
        <f t="shared" si="215"/>
        <v>0</v>
      </c>
      <c r="Z167" s="424">
        <f t="shared" si="215"/>
        <v>0</v>
      </c>
      <c r="AA167" s="424">
        <f t="shared" si="215"/>
        <v>0</v>
      </c>
      <c r="AB167" s="424">
        <f t="shared" si="215"/>
        <v>0</v>
      </c>
      <c r="AC167" s="424">
        <f t="shared" si="215"/>
        <v>0</v>
      </c>
      <c r="AD167" s="424">
        <f t="shared" si="215"/>
        <v>0</v>
      </c>
      <c r="AE167" s="424">
        <f t="shared" si="215"/>
        <v>0</v>
      </c>
      <c r="AF167" s="424">
        <f t="shared" si="215"/>
        <v>0</v>
      </c>
      <c r="AG167" s="424">
        <f t="shared" si="215"/>
        <v>0</v>
      </c>
      <c r="AH167" s="424">
        <f t="shared" si="215"/>
        <v>0</v>
      </c>
      <c r="AI167" s="424">
        <f t="shared" si="215"/>
        <v>0</v>
      </c>
      <c r="AJ167" s="424">
        <f t="shared" si="215"/>
        <v>0</v>
      </c>
      <c r="AK167" s="424">
        <f t="shared" si="215"/>
        <v>0</v>
      </c>
      <c r="AL167" s="424">
        <f t="shared" si="215"/>
        <v>0</v>
      </c>
      <c r="AM167" s="424">
        <f t="shared" si="215"/>
        <v>0</v>
      </c>
      <c r="AN167" s="424">
        <f t="shared" si="215"/>
        <v>0</v>
      </c>
      <c r="AO167" s="424">
        <f t="shared" si="215"/>
        <v>0</v>
      </c>
      <c r="AP167" s="424">
        <f t="shared" si="215"/>
        <v>0</v>
      </c>
      <c r="AQ167" s="424">
        <f t="shared" si="215"/>
        <v>0</v>
      </c>
      <c r="AR167" s="424">
        <f t="shared" si="215"/>
        <v>0</v>
      </c>
      <c r="AS167" s="424">
        <f t="shared" si="215"/>
        <v>0</v>
      </c>
      <c r="AT167" s="424">
        <f t="shared" si="215"/>
        <v>0</v>
      </c>
      <c r="AU167" s="424">
        <f t="shared" si="215"/>
        <v>0</v>
      </c>
      <c r="AV167" s="424">
        <f t="shared" si="215"/>
        <v>0</v>
      </c>
      <c r="AW167" s="424">
        <f t="shared" si="215"/>
        <v>0</v>
      </c>
      <c r="AX167" s="424">
        <f t="shared" si="215"/>
        <v>0</v>
      </c>
      <c r="AY167" s="424">
        <f t="shared" si="215"/>
        <v>0</v>
      </c>
      <c r="AZ167" s="424">
        <f t="shared" si="215"/>
        <v>0</v>
      </c>
      <c r="BA167" s="424">
        <f t="shared" si="215"/>
        <v>0</v>
      </c>
      <c r="BB167" s="424">
        <f t="shared" si="215"/>
        <v>0</v>
      </c>
      <c r="BC167" s="424">
        <f t="shared" si="215"/>
        <v>0</v>
      </c>
      <c r="BD167" s="424">
        <f t="shared" si="215"/>
        <v>0</v>
      </c>
      <c r="BE167" s="424">
        <f t="shared" si="215"/>
        <v>0</v>
      </c>
      <c r="BF167" s="424">
        <f t="shared" si="215"/>
        <v>0</v>
      </c>
      <c r="BG167" s="424">
        <f t="shared" si="215"/>
        <v>0</v>
      </c>
      <c r="BI167" s="1072" t="s">
        <v>153</v>
      </c>
      <c r="BM167" s="424">
        <f t="shared" ref="BM167:BV167" si="216">INDEX($T167:$BG167,MATCH(BM$5,$T$5:$BG$5,0))</f>
        <v>0</v>
      </c>
      <c r="BN167" s="424">
        <f t="shared" si="216"/>
        <v>0</v>
      </c>
      <c r="BO167" s="424">
        <f t="shared" si="216"/>
        <v>0</v>
      </c>
      <c r="BP167" s="424">
        <f t="shared" si="216"/>
        <v>0</v>
      </c>
      <c r="BQ167" s="424">
        <f t="shared" si="216"/>
        <v>0</v>
      </c>
      <c r="BR167" s="424">
        <f t="shared" si="216"/>
        <v>0</v>
      </c>
      <c r="BS167" s="424">
        <f t="shared" si="216"/>
        <v>0</v>
      </c>
      <c r="BT167" s="424">
        <f t="shared" si="216"/>
        <v>0</v>
      </c>
      <c r="BU167" s="424">
        <f t="shared" si="216"/>
        <v>0</v>
      </c>
      <c r="BV167" s="424">
        <f t="shared" si="216"/>
        <v>0</v>
      </c>
      <c r="BX167" s="1072" t="s">
        <v>153</v>
      </c>
    </row>
    <row r="169" spans="2:76">
      <c r="C169" s="253" t="s">
        <v>685</v>
      </c>
      <c r="D169" s="253"/>
      <c r="E169" s="253"/>
      <c r="F169" s="253"/>
      <c r="G169" s="253"/>
      <c r="H169" s="253"/>
      <c r="I169" s="253"/>
      <c r="J169" s="253"/>
      <c r="K169" s="253"/>
      <c r="L169" s="253"/>
      <c r="M169" s="253"/>
      <c r="N169" s="253"/>
      <c r="O169" s="253"/>
      <c r="P169" s="253"/>
      <c r="Q169" s="253"/>
      <c r="R169" s="254">
        <f>R161-R166</f>
        <v>-126000</v>
      </c>
      <c r="S169" s="254">
        <f t="shared" ref="S169:BG169" si="217">S161-S166</f>
        <v>-2231438.2092934325</v>
      </c>
      <c r="T169" s="254">
        <f t="shared" si="217"/>
        <v>-1652561.2460146665</v>
      </c>
      <c r="U169" s="254">
        <f t="shared" si="217"/>
        <v>-1604589.904437386</v>
      </c>
      <c r="V169" s="254">
        <f t="shared" si="217"/>
        <v>52004.655274996578</v>
      </c>
      <c r="W169" s="254">
        <f t="shared" si="217"/>
        <v>52061.11874999998</v>
      </c>
      <c r="X169" s="254">
        <f t="shared" si="217"/>
        <v>52117.446098091212</v>
      </c>
      <c r="Y169" s="254">
        <f t="shared" si="217"/>
        <v>52173.635865209144</v>
      </c>
      <c r="Z169" s="254">
        <f t="shared" si="217"/>
        <v>52229.686588620651</v>
      </c>
      <c r="AA169" s="254">
        <f t="shared" si="217"/>
        <v>52285.596796874961</v>
      </c>
      <c r="AB169" s="254">
        <f t="shared" si="217"/>
        <v>52341.365009757516</v>
      </c>
      <c r="AC169" s="254">
        <f t="shared" si="217"/>
        <v>52396.98973824385</v>
      </c>
      <c r="AD169" s="254">
        <f t="shared" si="217"/>
        <v>52452.469484453162</v>
      </c>
      <c r="AE169" s="254">
        <f t="shared" si="217"/>
        <v>3729052.4912567632</v>
      </c>
      <c r="AF169" s="254">
        <f t="shared" si="217"/>
        <v>0</v>
      </c>
      <c r="AG169" s="254">
        <f t="shared" si="217"/>
        <v>0</v>
      </c>
      <c r="AH169" s="254">
        <f t="shared" si="217"/>
        <v>0</v>
      </c>
      <c r="AI169" s="254">
        <f t="shared" si="217"/>
        <v>0</v>
      </c>
      <c r="AJ169" s="254">
        <f t="shared" si="217"/>
        <v>0</v>
      </c>
      <c r="AK169" s="254">
        <f t="shared" si="217"/>
        <v>0</v>
      </c>
      <c r="AL169" s="254">
        <f t="shared" si="217"/>
        <v>0</v>
      </c>
      <c r="AM169" s="254">
        <f t="shared" si="217"/>
        <v>0</v>
      </c>
      <c r="AN169" s="254">
        <f t="shared" si="217"/>
        <v>0</v>
      </c>
      <c r="AO169" s="254">
        <f t="shared" si="217"/>
        <v>0</v>
      </c>
      <c r="AP169" s="254">
        <f t="shared" si="217"/>
        <v>0</v>
      </c>
      <c r="AQ169" s="254">
        <f t="shared" si="217"/>
        <v>0</v>
      </c>
      <c r="AR169" s="254">
        <f t="shared" si="217"/>
        <v>0</v>
      </c>
      <c r="AS169" s="254">
        <f t="shared" si="217"/>
        <v>0</v>
      </c>
      <c r="AT169" s="254">
        <f t="shared" si="217"/>
        <v>0</v>
      </c>
      <c r="AU169" s="254">
        <f t="shared" si="217"/>
        <v>0</v>
      </c>
      <c r="AV169" s="254">
        <f t="shared" si="217"/>
        <v>0</v>
      </c>
      <c r="AW169" s="254">
        <f t="shared" si="217"/>
        <v>0</v>
      </c>
      <c r="AX169" s="254">
        <f t="shared" si="217"/>
        <v>0</v>
      </c>
      <c r="AY169" s="254">
        <f t="shared" si="217"/>
        <v>0</v>
      </c>
      <c r="AZ169" s="254">
        <f t="shared" si="217"/>
        <v>0</v>
      </c>
      <c r="BA169" s="254">
        <f t="shared" si="217"/>
        <v>0</v>
      </c>
      <c r="BB169" s="254">
        <f t="shared" si="217"/>
        <v>0</v>
      </c>
      <c r="BC169" s="254">
        <f t="shared" si="217"/>
        <v>0</v>
      </c>
      <c r="BD169" s="254">
        <f t="shared" si="217"/>
        <v>0</v>
      </c>
      <c r="BE169" s="254">
        <f t="shared" si="217"/>
        <v>0</v>
      </c>
      <c r="BF169" s="254">
        <f t="shared" si="217"/>
        <v>0</v>
      </c>
      <c r="BG169" s="254">
        <f t="shared" si="217"/>
        <v>0</v>
      </c>
      <c r="BI169" s="254">
        <f>SUM(T169:BG169)</f>
        <v>941964.30441095773</v>
      </c>
      <c r="BK169" s="257" t="b">
        <f>ROUND(BI169,GA!$G$112)=ROUND(BX169,GA!$G$112)</f>
        <v>1</v>
      </c>
      <c r="BM169" s="254">
        <f t="shared" ref="BM169:BV169" si="218">SUMIF($T$8:$BG$8,BM$6,$T169:$BG169)</f>
        <v>-3153085.3764270558</v>
      </c>
      <c r="BN169" s="254">
        <f t="shared" si="218"/>
        <v>208806.36534879595</v>
      </c>
      <c r="BO169" s="254">
        <f t="shared" si="218"/>
        <v>3886243.3154892176</v>
      </c>
      <c r="BP169" s="254">
        <f t="shared" si="218"/>
        <v>0</v>
      </c>
      <c r="BQ169" s="254">
        <f t="shared" si="218"/>
        <v>0</v>
      </c>
      <c r="BR169" s="254">
        <f t="shared" si="218"/>
        <v>0</v>
      </c>
      <c r="BS169" s="254">
        <f t="shared" si="218"/>
        <v>0</v>
      </c>
      <c r="BT169" s="254">
        <f t="shared" si="218"/>
        <v>0</v>
      </c>
      <c r="BU169" s="254">
        <f t="shared" si="218"/>
        <v>0</v>
      </c>
      <c r="BV169" s="254">
        <f t="shared" si="218"/>
        <v>0</v>
      </c>
      <c r="BX169" s="254">
        <f>SUM(BM169:BV169)</f>
        <v>941964.30441095773</v>
      </c>
    </row>
    <row r="170" spans="2:76" outlineLevel="1">
      <c r="C170" s="398" t="s">
        <v>686</v>
      </c>
      <c r="D170" s="398"/>
      <c r="E170" s="398"/>
      <c r="F170" s="398"/>
      <c r="G170" s="398"/>
      <c r="H170" s="398"/>
      <c r="I170" s="398"/>
      <c r="J170" s="398"/>
      <c r="K170" s="398"/>
      <c r="L170" s="398"/>
      <c r="M170" s="398"/>
      <c r="N170" s="398"/>
      <c r="R170" s="404">
        <f>SUM($R$169:R169)</f>
        <v>-126000</v>
      </c>
      <c r="S170" s="404">
        <f>SUM($R$169:S169)</f>
        <v>-2357438.2092934325</v>
      </c>
      <c r="T170" s="404">
        <f>SUM($R$169:T169)</f>
        <v>-4009999.4553080993</v>
      </c>
      <c r="U170" s="404">
        <f>SUM($R$169:U169)</f>
        <v>-5614589.3597454857</v>
      </c>
      <c r="V170" s="404">
        <f>SUM($R$169:V169)</f>
        <v>-5562584.7044704892</v>
      </c>
      <c r="W170" s="404">
        <f>SUM($R$169:W169)</f>
        <v>-5510523.5857204888</v>
      </c>
      <c r="X170" s="404">
        <f>SUM($R$169:X169)</f>
        <v>-5458406.1396223977</v>
      </c>
      <c r="Y170" s="404">
        <f>SUM($R$169:Y169)</f>
        <v>-5406232.503757189</v>
      </c>
      <c r="Z170" s="404">
        <f>SUM($R$169:Z169)</f>
        <v>-5354002.8171685683</v>
      </c>
      <c r="AA170" s="404">
        <f>SUM($R$169:AA169)</f>
        <v>-5301717.2203716934</v>
      </c>
      <c r="AB170" s="404">
        <f>SUM($R$169:AB169)</f>
        <v>-5249375.8553619357</v>
      </c>
      <c r="AC170" s="404">
        <f>SUM($R$169:AC169)</f>
        <v>-5196978.8656236921</v>
      </c>
      <c r="AD170" s="404">
        <f>SUM($R$169:AD169)</f>
        <v>-5144526.396139239</v>
      </c>
      <c r="AE170" s="404">
        <f>SUM($R$169:AE169)</f>
        <v>-1415473.9048824757</v>
      </c>
      <c r="AF170" s="404">
        <f>SUM($R$169:AF169)</f>
        <v>-1415473.9048824757</v>
      </c>
      <c r="AG170" s="404">
        <f>SUM($R$169:AG169)</f>
        <v>-1415473.9048824757</v>
      </c>
      <c r="AH170" s="404">
        <f>SUM($R$169:AH169)</f>
        <v>-1415473.9048824757</v>
      </c>
      <c r="AI170" s="404">
        <f>SUM($R$169:AI169)</f>
        <v>-1415473.9048824757</v>
      </c>
      <c r="AJ170" s="404">
        <f>SUM($R$169:AJ169)</f>
        <v>-1415473.9048824757</v>
      </c>
      <c r="AK170" s="404">
        <f>SUM($R$169:AK169)</f>
        <v>-1415473.9048824757</v>
      </c>
      <c r="AL170" s="404">
        <f>SUM($R$169:AL169)</f>
        <v>-1415473.9048824757</v>
      </c>
      <c r="AM170" s="404">
        <f>SUM($R$169:AM169)</f>
        <v>-1415473.9048824757</v>
      </c>
      <c r="AN170" s="404">
        <f>SUM($R$169:AN169)</f>
        <v>-1415473.9048824757</v>
      </c>
      <c r="AO170" s="404">
        <f>SUM($R$169:AO169)</f>
        <v>-1415473.9048824757</v>
      </c>
      <c r="AP170" s="404">
        <f>SUM($R$169:AP169)</f>
        <v>-1415473.9048824757</v>
      </c>
      <c r="AQ170" s="404">
        <f>SUM($R$169:AQ169)</f>
        <v>-1415473.9048824757</v>
      </c>
      <c r="AR170" s="404">
        <f>SUM($R$169:AR169)</f>
        <v>-1415473.9048824757</v>
      </c>
      <c r="AS170" s="404">
        <f>SUM($R$169:AS169)</f>
        <v>-1415473.9048824757</v>
      </c>
      <c r="AT170" s="404">
        <f>SUM($R$169:AT169)</f>
        <v>-1415473.9048824757</v>
      </c>
      <c r="AU170" s="404">
        <f>SUM($R$169:AU169)</f>
        <v>-1415473.9048824757</v>
      </c>
      <c r="AV170" s="404">
        <f>SUM($R$169:AV169)</f>
        <v>-1415473.9048824757</v>
      </c>
      <c r="AW170" s="404">
        <f>SUM($R$169:AW169)</f>
        <v>-1415473.9048824757</v>
      </c>
      <c r="AX170" s="404">
        <f>SUM($R$169:AX169)</f>
        <v>-1415473.9048824757</v>
      </c>
      <c r="AY170" s="404">
        <f>SUM($R$169:AY169)</f>
        <v>-1415473.9048824757</v>
      </c>
      <c r="AZ170" s="404">
        <f>SUM($R$169:AZ169)</f>
        <v>-1415473.9048824757</v>
      </c>
      <c r="BA170" s="404">
        <f>SUM($R$169:BA169)</f>
        <v>-1415473.9048824757</v>
      </c>
      <c r="BB170" s="404">
        <f>SUM($R$169:BB169)</f>
        <v>-1415473.9048824757</v>
      </c>
      <c r="BC170" s="404">
        <f>SUM($R$169:BC169)</f>
        <v>-1415473.9048824757</v>
      </c>
      <c r="BD170" s="404">
        <f>SUM($R$169:BD169)</f>
        <v>-1415473.9048824757</v>
      </c>
      <c r="BE170" s="404">
        <f>SUM($R$169:BE169)</f>
        <v>-1415473.9048824757</v>
      </c>
      <c r="BF170" s="404">
        <f>SUM($R$169:BF169)</f>
        <v>-1415473.9048824757</v>
      </c>
      <c r="BG170" s="404">
        <f>SUM($R$169:BG169)</f>
        <v>-1415473.9048824757</v>
      </c>
      <c r="BI170" s="476" t="s">
        <v>153</v>
      </c>
      <c r="BM170" s="1429">
        <f t="shared" ref="BM170:BV170" si="219">INDEX($R$170:$BG$170,MATCH(BM$5,$R$5:$BG$5))</f>
        <v>-5510523.5857204888</v>
      </c>
      <c r="BN170" s="1429">
        <f t="shared" si="219"/>
        <v>-5301717.2203716934</v>
      </c>
      <c r="BO170" s="1429">
        <f t="shared" si="219"/>
        <v>-1415473.9048824757</v>
      </c>
      <c r="BP170" s="1429">
        <f t="shared" si="219"/>
        <v>-1415473.9048824757</v>
      </c>
      <c r="BQ170" s="1429">
        <f t="shared" si="219"/>
        <v>-1415473.9048824757</v>
      </c>
      <c r="BR170" s="1429">
        <f t="shared" si="219"/>
        <v>-1415473.9048824757</v>
      </c>
      <c r="BS170" s="1429">
        <f t="shared" si="219"/>
        <v>-1415473.9048824757</v>
      </c>
      <c r="BT170" s="1429">
        <f t="shared" si="219"/>
        <v>-1415473.9048824757</v>
      </c>
      <c r="BU170" s="1429">
        <f t="shared" si="219"/>
        <v>-1415473.9048824757</v>
      </c>
      <c r="BV170" s="1429">
        <f t="shared" si="219"/>
        <v>-1415473.9048824757</v>
      </c>
    </row>
    <row r="171" spans="2:76" outlineLevel="1">
      <c r="C171" s="398" t="s">
        <v>687</v>
      </c>
      <c r="D171" s="398"/>
      <c r="E171" s="398"/>
      <c r="F171" s="398"/>
      <c r="G171" s="398"/>
      <c r="H171" s="398"/>
      <c r="I171" s="398"/>
      <c r="J171" s="398"/>
      <c r="K171" s="398"/>
      <c r="L171" s="398"/>
      <c r="M171" s="398"/>
      <c r="N171" s="398"/>
      <c r="S171" s="404">
        <f>MIN(-R170,S169)*(R170&lt;0)*(S$5&gt;0)+(S$5&lt;=0)*S170</f>
        <v>-2357438.2092934325</v>
      </c>
      <c r="T171" s="404">
        <f t="shared" ref="T171:BG171" si="220">MIN(-S170,T169)*(S170&lt;0)*(T$5&gt;0)+(T$5&lt;=0)*T170</f>
        <v>-1652561.2460146665</v>
      </c>
      <c r="U171" s="404">
        <f t="shared" si="220"/>
        <v>-1604589.904437386</v>
      </c>
      <c r="V171" s="404">
        <f t="shared" si="220"/>
        <v>52004.655274996578</v>
      </c>
      <c r="W171" s="404">
        <f t="shared" si="220"/>
        <v>52061.11874999998</v>
      </c>
      <c r="X171" s="404">
        <f t="shared" si="220"/>
        <v>52117.446098091212</v>
      </c>
      <c r="Y171" s="404">
        <f t="shared" si="220"/>
        <v>52173.635865209144</v>
      </c>
      <c r="Z171" s="404">
        <f t="shared" si="220"/>
        <v>52229.686588620651</v>
      </c>
      <c r="AA171" s="404">
        <f t="shared" si="220"/>
        <v>52285.596796874961</v>
      </c>
      <c r="AB171" s="404">
        <f t="shared" si="220"/>
        <v>52341.365009757516</v>
      </c>
      <c r="AC171" s="404">
        <f t="shared" si="220"/>
        <v>52396.98973824385</v>
      </c>
      <c r="AD171" s="404">
        <f t="shared" si="220"/>
        <v>52452.469484453162</v>
      </c>
      <c r="AE171" s="404">
        <f t="shared" si="220"/>
        <v>3729052.4912567632</v>
      </c>
      <c r="AF171" s="404">
        <f t="shared" si="220"/>
        <v>0</v>
      </c>
      <c r="AG171" s="404">
        <f t="shared" si="220"/>
        <v>0</v>
      </c>
      <c r="AH171" s="404">
        <f t="shared" si="220"/>
        <v>0</v>
      </c>
      <c r="AI171" s="404">
        <f t="shared" si="220"/>
        <v>0</v>
      </c>
      <c r="AJ171" s="404">
        <f t="shared" si="220"/>
        <v>0</v>
      </c>
      <c r="AK171" s="404">
        <f t="shared" si="220"/>
        <v>0</v>
      </c>
      <c r="AL171" s="404">
        <f t="shared" si="220"/>
        <v>0</v>
      </c>
      <c r="AM171" s="404">
        <f t="shared" si="220"/>
        <v>0</v>
      </c>
      <c r="AN171" s="404">
        <f t="shared" si="220"/>
        <v>0</v>
      </c>
      <c r="AO171" s="404">
        <f t="shared" si="220"/>
        <v>0</v>
      </c>
      <c r="AP171" s="404">
        <f t="shared" si="220"/>
        <v>0</v>
      </c>
      <c r="AQ171" s="404">
        <f t="shared" si="220"/>
        <v>0</v>
      </c>
      <c r="AR171" s="404">
        <f t="shared" si="220"/>
        <v>0</v>
      </c>
      <c r="AS171" s="404">
        <f t="shared" si="220"/>
        <v>0</v>
      </c>
      <c r="AT171" s="404">
        <f t="shared" si="220"/>
        <v>0</v>
      </c>
      <c r="AU171" s="404">
        <f t="shared" si="220"/>
        <v>0</v>
      </c>
      <c r="AV171" s="404">
        <f t="shared" si="220"/>
        <v>0</v>
      </c>
      <c r="AW171" s="404">
        <f t="shared" si="220"/>
        <v>0</v>
      </c>
      <c r="AX171" s="404">
        <f t="shared" si="220"/>
        <v>0</v>
      </c>
      <c r="AY171" s="404">
        <f t="shared" si="220"/>
        <v>0</v>
      </c>
      <c r="AZ171" s="404">
        <f t="shared" si="220"/>
        <v>0</v>
      </c>
      <c r="BA171" s="404">
        <f t="shared" si="220"/>
        <v>0</v>
      </c>
      <c r="BB171" s="404">
        <f t="shared" si="220"/>
        <v>0</v>
      </c>
      <c r="BC171" s="404">
        <f t="shared" si="220"/>
        <v>0</v>
      </c>
      <c r="BD171" s="404">
        <f t="shared" si="220"/>
        <v>0</v>
      </c>
      <c r="BE171" s="404">
        <f t="shared" si="220"/>
        <v>0</v>
      </c>
      <c r="BF171" s="404">
        <f t="shared" si="220"/>
        <v>0</v>
      </c>
      <c r="BG171" s="404">
        <f t="shared" si="220"/>
        <v>0</v>
      </c>
      <c r="BI171" s="476">
        <f>SUM(S171:BG171)</f>
        <v>-1415473.9048824757</v>
      </c>
    </row>
    <row r="174" spans="2:76" s="90" customFormat="1">
      <c r="B174" s="91">
        <f>MAX($B$1:B173)+1</f>
        <v>2</v>
      </c>
      <c r="C174" s="92" t="s">
        <v>690</v>
      </c>
      <c r="D174" s="92"/>
      <c r="E174" s="92"/>
      <c r="F174" s="92"/>
      <c r="G174" s="92"/>
      <c r="H174" s="92"/>
      <c r="I174" s="92"/>
      <c r="J174" s="92"/>
      <c r="K174" s="92"/>
      <c r="L174" s="92"/>
      <c r="M174" s="92"/>
      <c r="N174" s="92"/>
      <c r="O174" s="92"/>
    </row>
    <row r="176" spans="2:76">
      <c r="C176" s="253" t="s">
        <v>691</v>
      </c>
      <c r="D176" s="253"/>
      <c r="E176" s="253"/>
      <c r="F176" s="253"/>
      <c r="G176" s="253"/>
      <c r="H176" s="253"/>
      <c r="I176" s="253"/>
      <c r="J176" s="253"/>
      <c r="K176" s="253"/>
      <c r="L176" s="253"/>
      <c r="M176" s="253"/>
      <c r="N176" s="253"/>
      <c r="O176" s="253"/>
      <c r="P176" s="253"/>
      <c r="Q176" s="253"/>
      <c r="R176" s="254">
        <f>R157-R166</f>
        <v>-126000</v>
      </c>
      <c r="S176" s="254">
        <f t="shared" ref="S176:BG176" si="221">S157-S166</f>
        <v>-2231438.2092934325</v>
      </c>
      <c r="T176" s="254">
        <f t="shared" si="221"/>
        <v>-1652561.2460146665</v>
      </c>
      <c r="U176" s="254">
        <f t="shared" si="221"/>
        <v>-1604589.904437386</v>
      </c>
      <c r="V176" s="254">
        <f t="shared" si="221"/>
        <v>52004.655274996578</v>
      </c>
      <c r="W176" s="254">
        <f t="shared" si="221"/>
        <v>52061.11874999998</v>
      </c>
      <c r="X176" s="254">
        <f t="shared" si="221"/>
        <v>52117.446098091212</v>
      </c>
      <c r="Y176" s="254">
        <f t="shared" si="221"/>
        <v>52173.635865209144</v>
      </c>
      <c r="Z176" s="254">
        <f t="shared" si="221"/>
        <v>52229.686588620651</v>
      </c>
      <c r="AA176" s="254">
        <f t="shared" si="221"/>
        <v>52285.596796874961</v>
      </c>
      <c r="AB176" s="254">
        <f t="shared" si="221"/>
        <v>52341.365009757516</v>
      </c>
      <c r="AC176" s="254">
        <f t="shared" si="221"/>
        <v>52396.98973824385</v>
      </c>
      <c r="AD176" s="254">
        <f t="shared" si="221"/>
        <v>52452.469484453162</v>
      </c>
      <c r="AE176" s="254">
        <f t="shared" si="221"/>
        <v>3729330.7297672238</v>
      </c>
      <c r="AF176" s="254">
        <f t="shared" si="221"/>
        <v>0</v>
      </c>
      <c r="AG176" s="254">
        <f t="shared" si="221"/>
        <v>0</v>
      </c>
      <c r="AH176" s="254">
        <f t="shared" si="221"/>
        <v>0</v>
      </c>
      <c r="AI176" s="254">
        <f t="shared" si="221"/>
        <v>0</v>
      </c>
      <c r="AJ176" s="254">
        <f t="shared" si="221"/>
        <v>0</v>
      </c>
      <c r="AK176" s="254">
        <f t="shared" si="221"/>
        <v>0</v>
      </c>
      <c r="AL176" s="254">
        <f t="shared" si="221"/>
        <v>0</v>
      </c>
      <c r="AM176" s="254">
        <f t="shared" si="221"/>
        <v>0</v>
      </c>
      <c r="AN176" s="254">
        <f t="shared" si="221"/>
        <v>0</v>
      </c>
      <c r="AO176" s="254">
        <f t="shared" si="221"/>
        <v>0</v>
      </c>
      <c r="AP176" s="254">
        <f t="shared" si="221"/>
        <v>0</v>
      </c>
      <c r="AQ176" s="254">
        <f t="shared" si="221"/>
        <v>0</v>
      </c>
      <c r="AR176" s="254">
        <f t="shared" si="221"/>
        <v>0</v>
      </c>
      <c r="AS176" s="254">
        <f t="shared" si="221"/>
        <v>0</v>
      </c>
      <c r="AT176" s="254">
        <f t="shared" si="221"/>
        <v>0</v>
      </c>
      <c r="AU176" s="254">
        <f t="shared" si="221"/>
        <v>0</v>
      </c>
      <c r="AV176" s="254">
        <f t="shared" si="221"/>
        <v>0</v>
      </c>
      <c r="AW176" s="254">
        <f t="shared" si="221"/>
        <v>0</v>
      </c>
      <c r="AX176" s="254">
        <f t="shared" si="221"/>
        <v>0</v>
      </c>
      <c r="AY176" s="254">
        <f t="shared" si="221"/>
        <v>0</v>
      </c>
      <c r="AZ176" s="254">
        <f t="shared" si="221"/>
        <v>0</v>
      </c>
      <c r="BA176" s="254">
        <f t="shared" si="221"/>
        <v>0</v>
      </c>
      <c r="BB176" s="254">
        <f t="shared" si="221"/>
        <v>0</v>
      </c>
      <c r="BC176" s="254">
        <f t="shared" si="221"/>
        <v>0</v>
      </c>
      <c r="BD176" s="254">
        <f t="shared" si="221"/>
        <v>0</v>
      </c>
      <c r="BE176" s="254">
        <f t="shared" si="221"/>
        <v>0</v>
      </c>
      <c r="BF176" s="254">
        <f t="shared" si="221"/>
        <v>0</v>
      </c>
      <c r="BG176" s="254">
        <f t="shared" si="221"/>
        <v>0</v>
      </c>
      <c r="BI176" s="254">
        <f>SUM(R176:BG176)</f>
        <v>-1415195.6663720151</v>
      </c>
    </row>
    <row r="178" spans="3:76">
      <c r="C178" s="391" t="s">
        <v>564</v>
      </c>
      <c r="D178" s="391"/>
      <c r="E178" s="391"/>
      <c r="F178" s="391"/>
      <c r="G178" s="391"/>
      <c r="H178" s="391"/>
      <c r="I178" s="391"/>
      <c r="J178" s="391"/>
      <c r="K178" s="391"/>
      <c r="L178" s="391"/>
      <c r="M178" s="391"/>
      <c r="N178" s="391"/>
      <c r="O178" s="391"/>
      <c r="P178" s="391"/>
      <c r="Q178" s="391"/>
      <c r="R178" s="391"/>
      <c r="S178" s="391"/>
      <c r="T178" s="391"/>
      <c r="U178" s="391"/>
      <c r="V178" s="391"/>
      <c r="W178" s="391"/>
      <c r="X178" s="391"/>
      <c r="Y178" s="391"/>
      <c r="Z178" s="391"/>
      <c r="AA178" s="391"/>
      <c r="AB178" s="391"/>
      <c r="AC178" s="391"/>
      <c r="AD178" s="391"/>
      <c r="AE178" s="391"/>
      <c r="AF178" s="391"/>
      <c r="AG178" s="391"/>
      <c r="AH178" s="391"/>
      <c r="AI178" s="391"/>
      <c r="AJ178" s="391"/>
      <c r="AK178" s="391"/>
      <c r="AL178" s="391"/>
      <c r="AM178" s="391"/>
      <c r="AN178" s="391"/>
      <c r="AO178" s="391"/>
      <c r="AP178" s="391"/>
      <c r="AQ178" s="391"/>
      <c r="AR178" s="391"/>
      <c r="AS178" s="391"/>
      <c r="AT178" s="391"/>
      <c r="AU178" s="391"/>
      <c r="AV178" s="391"/>
      <c r="AW178" s="391"/>
      <c r="AX178" s="391"/>
      <c r="AY178" s="391"/>
      <c r="AZ178" s="391"/>
      <c r="BA178" s="391"/>
      <c r="BB178" s="391"/>
      <c r="BC178" s="391"/>
      <c r="BD178" s="391"/>
      <c r="BE178" s="391"/>
      <c r="BF178" s="391"/>
      <c r="BG178" s="391"/>
      <c r="BI178" s="391"/>
      <c r="BM178" s="391"/>
      <c r="BN178" s="391"/>
      <c r="BO178" s="391"/>
      <c r="BP178" s="391"/>
      <c r="BQ178" s="391"/>
      <c r="BR178" s="391"/>
      <c r="BS178" s="391"/>
      <c r="BT178" s="391"/>
      <c r="BU178" s="391"/>
      <c r="BV178" s="391"/>
      <c r="BX178" s="391"/>
    </row>
    <row r="180" spans="3:76">
      <c r="C180" s="253" t="s">
        <v>692</v>
      </c>
      <c r="D180" s="253"/>
      <c r="E180" s="253"/>
      <c r="F180" s="253"/>
      <c r="G180" s="253"/>
      <c r="H180" s="253"/>
      <c r="I180" s="253"/>
      <c r="J180" s="253"/>
      <c r="K180" s="253"/>
      <c r="L180" s="253"/>
      <c r="M180" s="253"/>
      <c r="N180" s="253"/>
      <c r="O180" s="253"/>
      <c r="P180" s="253"/>
      <c r="Q180" s="253"/>
      <c r="R180" s="401"/>
      <c r="S180" s="401"/>
      <c r="T180" s="254">
        <f t="shared" ref="T180:BG180" si="222">S185</f>
        <v>0</v>
      </c>
      <c r="U180" s="254">
        <f t="shared" si="222"/>
        <v>865082.49171294807</v>
      </c>
      <c r="V180" s="254">
        <f t="shared" si="222"/>
        <v>2487500</v>
      </c>
      <c r="W180" s="254">
        <f t="shared" si="222"/>
        <v>2475000</v>
      </c>
      <c r="X180" s="254">
        <f t="shared" si="222"/>
        <v>2462500</v>
      </c>
      <c r="Y180" s="254">
        <f t="shared" si="222"/>
        <v>2450000</v>
      </c>
      <c r="Z180" s="254">
        <f t="shared" si="222"/>
        <v>2437500</v>
      </c>
      <c r="AA180" s="254">
        <f t="shared" si="222"/>
        <v>2425000</v>
      </c>
      <c r="AB180" s="254">
        <f t="shared" si="222"/>
        <v>2412500</v>
      </c>
      <c r="AC180" s="254">
        <f t="shared" si="222"/>
        <v>2400000</v>
      </c>
      <c r="AD180" s="254">
        <f t="shared" si="222"/>
        <v>2387500</v>
      </c>
      <c r="AE180" s="254">
        <f t="shared" si="222"/>
        <v>2375000</v>
      </c>
      <c r="AF180" s="254">
        <f t="shared" si="222"/>
        <v>0</v>
      </c>
      <c r="AG180" s="254">
        <f t="shared" si="222"/>
        <v>0</v>
      </c>
      <c r="AH180" s="254">
        <f t="shared" si="222"/>
        <v>0</v>
      </c>
      <c r="AI180" s="254">
        <f t="shared" si="222"/>
        <v>0</v>
      </c>
      <c r="AJ180" s="254">
        <f t="shared" si="222"/>
        <v>0</v>
      </c>
      <c r="AK180" s="254">
        <f t="shared" si="222"/>
        <v>0</v>
      </c>
      <c r="AL180" s="254">
        <f t="shared" si="222"/>
        <v>0</v>
      </c>
      <c r="AM180" s="254">
        <f t="shared" si="222"/>
        <v>0</v>
      </c>
      <c r="AN180" s="254">
        <f t="shared" si="222"/>
        <v>0</v>
      </c>
      <c r="AO180" s="254">
        <f t="shared" si="222"/>
        <v>0</v>
      </c>
      <c r="AP180" s="254">
        <f t="shared" si="222"/>
        <v>0</v>
      </c>
      <c r="AQ180" s="254">
        <f t="shared" si="222"/>
        <v>0</v>
      </c>
      <c r="AR180" s="254">
        <f t="shared" si="222"/>
        <v>0</v>
      </c>
      <c r="AS180" s="254">
        <f t="shared" si="222"/>
        <v>0</v>
      </c>
      <c r="AT180" s="254">
        <f t="shared" si="222"/>
        <v>0</v>
      </c>
      <c r="AU180" s="254">
        <f t="shared" si="222"/>
        <v>0</v>
      </c>
      <c r="AV180" s="254">
        <f t="shared" si="222"/>
        <v>0</v>
      </c>
      <c r="AW180" s="254">
        <f t="shared" si="222"/>
        <v>0</v>
      </c>
      <c r="AX180" s="254">
        <f t="shared" si="222"/>
        <v>0</v>
      </c>
      <c r="AY180" s="254">
        <f t="shared" si="222"/>
        <v>0</v>
      </c>
      <c r="AZ180" s="254">
        <f t="shared" si="222"/>
        <v>0</v>
      </c>
      <c r="BA180" s="254">
        <f t="shared" si="222"/>
        <v>0</v>
      </c>
      <c r="BB180" s="254">
        <f t="shared" si="222"/>
        <v>0</v>
      </c>
      <c r="BC180" s="254">
        <f t="shared" si="222"/>
        <v>0</v>
      </c>
      <c r="BD180" s="254">
        <f t="shared" si="222"/>
        <v>0</v>
      </c>
      <c r="BE180" s="254">
        <f t="shared" si="222"/>
        <v>0</v>
      </c>
      <c r="BF180" s="254">
        <f t="shared" si="222"/>
        <v>0</v>
      </c>
      <c r="BG180" s="254">
        <f t="shared" si="222"/>
        <v>0</v>
      </c>
      <c r="BI180" s="254" t="s">
        <v>153</v>
      </c>
      <c r="BM180" s="254">
        <f t="shared" ref="BM180:BV180" si="223">INDEX($T180:$BG180,MATCH(BM$5-3,$T$5:$BG$5,0))</f>
        <v>0</v>
      </c>
      <c r="BN180" s="254">
        <f t="shared" si="223"/>
        <v>2462500</v>
      </c>
      <c r="BO180" s="254">
        <f t="shared" si="223"/>
        <v>2412500</v>
      </c>
      <c r="BP180" s="254">
        <f t="shared" si="223"/>
        <v>0</v>
      </c>
      <c r="BQ180" s="254">
        <f t="shared" si="223"/>
        <v>0</v>
      </c>
      <c r="BR180" s="254">
        <f t="shared" si="223"/>
        <v>0</v>
      </c>
      <c r="BS180" s="254">
        <f t="shared" si="223"/>
        <v>0</v>
      </c>
      <c r="BT180" s="254">
        <f t="shared" si="223"/>
        <v>0</v>
      </c>
      <c r="BU180" s="254">
        <f t="shared" si="223"/>
        <v>0</v>
      </c>
      <c r="BV180" s="254">
        <f t="shared" si="223"/>
        <v>0</v>
      </c>
      <c r="BX180" s="254" t="s">
        <v>153</v>
      </c>
    </row>
    <row r="181" spans="3:76">
      <c r="C181" t="s">
        <v>693</v>
      </c>
      <c r="R181" s="392"/>
      <c r="S181" s="310">
        <f t="shared" ref="S181:BG181" si="224">+S83</f>
        <v>0</v>
      </c>
      <c r="T181" s="310">
        <f t="shared" si="224"/>
        <v>865082.49171294807</v>
      </c>
      <c r="U181" s="310">
        <f t="shared" si="224"/>
        <v>1634917.5082870517</v>
      </c>
      <c r="V181" s="310">
        <f t="shared" si="224"/>
        <v>0</v>
      </c>
      <c r="W181" s="310">
        <f t="shared" si="224"/>
        <v>0</v>
      </c>
      <c r="X181" s="310">
        <f t="shared" si="224"/>
        <v>0</v>
      </c>
      <c r="Y181" s="310">
        <f t="shared" si="224"/>
        <v>0</v>
      </c>
      <c r="Z181" s="310">
        <f t="shared" si="224"/>
        <v>0</v>
      </c>
      <c r="AA181" s="310">
        <f t="shared" si="224"/>
        <v>0</v>
      </c>
      <c r="AB181" s="310">
        <f t="shared" si="224"/>
        <v>0</v>
      </c>
      <c r="AC181" s="310">
        <f t="shared" si="224"/>
        <v>0</v>
      </c>
      <c r="AD181" s="310">
        <f t="shared" si="224"/>
        <v>0</v>
      </c>
      <c r="AE181" s="310">
        <f t="shared" si="224"/>
        <v>0</v>
      </c>
      <c r="AF181" s="310">
        <f t="shared" si="224"/>
        <v>0</v>
      </c>
      <c r="AG181" s="310">
        <f t="shared" si="224"/>
        <v>0</v>
      </c>
      <c r="AH181" s="310">
        <f t="shared" si="224"/>
        <v>0</v>
      </c>
      <c r="AI181" s="310">
        <f t="shared" si="224"/>
        <v>0</v>
      </c>
      <c r="AJ181" s="310">
        <f t="shared" si="224"/>
        <v>0</v>
      </c>
      <c r="AK181" s="310">
        <f t="shared" si="224"/>
        <v>0</v>
      </c>
      <c r="AL181" s="310">
        <f t="shared" si="224"/>
        <v>0</v>
      </c>
      <c r="AM181" s="310">
        <f t="shared" si="224"/>
        <v>0</v>
      </c>
      <c r="AN181" s="310">
        <f t="shared" si="224"/>
        <v>0</v>
      </c>
      <c r="AO181" s="310">
        <f t="shared" si="224"/>
        <v>0</v>
      </c>
      <c r="AP181" s="310">
        <f t="shared" si="224"/>
        <v>0</v>
      </c>
      <c r="AQ181" s="310">
        <f t="shared" si="224"/>
        <v>0</v>
      </c>
      <c r="AR181" s="310">
        <f t="shared" si="224"/>
        <v>0</v>
      </c>
      <c r="AS181" s="310">
        <f t="shared" si="224"/>
        <v>0</v>
      </c>
      <c r="AT181" s="310">
        <f t="shared" si="224"/>
        <v>0</v>
      </c>
      <c r="AU181" s="310">
        <f t="shared" si="224"/>
        <v>0</v>
      </c>
      <c r="AV181" s="310">
        <f t="shared" si="224"/>
        <v>0</v>
      </c>
      <c r="AW181" s="310">
        <f t="shared" si="224"/>
        <v>0</v>
      </c>
      <c r="AX181" s="310">
        <f t="shared" si="224"/>
        <v>0</v>
      </c>
      <c r="AY181" s="310">
        <f t="shared" si="224"/>
        <v>0</v>
      </c>
      <c r="AZ181" s="310">
        <f t="shared" si="224"/>
        <v>0</v>
      </c>
      <c r="BA181" s="310">
        <f t="shared" si="224"/>
        <v>0</v>
      </c>
      <c r="BB181" s="310">
        <f t="shared" si="224"/>
        <v>0</v>
      </c>
      <c r="BC181" s="310">
        <f t="shared" si="224"/>
        <v>0</v>
      </c>
      <c r="BD181" s="310">
        <f t="shared" si="224"/>
        <v>0</v>
      </c>
      <c r="BE181" s="310">
        <f t="shared" si="224"/>
        <v>0</v>
      </c>
      <c r="BF181" s="310">
        <f t="shared" si="224"/>
        <v>0</v>
      </c>
      <c r="BG181" s="310">
        <f t="shared" si="224"/>
        <v>0</v>
      </c>
      <c r="BI181" s="1068">
        <f>SUM(S181:BG181)</f>
        <v>2500000</v>
      </c>
      <c r="BM181" s="310">
        <f t="shared" ref="BM181:BV181" ca="1" si="225">SUMIF($S$8:$BG$8,BM$6,$T181:$BG181)</f>
        <v>1634917.5082870517</v>
      </c>
      <c r="BN181" s="310">
        <f t="shared" ca="1" si="225"/>
        <v>0</v>
      </c>
      <c r="BO181" s="310">
        <f t="shared" ca="1" si="225"/>
        <v>0</v>
      </c>
      <c r="BP181" s="310">
        <f t="shared" ca="1" si="225"/>
        <v>0</v>
      </c>
      <c r="BQ181" s="310">
        <f t="shared" ca="1" si="225"/>
        <v>0</v>
      </c>
      <c r="BR181" s="310">
        <f t="shared" ca="1" si="225"/>
        <v>0</v>
      </c>
      <c r="BS181" s="310">
        <f t="shared" ca="1" si="225"/>
        <v>0</v>
      </c>
      <c r="BT181" s="310">
        <f t="shared" ca="1" si="225"/>
        <v>0</v>
      </c>
      <c r="BU181" s="310">
        <f t="shared" ca="1" si="225"/>
        <v>0</v>
      </c>
      <c r="BV181" s="310">
        <f t="shared" ca="1" si="225"/>
        <v>0</v>
      </c>
      <c r="BX181" s="476">
        <f ca="1">SUM(BM181:BW181)</f>
        <v>1634917.5082870517</v>
      </c>
    </row>
    <row r="182" spans="3:76">
      <c r="C182" t="s">
        <v>703</v>
      </c>
      <c r="R182" s="392"/>
      <c r="S182" s="402"/>
      <c r="T182" s="373">
        <f>SUM($S$181:$BG$181)*-INDEX(GA!$Q$526:$Q$565,MATCH(T$5,GA!$E$526:$E$565,0))/4*(T180&gt;0)</f>
        <v>0</v>
      </c>
      <c r="U182" s="373">
        <f>SUM($S$181:$BG$181)*-INDEX(GA!$Q$526:$Q$565,MATCH(U$5,GA!$E$526:$E$565,0))/4*(U180&gt;0)</f>
        <v>-12500</v>
      </c>
      <c r="V182" s="373">
        <f>SUM($S$181:$BG$181)*-INDEX(GA!$Q$526:$Q$565,MATCH(V$5,GA!$E$526:$E$565,0))/4*(V180&gt;0)</f>
        <v>-12500</v>
      </c>
      <c r="W182" s="373">
        <f>SUM($S$181:$BG$181)*-INDEX(GA!$Q$526:$Q$565,MATCH(W$5,GA!$E$526:$E$565,0))/4*(W180&gt;0)</f>
        <v>-12500</v>
      </c>
      <c r="X182" s="373">
        <f>SUM($S$181:$BG$181)*-INDEX(GA!$Q$526:$Q$565,MATCH(X$5,GA!$E$526:$E$565,0))/4*(X180&gt;0)</f>
        <v>-12500</v>
      </c>
      <c r="Y182" s="373">
        <f>SUM($S$181:$BG$181)*-INDEX(GA!$Q$526:$Q$565,MATCH(Y$5,GA!$E$526:$E$565,0))/4*(Y180&gt;0)</f>
        <v>-12500</v>
      </c>
      <c r="Z182" s="373">
        <f>SUM($S$181:$BG$181)*-INDEX(GA!$Q$526:$Q$565,MATCH(Z$5,GA!$E$526:$E$565,0))/4*(Z180&gt;0)</f>
        <v>-12500</v>
      </c>
      <c r="AA182" s="373">
        <f>SUM($S$181:$BG$181)*-INDEX(GA!$Q$526:$Q$565,MATCH(AA$5,GA!$E$526:$E$565,0))/4*(AA180&gt;0)</f>
        <v>-12500</v>
      </c>
      <c r="AB182" s="373">
        <f>SUM($S$181:$BG$181)*-INDEX(GA!$Q$526:$Q$565,MATCH(AB$5,GA!$E$526:$E$565,0))/4*(AB180&gt;0)</f>
        <v>-12500</v>
      </c>
      <c r="AC182" s="373">
        <f>SUM($S$181:$BG$181)*-INDEX(GA!$Q$526:$Q$565,MATCH(AC$5,GA!$E$526:$E$565,0))/4*(AC180&gt;0)</f>
        <v>-12500</v>
      </c>
      <c r="AD182" s="373">
        <f>SUM($S$181:$BG$181)*-INDEX(GA!$Q$526:$Q$565,MATCH(AD$5,GA!$E$526:$E$565,0))/4*(AD180&gt;0)</f>
        <v>-12500</v>
      </c>
      <c r="AE182" s="373">
        <f>SUM($S$181:$BG$181)*-INDEX(GA!$Q$526:$Q$565,MATCH(AE$5,GA!$E$526:$E$565,0))/4*(AE180&gt;0)</f>
        <v>-12500</v>
      </c>
      <c r="AF182" s="373">
        <f>SUM($S$181:$BG$181)*-INDEX(GA!$Q$526:$Q$565,MATCH(AF$5,GA!$E$526:$E$565,0))/4*(AF180&gt;0)</f>
        <v>0</v>
      </c>
      <c r="AG182" s="373" t="s">
        <v>1722</v>
      </c>
      <c r="AH182" s="373" t="s">
        <v>1723</v>
      </c>
      <c r="AI182" s="373" t="s">
        <v>1724</v>
      </c>
      <c r="AJ182" s="373" t="s">
        <v>1725</v>
      </c>
      <c r="AK182" s="373" t="s">
        <v>1726</v>
      </c>
      <c r="AL182" s="373" t="s">
        <v>1727</v>
      </c>
      <c r="AM182" s="373" t="s">
        <v>1728</v>
      </c>
      <c r="AN182" s="373" t="s">
        <v>1729</v>
      </c>
      <c r="AO182" s="373" t="s">
        <v>1730</v>
      </c>
      <c r="AP182" s="373" t="s">
        <v>1731</v>
      </c>
      <c r="AQ182" s="373" t="s">
        <v>1732</v>
      </c>
      <c r="AR182" s="373" t="s">
        <v>1733</v>
      </c>
      <c r="AS182" s="373" t="s">
        <v>1734</v>
      </c>
      <c r="AT182" s="373" t="s">
        <v>1735</v>
      </c>
      <c r="AU182" s="373" t="s">
        <v>1736</v>
      </c>
      <c r="AV182" s="373" t="s">
        <v>1737</v>
      </c>
      <c r="AW182" s="373" t="s">
        <v>1738</v>
      </c>
      <c r="AX182" s="373" t="s">
        <v>1739</v>
      </c>
      <c r="AY182" s="373" t="s">
        <v>1740</v>
      </c>
      <c r="AZ182" s="373" t="s">
        <v>1741</v>
      </c>
      <c r="BA182" s="373" t="s">
        <v>1742</v>
      </c>
      <c r="BB182" s="373" t="s">
        <v>1743</v>
      </c>
      <c r="BC182" s="373" t="s">
        <v>1744</v>
      </c>
      <c r="BD182" s="373" t="s">
        <v>1745</v>
      </c>
      <c r="BE182" s="373" t="s">
        <v>1746</v>
      </c>
      <c r="BF182" s="373" t="s">
        <v>1747</v>
      </c>
      <c r="BG182" s="373" t="s">
        <v>1748</v>
      </c>
      <c r="BI182" s="476">
        <f>SUM(T182:BG182)</f>
        <v>-137500</v>
      </c>
      <c r="BM182" s="310">
        <f t="shared" ref="BM182:BV184" si="226">SUMIF($T$8:$BG$8,BM$6,$T182:$BG182)</f>
        <v>-37500</v>
      </c>
      <c r="BN182" s="310">
        <f t="shared" si="226"/>
        <v>-50000</v>
      </c>
      <c r="BO182" s="310">
        <f t="shared" si="226"/>
        <v>-50000</v>
      </c>
      <c r="BP182" s="310">
        <f t="shared" si="226"/>
        <v>0</v>
      </c>
      <c r="BQ182" s="310">
        <f t="shared" si="226"/>
        <v>0</v>
      </c>
      <c r="BR182" s="310">
        <f t="shared" si="226"/>
        <v>0</v>
      </c>
      <c r="BS182" s="310">
        <f t="shared" si="226"/>
        <v>0</v>
      </c>
      <c r="BT182" s="310">
        <f t="shared" si="226"/>
        <v>0</v>
      </c>
      <c r="BU182" s="310">
        <f t="shared" si="226"/>
        <v>0</v>
      </c>
      <c r="BV182" s="310">
        <f t="shared" si="226"/>
        <v>0</v>
      </c>
      <c r="BX182" s="476">
        <f>SUM(BM182:BW182)</f>
        <v>-137500</v>
      </c>
    </row>
    <row r="183" spans="3:76">
      <c r="C183" t="s">
        <v>704</v>
      </c>
      <c r="R183" s="392"/>
      <c r="S183" s="402"/>
      <c r="T183" s="403">
        <f>-MIN(SUM(T$180:T$182),T$150,TDCF!T$809)</f>
        <v>0</v>
      </c>
      <c r="U183" s="403">
        <f>-MIN(SUM(U$180:U$182),U$150,TDCF!U$809)</f>
        <v>0</v>
      </c>
      <c r="V183" s="403">
        <f>-MIN(SUM(V$180:V$182),V$150,TDCF!V$809)</f>
        <v>0</v>
      </c>
      <c r="W183" s="403">
        <f>-MIN(SUM(W$180:W$182),W$150,TDCF!W$809)</f>
        <v>0</v>
      </c>
      <c r="X183" s="403">
        <f>-MIN(SUM(X$180:X$182),X$150,TDCF!X$809)</f>
        <v>0</v>
      </c>
      <c r="Y183" s="403">
        <f>-MIN(SUM(Y$180:Y$182),Y$150,TDCF!Y$809)</f>
        <v>0</v>
      </c>
      <c r="Z183" s="403">
        <f>-MIN(SUM(Z$180:Z$182),Z$150,TDCF!Z$809)</f>
        <v>0</v>
      </c>
      <c r="AA183" s="403">
        <f>-MIN(SUM(AA$180:AA$182),AA$150,TDCF!AA$809)</f>
        <v>0</v>
      </c>
      <c r="AB183" s="403">
        <f>-MIN(SUM(AB$180:AB$182),AB$150,TDCF!AB$809)</f>
        <v>0</v>
      </c>
      <c r="AC183" s="403">
        <f>-MIN(SUM(AC$180:AC$182),AC$150,TDCF!AC$809)</f>
        <v>0</v>
      </c>
      <c r="AD183" s="403">
        <f>-MIN(SUM(AD$180:AD$182),AD$150,TDCF!AD$809)</f>
        <v>0</v>
      </c>
      <c r="AE183" s="403">
        <f>-MIN(SUM(AE$180:AE$182),AE$150,TDCF!AE$809)</f>
        <v>-2362500</v>
      </c>
      <c r="AF183" s="403">
        <f>-MIN(SUM(AF$180:AF$182),AF$150,TDCF!AF$809)</f>
        <v>0</v>
      </c>
      <c r="AG183" s="403">
        <f>-MIN(SUM(AG$180:AG$182),AG$150,TDCF!AG$809)</f>
        <v>0</v>
      </c>
      <c r="AH183" s="403">
        <f>-MIN(SUM(AH$180:AH$182),AH$150,TDCF!AH$809)</f>
        <v>0</v>
      </c>
      <c r="AI183" s="403">
        <f>-MIN(SUM(AI$180:AI$182),AI$150,TDCF!AI$809)</f>
        <v>0</v>
      </c>
      <c r="AJ183" s="403">
        <f>-MIN(SUM(AJ$180:AJ$182),AJ$150,TDCF!AJ$809)</f>
        <v>0</v>
      </c>
      <c r="AK183" s="403">
        <f>-MIN(SUM(AK$180:AK$182),AK$150,TDCF!AK$809)</f>
        <v>0</v>
      </c>
      <c r="AL183" s="403">
        <f>-MIN(SUM(AL$180:AL$182),AL$150,TDCF!AL$809)</f>
        <v>0</v>
      </c>
      <c r="AM183" s="403">
        <f>-MIN(SUM(AM$180:AM$182),AM$150,TDCF!AM$809)</f>
        <v>0</v>
      </c>
      <c r="AN183" s="403">
        <f>-MIN(SUM(AN$180:AN$182),AN$150,TDCF!AN$809)</f>
        <v>0</v>
      </c>
      <c r="AO183" s="403">
        <f>-MIN(SUM(AO$180:AO$182),AO$150,TDCF!AO$809)</f>
        <v>0</v>
      </c>
      <c r="AP183" s="403">
        <f>-MIN(SUM(AP$180:AP$182),AP$150,TDCF!AP$809)</f>
        <v>0</v>
      </c>
      <c r="AQ183" s="403">
        <f>-MIN(SUM(AQ$180:AQ$182),AQ$150,TDCF!AQ$809)</f>
        <v>0</v>
      </c>
      <c r="AR183" s="403">
        <f>-MIN(SUM(AR$180:AR$182),AR$150,TDCF!AR$809)</f>
        <v>0</v>
      </c>
      <c r="AS183" s="403">
        <f>-MIN(SUM(AS$180:AS$182),AS$150,TDCF!AS$809)</f>
        <v>0</v>
      </c>
      <c r="AT183" s="403">
        <f>-MIN(SUM(AT$180:AT$182),AT$150,TDCF!AT$809)</f>
        <v>0</v>
      </c>
      <c r="AU183" s="403">
        <f>-MIN(SUM(AU$180:AU$182),AU$150,TDCF!AU$809)</f>
        <v>0</v>
      </c>
      <c r="AV183" s="403">
        <f>-MIN(SUM(AV$180:AV$182),AV$150,TDCF!AV$809)</f>
        <v>0</v>
      </c>
      <c r="AW183" s="403">
        <f>-MIN(SUM(AW$180:AW$182),AW$150,TDCF!AW$809)</f>
        <v>0</v>
      </c>
      <c r="AX183" s="403">
        <f>-MIN(SUM(AX$180:AX$182),AX$150,TDCF!AX$809)</f>
        <v>0</v>
      </c>
      <c r="AY183" s="403">
        <f>-MIN(SUM(AY$180:AY$182),AY$150,TDCF!AY$809)</f>
        <v>0</v>
      </c>
      <c r="AZ183" s="403">
        <f>-MIN(SUM(AZ$180:AZ$182),AZ$150,TDCF!AZ$809)</f>
        <v>0</v>
      </c>
      <c r="BA183" s="403">
        <f>-MIN(SUM(BA$180:BA$182),BA$150,TDCF!BA$809)</f>
        <v>0</v>
      </c>
      <c r="BB183" s="403">
        <f>-MIN(SUM(BB$180:BB$182),BB$150,TDCF!BB$809)</f>
        <v>0</v>
      </c>
      <c r="BC183" s="403">
        <f>-MIN(SUM(BC$180:BC$182),BC$150,TDCF!BC$809)</f>
        <v>0</v>
      </c>
      <c r="BD183" s="403">
        <f>-MIN(SUM(BD$180:BD$182),BD$150,TDCF!BD$809)</f>
        <v>0</v>
      </c>
      <c r="BE183" s="403">
        <f>-MIN(SUM(BE$180:BE$182),BE$150,TDCF!BE$809)</f>
        <v>0</v>
      </c>
      <c r="BF183" s="403">
        <f>-MIN(SUM(BF$180:BF$182),BF$150,TDCF!BF$809)</f>
        <v>0</v>
      </c>
      <c r="BG183" s="403">
        <f>-MIN(SUM(BG$180:BG$182),BG$150,TDCF!BG$809)</f>
        <v>0</v>
      </c>
      <c r="BI183" s="476">
        <f>SUM(T183:BG183)</f>
        <v>-2362500</v>
      </c>
      <c r="BM183" s="310">
        <f t="shared" si="226"/>
        <v>0</v>
      </c>
      <c r="BN183" s="310">
        <f t="shared" si="226"/>
        <v>0</v>
      </c>
      <c r="BO183" s="310">
        <f t="shared" si="226"/>
        <v>-2362500</v>
      </c>
      <c r="BP183" s="310">
        <f t="shared" si="226"/>
        <v>0</v>
      </c>
      <c r="BQ183" s="310">
        <f t="shared" si="226"/>
        <v>0</v>
      </c>
      <c r="BR183" s="310">
        <f t="shared" si="226"/>
        <v>0</v>
      </c>
      <c r="BS183" s="310">
        <f t="shared" si="226"/>
        <v>0</v>
      </c>
      <c r="BT183" s="310">
        <f t="shared" si="226"/>
        <v>0</v>
      </c>
      <c r="BU183" s="310">
        <f t="shared" si="226"/>
        <v>0</v>
      </c>
      <c r="BV183" s="310">
        <f t="shared" si="226"/>
        <v>0</v>
      </c>
      <c r="BX183" s="476">
        <f>SUM(BM183:BW183)</f>
        <v>-2362500</v>
      </c>
    </row>
    <row r="184" spans="3:76">
      <c r="C184" t="s">
        <v>705</v>
      </c>
      <c r="R184" s="392"/>
      <c r="S184" s="402"/>
      <c r="T184" s="403">
        <f>IF(T$5=GA!$G$518,-SUM(T180:T183),0)</f>
        <v>0</v>
      </c>
      <c r="U184" s="403">
        <f>IF(U$5=GA!$G$518,-SUM(U180:U183),0)</f>
        <v>0</v>
      </c>
      <c r="V184" s="403">
        <f>IF(V$5=GA!$G$518,-SUM(V180:V183),0)</f>
        <v>0</v>
      </c>
      <c r="W184" s="403">
        <f>IF(W$5=GA!$G$518,-SUM(W180:W183),0)</f>
        <v>0</v>
      </c>
      <c r="X184" s="403">
        <f>IF(X$5=GA!$G$518,-SUM(X180:X183),0)</f>
        <v>0</v>
      </c>
      <c r="Y184" s="403">
        <f>IF(Y$5=GA!$G$518,-SUM(Y180:Y183),0)</f>
        <v>0</v>
      </c>
      <c r="Z184" s="403">
        <f>IF(Z$5=GA!$G$518,-SUM(Z180:Z183),0)</f>
        <v>0</v>
      </c>
      <c r="AA184" s="403">
        <f>IF(AA$5=GA!$G$518,-SUM(AA180:AA183),0)</f>
        <v>0</v>
      </c>
      <c r="AB184" s="403">
        <f>IF(AB$5=GA!$G$518,-SUM(AB180:AB183),0)</f>
        <v>0</v>
      </c>
      <c r="AC184" s="403">
        <f>IF(AC$5=GA!$G$518,-SUM(AC180:AC183),0)</f>
        <v>0</v>
      </c>
      <c r="AD184" s="403">
        <f>IF(AD$5=GA!$G$518,-SUM(AD180:AD183),0)</f>
        <v>0</v>
      </c>
      <c r="AE184" s="403">
        <f>IF(AE$5=GA!$G$518,-SUM(AE180:AE183),0)</f>
        <v>0</v>
      </c>
      <c r="AF184" s="403">
        <f>IF(AF$5=GA!$G$518,-SUM(AF180:AF183),0)</f>
        <v>0</v>
      </c>
      <c r="AG184" s="403">
        <f>IF(AG$5=GA!$G$518,-SUM(AG180:AG183),0)</f>
        <v>0</v>
      </c>
      <c r="AH184" s="403">
        <f>IF(AH$5=GA!$G$518,-SUM(AH180:AH183),0)</f>
        <v>0</v>
      </c>
      <c r="AI184" s="403">
        <f>IF(AI$5=GA!$G$518,-SUM(AI180:AI183),0)</f>
        <v>0</v>
      </c>
      <c r="AJ184" s="403">
        <f>IF(AJ$5=GA!$G$518,-SUM(AJ180:AJ183),0)</f>
        <v>0</v>
      </c>
      <c r="AK184" s="403">
        <f>IF(AK$5=GA!$G$518,-SUM(AK180:AK183),0)</f>
        <v>0</v>
      </c>
      <c r="AL184" s="403">
        <f>IF(AL$5=GA!$G$518,-SUM(AL180:AL183),0)</f>
        <v>0</v>
      </c>
      <c r="AM184" s="403">
        <f>IF(AM$5=GA!$G$518,-SUM(AM180:AM183),0)</f>
        <v>0</v>
      </c>
      <c r="AN184" s="403">
        <f>IF(AN$5=GA!$G$518,-SUM(AN180:AN183),0)</f>
        <v>0</v>
      </c>
      <c r="AO184" s="403">
        <f>IF(AO$5=GA!$G$518,-SUM(AO180:AO183),0)</f>
        <v>0</v>
      </c>
      <c r="AP184" s="403">
        <f>IF(AP$5=GA!$G$518,-SUM(AP180:AP183),0)</f>
        <v>0</v>
      </c>
      <c r="AQ184" s="403">
        <f>IF(AQ$5=GA!$G$518,-SUM(AQ180:AQ183),0)</f>
        <v>0</v>
      </c>
      <c r="AR184" s="403">
        <f>IF(AR$5=GA!$G$518,-SUM(AR180:AR183),0)</f>
        <v>0</v>
      </c>
      <c r="AS184" s="403">
        <f>IF(AS$5=GA!$G$518,-SUM(AS180:AS183),0)</f>
        <v>0</v>
      </c>
      <c r="AT184" s="403">
        <f>IF(AT$5=GA!$G$518,-SUM(AT180:AT183),0)</f>
        <v>0</v>
      </c>
      <c r="AU184" s="403">
        <f>IF(AU$5=GA!$G$518,-SUM(AU180:AU183),0)</f>
        <v>0</v>
      </c>
      <c r="AV184" s="403">
        <f>IF(AV$5=GA!$G$518,-SUM(AV180:AV183),0)</f>
        <v>0</v>
      </c>
      <c r="AW184" s="403">
        <f>IF(AW$5=GA!$G$518,-SUM(AW180:AW183),0)</f>
        <v>0</v>
      </c>
      <c r="AX184" s="403">
        <f>IF(AX$5=GA!$G$518,-SUM(AX180:AX183),0)</f>
        <v>0</v>
      </c>
      <c r="AY184" s="403">
        <f>IF(AY$5=GA!$G$518,-SUM(AY180:AY183),0)</f>
        <v>0</v>
      </c>
      <c r="AZ184" s="403">
        <f>IF(AZ$5=GA!$G$518,-SUM(AZ180:AZ183),0)</f>
        <v>0</v>
      </c>
      <c r="BA184" s="403">
        <f>IF(BA$5=GA!$G$518,-SUM(BA180:BA183),0)</f>
        <v>0</v>
      </c>
      <c r="BB184" s="403">
        <f>IF(BB$5=GA!$G$518,-SUM(BB180:BB183),0)</f>
        <v>0</v>
      </c>
      <c r="BC184" s="403">
        <f>IF(BC$5=GA!$G$518,-SUM(BC180:BC183),0)</f>
        <v>0</v>
      </c>
      <c r="BD184" s="403">
        <f>IF(BD$5=GA!$G$518,-SUM(BD180:BD183),0)</f>
        <v>0</v>
      </c>
      <c r="BE184" s="403">
        <f>IF(BE$5=GA!$G$518,-SUM(BE180:BE183),0)</f>
        <v>0</v>
      </c>
      <c r="BF184" s="403">
        <f>IF(BF$5=GA!$G$518,-SUM(BF180:BF183),0)</f>
        <v>0</v>
      </c>
      <c r="BG184" s="403">
        <f>IF(BG$5=GA!$G$518,-SUM(BG180:BG183),0)</f>
        <v>0</v>
      </c>
      <c r="BI184" s="476">
        <f>SUM(T184:BG184)</f>
        <v>0</v>
      </c>
      <c r="BM184" s="310">
        <f t="shared" si="226"/>
        <v>0</v>
      </c>
      <c r="BN184" s="310">
        <f t="shared" si="226"/>
        <v>0</v>
      </c>
      <c r="BO184" s="310">
        <f t="shared" si="226"/>
        <v>0</v>
      </c>
      <c r="BP184" s="310">
        <f t="shared" si="226"/>
        <v>0</v>
      </c>
      <c r="BQ184" s="310">
        <f t="shared" si="226"/>
        <v>0</v>
      </c>
      <c r="BR184" s="310">
        <f t="shared" si="226"/>
        <v>0</v>
      </c>
      <c r="BS184" s="310">
        <f t="shared" si="226"/>
        <v>0</v>
      </c>
      <c r="BT184" s="310">
        <f t="shared" si="226"/>
        <v>0</v>
      </c>
      <c r="BU184" s="310">
        <f t="shared" si="226"/>
        <v>0</v>
      </c>
      <c r="BV184" s="310">
        <f t="shared" si="226"/>
        <v>0</v>
      </c>
      <c r="BX184" s="476">
        <f>SUM(BM184:BW184)</f>
        <v>0</v>
      </c>
    </row>
    <row r="185" spans="3:76">
      <c r="C185" s="268" t="s">
        <v>706</v>
      </c>
      <c r="D185" s="268"/>
      <c r="E185" s="268"/>
      <c r="F185" s="268"/>
      <c r="G185" s="268"/>
      <c r="H185" s="268"/>
      <c r="I185" s="268"/>
      <c r="J185" s="268"/>
      <c r="K185" s="268"/>
      <c r="L185" s="268"/>
      <c r="M185" s="268"/>
      <c r="N185" s="268"/>
      <c r="O185" s="268"/>
      <c r="P185" s="268"/>
      <c r="Q185" s="268"/>
      <c r="R185" s="153"/>
      <c r="S185" s="254">
        <f t="shared" ref="S185:BG185" si="227">SUM(S180:S184)</f>
        <v>0</v>
      </c>
      <c r="T185" s="254">
        <f t="shared" si="227"/>
        <v>865082.49171294807</v>
      </c>
      <c r="U185" s="254">
        <f t="shared" si="227"/>
        <v>2487500</v>
      </c>
      <c r="V185" s="254">
        <f t="shared" si="227"/>
        <v>2475000</v>
      </c>
      <c r="W185" s="254">
        <f t="shared" si="227"/>
        <v>2462500</v>
      </c>
      <c r="X185" s="254">
        <f t="shared" si="227"/>
        <v>2450000</v>
      </c>
      <c r="Y185" s="254">
        <f t="shared" si="227"/>
        <v>2437500</v>
      </c>
      <c r="Z185" s="254">
        <f t="shared" si="227"/>
        <v>2425000</v>
      </c>
      <c r="AA185" s="254">
        <f t="shared" si="227"/>
        <v>2412500</v>
      </c>
      <c r="AB185" s="254">
        <f t="shared" si="227"/>
        <v>2400000</v>
      </c>
      <c r="AC185" s="254">
        <f t="shared" si="227"/>
        <v>2387500</v>
      </c>
      <c r="AD185" s="254">
        <f t="shared" si="227"/>
        <v>2375000</v>
      </c>
      <c r="AE185" s="254">
        <f t="shared" si="227"/>
        <v>0</v>
      </c>
      <c r="AF185" s="254">
        <f t="shared" si="227"/>
        <v>0</v>
      </c>
      <c r="AG185" s="254">
        <f t="shared" si="227"/>
        <v>0</v>
      </c>
      <c r="AH185" s="254">
        <f t="shared" si="227"/>
        <v>0</v>
      </c>
      <c r="AI185" s="254">
        <f t="shared" si="227"/>
        <v>0</v>
      </c>
      <c r="AJ185" s="254">
        <f t="shared" si="227"/>
        <v>0</v>
      </c>
      <c r="AK185" s="254">
        <f t="shared" si="227"/>
        <v>0</v>
      </c>
      <c r="AL185" s="254">
        <f t="shared" si="227"/>
        <v>0</v>
      </c>
      <c r="AM185" s="254">
        <f t="shared" si="227"/>
        <v>0</v>
      </c>
      <c r="AN185" s="254">
        <f t="shared" si="227"/>
        <v>0</v>
      </c>
      <c r="AO185" s="254">
        <f t="shared" si="227"/>
        <v>0</v>
      </c>
      <c r="AP185" s="254">
        <f t="shared" si="227"/>
        <v>0</v>
      </c>
      <c r="AQ185" s="254">
        <f t="shared" si="227"/>
        <v>0</v>
      </c>
      <c r="AR185" s="254">
        <f t="shared" si="227"/>
        <v>0</v>
      </c>
      <c r="AS185" s="254">
        <f t="shared" si="227"/>
        <v>0</v>
      </c>
      <c r="AT185" s="254">
        <f t="shared" si="227"/>
        <v>0</v>
      </c>
      <c r="AU185" s="254">
        <f t="shared" si="227"/>
        <v>0</v>
      </c>
      <c r="AV185" s="254">
        <f t="shared" si="227"/>
        <v>0</v>
      </c>
      <c r="AW185" s="254">
        <f t="shared" si="227"/>
        <v>0</v>
      </c>
      <c r="AX185" s="254">
        <f t="shared" si="227"/>
        <v>0</v>
      </c>
      <c r="AY185" s="254">
        <f t="shared" si="227"/>
        <v>0</v>
      </c>
      <c r="AZ185" s="254">
        <f t="shared" si="227"/>
        <v>0</v>
      </c>
      <c r="BA185" s="254">
        <f t="shared" si="227"/>
        <v>0</v>
      </c>
      <c r="BB185" s="254">
        <f t="shared" si="227"/>
        <v>0</v>
      </c>
      <c r="BC185" s="254">
        <f t="shared" si="227"/>
        <v>0</v>
      </c>
      <c r="BD185" s="254">
        <f t="shared" si="227"/>
        <v>0</v>
      </c>
      <c r="BE185" s="254">
        <f t="shared" si="227"/>
        <v>0</v>
      </c>
      <c r="BF185" s="254">
        <f t="shared" si="227"/>
        <v>0</v>
      </c>
      <c r="BG185" s="254">
        <f t="shared" si="227"/>
        <v>0</v>
      </c>
      <c r="BI185" s="254" t="s">
        <v>153</v>
      </c>
      <c r="BM185" s="254">
        <f t="shared" ref="BM185:BV185" si="228">INDEX($T185:$BG185,MATCH(BM$5,$T$5:$BG$5,0))</f>
        <v>2462500</v>
      </c>
      <c r="BN185" s="254">
        <f t="shared" si="228"/>
        <v>2412500</v>
      </c>
      <c r="BO185" s="254">
        <f t="shared" si="228"/>
        <v>0</v>
      </c>
      <c r="BP185" s="254">
        <f t="shared" si="228"/>
        <v>0</v>
      </c>
      <c r="BQ185" s="254">
        <f t="shared" si="228"/>
        <v>0</v>
      </c>
      <c r="BR185" s="254">
        <f t="shared" si="228"/>
        <v>0</v>
      </c>
      <c r="BS185" s="254">
        <f t="shared" si="228"/>
        <v>0</v>
      </c>
      <c r="BT185" s="254">
        <f t="shared" si="228"/>
        <v>0</v>
      </c>
      <c r="BU185" s="254">
        <f t="shared" si="228"/>
        <v>0</v>
      </c>
      <c r="BV185" s="254">
        <f t="shared" si="228"/>
        <v>0</v>
      </c>
      <c r="BX185" s="254" t="s">
        <v>153</v>
      </c>
    </row>
    <row r="186" spans="3:76">
      <c r="S186" s="310"/>
      <c r="T186" s="310"/>
      <c r="U186" s="310"/>
    </row>
    <row r="187" spans="3:76">
      <c r="C187" s="364" t="s">
        <v>721</v>
      </c>
      <c r="D187" s="364"/>
      <c r="E187" s="364"/>
      <c r="F187" s="364"/>
      <c r="G187" s="364"/>
      <c r="H187" s="364"/>
      <c r="I187" s="364"/>
      <c r="J187" s="364"/>
      <c r="K187" s="364"/>
      <c r="L187" s="364"/>
      <c r="M187" s="364"/>
      <c r="N187" s="364"/>
      <c r="O187" s="17"/>
      <c r="P187" s="17"/>
      <c r="Q187" s="17"/>
      <c r="R187" s="17"/>
      <c r="S187" s="369"/>
      <c r="T187" s="369"/>
      <c r="U187" s="369"/>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M187" s="17"/>
      <c r="BN187" s="17"/>
      <c r="BO187" s="17"/>
      <c r="BP187" s="17"/>
      <c r="BQ187" s="17"/>
      <c r="BR187" s="17"/>
      <c r="BS187" s="17"/>
      <c r="BT187" s="17"/>
      <c r="BU187" s="17"/>
      <c r="BV187" s="17"/>
      <c r="BX187" s="17"/>
    </row>
    <row r="188" spans="3:76">
      <c r="C188" t="s">
        <v>717</v>
      </c>
      <c r="R188" s="392"/>
      <c r="S188" s="392"/>
      <c r="T188" s="318">
        <f>INDEX(GA!$G$526:$G$565,MATCH(T$5,GA!$E$526:$E$565,0))</f>
        <v>0</v>
      </c>
      <c r="U188" s="318">
        <f>INDEX(GA!$G$526:$G$565,MATCH(U$5,GA!$E$526:$E$565,0))</f>
        <v>0</v>
      </c>
      <c r="V188" s="318">
        <f>INDEX(GA!$G$526:$G$565,MATCH(V$5,GA!$E$526:$E$565,0))</f>
        <v>0</v>
      </c>
      <c r="W188" s="318">
        <f>INDEX(GA!$G$526:$G$565,MATCH(W$5,GA!$E$526:$E$565,0))</f>
        <v>0</v>
      </c>
      <c r="X188" s="318">
        <f>INDEX(GA!$G$526:$G$565,MATCH(X$5,GA!$E$526:$E$565,0))</f>
        <v>0</v>
      </c>
      <c r="Y188" s="318">
        <f>INDEX(GA!$G$526:$G$565,MATCH(Y$5,GA!$E$526:$E$565,0))</f>
        <v>0</v>
      </c>
      <c r="Z188" s="318">
        <f>INDEX(GA!$G$526:$G$565,MATCH(Z$5,GA!$E$526:$E$565,0))</f>
        <v>0</v>
      </c>
      <c r="AA188" s="318">
        <f>INDEX(GA!$G$526:$G$565,MATCH(AA$5,GA!$E$526:$E$565,0))</f>
        <v>0</v>
      </c>
      <c r="AB188" s="318">
        <f>INDEX(GA!$G$526:$G$565,MATCH(AB$5,GA!$E$526:$E$565,0))</f>
        <v>0</v>
      </c>
      <c r="AC188" s="318">
        <f>INDEX(GA!$G$526:$G$565,MATCH(AC$5,GA!$E$526:$E$565,0))</f>
        <v>0</v>
      </c>
      <c r="AD188" s="318">
        <f>INDEX(GA!$G$526:$G$565,MATCH(AD$5,GA!$E$526:$E$565,0))</f>
        <v>0</v>
      </c>
      <c r="AE188" s="318">
        <f>INDEX(GA!$G$526:$G$565,MATCH(AE$5,GA!$E$526:$E$565,0))</f>
        <v>0</v>
      </c>
      <c r="AF188" s="318">
        <f>INDEX(GA!$G$526:$G$565,MATCH(AF$5,GA!$E$526:$E$565,0))</f>
        <v>0</v>
      </c>
      <c r="AG188" s="318">
        <f>INDEX(GA!$G$526:$G$565,MATCH(AG$5,GA!$E$526:$E$565,0))</f>
        <v>0</v>
      </c>
      <c r="AH188" s="318">
        <f>INDEX(GA!$G$526:$G$565,MATCH(AH$5,GA!$E$526:$E$565,0))</f>
        <v>0</v>
      </c>
      <c r="AI188" s="318">
        <f>INDEX(GA!$G$526:$G$565,MATCH(AI$5,GA!$E$526:$E$565,0))</f>
        <v>0</v>
      </c>
      <c r="AJ188" s="318">
        <f>INDEX(GA!$G$526:$G$565,MATCH(AJ$5,GA!$E$526:$E$565,0))</f>
        <v>0</v>
      </c>
      <c r="AK188" s="318">
        <f>INDEX(GA!$G$526:$G$565,MATCH(AK$5,GA!$E$526:$E$565,0))</f>
        <v>0</v>
      </c>
      <c r="AL188" s="318">
        <f>INDEX(GA!$G$526:$G$565,MATCH(AL$5,GA!$E$526:$E$565,0))</f>
        <v>0</v>
      </c>
      <c r="AM188" s="318">
        <f>INDEX(GA!$G$526:$G$565,MATCH(AM$5,GA!$E$526:$E$565,0))</f>
        <v>0</v>
      </c>
      <c r="AN188" s="318">
        <f>INDEX(GA!$G$526:$G$565,MATCH(AN$5,GA!$E$526:$E$565,0))</f>
        <v>9.0099999999999995E-5</v>
      </c>
      <c r="AO188" s="318">
        <f>INDEX(GA!$G$526:$G$565,MATCH(AO$5,GA!$E$526:$E$565,0))</f>
        <v>2.588E-4</v>
      </c>
      <c r="AP188" s="318">
        <f>INDEX(GA!$G$526:$G$565,MATCH(AP$5,GA!$E$526:$E$565,0))</f>
        <v>6.1569999999999995E-4</v>
      </c>
      <c r="AQ188" s="318">
        <f>INDEX(GA!$G$526:$G$565,MATCH(AQ$5,GA!$E$526:$E$565,0))</f>
        <v>1.1563999999999999E-3</v>
      </c>
      <c r="AR188" s="318">
        <f>INDEX(GA!$G$526:$G$565,MATCH(AR$5,GA!$E$526:$E$565,0))</f>
        <v>1.8472E-3</v>
      </c>
      <c r="AS188" s="318">
        <f>INDEX(GA!$G$526:$G$565,MATCH(AS$5,GA!$E$526:$E$565,0))</f>
        <v>2.5045000000000002E-3</v>
      </c>
      <c r="AT188" s="318">
        <f>INDEX(GA!$G$526:$G$565,MATCH(AT$5,GA!$E$526:$E$565,0))</f>
        <v>3.0290999999999998E-3</v>
      </c>
      <c r="AU188" s="318">
        <f>INDEX(GA!$G$526:$G$565,MATCH(AU$5,GA!$E$526:$E$565,0))</f>
        <v>3.3866E-3</v>
      </c>
      <c r="AV188" s="318">
        <f>INDEX(GA!$G$526:$G$565,MATCH(AV$5,GA!$E$526:$E$565,0))</f>
        <v>3.6243999999999998E-3</v>
      </c>
      <c r="AW188" s="318">
        <f>INDEX(GA!$G$526:$G$565,MATCH(AW$5,GA!$E$526:$E$565,0))</f>
        <v>3.8327000000000001E-3</v>
      </c>
      <c r="AX188" s="318">
        <f>INDEX(GA!$G$526:$G$565,MATCH(AX$5,GA!$E$526:$E$565,0))</f>
        <v>4.1196000000000002E-3</v>
      </c>
      <c r="AY188" s="318">
        <f>INDEX(GA!$G$526:$G$565,MATCH(AY$5,GA!$E$526:$E$565,0))</f>
        <v>4.5028000000000004E-3</v>
      </c>
      <c r="AZ188" s="318">
        <f>INDEX(GA!$G$526:$G$565,MATCH(AZ$5,GA!$E$526:$E$565,0))</f>
        <v>4.9724000000000001E-3</v>
      </c>
      <c r="BA188" s="318">
        <f>INDEX(GA!$G$526:$G$565,MATCH(BA$5,GA!$E$526:$E$565,0))</f>
        <v>5.4140999999999998E-3</v>
      </c>
      <c r="BB188" s="318">
        <f>INDEX(GA!$G$526:$G$565,MATCH(BB$5,GA!$E$526:$E$565,0))</f>
        <v>5.8034000000000002E-3</v>
      </c>
      <c r="BC188" s="318">
        <f>INDEX(GA!$G$526:$G$565,MATCH(BC$5,GA!$E$526:$E$565,0))</f>
        <v>6.1119E-3</v>
      </c>
      <c r="BD188" s="318">
        <f>INDEX(GA!$G$526:$G$565,MATCH(BD$5,GA!$E$526:$E$565,0))</f>
        <v>6.3613999999999997E-3</v>
      </c>
      <c r="BE188" s="318">
        <f>INDEX(GA!$G$526:$G$565,MATCH(BE$5,GA!$E$526:$E$565,0))</f>
        <v>6.5688999999999999E-3</v>
      </c>
      <c r="BF188" s="318">
        <f>INDEX(GA!$G$526:$G$565,MATCH(BF$5,GA!$E$526:$E$565,0))</f>
        <v>6.8027000000000001E-3</v>
      </c>
      <c r="BG188" s="318">
        <f>INDEX(GA!$G$526:$G$565,MATCH(BG$5,GA!$E$526:$E$565,0))</f>
        <v>7.0657000000000003E-3</v>
      </c>
      <c r="BI188" s="1067" t="s">
        <v>153</v>
      </c>
      <c r="BM188" s="117">
        <f t="shared" ref="BM188:BV189" si="229">AVERAGEIF($T$8:$BG$8,BM$6,$T188:$BG188)</f>
        <v>0</v>
      </c>
      <c r="BN188" s="117">
        <f t="shared" si="229"/>
        <v>0</v>
      </c>
      <c r="BO188" s="117">
        <f t="shared" si="229"/>
        <v>0</v>
      </c>
      <c r="BP188" s="117">
        <f t="shared" si="229"/>
        <v>0</v>
      </c>
      <c r="BQ188" s="117">
        <f t="shared" si="229"/>
        <v>0</v>
      </c>
      <c r="BR188" s="117">
        <f t="shared" si="229"/>
        <v>5.3024999999999991E-4</v>
      </c>
      <c r="BS188" s="117">
        <f t="shared" si="229"/>
        <v>2.69185E-3</v>
      </c>
      <c r="BT188" s="117">
        <f t="shared" si="229"/>
        <v>4.019875E-3</v>
      </c>
      <c r="BU188" s="117">
        <f t="shared" si="229"/>
        <v>5.57545E-3</v>
      </c>
      <c r="BV188" s="117">
        <f t="shared" si="229"/>
        <v>6.6996750000000004E-3</v>
      </c>
      <c r="BX188" s="476" t="s">
        <v>153</v>
      </c>
    </row>
    <row r="189" spans="3:76">
      <c r="C189" t="s">
        <v>718</v>
      </c>
      <c r="R189" s="392"/>
      <c r="S189" s="392"/>
      <c r="T189" s="318">
        <f>INDEX(GA!$L$526:$L$565,MATCH(T$5,GA!$E$526:$E$565,0))</f>
        <v>1.7500000000000002E-2</v>
      </c>
      <c r="U189" s="318">
        <f>INDEX(GA!$L$526:$L$565,MATCH(U$5,GA!$E$526:$E$565,0))</f>
        <v>1.7500000000000002E-2</v>
      </c>
      <c r="V189" s="318">
        <f>INDEX(GA!$L$526:$L$565,MATCH(V$5,GA!$E$526:$E$565,0))</f>
        <v>1.7500000000000002E-2</v>
      </c>
      <c r="W189" s="318">
        <f>INDEX(GA!$L$526:$L$565,MATCH(W$5,GA!$E$526:$E$565,0))</f>
        <v>1.7500000000000002E-2</v>
      </c>
      <c r="X189" s="318">
        <f>INDEX(GA!$L$526:$L$565,MATCH(X$5,GA!$E$526:$E$565,0))</f>
        <v>1.7500000000000002E-2</v>
      </c>
      <c r="Y189" s="318">
        <f>INDEX(GA!$L$526:$L$565,MATCH(Y$5,GA!$E$526:$E$565,0))</f>
        <v>1.7500000000000002E-2</v>
      </c>
      <c r="Z189" s="318">
        <f>INDEX(GA!$L$526:$L$565,MATCH(Z$5,GA!$E$526:$E$565,0))</f>
        <v>1.7500000000000002E-2</v>
      </c>
      <c r="AA189" s="318">
        <f>INDEX(GA!$L$526:$L$565,MATCH(AA$5,GA!$E$526:$E$565,0))</f>
        <v>1.7500000000000002E-2</v>
      </c>
      <c r="AB189" s="318">
        <f>INDEX(GA!$L$526:$L$565,MATCH(AB$5,GA!$E$526:$E$565,0))</f>
        <v>1.7500000000000002E-2</v>
      </c>
      <c r="AC189" s="318">
        <f>INDEX(GA!$L$526:$L$565,MATCH(AC$5,GA!$E$526:$E$565,0))</f>
        <v>1.7500000000000002E-2</v>
      </c>
      <c r="AD189" s="318">
        <f>INDEX(GA!$L$526:$L$565,MATCH(AD$5,GA!$E$526:$E$565,0))</f>
        <v>1.7500000000000002E-2</v>
      </c>
      <c r="AE189" s="318">
        <f>INDEX(GA!$L$526:$L$565,MATCH(AE$5,GA!$E$526:$E$565,0))</f>
        <v>1.7500000000000002E-2</v>
      </c>
      <c r="AF189" s="318">
        <f>INDEX(GA!$L$526:$L$565,MATCH(AF$5,GA!$E$526:$E$565,0))</f>
        <v>1.7500000000000002E-2</v>
      </c>
      <c r="AG189" s="318">
        <f>INDEX(GA!$L$526:$L$565,MATCH(AG$5,GA!$E$526:$E$565,0))</f>
        <v>1.7500000000000002E-2</v>
      </c>
      <c r="AH189" s="318">
        <f>INDEX(GA!$L$526:$L$565,MATCH(AH$5,GA!$E$526:$E$565,0))</f>
        <v>1.7500000000000002E-2</v>
      </c>
      <c r="AI189" s="318">
        <f>INDEX(GA!$L$526:$L$565,MATCH(AI$5,GA!$E$526:$E$565,0))</f>
        <v>1.7500000000000002E-2</v>
      </c>
      <c r="AJ189" s="318">
        <f>INDEX(GA!$L$526:$L$565,MATCH(AJ$5,GA!$E$526:$E$565,0))</f>
        <v>1.7500000000000002E-2</v>
      </c>
      <c r="AK189" s="318">
        <f>INDEX(GA!$L$526:$L$565,MATCH(AK$5,GA!$E$526:$E$565,0))</f>
        <v>1.7500000000000002E-2</v>
      </c>
      <c r="AL189" s="318">
        <f>INDEX(GA!$L$526:$L$565,MATCH(AL$5,GA!$E$526:$E$565,0))</f>
        <v>1.7500000000000002E-2</v>
      </c>
      <c r="AM189" s="318">
        <f>INDEX(GA!$L$526:$L$565,MATCH(AM$5,GA!$E$526:$E$565,0))</f>
        <v>1.7500000000000002E-2</v>
      </c>
      <c r="AN189" s="318">
        <f>INDEX(GA!$L$526:$L$565,MATCH(AN$5,GA!$E$526:$E$565,0))</f>
        <v>1.7500000000000002E-2</v>
      </c>
      <c r="AO189" s="318">
        <f>INDEX(GA!$L$526:$L$565,MATCH(AO$5,GA!$E$526:$E$565,0))</f>
        <v>1.7500000000000002E-2</v>
      </c>
      <c r="AP189" s="318">
        <f>INDEX(GA!$L$526:$L$565,MATCH(AP$5,GA!$E$526:$E$565,0))</f>
        <v>1.7500000000000002E-2</v>
      </c>
      <c r="AQ189" s="318">
        <f>INDEX(GA!$L$526:$L$565,MATCH(AQ$5,GA!$E$526:$E$565,0))</f>
        <v>1.7500000000000002E-2</v>
      </c>
      <c r="AR189" s="318">
        <f>INDEX(GA!$L$526:$L$565,MATCH(AR$5,GA!$E$526:$E$565,0))</f>
        <v>1.7500000000000002E-2</v>
      </c>
      <c r="AS189" s="318">
        <f>INDEX(GA!$L$526:$L$565,MATCH(AS$5,GA!$E$526:$E$565,0))</f>
        <v>1.7500000000000002E-2</v>
      </c>
      <c r="AT189" s="318">
        <f>INDEX(GA!$L$526:$L$565,MATCH(AT$5,GA!$E$526:$E$565,0))</f>
        <v>1.7500000000000002E-2</v>
      </c>
      <c r="AU189" s="318">
        <f>INDEX(GA!$L$526:$L$565,MATCH(AU$5,GA!$E$526:$E$565,0))</f>
        <v>1.7500000000000002E-2</v>
      </c>
      <c r="AV189" s="318">
        <f>INDEX(GA!$L$526:$L$565,MATCH(AV$5,GA!$E$526:$E$565,0))</f>
        <v>1.7500000000000002E-2</v>
      </c>
      <c r="AW189" s="318">
        <f>INDEX(GA!$L$526:$L$565,MATCH(AW$5,GA!$E$526:$E$565,0))</f>
        <v>1.7500000000000002E-2</v>
      </c>
      <c r="AX189" s="318">
        <f>INDEX(GA!$L$526:$L$565,MATCH(AX$5,GA!$E$526:$E$565,0))</f>
        <v>1.7500000000000002E-2</v>
      </c>
      <c r="AY189" s="318">
        <f>INDEX(GA!$L$526:$L$565,MATCH(AY$5,GA!$E$526:$E$565,0))</f>
        <v>1.7500000000000002E-2</v>
      </c>
      <c r="AZ189" s="318">
        <f>INDEX(GA!$L$526:$L$565,MATCH(AZ$5,GA!$E$526:$E$565,0))</f>
        <v>1.7500000000000002E-2</v>
      </c>
      <c r="BA189" s="318">
        <f>INDEX(GA!$L$526:$L$565,MATCH(BA$5,GA!$E$526:$E$565,0))</f>
        <v>1.7500000000000002E-2</v>
      </c>
      <c r="BB189" s="318">
        <f>INDEX(GA!$L$526:$L$565,MATCH(BB$5,GA!$E$526:$E$565,0))</f>
        <v>1.7500000000000002E-2</v>
      </c>
      <c r="BC189" s="318">
        <f>INDEX(GA!$L$526:$L$565,MATCH(BC$5,GA!$E$526:$E$565,0))</f>
        <v>1.7500000000000002E-2</v>
      </c>
      <c r="BD189" s="318">
        <f>INDEX(GA!$L$526:$L$565,MATCH(BD$5,GA!$E$526:$E$565,0))</f>
        <v>1.7500000000000002E-2</v>
      </c>
      <c r="BE189" s="318">
        <f>INDEX(GA!$L$526:$L$565,MATCH(BE$5,GA!$E$526:$E$565,0))</f>
        <v>1.7500000000000002E-2</v>
      </c>
      <c r="BF189" s="318">
        <f>INDEX(GA!$L$526:$L$565,MATCH(BF$5,GA!$E$526:$E$565,0))</f>
        <v>1.7500000000000002E-2</v>
      </c>
      <c r="BG189" s="318">
        <f>INDEX(GA!$L$526:$L$565,MATCH(BG$5,GA!$E$526:$E$565,0))</f>
        <v>1.7500000000000002E-2</v>
      </c>
      <c r="BI189" s="39" t="s">
        <v>153</v>
      </c>
      <c r="BM189" s="117">
        <f t="shared" si="229"/>
        <v>1.7500000000000002E-2</v>
      </c>
      <c r="BN189" s="117">
        <f t="shared" si="229"/>
        <v>1.7500000000000002E-2</v>
      </c>
      <c r="BO189" s="117">
        <f t="shared" si="229"/>
        <v>1.7500000000000002E-2</v>
      </c>
      <c r="BP189" s="117">
        <f t="shared" si="229"/>
        <v>1.7500000000000002E-2</v>
      </c>
      <c r="BQ189" s="117">
        <f t="shared" si="229"/>
        <v>1.7500000000000002E-2</v>
      </c>
      <c r="BR189" s="117">
        <f t="shared" si="229"/>
        <v>1.7500000000000002E-2</v>
      </c>
      <c r="BS189" s="117">
        <f t="shared" si="229"/>
        <v>1.7500000000000002E-2</v>
      </c>
      <c r="BT189" s="117">
        <f t="shared" si="229"/>
        <v>1.7500000000000002E-2</v>
      </c>
      <c r="BU189" s="117">
        <f t="shared" si="229"/>
        <v>1.7500000000000002E-2</v>
      </c>
      <c r="BV189" s="117">
        <f t="shared" si="229"/>
        <v>1.7500000000000002E-2</v>
      </c>
      <c r="BX189" s="476" t="s">
        <v>153</v>
      </c>
    </row>
    <row r="190" spans="3:76">
      <c r="C190" t="s">
        <v>719</v>
      </c>
      <c r="R190" s="392"/>
      <c r="S190" s="392"/>
      <c r="T190" s="318">
        <f t="shared" ref="T190:BG190" si="230">SUM(T188:T189)</f>
        <v>1.7500000000000002E-2</v>
      </c>
      <c r="U190" s="318">
        <f t="shared" si="230"/>
        <v>1.7500000000000002E-2</v>
      </c>
      <c r="V190" s="318">
        <f t="shared" si="230"/>
        <v>1.7500000000000002E-2</v>
      </c>
      <c r="W190" s="318">
        <f t="shared" si="230"/>
        <v>1.7500000000000002E-2</v>
      </c>
      <c r="X190" s="318">
        <f t="shared" si="230"/>
        <v>1.7500000000000002E-2</v>
      </c>
      <c r="Y190" s="318">
        <f t="shared" si="230"/>
        <v>1.7500000000000002E-2</v>
      </c>
      <c r="Z190" s="318">
        <f t="shared" si="230"/>
        <v>1.7500000000000002E-2</v>
      </c>
      <c r="AA190" s="318">
        <f t="shared" si="230"/>
        <v>1.7500000000000002E-2</v>
      </c>
      <c r="AB190" s="318">
        <f t="shared" si="230"/>
        <v>1.7500000000000002E-2</v>
      </c>
      <c r="AC190" s="318">
        <f t="shared" si="230"/>
        <v>1.7500000000000002E-2</v>
      </c>
      <c r="AD190" s="318">
        <f t="shared" si="230"/>
        <v>1.7500000000000002E-2</v>
      </c>
      <c r="AE190" s="318">
        <f t="shared" si="230"/>
        <v>1.7500000000000002E-2</v>
      </c>
      <c r="AF190" s="318">
        <f t="shared" si="230"/>
        <v>1.7500000000000002E-2</v>
      </c>
      <c r="AG190" s="318">
        <f t="shared" si="230"/>
        <v>1.7500000000000002E-2</v>
      </c>
      <c r="AH190" s="318">
        <f t="shared" si="230"/>
        <v>1.7500000000000002E-2</v>
      </c>
      <c r="AI190" s="318">
        <f t="shared" si="230"/>
        <v>1.7500000000000002E-2</v>
      </c>
      <c r="AJ190" s="318">
        <f t="shared" si="230"/>
        <v>1.7500000000000002E-2</v>
      </c>
      <c r="AK190" s="318">
        <f t="shared" si="230"/>
        <v>1.7500000000000002E-2</v>
      </c>
      <c r="AL190" s="318">
        <f t="shared" si="230"/>
        <v>1.7500000000000002E-2</v>
      </c>
      <c r="AM190" s="318">
        <f t="shared" si="230"/>
        <v>1.7500000000000002E-2</v>
      </c>
      <c r="AN190" s="318">
        <f t="shared" si="230"/>
        <v>1.7590100000000001E-2</v>
      </c>
      <c r="AO190" s="318">
        <f t="shared" si="230"/>
        <v>1.7758800000000002E-2</v>
      </c>
      <c r="AP190" s="318">
        <f t="shared" si="230"/>
        <v>1.8115700000000002E-2</v>
      </c>
      <c r="AQ190" s="318">
        <f t="shared" si="230"/>
        <v>1.86564E-2</v>
      </c>
      <c r="AR190" s="318">
        <f t="shared" si="230"/>
        <v>1.9347200000000002E-2</v>
      </c>
      <c r="AS190" s="318">
        <f t="shared" si="230"/>
        <v>2.0004500000000001E-2</v>
      </c>
      <c r="AT190" s="318">
        <f t="shared" si="230"/>
        <v>2.0529100000000002E-2</v>
      </c>
      <c r="AU190" s="318">
        <f t="shared" si="230"/>
        <v>2.0886600000000002E-2</v>
      </c>
      <c r="AV190" s="318">
        <f t="shared" si="230"/>
        <v>2.1124400000000002E-2</v>
      </c>
      <c r="AW190" s="318">
        <f t="shared" si="230"/>
        <v>2.1332700000000003E-2</v>
      </c>
      <c r="AX190" s="318">
        <f t="shared" si="230"/>
        <v>2.1619600000000003E-2</v>
      </c>
      <c r="AY190" s="318">
        <f t="shared" si="230"/>
        <v>2.2002800000000003E-2</v>
      </c>
      <c r="AZ190" s="318">
        <f t="shared" si="230"/>
        <v>2.2472400000000003E-2</v>
      </c>
      <c r="BA190" s="318">
        <f t="shared" si="230"/>
        <v>2.29141E-2</v>
      </c>
      <c r="BB190" s="318">
        <f t="shared" si="230"/>
        <v>2.3303400000000002E-2</v>
      </c>
      <c r="BC190" s="318">
        <f t="shared" si="230"/>
        <v>2.3611900000000002E-2</v>
      </c>
      <c r="BD190" s="318">
        <f t="shared" si="230"/>
        <v>2.3861400000000001E-2</v>
      </c>
      <c r="BE190" s="318">
        <f t="shared" si="230"/>
        <v>2.4068900000000001E-2</v>
      </c>
      <c r="BF190" s="318">
        <f t="shared" si="230"/>
        <v>2.4302700000000003E-2</v>
      </c>
      <c r="BG190" s="318">
        <f t="shared" si="230"/>
        <v>2.4565700000000003E-2</v>
      </c>
      <c r="BI190" s="39" t="s">
        <v>153</v>
      </c>
      <c r="BM190" s="117">
        <f t="shared" ref="BM190:BV190" si="231">SUM(BM188:BM189)</f>
        <v>1.7500000000000002E-2</v>
      </c>
      <c r="BN190" s="117">
        <f t="shared" si="231"/>
        <v>1.7500000000000002E-2</v>
      </c>
      <c r="BO190" s="117">
        <f t="shared" si="231"/>
        <v>1.7500000000000002E-2</v>
      </c>
      <c r="BP190" s="117">
        <f t="shared" si="231"/>
        <v>1.7500000000000002E-2</v>
      </c>
      <c r="BQ190" s="117">
        <f t="shared" si="231"/>
        <v>1.7500000000000002E-2</v>
      </c>
      <c r="BR190" s="117">
        <f t="shared" si="231"/>
        <v>1.8030250000000001E-2</v>
      </c>
      <c r="BS190" s="117">
        <f t="shared" si="231"/>
        <v>2.0191850000000001E-2</v>
      </c>
      <c r="BT190" s="117">
        <f t="shared" si="231"/>
        <v>2.1519875000000001E-2</v>
      </c>
      <c r="BU190" s="117">
        <f t="shared" si="231"/>
        <v>2.3075450000000001E-2</v>
      </c>
      <c r="BV190" s="117">
        <f t="shared" si="231"/>
        <v>2.4199675000000004E-2</v>
      </c>
      <c r="BX190" s="476" t="s">
        <v>153</v>
      </c>
    </row>
    <row r="191" spans="3:76">
      <c r="C191" s="253" t="s">
        <v>720</v>
      </c>
      <c r="D191" s="253"/>
      <c r="E191" s="253"/>
      <c r="F191" s="253"/>
      <c r="G191" s="253"/>
      <c r="H191" s="253"/>
      <c r="I191" s="253"/>
      <c r="J191" s="253"/>
      <c r="K191" s="253"/>
      <c r="L191" s="253"/>
      <c r="M191" s="253"/>
      <c r="N191" s="253"/>
      <c r="O191" s="268"/>
      <c r="P191" s="268"/>
      <c r="Q191" s="268"/>
      <c r="R191" s="153"/>
      <c r="S191" s="153"/>
      <c r="T191" s="254">
        <f>-T190*T180*T$7/GA!$G$523</f>
        <v>0</v>
      </c>
      <c r="U191" s="254">
        <f>-U190*U180*U$7/GA!$G$523</f>
        <v>-3868.8411434940185</v>
      </c>
      <c r="V191" s="254">
        <f>-V190*V180*V$7/GA!$G$523</f>
        <v>-11003.732638888891</v>
      </c>
      <c r="W191" s="254">
        <f>-W190*W180*W$7/GA!$G$523</f>
        <v>-10828.125000000002</v>
      </c>
      <c r="X191" s="254">
        <f>-X190*X180*X$7/GA!$G$523</f>
        <v>-11012.847222222223</v>
      </c>
      <c r="Y191" s="254">
        <f>-Y190*Y180*Y$7/GA!$G$523</f>
        <v>-10956.944444444445</v>
      </c>
      <c r="Z191" s="254">
        <f>-Z190*Z180*Z$7/GA!$G$523</f>
        <v>-10782.552083333334</v>
      </c>
      <c r="AA191" s="254">
        <f>-AA190*AA180*AA$7/GA!$G$523</f>
        <v>-10609.375000000002</v>
      </c>
      <c r="AB191" s="254">
        <f>-AB190*AB180*AB$7/GA!$G$523</f>
        <v>-10789.236111111113</v>
      </c>
      <c r="AC191" s="254">
        <f>-AC190*AC180*AC$7/GA!$G$523</f>
        <v>-10733.333333333334</v>
      </c>
      <c r="AD191" s="254">
        <f>-AD190*AD180*AD$7/GA!$G$523</f>
        <v>-10561.371527777779</v>
      </c>
      <c r="AE191" s="254">
        <f>-AE190*AE180*AE$7/GA!$G$523</f>
        <v>-10506.076388888891</v>
      </c>
      <c r="AF191" s="254">
        <f>-AF190*AF180*AF$7/GA!$G$523</f>
        <v>0</v>
      </c>
      <c r="AG191" s="254">
        <f>-AG190*AG180*AG$7/GA!$G$523</f>
        <v>0</v>
      </c>
      <c r="AH191" s="254">
        <f>-AH190*AH180*AH$7/GA!$G$523</f>
        <v>0</v>
      </c>
      <c r="AI191" s="254">
        <f>-AI190*AI180*AI$7/GA!$G$523</f>
        <v>0</v>
      </c>
      <c r="AJ191" s="254">
        <f>-AJ190*AJ180*AJ$7/GA!$G$523</f>
        <v>0</v>
      </c>
      <c r="AK191" s="254">
        <f>-AK190*AK180*AK$7/GA!$G$523</f>
        <v>0</v>
      </c>
      <c r="AL191" s="254">
        <f>-AL190*AL180*AL$7/GA!$G$523</f>
        <v>0</v>
      </c>
      <c r="AM191" s="254">
        <f>-AM190*AM180*AM$7/GA!$G$523</f>
        <v>0</v>
      </c>
      <c r="AN191" s="254">
        <f>-AN190*AN180*AN$7/GA!$G$523</f>
        <v>0</v>
      </c>
      <c r="AO191" s="254">
        <f>-AO190*AO180*AO$7/GA!$G$523</f>
        <v>0</v>
      </c>
      <c r="AP191" s="254">
        <f>-AP190*AP180*AP$7/GA!$G$523</f>
        <v>0</v>
      </c>
      <c r="AQ191" s="254">
        <f>-AQ190*AQ180*AQ$7/GA!$G$523</f>
        <v>0</v>
      </c>
      <c r="AR191" s="254">
        <f>-AR190*AR180*AR$7/GA!$G$523</f>
        <v>0</v>
      </c>
      <c r="AS191" s="254">
        <f>-AS190*AS180*AS$7/GA!$G$523</f>
        <v>0</v>
      </c>
      <c r="AT191" s="254">
        <f>-AT190*AT180*AT$7/GA!$G$523</f>
        <v>0</v>
      </c>
      <c r="AU191" s="254">
        <f>-AU190*AU180*AU$7/GA!$G$523</f>
        <v>0</v>
      </c>
      <c r="AV191" s="254">
        <f>-AV190*AV180*AV$7/GA!$G$523</f>
        <v>0</v>
      </c>
      <c r="AW191" s="254">
        <f>-AW190*AW180*AW$7/GA!$G$523</f>
        <v>0</v>
      </c>
      <c r="AX191" s="254">
        <f>-AX190*AX180*AX$7/GA!$G$523</f>
        <v>0</v>
      </c>
      <c r="AY191" s="254">
        <f>-AY190*AY180*AY$7/GA!$G$523</f>
        <v>0</v>
      </c>
      <c r="AZ191" s="254">
        <f>-AZ190*AZ180*AZ$7/GA!$G$523</f>
        <v>0</v>
      </c>
      <c r="BA191" s="254">
        <f>-BA190*BA180*BA$7/GA!$G$523</f>
        <v>0</v>
      </c>
      <c r="BB191" s="254">
        <f>-BB190*BB180*BB$7/GA!$G$523</f>
        <v>0</v>
      </c>
      <c r="BC191" s="254">
        <f>-BC190*BC180*BC$7/GA!$G$523</f>
        <v>0</v>
      </c>
      <c r="BD191" s="254">
        <f>-BD190*BD180*BD$7/GA!$G$523</f>
        <v>0</v>
      </c>
      <c r="BE191" s="254">
        <f>-BE190*BE180*BE$7/GA!$G$523</f>
        <v>0</v>
      </c>
      <c r="BF191" s="254">
        <f>-BF190*BF180*BF$7/GA!$G$523</f>
        <v>0</v>
      </c>
      <c r="BG191" s="254">
        <f>-BG190*BG180*BG$7/GA!$G$523</f>
        <v>0</v>
      </c>
      <c r="BI191" s="254">
        <f>SUM(T191:BG191)</f>
        <v>-111652.43489349402</v>
      </c>
      <c r="BK191" s="257" t="b">
        <f>ROUND(BI191,GA!$G$112)=ROUND(BX191,GA!$G$112)</f>
        <v>1</v>
      </c>
      <c r="BM191" s="254">
        <f t="shared" ref="BM191:BV191" si="232">SUMIF($T$8:$BG$8,BM$6,$T191:$BG191)</f>
        <v>-25700.698782382911</v>
      </c>
      <c r="BN191" s="254">
        <f t="shared" si="232"/>
        <v>-43361.71875</v>
      </c>
      <c r="BO191" s="254">
        <f t="shared" si="232"/>
        <v>-42590.017361111117</v>
      </c>
      <c r="BP191" s="254">
        <f t="shared" si="232"/>
        <v>0</v>
      </c>
      <c r="BQ191" s="254">
        <f t="shared" si="232"/>
        <v>0</v>
      </c>
      <c r="BR191" s="254">
        <f t="shared" si="232"/>
        <v>0</v>
      </c>
      <c r="BS191" s="254">
        <f t="shared" si="232"/>
        <v>0</v>
      </c>
      <c r="BT191" s="254">
        <f t="shared" si="232"/>
        <v>0</v>
      </c>
      <c r="BU191" s="254">
        <f t="shared" si="232"/>
        <v>0</v>
      </c>
      <c r="BV191" s="254">
        <f t="shared" si="232"/>
        <v>0</v>
      </c>
      <c r="BX191" s="254">
        <f>SUM(BM191:BV191)</f>
        <v>-111652.43489349404</v>
      </c>
    </row>
    <row r="193" spans="3:76">
      <c r="C193" s="364" t="s">
        <v>722</v>
      </c>
      <c r="D193" s="364"/>
      <c r="E193" s="364"/>
      <c r="F193" s="364"/>
      <c r="G193" s="364"/>
      <c r="H193" s="364"/>
      <c r="I193" s="364"/>
      <c r="J193" s="364"/>
      <c r="K193" s="364"/>
      <c r="L193" s="364"/>
      <c r="M193" s="364"/>
      <c r="N193" s="364"/>
      <c r="O193" s="17"/>
      <c r="P193" s="17"/>
      <c r="Q193" s="17"/>
      <c r="R193" s="17"/>
      <c r="S193" s="17"/>
      <c r="T193" s="17"/>
      <c r="U193" s="17"/>
      <c r="V193" s="17"/>
      <c r="W193" s="17"/>
    </row>
    <row r="194" spans="3:76">
      <c r="C194" t="s">
        <v>723</v>
      </c>
      <c r="O194" s="410">
        <f>GA!$G$505</f>
        <v>7.4999999999999997E-3</v>
      </c>
      <c r="R194" s="392"/>
      <c r="S194" s="310">
        <f>-$O$194*GA!$G$499*AND(S180=0,S$83&gt;0)</f>
        <v>0</v>
      </c>
      <c r="T194" s="310">
        <f>-$O$194*GA!$G$499*AND(T180=0,T$83&gt;0)</f>
        <v>-18750</v>
      </c>
      <c r="U194" s="310">
        <f>-$O$194*GA!$G$499*AND(U180=0,U$83&gt;0)</f>
        <v>0</v>
      </c>
      <c r="V194" s="310">
        <f>-$O$194*GA!$G$499*AND(V180=0,V$83&gt;0)</f>
        <v>0</v>
      </c>
      <c r="W194" s="310">
        <f>-$O$194*GA!$G$499*AND(W180=0,W$83&gt;0)</f>
        <v>0</v>
      </c>
      <c r="X194" s="368">
        <f>-$O$194*GA!$G$499*AND(X180=0,X$83&gt;0)</f>
        <v>0</v>
      </c>
      <c r="Y194" s="368">
        <f>-$O$194*GA!$G$499*AND(Y180=0,Y$83&gt;0)</f>
        <v>0</v>
      </c>
      <c r="Z194" s="368">
        <f>-$O$194*GA!$G$499*AND(Z180=0,Z$83&gt;0)</f>
        <v>0</v>
      </c>
      <c r="AA194" s="368">
        <f>-$O$194*GA!$G$499*AND(AA180=0,AA$83&gt;0)</f>
        <v>0</v>
      </c>
      <c r="AB194" s="368">
        <f>-$O$194*GA!$G$499*AND(AB180=0,AB$83&gt;0)</f>
        <v>0</v>
      </c>
      <c r="AC194" s="368">
        <f>-$O$194*GA!$G$499*AND(AC180=0,AC$83&gt;0)</f>
        <v>0</v>
      </c>
      <c r="AD194" s="368">
        <f>-$O$194*GA!$G$499*AND(AD180=0,AD$83&gt;0)</f>
        <v>0</v>
      </c>
      <c r="AE194" s="368">
        <f>-$O$194*GA!$G$499*AND(AE180=0,AE$83&gt;0)</f>
        <v>0</v>
      </c>
      <c r="AF194" s="368">
        <f>-$O$194*GA!$G$499*AND(AF180=0,AF$83&gt;0)</f>
        <v>0</v>
      </c>
      <c r="AG194" s="368">
        <f>-$O$194*GA!$G$499*AND(AG180=0,AG$83&gt;0)</f>
        <v>0</v>
      </c>
      <c r="AH194" s="368">
        <f>-$O$194*GA!$G$499*AND(AH180=0,AH$83&gt;0)</f>
        <v>0</v>
      </c>
      <c r="AI194" s="368">
        <f>-$O$194*GA!$G$499*AND(AI180=0,AI$83&gt;0)</f>
        <v>0</v>
      </c>
      <c r="AJ194" s="368">
        <f>-$O$194*GA!$G$499*AND(AJ180=0,AJ$83&gt;0)</f>
        <v>0</v>
      </c>
      <c r="AK194" s="368">
        <f>-$O$194*GA!$G$499*AND(AK180=0,AK$83&gt;0)</f>
        <v>0</v>
      </c>
      <c r="AL194" s="368">
        <f>-$O$194*GA!$G$499*AND(AL180=0,AL$83&gt;0)</f>
        <v>0</v>
      </c>
      <c r="AM194" s="368">
        <f>-$O$194*GA!$G$499*AND(AM180=0,AM$83&gt;0)</f>
        <v>0</v>
      </c>
      <c r="AN194" s="368">
        <f>-$O$194*GA!$G$499*AND(AN180=0,AN$83&gt;0)</f>
        <v>0</v>
      </c>
      <c r="AO194" s="368">
        <f>-$O$194*GA!$G$499*AND(AO180=0,AO$83&gt;0)</f>
        <v>0</v>
      </c>
      <c r="AP194" s="368">
        <f>-$O$194*GA!$G$499*AND(AP180=0,AP$83&gt;0)</f>
        <v>0</v>
      </c>
      <c r="AQ194" s="368">
        <f>-$O$194*GA!$G$499*AND(AQ180=0,AQ$83&gt;0)</f>
        <v>0</v>
      </c>
      <c r="AR194" s="368">
        <f>-$O$194*GA!$G$499*AND(AR180=0,AR$83&gt;0)</f>
        <v>0</v>
      </c>
      <c r="AS194" s="368">
        <f>-$O$194*GA!$G$499*AND(AS180=0,AS$83&gt;0)</f>
        <v>0</v>
      </c>
      <c r="AT194" s="368">
        <f>-$O$194*GA!$G$499*AND(AT180=0,AT$83&gt;0)</f>
        <v>0</v>
      </c>
      <c r="AU194" s="368">
        <f>-$O$194*GA!$G$499*AND(AU180=0,AU$83&gt;0)</f>
        <v>0</v>
      </c>
      <c r="AV194" s="368">
        <f>-$O$194*GA!$G$499*AND(AV180=0,AV$83&gt;0)</f>
        <v>0</v>
      </c>
      <c r="AW194" s="368">
        <f>-$O$194*GA!$G$499*AND(AW180=0,AW$83&gt;0)</f>
        <v>0</v>
      </c>
      <c r="AX194" s="368">
        <f>-$O$194*GA!$G$499*AND(AX180=0,AX$83&gt;0)</f>
        <v>0</v>
      </c>
      <c r="AY194" s="368">
        <f>-$O$194*GA!$G$499*AND(AY180=0,AY$83&gt;0)</f>
        <v>0</v>
      </c>
      <c r="AZ194" s="368">
        <f>-$O$194*GA!$G$499*AND(AZ180=0,AZ$83&gt;0)</f>
        <v>0</v>
      </c>
      <c r="BA194" s="368">
        <f>-$O$194*GA!$G$499*AND(BA180=0,BA$83&gt;0)</f>
        <v>0</v>
      </c>
      <c r="BB194" s="368">
        <f>-$O$194*GA!$G$499*AND(BB180=0,BB$83&gt;0)</f>
        <v>0</v>
      </c>
      <c r="BC194" s="368">
        <f>-$O$194*GA!$G$499*AND(BC180=0,BC$83&gt;0)</f>
        <v>0</v>
      </c>
      <c r="BD194" s="368">
        <f>-$O$194*GA!$G$499*AND(BD180=0,BD$83&gt;0)</f>
        <v>0</v>
      </c>
      <c r="BE194" s="368">
        <f>-$O$194*GA!$G$499*AND(BE180=0,BE$83&gt;0)</f>
        <v>0</v>
      </c>
      <c r="BF194" s="368">
        <f>-$O$194*GA!$G$499*AND(BF180=0,BF$83&gt;0)</f>
        <v>0</v>
      </c>
      <c r="BG194" s="368">
        <f>-$O$194*GA!$G$499*AND(BG180=0,BG$83&gt;0)</f>
        <v>0</v>
      </c>
      <c r="BI194" s="1068">
        <f t="shared" ref="BI194:BI199" si="233">SUM(T194:BG194)</f>
        <v>-18750</v>
      </c>
      <c r="BM194" s="368">
        <f>SUMIF($S$8:$BG$8,BM$6,$S194:$BG194)</f>
        <v>-18750</v>
      </c>
      <c r="BN194" s="368">
        <f t="shared" ref="BN194:BV194" si="234">SUMIF($T$8:$BG$8,BN$6,$S194:$BG194)</f>
        <v>0</v>
      </c>
      <c r="BO194" s="368">
        <f t="shared" si="234"/>
        <v>0</v>
      </c>
      <c r="BP194" s="368">
        <f t="shared" si="234"/>
        <v>0</v>
      </c>
      <c r="BQ194" s="368">
        <f t="shared" si="234"/>
        <v>0</v>
      </c>
      <c r="BR194" s="368">
        <f t="shared" si="234"/>
        <v>0</v>
      </c>
      <c r="BS194" s="368">
        <f t="shared" si="234"/>
        <v>0</v>
      </c>
      <c r="BT194" s="368">
        <f t="shared" si="234"/>
        <v>0</v>
      </c>
      <c r="BU194" s="368">
        <f t="shared" si="234"/>
        <v>0</v>
      </c>
      <c r="BV194" s="368">
        <f t="shared" si="234"/>
        <v>0</v>
      </c>
      <c r="BX194" s="1068">
        <f>SUM(BM194:BV194)</f>
        <v>-18750</v>
      </c>
    </row>
    <row r="195" spans="3:76">
      <c r="C195" t="s">
        <v>725</v>
      </c>
      <c r="O195" s="414">
        <f>GA!$G$510</f>
        <v>0</v>
      </c>
      <c r="R195" s="392"/>
      <c r="S195" s="392"/>
      <c r="T195" s="310">
        <f t="shared" ref="T195:AC196" si="235">-(SUM(T$180:T$181)&gt;0)*$O195/4</f>
        <v>0</v>
      </c>
      <c r="U195" s="310">
        <f t="shared" si="235"/>
        <v>0</v>
      </c>
      <c r="V195" s="310">
        <f t="shared" si="235"/>
        <v>0</v>
      </c>
      <c r="W195" s="310">
        <f t="shared" si="235"/>
        <v>0</v>
      </c>
      <c r="X195" s="310">
        <f t="shared" si="235"/>
        <v>0</v>
      </c>
      <c r="Y195" s="310">
        <f t="shared" si="235"/>
        <v>0</v>
      </c>
      <c r="Z195" s="310">
        <f t="shared" si="235"/>
        <v>0</v>
      </c>
      <c r="AA195" s="310">
        <f t="shared" si="235"/>
        <v>0</v>
      </c>
      <c r="AB195" s="310">
        <f t="shared" si="235"/>
        <v>0</v>
      </c>
      <c r="AC195" s="310">
        <f t="shared" si="235"/>
        <v>0</v>
      </c>
      <c r="AD195" s="310">
        <f t="shared" ref="AD195:AM196" si="236">-(SUM(AD$180:AD$181)&gt;0)*$O195/4</f>
        <v>0</v>
      </c>
      <c r="AE195" s="310">
        <f t="shared" si="236"/>
        <v>0</v>
      </c>
      <c r="AF195" s="310">
        <f t="shared" si="236"/>
        <v>0</v>
      </c>
      <c r="AG195" s="310">
        <f t="shared" si="236"/>
        <v>0</v>
      </c>
      <c r="AH195" s="310">
        <f t="shared" si="236"/>
        <v>0</v>
      </c>
      <c r="AI195" s="310">
        <f t="shared" si="236"/>
        <v>0</v>
      </c>
      <c r="AJ195" s="310">
        <f t="shared" si="236"/>
        <v>0</v>
      </c>
      <c r="AK195" s="310">
        <f t="shared" si="236"/>
        <v>0</v>
      </c>
      <c r="AL195" s="310">
        <f t="shared" si="236"/>
        <v>0</v>
      </c>
      <c r="AM195" s="310">
        <f t="shared" si="236"/>
        <v>0</v>
      </c>
      <c r="AN195" s="310">
        <f t="shared" ref="AN195:AW196" si="237">-(SUM(AN$180:AN$181)&gt;0)*$O195/4</f>
        <v>0</v>
      </c>
      <c r="AO195" s="310">
        <f t="shared" si="237"/>
        <v>0</v>
      </c>
      <c r="AP195" s="310">
        <f t="shared" si="237"/>
        <v>0</v>
      </c>
      <c r="AQ195" s="310">
        <f t="shared" si="237"/>
        <v>0</v>
      </c>
      <c r="AR195" s="310">
        <f t="shared" si="237"/>
        <v>0</v>
      </c>
      <c r="AS195" s="310">
        <f t="shared" si="237"/>
        <v>0</v>
      </c>
      <c r="AT195" s="310">
        <f t="shared" si="237"/>
        <v>0</v>
      </c>
      <c r="AU195" s="310">
        <f t="shared" si="237"/>
        <v>0</v>
      </c>
      <c r="AV195" s="310">
        <f t="shared" si="237"/>
        <v>0</v>
      </c>
      <c r="AW195" s="310">
        <f t="shared" si="237"/>
        <v>0</v>
      </c>
      <c r="AX195" s="310">
        <f t="shared" ref="AX195:BG196" si="238">-(SUM(AX$180:AX$181)&gt;0)*$O195/4</f>
        <v>0</v>
      </c>
      <c r="AY195" s="310">
        <f t="shared" si="238"/>
        <v>0</v>
      </c>
      <c r="AZ195" s="310">
        <f t="shared" si="238"/>
        <v>0</v>
      </c>
      <c r="BA195" s="310">
        <f t="shared" si="238"/>
        <v>0</v>
      </c>
      <c r="BB195" s="310">
        <f t="shared" si="238"/>
        <v>0</v>
      </c>
      <c r="BC195" s="310">
        <f t="shared" si="238"/>
        <v>0</v>
      </c>
      <c r="BD195" s="310">
        <f t="shared" si="238"/>
        <v>0</v>
      </c>
      <c r="BE195" s="310">
        <f t="shared" si="238"/>
        <v>0</v>
      </c>
      <c r="BF195" s="310">
        <f t="shared" si="238"/>
        <v>0</v>
      </c>
      <c r="BG195" s="310">
        <f t="shared" si="238"/>
        <v>0</v>
      </c>
      <c r="BI195" s="476">
        <f t="shared" si="233"/>
        <v>0</v>
      </c>
      <c r="BM195" s="310">
        <f t="shared" ref="BM195:BV198" si="239">SUMIF($T$8:$BG$8,BM$6,$T195:$BG195)</f>
        <v>0</v>
      </c>
      <c r="BN195" s="310">
        <f t="shared" si="239"/>
        <v>0</v>
      </c>
      <c r="BO195" s="310">
        <f t="shared" si="239"/>
        <v>0</v>
      </c>
      <c r="BP195" s="310">
        <f t="shared" si="239"/>
        <v>0</v>
      </c>
      <c r="BQ195" s="310">
        <f t="shared" si="239"/>
        <v>0</v>
      </c>
      <c r="BR195" s="310">
        <f t="shared" si="239"/>
        <v>0</v>
      </c>
      <c r="BS195" s="310">
        <f t="shared" si="239"/>
        <v>0</v>
      </c>
      <c r="BT195" s="310">
        <f t="shared" si="239"/>
        <v>0</v>
      </c>
      <c r="BU195" s="310">
        <f t="shared" si="239"/>
        <v>0</v>
      </c>
      <c r="BV195" s="310">
        <f t="shared" si="239"/>
        <v>0</v>
      </c>
      <c r="BX195" s="476">
        <f>SUM(BM195:BW195)</f>
        <v>0</v>
      </c>
    </row>
    <row r="196" spans="3:76">
      <c r="C196" t="s">
        <v>724</v>
      </c>
      <c r="O196" s="414">
        <f>GA!G511</f>
        <v>0</v>
      </c>
      <c r="R196" s="392"/>
      <c r="S196" s="392"/>
      <c r="T196" s="310">
        <f t="shared" si="235"/>
        <v>0</v>
      </c>
      <c r="U196" s="310">
        <f t="shared" si="235"/>
        <v>0</v>
      </c>
      <c r="V196" s="310">
        <f t="shared" si="235"/>
        <v>0</v>
      </c>
      <c r="W196" s="310">
        <f t="shared" si="235"/>
        <v>0</v>
      </c>
      <c r="X196" s="310">
        <f t="shared" si="235"/>
        <v>0</v>
      </c>
      <c r="Y196" s="310">
        <f t="shared" si="235"/>
        <v>0</v>
      </c>
      <c r="Z196" s="310">
        <f t="shared" si="235"/>
        <v>0</v>
      </c>
      <c r="AA196" s="310">
        <f t="shared" si="235"/>
        <v>0</v>
      </c>
      <c r="AB196" s="310">
        <f t="shared" si="235"/>
        <v>0</v>
      </c>
      <c r="AC196" s="310">
        <f t="shared" si="235"/>
        <v>0</v>
      </c>
      <c r="AD196" s="310">
        <f t="shared" si="236"/>
        <v>0</v>
      </c>
      <c r="AE196" s="310">
        <f t="shared" si="236"/>
        <v>0</v>
      </c>
      <c r="AF196" s="310">
        <f t="shared" si="236"/>
        <v>0</v>
      </c>
      <c r="AG196" s="310">
        <f t="shared" si="236"/>
        <v>0</v>
      </c>
      <c r="AH196" s="310">
        <f t="shared" si="236"/>
        <v>0</v>
      </c>
      <c r="AI196" s="310">
        <f t="shared" si="236"/>
        <v>0</v>
      </c>
      <c r="AJ196" s="310">
        <f t="shared" si="236"/>
        <v>0</v>
      </c>
      <c r="AK196" s="310">
        <f t="shared" si="236"/>
        <v>0</v>
      </c>
      <c r="AL196" s="310">
        <f t="shared" si="236"/>
        <v>0</v>
      </c>
      <c r="AM196" s="310">
        <f t="shared" si="236"/>
        <v>0</v>
      </c>
      <c r="AN196" s="310">
        <f t="shared" si="237"/>
        <v>0</v>
      </c>
      <c r="AO196" s="310">
        <f t="shared" si="237"/>
        <v>0</v>
      </c>
      <c r="AP196" s="310">
        <f t="shared" si="237"/>
        <v>0</v>
      </c>
      <c r="AQ196" s="310">
        <f t="shared" si="237"/>
        <v>0</v>
      </c>
      <c r="AR196" s="310">
        <f t="shared" si="237"/>
        <v>0</v>
      </c>
      <c r="AS196" s="310">
        <f t="shared" si="237"/>
        <v>0</v>
      </c>
      <c r="AT196" s="310">
        <f t="shared" si="237"/>
        <v>0</v>
      </c>
      <c r="AU196" s="310">
        <f t="shared" si="237"/>
        <v>0</v>
      </c>
      <c r="AV196" s="310">
        <f t="shared" si="237"/>
        <v>0</v>
      </c>
      <c r="AW196" s="310">
        <f t="shared" si="237"/>
        <v>0</v>
      </c>
      <c r="AX196" s="310">
        <f t="shared" si="238"/>
        <v>0</v>
      </c>
      <c r="AY196" s="310">
        <f t="shared" si="238"/>
        <v>0</v>
      </c>
      <c r="AZ196" s="310">
        <f t="shared" si="238"/>
        <v>0</v>
      </c>
      <c r="BA196" s="310">
        <f t="shared" si="238"/>
        <v>0</v>
      </c>
      <c r="BB196" s="310">
        <f t="shared" si="238"/>
        <v>0</v>
      </c>
      <c r="BC196" s="310">
        <f t="shared" si="238"/>
        <v>0</v>
      </c>
      <c r="BD196" s="310">
        <f t="shared" si="238"/>
        <v>0</v>
      </c>
      <c r="BE196" s="310">
        <f t="shared" si="238"/>
        <v>0</v>
      </c>
      <c r="BF196" s="310">
        <f t="shared" si="238"/>
        <v>0</v>
      </c>
      <c r="BG196" s="310">
        <f t="shared" si="238"/>
        <v>0</v>
      </c>
      <c r="BI196" s="476">
        <f t="shared" si="233"/>
        <v>0</v>
      </c>
      <c r="BM196" s="310">
        <f t="shared" si="239"/>
        <v>0</v>
      </c>
      <c r="BN196" s="310">
        <f t="shared" si="239"/>
        <v>0</v>
      </c>
      <c r="BO196" s="310">
        <f t="shared" si="239"/>
        <v>0</v>
      </c>
      <c r="BP196" s="310">
        <f t="shared" si="239"/>
        <v>0</v>
      </c>
      <c r="BQ196" s="310">
        <f t="shared" si="239"/>
        <v>0</v>
      </c>
      <c r="BR196" s="310">
        <f t="shared" si="239"/>
        <v>0</v>
      </c>
      <c r="BS196" s="310">
        <f t="shared" si="239"/>
        <v>0</v>
      </c>
      <c r="BT196" s="310">
        <f t="shared" si="239"/>
        <v>0</v>
      </c>
      <c r="BU196" s="310">
        <f t="shared" si="239"/>
        <v>0</v>
      </c>
      <c r="BV196" s="310">
        <f t="shared" si="239"/>
        <v>0</v>
      </c>
      <c r="BX196" s="476">
        <f>SUM(BM196:BW196)</f>
        <v>0</v>
      </c>
    </row>
    <row r="197" spans="3:76">
      <c r="C197" t="s">
        <v>726</v>
      </c>
      <c r="O197" s="410">
        <f>GA!G508</f>
        <v>8.7500000000000008E-3</v>
      </c>
      <c r="R197" s="392"/>
      <c r="S197" s="392"/>
      <c r="T197" s="403">
        <f>-(GA!$G$499-SUM($S$181:S181))*$O$197*T$7/GA!$G$523</f>
        <v>-5590.2777777777783</v>
      </c>
      <c r="U197" s="403">
        <f>-(GA!$G$499-SUM($S$181:T181))*$O$197*U$7/GA!$G$523</f>
        <v>-3655.8572060307688</v>
      </c>
      <c r="V197" s="403">
        <f>-(GA!$G$499-SUM($S$181:U181))*$O$197*V$7/GA!$G$523</f>
        <v>0</v>
      </c>
      <c r="W197" s="403">
        <f>-(GA!$G$499-SUM($S$181:V181))*$O$197*W$7/GA!$G$523</f>
        <v>0</v>
      </c>
      <c r="X197" s="403">
        <f>-(GA!$G$499-SUM($S$181:W181))*$O$197*X$7/GA!$G$523</f>
        <v>0</v>
      </c>
      <c r="Y197" s="403">
        <f>-(GA!$G$499-SUM($S$181:X181))*$O$197*Y$7/GA!$G$523</f>
        <v>0</v>
      </c>
      <c r="Z197" s="403">
        <f>-(GA!$G$499-SUM($S$181:Y181))*$O$197*Z$7/GA!$G$523</f>
        <v>0</v>
      </c>
      <c r="AA197" s="403">
        <f>-(GA!$G$499-SUM($S$181:Z181))*$O$197*AA$7/GA!$G$523</f>
        <v>0</v>
      </c>
      <c r="AB197" s="403">
        <f>-(GA!$G$499-SUM($S$181:AA181))*$O$197*AB$7/GA!$G$523</f>
        <v>0</v>
      </c>
      <c r="AC197" s="403">
        <f>-(GA!$G$499-SUM($S$181:AB181))*$O$197*AC$7/GA!$G$523</f>
        <v>0</v>
      </c>
      <c r="AD197" s="403">
        <f>-(GA!$G$499-SUM($S$181:AC181))*$O$197*AD$7/GA!$G$523</f>
        <v>0</v>
      </c>
      <c r="AE197" s="403">
        <f>-(GA!$G$499-SUM($S$181:AD181))*$O$197*AE$7/GA!$G$523</f>
        <v>0</v>
      </c>
      <c r="AF197" s="403">
        <f>-(GA!$G$499-SUM($S$181:AE181))*$O$197*AF$7/GA!$G$523</f>
        <v>0</v>
      </c>
      <c r="AG197" s="403">
        <f>-(GA!$G$499-SUM($S$181:AF181))*$O$197*AG$7/GA!$G$523</f>
        <v>0</v>
      </c>
      <c r="AH197" s="403">
        <f>-(GA!$G$499-SUM($S$181:AG181))*$O$197*AH$7/GA!$G$523</f>
        <v>0</v>
      </c>
      <c r="AI197" s="403">
        <f>-(GA!$G$499-SUM($S$181:AH181))*$O$197*AI$7/GA!$G$523</f>
        <v>0</v>
      </c>
      <c r="AJ197" s="403">
        <f>-(GA!$G$499-SUM($S$181:AI181))*$O$197*AJ$7/GA!$G$523</f>
        <v>0</v>
      </c>
      <c r="AK197" s="403">
        <f>-(GA!$G$499-SUM($S$181:AJ181))*$O$197*AK$7/GA!$G$523</f>
        <v>0</v>
      </c>
      <c r="AL197" s="403">
        <f>-(GA!$G$499-SUM($S$181:AK181))*$O$197*AL$7/GA!$G$523</f>
        <v>0</v>
      </c>
      <c r="AM197" s="403">
        <f>-(GA!$G$499-SUM($S$181:AL181))*$O$197*AM$7/GA!$G$523</f>
        <v>0</v>
      </c>
      <c r="AN197" s="403">
        <f>-(GA!$G$499-SUM($S$181:AM181))*$O$197*AN$7/GA!$G$523</f>
        <v>0</v>
      </c>
      <c r="AO197" s="403">
        <f>-(GA!$G$499-SUM($S$181:AN181))*$O$197*AO$7/GA!$G$523</f>
        <v>0</v>
      </c>
      <c r="AP197" s="403">
        <f>-(GA!$G$499-SUM($S$181:AO181))*$O$197*AP$7/GA!$G$523</f>
        <v>0</v>
      </c>
      <c r="AQ197" s="403">
        <f>-(GA!$G$499-SUM($S$181:AP181))*$O$197*AQ$7/GA!$G$523</f>
        <v>0</v>
      </c>
      <c r="AR197" s="403">
        <f>-(GA!$G$499-SUM($S$181:AQ181))*$O$197*AR$7/GA!$G$523</f>
        <v>0</v>
      </c>
      <c r="AS197" s="403">
        <f>-(GA!$G$499-SUM($S$181:AR181))*$O$197*AS$7/GA!$G$523</f>
        <v>0</v>
      </c>
      <c r="AT197" s="403">
        <f>-(GA!$G$499-SUM($S$181:AS181))*$O$197*AT$7/GA!$G$523</f>
        <v>0</v>
      </c>
      <c r="AU197" s="403">
        <f>-(GA!$G$499-SUM($S$181:AT181))*$O$197*AU$7/GA!$G$523</f>
        <v>0</v>
      </c>
      <c r="AV197" s="403">
        <f>-(GA!$G$499-SUM($S$181:AU181))*$O$197*AV$7/GA!$G$523</f>
        <v>0</v>
      </c>
      <c r="AW197" s="403">
        <f>-(GA!$G$499-SUM($S$181:AV181))*$O$197*AW$7/GA!$G$523</f>
        <v>0</v>
      </c>
      <c r="AX197" s="403">
        <f>-(GA!$G$499-SUM($S$181:AW181))*$O$197*AX$7/GA!$G$523</f>
        <v>0</v>
      </c>
      <c r="AY197" s="403">
        <f>-(GA!$G$499-SUM($S$181:AX181))*$O$197*AY$7/GA!$G$523</f>
        <v>0</v>
      </c>
      <c r="AZ197" s="403">
        <f>-(GA!$G$499-SUM($S$181:AY181))*$O$197*AZ$7/GA!$G$523</f>
        <v>0</v>
      </c>
      <c r="BA197" s="403">
        <f>-(GA!$G$499-SUM($S$181:AZ181))*$O$197*BA$7/GA!$G$523</f>
        <v>0</v>
      </c>
      <c r="BB197" s="403">
        <f>-(GA!$G$499-SUM($S$181:BA181))*$O$197*BB$7/GA!$G$523</f>
        <v>0</v>
      </c>
      <c r="BC197" s="403">
        <f>-(GA!$G$499-SUM($S$181:BB181))*$O$197*BC$7/GA!$G$523</f>
        <v>0</v>
      </c>
      <c r="BD197" s="403">
        <f>-(GA!$G$499-SUM($S$181:BC181))*$O$197*BD$7/GA!$G$523</f>
        <v>0</v>
      </c>
      <c r="BE197" s="403">
        <f>-(GA!$G$499-SUM($S$181:BD181))*$O$197*BE$7/GA!$G$523</f>
        <v>0</v>
      </c>
      <c r="BF197" s="403">
        <f>-(GA!$G$499-SUM($S$181:BE181))*$O$197*BF$7/GA!$G$523</f>
        <v>0</v>
      </c>
      <c r="BG197" s="403">
        <f>-(GA!$G$499-SUM($S$181:BF181))*$O$197*BG$7/GA!$G$523</f>
        <v>0</v>
      </c>
      <c r="BI197" s="476">
        <f t="shared" si="233"/>
        <v>-9246.134983808548</v>
      </c>
      <c r="BM197" s="310">
        <f t="shared" si="239"/>
        <v>-9246.134983808548</v>
      </c>
      <c r="BN197" s="310">
        <f t="shared" si="239"/>
        <v>0</v>
      </c>
      <c r="BO197" s="310">
        <f t="shared" si="239"/>
        <v>0</v>
      </c>
      <c r="BP197" s="310">
        <f t="shared" si="239"/>
        <v>0</v>
      </c>
      <c r="BQ197" s="310">
        <f t="shared" si="239"/>
        <v>0</v>
      </c>
      <c r="BR197" s="310">
        <f t="shared" si="239"/>
        <v>0</v>
      </c>
      <c r="BS197" s="310">
        <f t="shared" si="239"/>
        <v>0</v>
      </c>
      <c r="BT197" s="310">
        <f t="shared" si="239"/>
        <v>0</v>
      </c>
      <c r="BU197" s="310">
        <f t="shared" si="239"/>
        <v>0</v>
      </c>
      <c r="BV197" s="310">
        <f t="shared" si="239"/>
        <v>0</v>
      </c>
      <c r="BX197" s="476">
        <f>SUM(BM197:BW197)</f>
        <v>-9246.134983808548</v>
      </c>
    </row>
    <row r="198" spans="3:76">
      <c r="C198" t="s">
        <v>727</v>
      </c>
      <c r="R198" s="392"/>
      <c r="S198" s="392"/>
      <c r="T198" s="403">
        <f>T183*INDEX(GA!$V$526:$V$565,MATCH(T$5,GA!$E$526:$E$565,0))</f>
        <v>0</v>
      </c>
      <c r="U198" s="403">
        <f>U183*INDEX(GA!$V$526:$V$565,MATCH(U$5,GA!$E$526:$E$565,0))</f>
        <v>0</v>
      </c>
      <c r="V198" s="403">
        <f>V183*INDEX(GA!$V$526:$V$565,MATCH(V$5,GA!$E$526:$E$565,0))</f>
        <v>0</v>
      </c>
      <c r="W198" s="403">
        <f>W183*INDEX(GA!$V$526:$V$565,MATCH(W$5,GA!$E$526:$E$565,0))</f>
        <v>0</v>
      </c>
      <c r="X198" s="403">
        <f>X183*INDEX(GA!$V$526:$V$565,MATCH(X$5,GA!$E$526:$E$565,0))</f>
        <v>0</v>
      </c>
      <c r="Y198" s="403">
        <f>Y183*INDEX(GA!$V$526:$V$565,MATCH(Y$5,GA!$E$526:$E$565,0))</f>
        <v>0</v>
      </c>
      <c r="Z198" s="403">
        <f>Z183*INDEX(GA!$V$526:$V$565,MATCH(Z$5,GA!$E$526:$E$565,0))</f>
        <v>0</v>
      </c>
      <c r="AA198" s="403">
        <f>AA183*INDEX(GA!$V$526:$V$565,MATCH(AA$5,GA!$E$526:$E$565,0))</f>
        <v>0</v>
      </c>
      <c r="AB198" s="403">
        <f>AB183*INDEX(GA!$V$526:$V$565,MATCH(AB$5,GA!$E$526:$E$565,0))</f>
        <v>0</v>
      </c>
      <c r="AC198" s="403">
        <f>AC183*INDEX(GA!$V$526:$V$565,MATCH(AC$5,GA!$E$526:$E$565,0))</f>
        <v>0</v>
      </c>
      <c r="AD198" s="403">
        <f>AD183*INDEX(GA!$V$526:$V$565,MATCH(AD$5,GA!$E$526:$E$565,0))</f>
        <v>0</v>
      </c>
      <c r="AE198" s="403">
        <f>AE183*INDEX(GA!$V$526:$V$565,MATCH(AE$5,GA!$E$526:$E$565,0))</f>
        <v>0</v>
      </c>
      <c r="AF198" s="403">
        <f>AF183*INDEX(GA!$V$526:$V$565,MATCH(AF$5,GA!$E$526:$E$565,0))</f>
        <v>0</v>
      </c>
      <c r="AG198" s="403">
        <f>AG183*INDEX(GA!$V$526:$V$565,MATCH(AG$5,GA!$E$526:$E$565,0))</f>
        <v>0</v>
      </c>
      <c r="AH198" s="403">
        <f>AH183*INDEX(GA!$V$526:$V$565,MATCH(AH$5,GA!$E$526:$E$565,0))</f>
        <v>0</v>
      </c>
      <c r="AI198" s="403">
        <f>AI183*INDEX(GA!$V$526:$V$565,MATCH(AI$5,GA!$E$526:$E$565,0))</f>
        <v>0</v>
      </c>
      <c r="AJ198" s="403">
        <f>AJ183*INDEX(GA!$V$526:$V$565,MATCH(AJ$5,GA!$E$526:$E$565,0))</f>
        <v>0</v>
      </c>
      <c r="AK198" s="403">
        <f>AK183*INDEX(GA!$V$526:$V$565,MATCH(AK$5,GA!$E$526:$E$565,0))</f>
        <v>0</v>
      </c>
      <c r="AL198" s="403">
        <f>AL183*INDEX(GA!$V$526:$V$565,MATCH(AL$5,GA!$E$526:$E$565,0))</f>
        <v>0</v>
      </c>
      <c r="AM198" s="403">
        <f>AM183*INDEX(GA!$V$526:$V$565,MATCH(AM$5,GA!$E$526:$E$565,0))</f>
        <v>0</v>
      </c>
      <c r="AN198" s="403">
        <f>AN183*INDEX(GA!$V$526:$V$565,MATCH(AN$5,GA!$E$526:$E$565,0))</f>
        <v>0</v>
      </c>
      <c r="AO198" s="403">
        <f>AO183*INDEX(GA!$V$526:$V$565,MATCH(AO$5,GA!$E$526:$E$565,0))</f>
        <v>0</v>
      </c>
      <c r="AP198" s="403">
        <f>AP183*INDEX(GA!$V$526:$V$565,MATCH(AP$5,GA!$E$526:$E$565,0))</f>
        <v>0</v>
      </c>
      <c r="AQ198" s="403">
        <f>AQ183*INDEX(GA!$V$526:$V$565,MATCH(AQ$5,GA!$E$526:$E$565,0))</f>
        <v>0</v>
      </c>
      <c r="AR198" s="403">
        <f>AR183*INDEX(GA!$V$526:$V$565,MATCH(AR$5,GA!$E$526:$E$565,0))</f>
        <v>0</v>
      </c>
      <c r="AS198" s="403">
        <f>AS183*INDEX(GA!$V$526:$V$565,MATCH(AS$5,GA!$E$526:$E$565,0))</f>
        <v>0</v>
      </c>
      <c r="AT198" s="403">
        <f>AT183*INDEX(GA!$V$526:$V$565,MATCH(AT$5,GA!$E$526:$E$565,0))</f>
        <v>0</v>
      </c>
      <c r="AU198" s="403">
        <f>AU183*INDEX(GA!$V$526:$V$565,MATCH(AU$5,GA!$E$526:$E$565,0))</f>
        <v>0</v>
      </c>
      <c r="AV198" s="403">
        <f>AV183*INDEX(GA!$V$526:$V$565,MATCH(AV$5,GA!$E$526:$E$565,0))</f>
        <v>0</v>
      </c>
      <c r="AW198" s="403">
        <f>AW183*INDEX(GA!$V$526:$V$565,MATCH(AW$5,GA!$E$526:$E$565,0))</f>
        <v>0</v>
      </c>
      <c r="AX198" s="403">
        <f>AX183*INDEX(GA!$V$526:$V$565,MATCH(AX$5,GA!$E$526:$E$565,0))</f>
        <v>0</v>
      </c>
      <c r="AY198" s="403">
        <f>AY183*INDEX(GA!$V$526:$V$565,MATCH(AY$5,GA!$E$526:$E$565,0))</f>
        <v>0</v>
      </c>
      <c r="AZ198" s="403">
        <f>AZ183*INDEX(GA!$V$526:$V$565,MATCH(AZ$5,GA!$E$526:$E$565,0))</f>
        <v>0</v>
      </c>
      <c r="BA198" s="403">
        <f>BA183*INDEX(GA!$V$526:$V$565,MATCH(BA$5,GA!$E$526:$E$565,0))</f>
        <v>0</v>
      </c>
      <c r="BB198" s="403">
        <f>BB183*INDEX(GA!$V$526:$V$565,MATCH(BB$5,GA!$E$526:$E$565,0))</f>
        <v>0</v>
      </c>
      <c r="BC198" s="403">
        <f>BC183*INDEX(GA!$V$526:$V$565,MATCH(BC$5,GA!$E$526:$E$565,0))</f>
        <v>0</v>
      </c>
      <c r="BD198" s="403">
        <f>BD183*INDEX(GA!$V$526:$V$565,MATCH(BD$5,GA!$E$526:$E$565,0))</f>
        <v>0</v>
      </c>
      <c r="BE198" s="403">
        <f>BE183*INDEX(GA!$V$526:$V$565,MATCH(BE$5,GA!$E$526:$E$565,0))</f>
        <v>0</v>
      </c>
      <c r="BF198" s="403">
        <f>BF183*INDEX(GA!$V$526:$V$565,MATCH(BF$5,GA!$E$526:$E$565,0))</f>
        <v>0</v>
      </c>
      <c r="BG198" s="403">
        <f>BG183*INDEX(GA!$V$526:$V$565,MATCH(BG$5,GA!$E$526:$E$565,0))</f>
        <v>0</v>
      </c>
      <c r="BI198" s="476">
        <f t="shared" si="233"/>
        <v>0</v>
      </c>
      <c r="BM198" s="310">
        <f t="shared" si="239"/>
        <v>0</v>
      </c>
      <c r="BN198" s="310">
        <f t="shared" si="239"/>
        <v>0</v>
      </c>
      <c r="BO198" s="310">
        <f t="shared" si="239"/>
        <v>0</v>
      </c>
      <c r="BP198" s="310">
        <f t="shared" si="239"/>
        <v>0</v>
      </c>
      <c r="BQ198" s="310">
        <f t="shared" si="239"/>
        <v>0</v>
      </c>
      <c r="BR198" s="310">
        <f t="shared" si="239"/>
        <v>0</v>
      </c>
      <c r="BS198" s="310">
        <f t="shared" si="239"/>
        <v>0</v>
      </c>
      <c r="BT198" s="310">
        <f t="shared" si="239"/>
        <v>0</v>
      </c>
      <c r="BU198" s="310">
        <f t="shared" si="239"/>
        <v>0</v>
      </c>
      <c r="BV198" s="310">
        <f t="shared" si="239"/>
        <v>0</v>
      </c>
      <c r="BX198" s="476">
        <f>SUM(BM198:BW198)</f>
        <v>0</v>
      </c>
    </row>
    <row r="199" spans="3:76">
      <c r="C199" s="253" t="s">
        <v>728</v>
      </c>
      <c r="D199" s="253"/>
      <c r="E199" s="253"/>
      <c r="F199" s="253"/>
      <c r="G199" s="253"/>
      <c r="H199" s="253"/>
      <c r="I199" s="253"/>
      <c r="J199" s="253"/>
      <c r="K199" s="253"/>
      <c r="L199" s="253"/>
      <c r="M199" s="253"/>
      <c r="N199" s="253"/>
      <c r="O199" s="268"/>
      <c r="P199" s="268"/>
      <c r="Q199" s="268"/>
      <c r="R199" s="153"/>
      <c r="S199" s="367">
        <f t="shared" ref="S199:BG199" si="240">SUM(S194:S198)</f>
        <v>0</v>
      </c>
      <c r="T199" s="367">
        <f t="shared" si="240"/>
        <v>-24340.277777777777</v>
      </c>
      <c r="U199" s="367">
        <f t="shared" si="240"/>
        <v>-3655.8572060307688</v>
      </c>
      <c r="V199" s="367">
        <f t="shared" si="240"/>
        <v>0</v>
      </c>
      <c r="W199" s="367">
        <f t="shared" si="240"/>
        <v>0</v>
      </c>
      <c r="X199" s="367">
        <f t="shared" si="240"/>
        <v>0</v>
      </c>
      <c r="Y199" s="367">
        <f t="shared" si="240"/>
        <v>0</v>
      </c>
      <c r="Z199" s="367">
        <f t="shared" si="240"/>
        <v>0</v>
      </c>
      <c r="AA199" s="367">
        <f t="shared" si="240"/>
        <v>0</v>
      </c>
      <c r="AB199" s="367">
        <f t="shared" si="240"/>
        <v>0</v>
      </c>
      <c r="AC199" s="367">
        <f t="shared" si="240"/>
        <v>0</v>
      </c>
      <c r="AD199" s="367">
        <f t="shared" si="240"/>
        <v>0</v>
      </c>
      <c r="AE199" s="367">
        <f t="shared" si="240"/>
        <v>0</v>
      </c>
      <c r="AF199" s="367">
        <f t="shared" si="240"/>
        <v>0</v>
      </c>
      <c r="AG199" s="367">
        <f t="shared" si="240"/>
        <v>0</v>
      </c>
      <c r="AH199" s="367">
        <f t="shared" si="240"/>
        <v>0</v>
      </c>
      <c r="AI199" s="367">
        <f t="shared" si="240"/>
        <v>0</v>
      </c>
      <c r="AJ199" s="367">
        <f t="shared" si="240"/>
        <v>0</v>
      </c>
      <c r="AK199" s="367">
        <f t="shared" si="240"/>
        <v>0</v>
      </c>
      <c r="AL199" s="367">
        <f t="shared" si="240"/>
        <v>0</v>
      </c>
      <c r="AM199" s="367">
        <f t="shared" si="240"/>
        <v>0</v>
      </c>
      <c r="AN199" s="367">
        <f t="shared" si="240"/>
        <v>0</v>
      </c>
      <c r="AO199" s="367">
        <f t="shared" si="240"/>
        <v>0</v>
      </c>
      <c r="AP199" s="367">
        <f t="shared" si="240"/>
        <v>0</v>
      </c>
      <c r="AQ199" s="367">
        <f t="shared" si="240"/>
        <v>0</v>
      </c>
      <c r="AR199" s="367">
        <f t="shared" si="240"/>
        <v>0</v>
      </c>
      <c r="AS199" s="367">
        <f t="shared" si="240"/>
        <v>0</v>
      </c>
      <c r="AT199" s="367">
        <f t="shared" si="240"/>
        <v>0</v>
      </c>
      <c r="AU199" s="367">
        <f t="shared" si="240"/>
        <v>0</v>
      </c>
      <c r="AV199" s="367">
        <f t="shared" si="240"/>
        <v>0</v>
      </c>
      <c r="AW199" s="367">
        <f t="shared" si="240"/>
        <v>0</v>
      </c>
      <c r="AX199" s="367">
        <f t="shared" si="240"/>
        <v>0</v>
      </c>
      <c r="AY199" s="367">
        <f t="shared" si="240"/>
        <v>0</v>
      </c>
      <c r="AZ199" s="367">
        <f t="shared" si="240"/>
        <v>0</v>
      </c>
      <c r="BA199" s="367">
        <f t="shared" si="240"/>
        <v>0</v>
      </c>
      <c r="BB199" s="367">
        <f t="shared" si="240"/>
        <v>0</v>
      </c>
      <c r="BC199" s="367">
        <f t="shared" si="240"/>
        <v>0</v>
      </c>
      <c r="BD199" s="367">
        <f t="shared" si="240"/>
        <v>0</v>
      </c>
      <c r="BE199" s="367">
        <f t="shared" si="240"/>
        <v>0</v>
      </c>
      <c r="BF199" s="367">
        <f t="shared" si="240"/>
        <v>0</v>
      </c>
      <c r="BG199" s="367">
        <f t="shared" si="240"/>
        <v>0</v>
      </c>
      <c r="BI199" s="254">
        <f t="shared" si="233"/>
        <v>-27996.134983808544</v>
      </c>
      <c r="BM199" s="254">
        <f>SUMIF($S$8:$BG$8,BM$6,$S199:$BG199)</f>
        <v>-27996.134983808544</v>
      </c>
      <c r="BN199" s="254">
        <f t="shared" ref="BN199:BV199" si="241">SUMIF($T$8:$BG$8,BN$6,$T199:$BG199)</f>
        <v>0</v>
      </c>
      <c r="BO199" s="254">
        <f t="shared" si="241"/>
        <v>0</v>
      </c>
      <c r="BP199" s="254">
        <f t="shared" si="241"/>
        <v>0</v>
      </c>
      <c r="BQ199" s="254">
        <f t="shared" si="241"/>
        <v>0</v>
      </c>
      <c r="BR199" s="254">
        <f t="shared" si="241"/>
        <v>0</v>
      </c>
      <c r="BS199" s="254">
        <f t="shared" si="241"/>
        <v>0</v>
      </c>
      <c r="BT199" s="254">
        <f t="shared" si="241"/>
        <v>0</v>
      </c>
      <c r="BU199" s="254">
        <f t="shared" si="241"/>
        <v>0</v>
      </c>
      <c r="BV199" s="254">
        <f t="shared" si="241"/>
        <v>0</v>
      </c>
      <c r="BX199" s="254">
        <f>SUM(BM199:BV199)</f>
        <v>-27996.134983808544</v>
      </c>
    </row>
    <row r="201" spans="3:76">
      <c r="C201" t="s">
        <v>729</v>
      </c>
      <c r="S201" s="403">
        <f>-GA!G506</f>
        <v>-47000</v>
      </c>
      <c r="T201" s="392"/>
      <c r="U201" s="392"/>
      <c r="V201" s="392"/>
      <c r="W201" s="392"/>
      <c r="X201" s="392"/>
      <c r="Y201" s="392"/>
      <c r="Z201" s="392"/>
      <c r="AA201" s="392"/>
      <c r="AB201" s="392"/>
      <c r="AC201" s="392"/>
      <c r="AD201" s="392"/>
      <c r="AE201" s="392"/>
      <c r="AF201" s="392"/>
      <c r="AG201" s="392"/>
      <c r="AH201" s="392"/>
      <c r="AI201" s="392"/>
      <c r="AJ201" s="392"/>
      <c r="AK201" s="392"/>
      <c r="AL201" s="392"/>
      <c r="AM201" s="392"/>
      <c r="AN201" s="392"/>
      <c r="AO201" s="392"/>
      <c r="AP201" s="392"/>
      <c r="AQ201" s="392"/>
      <c r="AR201" s="392"/>
      <c r="AS201" s="392"/>
      <c r="AT201" s="392"/>
      <c r="AU201" s="392"/>
      <c r="AV201" s="392"/>
      <c r="AW201" s="392"/>
      <c r="AX201" s="392"/>
      <c r="AY201" s="392"/>
      <c r="AZ201" s="392"/>
      <c r="BA201" s="392"/>
      <c r="BB201" s="392"/>
      <c r="BC201" s="392"/>
      <c r="BD201" s="392"/>
      <c r="BE201" s="392"/>
      <c r="BF201" s="392"/>
      <c r="BG201" s="392"/>
      <c r="BI201" s="1073">
        <f>SUM(S201)</f>
        <v>-47000</v>
      </c>
      <c r="BM201" s="1073">
        <f t="shared" ref="BM201:BV201" si="242">SUMIF($T$8:$BG$8,BM$6,$T201:$BG201)</f>
        <v>0</v>
      </c>
      <c r="BN201" s="1073">
        <f t="shared" si="242"/>
        <v>0</v>
      </c>
      <c r="BO201" s="1073">
        <f t="shared" si="242"/>
        <v>0</v>
      </c>
      <c r="BP201" s="1073">
        <f t="shared" si="242"/>
        <v>0</v>
      </c>
      <c r="BQ201" s="1073">
        <f t="shared" si="242"/>
        <v>0</v>
      </c>
      <c r="BR201" s="1073">
        <f t="shared" si="242"/>
        <v>0</v>
      </c>
      <c r="BS201" s="1073">
        <f t="shared" si="242"/>
        <v>0</v>
      </c>
      <c r="BT201" s="1073">
        <f t="shared" si="242"/>
        <v>0</v>
      </c>
      <c r="BU201" s="1073">
        <f t="shared" si="242"/>
        <v>0</v>
      </c>
      <c r="BV201" s="1073">
        <f t="shared" si="242"/>
        <v>0</v>
      </c>
      <c r="BX201" s="1073">
        <f>SUM(BM201:BW201)</f>
        <v>0</v>
      </c>
    </row>
    <row r="203" spans="3:76">
      <c r="C203" s="253" t="s">
        <v>1427</v>
      </c>
      <c r="D203" s="253"/>
      <c r="E203" s="253"/>
      <c r="F203" s="253"/>
      <c r="G203" s="253"/>
      <c r="H203" s="253"/>
      <c r="I203" s="253"/>
      <c r="J203" s="253"/>
      <c r="K203" s="253"/>
      <c r="L203" s="253"/>
      <c r="M203" s="253"/>
      <c r="N203" s="253"/>
      <c r="O203" s="268"/>
      <c r="P203" s="268"/>
      <c r="Q203" s="268"/>
      <c r="R203" s="153"/>
      <c r="S203" s="254">
        <f>S199+S201+S191+SUM(S181:S184)</f>
        <v>-47000</v>
      </c>
      <c r="T203" s="254">
        <f t="shared" ref="T203:BG203" si="243">T199+T201+T191+SUM(T181:T184)</f>
        <v>840742.21393517032</v>
      </c>
      <c r="U203" s="254">
        <f>U199+U201+U191+SUM(U181:U184)</f>
        <v>1614892.8099375269</v>
      </c>
      <c r="V203" s="254">
        <f t="shared" si="243"/>
        <v>-23503.732638888891</v>
      </c>
      <c r="W203" s="254">
        <f t="shared" si="243"/>
        <v>-23328.125</v>
      </c>
      <c r="X203" s="254">
        <f t="shared" si="243"/>
        <v>-23512.847222222223</v>
      </c>
      <c r="Y203" s="254">
        <f t="shared" si="243"/>
        <v>-23456.944444444445</v>
      </c>
      <c r="Z203" s="254">
        <f t="shared" si="243"/>
        <v>-23282.552083333336</v>
      </c>
      <c r="AA203" s="254">
        <f t="shared" si="243"/>
        <v>-23109.375</v>
      </c>
      <c r="AB203" s="254">
        <f t="shared" si="243"/>
        <v>-23289.236111111113</v>
      </c>
      <c r="AC203" s="254">
        <f t="shared" si="243"/>
        <v>-23233.333333333336</v>
      </c>
      <c r="AD203" s="254">
        <f t="shared" si="243"/>
        <v>-23061.371527777781</v>
      </c>
      <c r="AE203" s="254">
        <f t="shared" si="243"/>
        <v>-2385506.076388889</v>
      </c>
      <c r="AF203" s="254">
        <f t="shared" si="243"/>
        <v>0</v>
      </c>
      <c r="AG203" s="254">
        <f t="shared" si="243"/>
        <v>0</v>
      </c>
      <c r="AH203" s="254">
        <f t="shared" si="243"/>
        <v>0</v>
      </c>
      <c r="AI203" s="254">
        <f t="shared" si="243"/>
        <v>0</v>
      </c>
      <c r="AJ203" s="254">
        <f t="shared" si="243"/>
        <v>0</v>
      </c>
      <c r="AK203" s="254">
        <f t="shared" si="243"/>
        <v>0</v>
      </c>
      <c r="AL203" s="254">
        <f t="shared" si="243"/>
        <v>0</v>
      </c>
      <c r="AM203" s="254">
        <f t="shared" si="243"/>
        <v>0</v>
      </c>
      <c r="AN203" s="254">
        <f t="shared" si="243"/>
        <v>0</v>
      </c>
      <c r="AO203" s="254">
        <f t="shared" si="243"/>
        <v>0</v>
      </c>
      <c r="AP203" s="254">
        <f t="shared" si="243"/>
        <v>0</v>
      </c>
      <c r="AQ203" s="254">
        <f t="shared" si="243"/>
        <v>0</v>
      </c>
      <c r="AR203" s="254">
        <f t="shared" si="243"/>
        <v>0</v>
      </c>
      <c r="AS203" s="254">
        <f t="shared" si="243"/>
        <v>0</v>
      </c>
      <c r="AT203" s="254">
        <f t="shared" si="243"/>
        <v>0</v>
      </c>
      <c r="AU203" s="254">
        <f t="shared" si="243"/>
        <v>0</v>
      </c>
      <c r="AV203" s="254">
        <f t="shared" si="243"/>
        <v>0</v>
      </c>
      <c r="AW203" s="254">
        <f t="shared" si="243"/>
        <v>0</v>
      </c>
      <c r="AX203" s="254">
        <f t="shared" si="243"/>
        <v>0</v>
      </c>
      <c r="AY203" s="254">
        <f t="shared" si="243"/>
        <v>0</v>
      </c>
      <c r="AZ203" s="254">
        <f t="shared" si="243"/>
        <v>0</v>
      </c>
      <c r="BA203" s="254">
        <f t="shared" si="243"/>
        <v>0</v>
      </c>
      <c r="BB203" s="254">
        <f t="shared" si="243"/>
        <v>0</v>
      </c>
      <c r="BC203" s="254">
        <f t="shared" si="243"/>
        <v>0</v>
      </c>
      <c r="BD203" s="254">
        <f t="shared" si="243"/>
        <v>0</v>
      </c>
      <c r="BE203" s="254">
        <f t="shared" si="243"/>
        <v>0</v>
      </c>
      <c r="BF203" s="254">
        <f t="shared" si="243"/>
        <v>0</v>
      </c>
      <c r="BG203" s="254">
        <f t="shared" si="243"/>
        <v>0</v>
      </c>
      <c r="BI203" s="254">
        <f>SUM(S203:BG203)</f>
        <v>-186648.56987730321</v>
      </c>
      <c r="BM203" s="254">
        <f t="shared" ref="BM203:BV203" si="244">SUMIF($T$8:$BG$8,BM$6,$T203:$BG203)</f>
        <v>2408803.1662338083</v>
      </c>
      <c r="BN203" s="254">
        <f t="shared" si="244"/>
        <v>-93361.71875</v>
      </c>
      <c r="BO203" s="254">
        <f t="shared" si="244"/>
        <v>-2455090.017361111</v>
      </c>
      <c r="BP203" s="254">
        <f t="shared" si="244"/>
        <v>0</v>
      </c>
      <c r="BQ203" s="254">
        <f t="shared" si="244"/>
        <v>0</v>
      </c>
      <c r="BR203" s="254">
        <f t="shared" si="244"/>
        <v>0</v>
      </c>
      <c r="BS203" s="254">
        <f t="shared" si="244"/>
        <v>0</v>
      </c>
      <c r="BT203" s="254">
        <f t="shared" si="244"/>
        <v>0</v>
      </c>
      <c r="BU203" s="254">
        <f t="shared" si="244"/>
        <v>0</v>
      </c>
      <c r="BV203" s="254">
        <f t="shared" si="244"/>
        <v>0</v>
      </c>
      <c r="BX203" s="254">
        <f>SUM(BM203:BV203)</f>
        <v>-139648.56987730274</v>
      </c>
    </row>
    <row r="205" spans="3:76">
      <c r="C205" s="253" t="s">
        <v>730</v>
      </c>
      <c r="D205" s="253"/>
      <c r="E205" s="253"/>
      <c r="F205" s="253"/>
      <c r="G205" s="253"/>
      <c r="H205" s="253"/>
      <c r="I205" s="253"/>
      <c r="J205" s="253"/>
      <c r="K205" s="253"/>
      <c r="L205" s="253"/>
      <c r="M205" s="253"/>
      <c r="N205" s="253"/>
      <c r="O205" s="253"/>
      <c r="P205" s="253"/>
      <c r="Q205" s="253"/>
      <c r="R205" s="254">
        <f>R176+R203</f>
        <v>-126000</v>
      </c>
      <c r="S205" s="254">
        <f t="shared" ref="S205:BG205" si="245">S176+S203</f>
        <v>-2278438.2092934325</v>
      </c>
      <c r="T205" s="254">
        <f t="shared" si="245"/>
        <v>-811819.03207949619</v>
      </c>
      <c r="U205" s="254">
        <f t="shared" si="245"/>
        <v>10302.905500140972</v>
      </c>
      <c r="V205" s="254">
        <f t="shared" si="245"/>
        <v>28500.922636107687</v>
      </c>
      <c r="W205" s="254">
        <f t="shared" si="245"/>
        <v>28732.99374999998</v>
      </c>
      <c r="X205" s="254">
        <f t="shared" si="245"/>
        <v>28604.598875868989</v>
      </c>
      <c r="Y205" s="254">
        <f t="shared" si="245"/>
        <v>28716.691420764699</v>
      </c>
      <c r="Z205" s="254">
        <f t="shared" si="245"/>
        <v>28947.134505287315</v>
      </c>
      <c r="AA205" s="254">
        <f t="shared" si="245"/>
        <v>29176.221796874961</v>
      </c>
      <c r="AB205" s="254">
        <f t="shared" si="245"/>
        <v>29052.128898646402</v>
      </c>
      <c r="AC205" s="254">
        <f t="shared" si="245"/>
        <v>29163.656404910515</v>
      </c>
      <c r="AD205" s="254">
        <f t="shared" si="245"/>
        <v>29391.097956675381</v>
      </c>
      <c r="AE205" s="254">
        <f t="shared" si="245"/>
        <v>1343824.6533783348</v>
      </c>
      <c r="AF205" s="254">
        <f t="shared" si="245"/>
        <v>0</v>
      </c>
      <c r="AG205" s="254">
        <f t="shared" si="245"/>
        <v>0</v>
      </c>
      <c r="AH205" s="254">
        <f t="shared" si="245"/>
        <v>0</v>
      </c>
      <c r="AI205" s="254">
        <f t="shared" si="245"/>
        <v>0</v>
      </c>
      <c r="AJ205" s="254">
        <f t="shared" si="245"/>
        <v>0</v>
      </c>
      <c r="AK205" s="254">
        <f t="shared" si="245"/>
        <v>0</v>
      </c>
      <c r="AL205" s="254">
        <f t="shared" si="245"/>
        <v>0</v>
      </c>
      <c r="AM205" s="254">
        <f t="shared" si="245"/>
        <v>0</v>
      </c>
      <c r="AN205" s="254">
        <f t="shared" si="245"/>
        <v>0</v>
      </c>
      <c r="AO205" s="254">
        <f t="shared" si="245"/>
        <v>0</v>
      </c>
      <c r="AP205" s="254">
        <f t="shared" si="245"/>
        <v>0</v>
      </c>
      <c r="AQ205" s="254">
        <f t="shared" si="245"/>
        <v>0</v>
      </c>
      <c r="AR205" s="254">
        <f t="shared" si="245"/>
        <v>0</v>
      </c>
      <c r="AS205" s="254">
        <f t="shared" si="245"/>
        <v>0</v>
      </c>
      <c r="AT205" s="254">
        <f t="shared" si="245"/>
        <v>0</v>
      </c>
      <c r="AU205" s="254">
        <f t="shared" si="245"/>
        <v>0</v>
      </c>
      <c r="AV205" s="254">
        <f t="shared" si="245"/>
        <v>0</v>
      </c>
      <c r="AW205" s="254">
        <f t="shared" si="245"/>
        <v>0</v>
      </c>
      <c r="AX205" s="254">
        <f t="shared" si="245"/>
        <v>0</v>
      </c>
      <c r="AY205" s="254">
        <f t="shared" si="245"/>
        <v>0</v>
      </c>
      <c r="AZ205" s="254">
        <f t="shared" si="245"/>
        <v>0</v>
      </c>
      <c r="BA205" s="254">
        <f t="shared" si="245"/>
        <v>0</v>
      </c>
      <c r="BB205" s="254">
        <f t="shared" si="245"/>
        <v>0</v>
      </c>
      <c r="BC205" s="254">
        <f t="shared" si="245"/>
        <v>0</v>
      </c>
      <c r="BD205" s="254">
        <f t="shared" si="245"/>
        <v>0</v>
      </c>
      <c r="BE205" s="254">
        <f t="shared" si="245"/>
        <v>0</v>
      </c>
      <c r="BF205" s="254">
        <f t="shared" si="245"/>
        <v>0</v>
      </c>
      <c r="BG205" s="254">
        <f t="shared" si="245"/>
        <v>0</v>
      </c>
      <c r="BI205" s="254">
        <f>SUM(R205:BG205)</f>
        <v>-1601844.2362493174</v>
      </c>
      <c r="BM205" s="254">
        <f t="shared" ref="BM205:BV205" si="246">SUMIF($T$8:$BG$8,BM$6,$T205:$BG205)</f>
        <v>-744282.21019324753</v>
      </c>
      <c r="BN205" s="254">
        <f t="shared" si="246"/>
        <v>115444.64659879597</v>
      </c>
      <c r="BO205" s="254">
        <f t="shared" si="246"/>
        <v>1431431.5366385672</v>
      </c>
      <c r="BP205" s="254">
        <f t="shared" si="246"/>
        <v>0</v>
      </c>
      <c r="BQ205" s="254">
        <f t="shared" si="246"/>
        <v>0</v>
      </c>
      <c r="BR205" s="254">
        <f t="shared" si="246"/>
        <v>0</v>
      </c>
      <c r="BS205" s="254">
        <f t="shared" si="246"/>
        <v>0</v>
      </c>
      <c r="BT205" s="254">
        <f t="shared" si="246"/>
        <v>0</v>
      </c>
      <c r="BU205" s="254">
        <f t="shared" si="246"/>
        <v>0</v>
      </c>
      <c r="BV205" s="254">
        <f t="shared" si="246"/>
        <v>0</v>
      </c>
      <c r="BX205" s="254">
        <f>SUM(BM205:BV205)</f>
        <v>802593.9730441157</v>
      </c>
    </row>
    <row r="208" spans="3:76">
      <c r="C208" s="391" t="s">
        <v>697</v>
      </c>
      <c r="D208" s="391"/>
      <c r="E208" s="391"/>
      <c r="F208" s="391"/>
      <c r="G208" s="391"/>
      <c r="H208" s="391"/>
      <c r="I208" s="391"/>
      <c r="J208" s="391"/>
      <c r="K208" s="391"/>
      <c r="L208" s="391"/>
      <c r="M208" s="391"/>
      <c r="N208" s="391"/>
      <c r="O208" s="391"/>
      <c r="P208" s="391"/>
      <c r="Q208" s="391"/>
      <c r="R208" s="391"/>
      <c r="S208" s="391"/>
      <c r="T208" s="391"/>
      <c r="U208" s="391"/>
      <c r="V208" s="391"/>
      <c r="W208" s="391"/>
      <c r="X208" s="391"/>
      <c r="Y208" s="391"/>
      <c r="Z208" s="391"/>
      <c r="AA208" s="391"/>
      <c r="AB208" s="391"/>
      <c r="AC208" s="391"/>
      <c r="AD208" s="391"/>
      <c r="AE208" s="391"/>
      <c r="AF208" s="391"/>
      <c r="AG208" s="391"/>
      <c r="AH208" s="391"/>
      <c r="AI208" s="391"/>
      <c r="AJ208" s="391"/>
      <c r="AK208" s="391"/>
      <c r="AL208" s="391"/>
      <c r="AM208" s="391"/>
      <c r="AN208" s="391"/>
      <c r="AO208" s="391"/>
      <c r="AP208" s="391"/>
      <c r="AQ208" s="391"/>
      <c r="AR208" s="391"/>
      <c r="AS208" s="391"/>
      <c r="AT208" s="391"/>
      <c r="AU208" s="391"/>
      <c r="AV208" s="391"/>
      <c r="AW208" s="391"/>
      <c r="AX208" s="391"/>
      <c r="AY208" s="391"/>
      <c r="AZ208" s="391"/>
      <c r="BA208" s="391"/>
      <c r="BB208" s="391"/>
      <c r="BC208" s="391"/>
      <c r="BD208" s="391"/>
      <c r="BE208" s="391"/>
      <c r="BF208" s="391"/>
      <c r="BG208" s="391"/>
      <c r="BI208" s="391"/>
      <c r="BM208" s="1073"/>
      <c r="BN208" s="1073"/>
      <c r="BO208" s="1073"/>
      <c r="BP208" s="1073"/>
      <c r="BQ208" s="1073"/>
      <c r="BR208" s="1073"/>
      <c r="BS208" s="1073"/>
      <c r="BT208" s="1073"/>
      <c r="BU208" s="1073"/>
      <c r="BV208" s="1073"/>
      <c r="BX208" s="1073"/>
    </row>
    <row r="210" spans="3:76">
      <c r="C210" s="253" t="s">
        <v>692</v>
      </c>
      <c r="D210" s="253"/>
      <c r="E210" s="253"/>
      <c r="F210" s="253"/>
      <c r="G210" s="253"/>
      <c r="H210" s="253"/>
      <c r="I210" s="253"/>
      <c r="J210" s="253"/>
      <c r="K210" s="253"/>
      <c r="L210" s="253"/>
      <c r="M210" s="253"/>
      <c r="N210" s="253"/>
      <c r="O210" s="253"/>
      <c r="P210" s="253"/>
      <c r="Q210" s="253"/>
      <c r="R210" s="401"/>
      <c r="S210" s="439"/>
      <c r="T210" s="254">
        <f>S214</f>
        <v>0</v>
      </c>
      <c r="U210" s="254">
        <f t="shared" ref="U210:BG210" si="247">T214</f>
        <v>0</v>
      </c>
      <c r="V210" s="254">
        <f t="shared" si="247"/>
        <v>0</v>
      </c>
      <c r="W210" s="254">
        <f t="shared" si="247"/>
        <v>0</v>
      </c>
      <c r="X210" s="254">
        <f t="shared" si="247"/>
        <v>0</v>
      </c>
      <c r="Y210" s="254">
        <f t="shared" si="247"/>
        <v>0</v>
      </c>
      <c r="Z210" s="254">
        <f t="shared" si="247"/>
        <v>0</v>
      </c>
      <c r="AA210" s="254">
        <f t="shared" si="247"/>
        <v>0</v>
      </c>
      <c r="AB210" s="254">
        <f t="shared" si="247"/>
        <v>0</v>
      </c>
      <c r="AC210" s="254">
        <f t="shared" si="247"/>
        <v>0</v>
      </c>
      <c r="AD210" s="254">
        <f t="shared" si="247"/>
        <v>0</v>
      </c>
      <c r="AE210" s="254">
        <f t="shared" si="247"/>
        <v>0</v>
      </c>
      <c r="AF210" s="254">
        <f t="shared" si="247"/>
        <v>0</v>
      </c>
      <c r="AG210" s="254">
        <f t="shared" si="247"/>
        <v>0</v>
      </c>
      <c r="AH210" s="254">
        <f t="shared" si="247"/>
        <v>0</v>
      </c>
      <c r="AI210" s="254">
        <f t="shared" si="247"/>
        <v>0</v>
      </c>
      <c r="AJ210" s="254">
        <f t="shared" si="247"/>
        <v>0</v>
      </c>
      <c r="AK210" s="254">
        <f t="shared" si="247"/>
        <v>0</v>
      </c>
      <c r="AL210" s="254">
        <f t="shared" si="247"/>
        <v>0</v>
      </c>
      <c r="AM210" s="254">
        <f t="shared" si="247"/>
        <v>0</v>
      </c>
      <c r="AN210" s="254">
        <f t="shared" si="247"/>
        <v>0</v>
      </c>
      <c r="AO210" s="254">
        <f t="shared" si="247"/>
        <v>0</v>
      </c>
      <c r="AP210" s="254">
        <f t="shared" si="247"/>
        <v>0</v>
      </c>
      <c r="AQ210" s="254">
        <f t="shared" si="247"/>
        <v>0</v>
      </c>
      <c r="AR210" s="254">
        <f t="shared" si="247"/>
        <v>0</v>
      </c>
      <c r="AS210" s="254">
        <f t="shared" si="247"/>
        <v>0</v>
      </c>
      <c r="AT210" s="254">
        <f t="shared" si="247"/>
        <v>0</v>
      </c>
      <c r="AU210" s="254">
        <f t="shared" si="247"/>
        <v>0</v>
      </c>
      <c r="AV210" s="254">
        <f t="shared" si="247"/>
        <v>0</v>
      </c>
      <c r="AW210" s="254">
        <f t="shared" si="247"/>
        <v>0</v>
      </c>
      <c r="AX210" s="254">
        <f t="shared" si="247"/>
        <v>0</v>
      </c>
      <c r="AY210" s="254">
        <f t="shared" si="247"/>
        <v>0</v>
      </c>
      <c r="AZ210" s="254">
        <f t="shared" si="247"/>
        <v>0</v>
      </c>
      <c r="BA210" s="254">
        <f t="shared" si="247"/>
        <v>0</v>
      </c>
      <c r="BB210" s="254">
        <f t="shared" si="247"/>
        <v>0</v>
      </c>
      <c r="BC210" s="254">
        <f t="shared" si="247"/>
        <v>0</v>
      </c>
      <c r="BD210" s="254">
        <f t="shared" si="247"/>
        <v>0</v>
      </c>
      <c r="BE210" s="254">
        <f t="shared" si="247"/>
        <v>0</v>
      </c>
      <c r="BF210" s="254">
        <f t="shared" si="247"/>
        <v>0</v>
      </c>
      <c r="BG210" s="254">
        <f t="shared" si="247"/>
        <v>0</v>
      </c>
      <c r="BI210" s="254" t="s">
        <v>153</v>
      </c>
      <c r="BM210" s="254">
        <f t="shared" ref="BM210:BV210" si="248">INDEX($T210:$BG210,MATCH(BM$5-3,$T$5:$BG$5,0))</f>
        <v>0</v>
      </c>
      <c r="BN210" s="254">
        <f t="shared" si="248"/>
        <v>0</v>
      </c>
      <c r="BO210" s="254">
        <f t="shared" si="248"/>
        <v>0</v>
      </c>
      <c r="BP210" s="254">
        <f t="shared" si="248"/>
        <v>0</v>
      </c>
      <c r="BQ210" s="254">
        <f t="shared" si="248"/>
        <v>0</v>
      </c>
      <c r="BR210" s="254">
        <f t="shared" si="248"/>
        <v>0</v>
      </c>
      <c r="BS210" s="254">
        <f t="shared" si="248"/>
        <v>0</v>
      </c>
      <c r="BT210" s="254">
        <f t="shared" si="248"/>
        <v>0</v>
      </c>
      <c r="BU210" s="254">
        <f t="shared" si="248"/>
        <v>0</v>
      </c>
      <c r="BV210" s="254">
        <f t="shared" si="248"/>
        <v>0</v>
      </c>
      <c r="BX210" s="254" t="s">
        <v>153</v>
      </c>
    </row>
    <row r="211" spans="3:76">
      <c r="C211" t="s">
        <v>737</v>
      </c>
      <c r="R211" s="392"/>
      <c r="S211" s="392"/>
      <c r="T211" s="403">
        <f>GA!$G$572*MAX(0,MIN(GA!$G$576-SUM($S$211:S$211),-SUM(T134:T135)*GA!$G$579))</f>
        <v>0</v>
      </c>
      <c r="U211" s="403">
        <f>GA!$G$572*MAX(0,MIN(GA!$G$576-SUM($S$211:T$211),-SUM(U134:U135)*GA!$G$579))</f>
        <v>0</v>
      </c>
      <c r="V211" s="403">
        <f>GA!$G$572*MAX(0,MIN(GA!$G$576-SUM($S$211:U$211),-SUM(V134:V135)*GA!$G$579))</f>
        <v>0</v>
      </c>
      <c r="W211" s="403">
        <f>GA!$G$572*MAX(0,MIN(GA!$G$576-SUM($S$211:V$211),-SUM(W134:W135)*GA!$G$579))</f>
        <v>0</v>
      </c>
      <c r="X211" s="403">
        <f>GA!$G$572*MAX(0,MIN(GA!$G$576-SUM($S$211:W$211),-SUM(X134:X135)*GA!$G$579))</f>
        <v>0</v>
      </c>
      <c r="Y211" s="403">
        <f>GA!$G$572*MAX(0,MIN(GA!$G$576-SUM($S$211:X$211),-SUM(Y134:Y135)*GA!$G$579))</f>
        <v>0</v>
      </c>
      <c r="Z211" s="403">
        <f>GA!$G$572*MAX(0,MIN(GA!$G$576-SUM($S$211:Y$211),-SUM(Z134:Z135)*GA!$G$579))</f>
        <v>0</v>
      </c>
      <c r="AA211" s="403">
        <f>GA!$G$572*MAX(0,MIN(GA!$G$576-SUM($S$211:Z$211),-SUM(AA134:AA135)*GA!$G$579))</f>
        <v>0</v>
      </c>
      <c r="AB211" s="403">
        <f>GA!$G$572*MAX(0,MIN(GA!$G$576-SUM($S$211:AA$211),-SUM(AB134:AB135)*GA!$G$579))</f>
        <v>0</v>
      </c>
      <c r="AC211" s="403">
        <f>GA!$G$572*MAX(0,MIN(GA!$G$576-SUM($S$211:AB$211),-SUM(AC134:AC135)*GA!$G$579))</f>
        <v>0</v>
      </c>
      <c r="AD211" s="403">
        <f>GA!$G$572*MAX(0,MIN(GA!$G$576-SUM($S$211:AC$211),-SUM(AD134:AD135)*GA!$G$579))</f>
        <v>0</v>
      </c>
      <c r="AE211" s="403">
        <f>GA!$G$572*MAX(0,MIN(GA!$G$576-SUM($S$211:AD$211),-SUM(AE134:AE135)*GA!$G$579))</f>
        <v>0</v>
      </c>
      <c r="AF211" s="403">
        <f>GA!$G$572*MAX(0,MIN(GA!$G$576-SUM($S$211:AE$211),-SUM(AF134:AF135)*GA!$G$579))</f>
        <v>0</v>
      </c>
      <c r="AG211" s="403">
        <f>GA!$G$572*MAX(0,MIN(GA!$G$576-SUM($S$211:AF$211),-SUM(AG134:AG135)*GA!$G$579))</f>
        <v>0</v>
      </c>
      <c r="AH211" s="403">
        <f>GA!$G$572*MAX(0,MIN(GA!$G$576-SUM($S$211:AG$211),-SUM(AH134:AH135)*GA!$G$579))</f>
        <v>0</v>
      </c>
      <c r="AI211" s="403">
        <f>GA!$G$572*MAX(0,MIN(GA!$G$576-SUM($S$211:AH$211),-SUM(AI134:AI135)*GA!$G$579))</f>
        <v>0</v>
      </c>
      <c r="AJ211" s="403">
        <f>GA!$G$572*MAX(0,MIN(GA!$G$576-SUM($S$211:AI$211),-SUM(AJ134:AJ135)*GA!$G$579))</f>
        <v>0</v>
      </c>
      <c r="AK211" s="403">
        <f>GA!$G$572*MAX(0,MIN(GA!$G$576-SUM($S$211:AJ$211),-SUM(AK134:AK135)*GA!$G$579))</f>
        <v>0</v>
      </c>
      <c r="AL211" s="403">
        <f>GA!$G$572*MAX(0,MIN(GA!$G$576-SUM($S$211:AK$211),-SUM(AL134:AL135)*GA!$G$579))</f>
        <v>0</v>
      </c>
      <c r="AM211" s="403">
        <f>GA!$G$572*MAX(0,MIN(GA!$G$576-SUM($S$211:AL$211),-SUM(AM134:AM135)*GA!$G$579))</f>
        <v>0</v>
      </c>
      <c r="AN211" s="403">
        <f>GA!$G$572*MAX(0,MIN(GA!$G$576-SUM($S$211:AM$211),-SUM(AN134:AN135)*GA!$G$579))</f>
        <v>0</v>
      </c>
      <c r="AO211" s="403">
        <f>GA!$G$572*MAX(0,MIN(GA!$G$576-SUM($S$211:AN$211),-SUM(AO134:AO135)*GA!$G$579))</f>
        <v>0</v>
      </c>
      <c r="AP211" s="403">
        <f>GA!$G$572*MAX(0,MIN(GA!$G$576-SUM($S$211:AO$211),-SUM(AP134:AP135)*GA!$G$579))</f>
        <v>0</v>
      </c>
      <c r="AQ211" s="403">
        <f>GA!$G$572*MAX(0,MIN(GA!$G$576-SUM($S$211:AP$211),-SUM(AQ134:AQ135)*GA!$G$579))</f>
        <v>0</v>
      </c>
      <c r="AR211" s="403">
        <f>GA!$G$572*MAX(0,MIN(GA!$G$576-SUM($S$211:AQ$211),-SUM(AR134:AR135)*GA!$G$579))</f>
        <v>0</v>
      </c>
      <c r="AS211" s="403">
        <f>GA!$G$572*MAX(0,MIN(GA!$G$576-SUM($S$211:AR$211),-SUM(AS134:AS135)*GA!$G$579))</f>
        <v>0</v>
      </c>
      <c r="AT211" s="403">
        <f>GA!$G$572*MAX(0,MIN(GA!$G$576-SUM($S$211:AS$211),-SUM(AT134:AT135)*GA!$G$579))</f>
        <v>0</v>
      </c>
      <c r="AU211" s="403">
        <f>GA!$G$572*MAX(0,MIN(GA!$G$576-SUM($S$211:AT$211),-SUM(AU134:AU135)*GA!$G$579))</f>
        <v>0</v>
      </c>
      <c r="AV211" s="403">
        <f>GA!$G$572*MAX(0,MIN(GA!$G$576-SUM($S$211:AU$211),-SUM(AV134:AV135)*GA!$G$579))</f>
        <v>0</v>
      </c>
      <c r="AW211" s="403">
        <f>GA!$G$572*MAX(0,MIN(GA!$G$576-SUM($S$211:AV$211),-SUM(AW134:AW135)*GA!$G$579))</f>
        <v>0</v>
      </c>
      <c r="AX211" s="403">
        <f>GA!$G$572*MAX(0,MIN(GA!$G$576-SUM($S$211:AW$211),-SUM(AX134:AX135)*GA!$G$579))</f>
        <v>0</v>
      </c>
      <c r="AY211" s="403">
        <f>GA!$G$572*MAX(0,MIN(GA!$G$576-SUM($S$211:AX$211),-SUM(AY134:AY135)*GA!$G$579))</f>
        <v>0</v>
      </c>
      <c r="AZ211" s="403">
        <f>GA!$G$572*MAX(0,MIN(GA!$G$576-SUM($S$211:AY$211),-SUM(AZ134:AZ135)*GA!$G$579))</f>
        <v>0</v>
      </c>
      <c r="BA211" s="403">
        <f>GA!$G$572*MAX(0,MIN(GA!$G$576-SUM($S$211:AZ$211),-SUM(BA134:BA135)*GA!$G$579))</f>
        <v>0</v>
      </c>
      <c r="BB211" s="403">
        <f>GA!$G$572*MAX(0,MIN(GA!$G$576-SUM($S$211:BA$211),-SUM(BB134:BB135)*GA!$G$579))</f>
        <v>0</v>
      </c>
      <c r="BC211" s="403">
        <f>GA!$G$572*MAX(0,MIN(GA!$G$576-SUM($S$211:BB$211),-SUM(BC134:BC135)*GA!$G$579))</f>
        <v>0</v>
      </c>
      <c r="BD211" s="403">
        <f>GA!$G$572*MAX(0,MIN(GA!$G$576-SUM($S$211:BC$211),-SUM(BD134:BD135)*GA!$G$579))</f>
        <v>0</v>
      </c>
      <c r="BE211" s="403">
        <f>GA!$G$572*MAX(0,MIN(GA!$G$576-SUM($S$211:BD$211),-SUM(BE134:BE135)*GA!$G$579))</f>
        <v>0</v>
      </c>
      <c r="BF211" s="403">
        <f>GA!$G$572*MAX(0,MIN(GA!$G$576-SUM($S$211:BE$211),-SUM(BF134:BF135)*GA!$G$579))</f>
        <v>0</v>
      </c>
      <c r="BG211" s="403">
        <f>GA!$G$572*MAX(0,MIN(GA!$G$576-SUM($S$211:BF$211),-SUM(BG134:BG135)*GA!$G$579))</f>
        <v>0</v>
      </c>
      <c r="BI211" s="476">
        <f>SUM(T211:BG211)</f>
        <v>0</v>
      </c>
      <c r="BM211" s="310">
        <f t="shared" ref="BM211:BV213" si="249">SUMIF($T$8:$BG$8,BM$6,$T211:$BG211)</f>
        <v>0</v>
      </c>
      <c r="BN211" s="310">
        <f t="shared" si="249"/>
        <v>0</v>
      </c>
      <c r="BO211" s="310">
        <f t="shared" si="249"/>
        <v>0</v>
      </c>
      <c r="BP211" s="310">
        <f t="shared" si="249"/>
        <v>0</v>
      </c>
      <c r="BQ211" s="310">
        <f t="shared" si="249"/>
        <v>0</v>
      </c>
      <c r="BR211" s="310">
        <f t="shared" si="249"/>
        <v>0</v>
      </c>
      <c r="BS211" s="310">
        <f t="shared" si="249"/>
        <v>0</v>
      </c>
      <c r="BT211" s="310">
        <f t="shared" si="249"/>
        <v>0</v>
      </c>
      <c r="BU211" s="310">
        <f t="shared" si="249"/>
        <v>0</v>
      </c>
      <c r="BV211" s="310">
        <f t="shared" si="249"/>
        <v>0</v>
      </c>
      <c r="BX211" s="476">
        <f>SUM(BM211:BV211)</f>
        <v>0</v>
      </c>
    </row>
    <row r="212" spans="3:76">
      <c r="C212" t="s">
        <v>704</v>
      </c>
      <c r="R212" s="392"/>
      <c r="S212" s="392"/>
      <c r="T212" s="403">
        <f>-MIN(T$210+T$211,MAX(T$205,0),T$150,TDCF!T$196)</f>
        <v>0</v>
      </c>
      <c r="U212" s="403">
        <f>-MIN(U$210+U$211,MAX(U$205,0),U$150,TDCF!U$196)</f>
        <v>0</v>
      </c>
      <c r="V212" s="403">
        <f>-MIN(V$210+V$211,MAX(V$205,0),V$150,TDCF!V$196)</f>
        <v>0</v>
      </c>
      <c r="W212" s="403">
        <f>-MIN(W$210+W$211,MAX(W$205,0),W$150,TDCF!W$196)</f>
        <v>0</v>
      </c>
      <c r="X212" s="403">
        <f>-MIN(X$210+X$211,MAX(X$205,0),X$150,TDCF!X$196)</f>
        <v>0</v>
      </c>
      <c r="Y212" s="403">
        <f>-MIN(Y$210+Y$211,MAX(Y$205,0),Y$150,TDCF!Y$196)</f>
        <v>0</v>
      </c>
      <c r="Z212" s="403">
        <f>-MIN(Z$210+Z$211,MAX(Z$205,0),Z$150,TDCF!Z$196)</f>
        <v>0</v>
      </c>
      <c r="AA212" s="403">
        <f>-MIN(AA$210+AA$211,MAX(AA$205,0),AA$150,TDCF!AA$196)</f>
        <v>0</v>
      </c>
      <c r="AB212" s="403">
        <f>-MIN(AB$210+AB$211,MAX(AB$205,0),AB$150,TDCF!AB$196)</f>
        <v>0</v>
      </c>
      <c r="AC212" s="403">
        <f>-MIN(AC$210+AC$211,MAX(AC$205,0),AC$150,TDCF!AC$196)</f>
        <v>0</v>
      </c>
      <c r="AD212" s="403">
        <f>-MIN(AD$210+AD$211,MAX(AD$205,0),AD$150,TDCF!AD$196)</f>
        <v>0</v>
      </c>
      <c r="AE212" s="403">
        <f>-MIN(AE$210+AE$211,MAX(AE$205,0),AE$150,TDCF!AE$196)</f>
        <v>0</v>
      </c>
      <c r="AF212" s="403">
        <f>-MIN(AF$210+AF$211,MAX(AF$205,0),AF$150,TDCF!AF$196)</f>
        <v>0</v>
      </c>
      <c r="AG212" s="403">
        <f>-MIN(AG$210+AG$211,MAX(AG$205,0),AG$150,TDCF!AG$196)</f>
        <v>0</v>
      </c>
      <c r="AH212" s="403">
        <f>-MIN(AH$210+AH$211,MAX(AH$205,0),AH$150,TDCF!AH$196)</f>
        <v>0</v>
      </c>
      <c r="AI212" s="403">
        <f>-MIN(AI$210+AI$211,MAX(AI$205,0),AI$150,TDCF!AI$196)</f>
        <v>0</v>
      </c>
      <c r="AJ212" s="403">
        <f>-MIN(AJ$210+AJ$211,MAX(AJ$205,0),AJ$150,TDCF!AJ$196)</f>
        <v>0</v>
      </c>
      <c r="AK212" s="403">
        <f>-MIN(AK$210+AK$211,MAX(AK$205,0),AK$150,TDCF!AK$196)</f>
        <v>0</v>
      </c>
      <c r="AL212" s="403">
        <f>-MIN(AL$210+AL$211,MAX(AL$205,0),AL$150,TDCF!AL$196)</f>
        <v>0</v>
      </c>
      <c r="AM212" s="403">
        <f>-MIN(AM$210+AM$211,MAX(AM$205,0),AM$150,TDCF!AM$196)</f>
        <v>0</v>
      </c>
      <c r="AN212" s="403">
        <f>-MIN(AN$210+AN$211,MAX(AN$205,0),AN$150,TDCF!AN$196)</f>
        <v>0</v>
      </c>
      <c r="AO212" s="403">
        <f>-MIN(AO$210+AO$211,MAX(AO$205,0),AO$150,TDCF!AO$196)</f>
        <v>0</v>
      </c>
      <c r="AP212" s="403">
        <f>-MIN(AP$210+AP$211,MAX(AP$205,0),AP$150,TDCF!AP$196)</f>
        <v>0</v>
      </c>
      <c r="AQ212" s="403">
        <f>-MIN(AQ$210+AQ$211,MAX(AQ$205,0),AQ$150,TDCF!AQ$196)</f>
        <v>0</v>
      </c>
      <c r="AR212" s="403">
        <f>-MIN(AR$210+AR$211,MAX(AR$205,0),AR$150,TDCF!AR$196)</f>
        <v>0</v>
      </c>
      <c r="AS212" s="403">
        <f>-MIN(AS$210+AS$211,MAX(AS$205,0),AS$150,TDCF!AS$196)</f>
        <v>0</v>
      </c>
      <c r="AT212" s="403">
        <f>-MIN(AT$210+AT$211,MAX(AT$205,0),AT$150,TDCF!AT$196)</f>
        <v>0</v>
      </c>
      <c r="AU212" s="403">
        <f>-MIN(AU$210+AU$211,MAX(AU$205,0),AU$150,TDCF!AU$196)</f>
        <v>0</v>
      </c>
      <c r="AV212" s="403">
        <f>-MIN(AV$210+AV$211,MAX(AV$205,0),AV$150,TDCF!AV$196)</f>
        <v>0</v>
      </c>
      <c r="AW212" s="403">
        <f>-MIN(AW$210+AW$211,MAX(AW$205,0),AW$150,TDCF!AW$196)</f>
        <v>0</v>
      </c>
      <c r="AX212" s="403">
        <f>-MIN(AX$210+AX$211,MAX(AX$205,0),AX$150,TDCF!AX$196)</f>
        <v>0</v>
      </c>
      <c r="AY212" s="403">
        <f>-MIN(AY$210+AY$211,MAX(AY$205,0),AY$150,TDCF!AY$196)</f>
        <v>0</v>
      </c>
      <c r="AZ212" s="403">
        <f>-MIN(AZ$210+AZ$211,MAX(AZ$205,0),AZ$150,TDCF!AZ$196)</f>
        <v>0</v>
      </c>
      <c r="BA212" s="403">
        <f>-MIN(BA$210+BA$211,MAX(BA$205,0),BA$150,TDCF!BA$196)</f>
        <v>0</v>
      </c>
      <c r="BB212" s="403">
        <f>-MIN(BB$210+BB$211,MAX(BB$205,0),BB$150,TDCF!BB$196)</f>
        <v>0</v>
      </c>
      <c r="BC212" s="403">
        <f>-MIN(BC$210+BC$211,MAX(BC$205,0),BC$150,TDCF!BC$196)</f>
        <v>0</v>
      </c>
      <c r="BD212" s="403">
        <f>-MIN(BD$210+BD$211,MAX(BD$205,0),BD$150,TDCF!BD$196)</f>
        <v>0</v>
      </c>
      <c r="BE212" s="403">
        <f>-MIN(BE$210+BE$211,MAX(BE$205,0),BE$150,TDCF!BE$196)</f>
        <v>0</v>
      </c>
      <c r="BF212" s="403">
        <f>-MIN(BF$210+BF$211,MAX(BF$205,0),BF$150,TDCF!BF$196)</f>
        <v>0</v>
      </c>
      <c r="BG212" s="403">
        <f>-MIN(BG$210+BG$211,MAX(BG$205,0),BG$150,TDCF!BG$196)</f>
        <v>0</v>
      </c>
      <c r="BI212" s="476">
        <f>SUM(T212:BG212)</f>
        <v>0</v>
      </c>
      <c r="BM212" s="310">
        <f t="shared" si="249"/>
        <v>0</v>
      </c>
      <c r="BN212" s="310">
        <f t="shared" si="249"/>
        <v>0</v>
      </c>
      <c r="BO212" s="310">
        <f t="shared" si="249"/>
        <v>0</v>
      </c>
      <c r="BP212" s="310">
        <f t="shared" si="249"/>
        <v>0</v>
      </c>
      <c r="BQ212" s="310">
        <f t="shared" si="249"/>
        <v>0</v>
      </c>
      <c r="BR212" s="310">
        <f t="shared" si="249"/>
        <v>0</v>
      </c>
      <c r="BS212" s="310">
        <f t="shared" si="249"/>
        <v>0</v>
      </c>
      <c r="BT212" s="310">
        <f t="shared" si="249"/>
        <v>0</v>
      </c>
      <c r="BU212" s="310">
        <f t="shared" si="249"/>
        <v>0</v>
      </c>
      <c r="BV212" s="310">
        <f t="shared" si="249"/>
        <v>0</v>
      </c>
      <c r="BX212" s="476">
        <f>SUM(BM212:BV212)</f>
        <v>0</v>
      </c>
    </row>
    <row r="213" spans="3:76">
      <c r="C213" t="s">
        <v>705</v>
      </c>
      <c r="R213" s="392"/>
      <c r="S213" s="392"/>
      <c r="T213" s="403">
        <f>-IF(T$5=GA!$G$594,SUM(T210:T212),0)</f>
        <v>0</v>
      </c>
      <c r="U213" s="403">
        <f>-IF(U$5=GA!$G$594,SUM(U210:U212),0)</f>
        <v>0</v>
      </c>
      <c r="V213" s="403">
        <f>-IF(V$5=GA!$G$594,SUM(V210:V212),0)</f>
        <v>0</v>
      </c>
      <c r="W213" s="403">
        <f>-IF(W$5=GA!$G$594,SUM(W210:W212),0)</f>
        <v>0</v>
      </c>
      <c r="X213" s="403">
        <f>-IF(X$5=GA!$G$594,SUM(X210:X212),0)</f>
        <v>0</v>
      </c>
      <c r="Y213" s="403">
        <f>-IF(Y$5=GA!$G$594,SUM(Y210:Y212),0)</f>
        <v>0</v>
      </c>
      <c r="Z213" s="403">
        <f>-IF(Z$5=GA!$G$594,SUM(Z210:Z212),0)</f>
        <v>0</v>
      </c>
      <c r="AA213" s="403">
        <f>-IF(AA$5=GA!$G$594,SUM(AA210:AA212),0)</f>
        <v>0</v>
      </c>
      <c r="AB213" s="403">
        <f>-IF(AB$5=GA!$G$594,SUM(AB210:AB212),0)</f>
        <v>0</v>
      </c>
      <c r="AC213" s="403">
        <f>-IF(AC$5=GA!$G$594,SUM(AC210:AC212),0)</f>
        <v>0</v>
      </c>
      <c r="AD213" s="403">
        <f>-IF(AD$5=GA!$G$594,SUM(AD210:AD212),0)</f>
        <v>0</v>
      </c>
      <c r="AE213" s="403">
        <f>-IF(AE$5=GA!$G$594,SUM(AE210:AE212),0)</f>
        <v>0</v>
      </c>
      <c r="AF213" s="403">
        <f>-IF(AF$5=GA!$G$594,SUM(AF210:AF212),0)</f>
        <v>0</v>
      </c>
      <c r="AG213" s="403">
        <f>-IF(AG$5=GA!$G$594,SUM(AG210:AG212),0)</f>
        <v>0</v>
      </c>
      <c r="AH213" s="403">
        <f>-IF(AH$5=GA!$G$594,SUM(AH210:AH212),0)</f>
        <v>0</v>
      </c>
      <c r="AI213" s="403">
        <f>-IF(AI$5=GA!$G$594,SUM(AI210:AI212),0)</f>
        <v>0</v>
      </c>
      <c r="AJ213" s="403">
        <f>-IF(AJ$5=GA!$G$594,SUM(AJ210:AJ212),0)</f>
        <v>0</v>
      </c>
      <c r="AK213" s="403">
        <f>-IF(AK$5=GA!$G$594,SUM(AK210:AK212),0)</f>
        <v>0</v>
      </c>
      <c r="AL213" s="403">
        <f>-IF(AL$5=GA!$G$594,SUM(AL210:AL212),0)</f>
        <v>0</v>
      </c>
      <c r="AM213" s="403">
        <f>-IF(AM$5=GA!$G$594,SUM(AM210:AM212),0)</f>
        <v>0</v>
      </c>
      <c r="AN213" s="403">
        <f>-IF(AN$5=GA!$G$594,SUM(AN210:AN212),0)</f>
        <v>0</v>
      </c>
      <c r="AO213" s="403">
        <f>-IF(AO$5=GA!$G$594,SUM(AO210:AO212),0)</f>
        <v>0</v>
      </c>
      <c r="AP213" s="403">
        <f>-IF(AP$5=GA!$G$594,SUM(AP210:AP212),0)</f>
        <v>0</v>
      </c>
      <c r="AQ213" s="403">
        <f>-IF(AQ$5=GA!$G$594,SUM(AQ210:AQ212),0)</f>
        <v>0</v>
      </c>
      <c r="AR213" s="403">
        <f>-IF(AR$5=GA!$G$594,SUM(AR210:AR212),0)</f>
        <v>0</v>
      </c>
      <c r="AS213" s="403">
        <f>-IF(AS$5=GA!$G$594,SUM(AS210:AS212),0)</f>
        <v>0</v>
      </c>
      <c r="AT213" s="403">
        <f>-IF(AT$5=GA!$G$594,SUM(AT210:AT212),0)</f>
        <v>0</v>
      </c>
      <c r="AU213" s="403">
        <f>-IF(AU$5=GA!$G$594,SUM(AU210:AU212),0)</f>
        <v>0</v>
      </c>
      <c r="AV213" s="403">
        <f>-IF(AV$5=GA!$G$594,SUM(AV210:AV212),0)</f>
        <v>0</v>
      </c>
      <c r="AW213" s="403">
        <f>-IF(AW$5=GA!$G$594,SUM(AW210:AW212),0)</f>
        <v>0</v>
      </c>
      <c r="AX213" s="403">
        <f>-IF(AX$5=GA!$G$594,SUM(AX210:AX212),0)</f>
        <v>0</v>
      </c>
      <c r="AY213" s="403">
        <f>-IF(AY$5=GA!$G$594,SUM(AY210:AY212),0)</f>
        <v>0</v>
      </c>
      <c r="AZ213" s="403">
        <f>-IF(AZ$5=GA!$G$594,SUM(AZ210:AZ212),0)</f>
        <v>0</v>
      </c>
      <c r="BA213" s="403">
        <f>-IF(BA$5=GA!$G$594,SUM(BA210:BA212),0)</f>
        <v>0</v>
      </c>
      <c r="BB213" s="403">
        <f>-IF(BB$5=GA!$G$594,SUM(BB210:BB212),0)</f>
        <v>0</v>
      </c>
      <c r="BC213" s="403">
        <f>-IF(BC$5=GA!$G$594,SUM(BC210:BC212),0)</f>
        <v>0</v>
      </c>
      <c r="BD213" s="403">
        <f>-IF(BD$5=GA!$G$594,SUM(BD210:BD212),0)</f>
        <v>0</v>
      </c>
      <c r="BE213" s="403">
        <f>-IF(BE$5=GA!$G$594,SUM(BE210:BE212),0)</f>
        <v>0</v>
      </c>
      <c r="BF213" s="403">
        <f>-IF(BF$5=GA!$G$594,SUM(BF210:BF212),0)</f>
        <v>0</v>
      </c>
      <c r="BG213" s="403">
        <f>-IF(BG$5=GA!$G$594,SUM(BG210:BG212),0)</f>
        <v>0</v>
      </c>
      <c r="BI213" s="476">
        <f>SUM(T213:BG213)</f>
        <v>0</v>
      </c>
      <c r="BM213" s="310">
        <f t="shared" si="249"/>
        <v>0</v>
      </c>
      <c r="BN213" s="310">
        <f t="shared" si="249"/>
        <v>0</v>
      </c>
      <c r="BO213" s="310">
        <f t="shared" si="249"/>
        <v>0</v>
      </c>
      <c r="BP213" s="310">
        <f t="shared" si="249"/>
        <v>0</v>
      </c>
      <c r="BQ213" s="310">
        <f t="shared" si="249"/>
        <v>0</v>
      </c>
      <c r="BR213" s="310">
        <f t="shared" si="249"/>
        <v>0</v>
      </c>
      <c r="BS213" s="310">
        <f t="shared" si="249"/>
        <v>0</v>
      </c>
      <c r="BT213" s="310">
        <f t="shared" si="249"/>
        <v>0</v>
      </c>
      <c r="BU213" s="310">
        <f t="shared" si="249"/>
        <v>0</v>
      </c>
      <c r="BV213" s="310">
        <f t="shared" si="249"/>
        <v>0</v>
      </c>
      <c r="BX213" s="476">
        <f>SUM(BM213:BV213)</f>
        <v>0</v>
      </c>
    </row>
    <row r="214" spans="3:76">
      <c r="C214" s="253" t="s">
        <v>706</v>
      </c>
      <c r="D214" s="253"/>
      <c r="E214" s="253"/>
      <c r="F214" s="253"/>
      <c r="G214" s="253"/>
      <c r="H214" s="253"/>
      <c r="I214" s="253"/>
      <c r="J214" s="253"/>
      <c r="K214" s="253"/>
      <c r="L214" s="253"/>
      <c r="M214" s="253"/>
      <c r="N214" s="253"/>
      <c r="O214" s="268"/>
      <c r="P214" s="268"/>
      <c r="Q214" s="268"/>
      <c r="R214" s="153"/>
      <c r="S214" s="254">
        <f t="shared" ref="S214:BG214" si="250">SUM(S210:S213)</f>
        <v>0</v>
      </c>
      <c r="T214" s="254">
        <f t="shared" si="250"/>
        <v>0</v>
      </c>
      <c r="U214" s="254">
        <f t="shared" si="250"/>
        <v>0</v>
      </c>
      <c r="V214" s="254">
        <f t="shared" si="250"/>
        <v>0</v>
      </c>
      <c r="W214" s="254">
        <f t="shared" si="250"/>
        <v>0</v>
      </c>
      <c r="X214" s="254">
        <f t="shared" si="250"/>
        <v>0</v>
      </c>
      <c r="Y214" s="254">
        <f t="shared" si="250"/>
        <v>0</v>
      </c>
      <c r="Z214" s="254">
        <f t="shared" si="250"/>
        <v>0</v>
      </c>
      <c r="AA214" s="254">
        <f t="shared" si="250"/>
        <v>0</v>
      </c>
      <c r="AB214" s="254">
        <f t="shared" si="250"/>
        <v>0</v>
      </c>
      <c r="AC214" s="254">
        <f t="shared" si="250"/>
        <v>0</v>
      </c>
      <c r="AD214" s="254">
        <f t="shared" si="250"/>
        <v>0</v>
      </c>
      <c r="AE214" s="254">
        <f t="shared" si="250"/>
        <v>0</v>
      </c>
      <c r="AF214" s="254">
        <f t="shared" si="250"/>
        <v>0</v>
      </c>
      <c r="AG214" s="254">
        <f t="shared" si="250"/>
        <v>0</v>
      </c>
      <c r="AH214" s="254">
        <f t="shared" si="250"/>
        <v>0</v>
      </c>
      <c r="AI214" s="254">
        <f t="shared" si="250"/>
        <v>0</v>
      </c>
      <c r="AJ214" s="254">
        <f t="shared" si="250"/>
        <v>0</v>
      </c>
      <c r="AK214" s="254">
        <f t="shared" si="250"/>
        <v>0</v>
      </c>
      <c r="AL214" s="254">
        <f t="shared" si="250"/>
        <v>0</v>
      </c>
      <c r="AM214" s="254">
        <f t="shared" si="250"/>
        <v>0</v>
      </c>
      <c r="AN214" s="254">
        <f t="shared" si="250"/>
        <v>0</v>
      </c>
      <c r="AO214" s="254">
        <f t="shared" si="250"/>
        <v>0</v>
      </c>
      <c r="AP214" s="254">
        <f t="shared" si="250"/>
        <v>0</v>
      </c>
      <c r="AQ214" s="254">
        <f t="shared" si="250"/>
        <v>0</v>
      </c>
      <c r="AR214" s="254">
        <f t="shared" si="250"/>
        <v>0</v>
      </c>
      <c r="AS214" s="254">
        <f t="shared" si="250"/>
        <v>0</v>
      </c>
      <c r="AT214" s="254">
        <f t="shared" si="250"/>
        <v>0</v>
      </c>
      <c r="AU214" s="254">
        <f t="shared" si="250"/>
        <v>0</v>
      </c>
      <c r="AV214" s="254">
        <f t="shared" si="250"/>
        <v>0</v>
      </c>
      <c r="AW214" s="254">
        <f t="shared" si="250"/>
        <v>0</v>
      </c>
      <c r="AX214" s="254">
        <f t="shared" si="250"/>
        <v>0</v>
      </c>
      <c r="AY214" s="254">
        <f t="shared" si="250"/>
        <v>0</v>
      </c>
      <c r="AZ214" s="254">
        <f t="shared" si="250"/>
        <v>0</v>
      </c>
      <c r="BA214" s="254">
        <f t="shared" si="250"/>
        <v>0</v>
      </c>
      <c r="BB214" s="254">
        <f t="shared" si="250"/>
        <v>0</v>
      </c>
      <c r="BC214" s="254">
        <f t="shared" si="250"/>
        <v>0</v>
      </c>
      <c r="BD214" s="254">
        <f t="shared" si="250"/>
        <v>0</v>
      </c>
      <c r="BE214" s="254">
        <f t="shared" si="250"/>
        <v>0</v>
      </c>
      <c r="BF214" s="254">
        <f t="shared" si="250"/>
        <v>0</v>
      </c>
      <c r="BG214" s="254">
        <f t="shared" si="250"/>
        <v>0</v>
      </c>
      <c r="BI214" s="254" t="s">
        <v>153</v>
      </c>
      <c r="BM214" s="254">
        <f t="shared" ref="BM214:BV214" si="251">INDEX($T214:$BG214,MATCH(BM$5,$T$5:$BG$5,0))</f>
        <v>0</v>
      </c>
      <c r="BN214" s="254">
        <f t="shared" si="251"/>
        <v>0</v>
      </c>
      <c r="BO214" s="254">
        <f t="shared" si="251"/>
        <v>0</v>
      </c>
      <c r="BP214" s="254">
        <f t="shared" si="251"/>
        <v>0</v>
      </c>
      <c r="BQ214" s="254">
        <f t="shared" si="251"/>
        <v>0</v>
      </c>
      <c r="BR214" s="254">
        <f t="shared" si="251"/>
        <v>0</v>
      </c>
      <c r="BS214" s="254">
        <f t="shared" si="251"/>
        <v>0</v>
      </c>
      <c r="BT214" s="254">
        <f t="shared" si="251"/>
        <v>0</v>
      </c>
      <c r="BU214" s="254">
        <f t="shared" si="251"/>
        <v>0</v>
      </c>
      <c r="BV214" s="254">
        <f t="shared" si="251"/>
        <v>0</v>
      </c>
      <c r="BX214" s="254" t="s">
        <v>153</v>
      </c>
    </row>
    <row r="216" spans="3:76">
      <c r="C216" s="364" t="s">
        <v>721</v>
      </c>
      <c r="D216" s="364"/>
      <c r="E216" s="364"/>
      <c r="F216" s="364"/>
      <c r="G216" s="364"/>
      <c r="H216" s="364"/>
      <c r="I216" s="364"/>
      <c r="J216" s="364"/>
      <c r="K216" s="364"/>
      <c r="L216" s="364"/>
      <c r="M216" s="364"/>
      <c r="N216" s="364"/>
      <c r="O216" s="17"/>
      <c r="P216" s="17"/>
      <c r="Q216" s="17"/>
      <c r="R216" s="17"/>
      <c r="S216" s="369"/>
      <c r="T216" s="369"/>
      <c r="U216" s="369"/>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row>
    <row r="217" spans="3:76">
      <c r="C217" t="s">
        <v>717</v>
      </c>
      <c r="R217" s="392"/>
      <c r="S217" s="392"/>
      <c r="T217" s="117">
        <f>T188</f>
        <v>0</v>
      </c>
      <c r="U217" s="117">
        <f t="shared" ref="U217:BG217" si="252">U188</f>
        <v>0</v>
      </c>
      <c r="V217" s="117">
        <f t="shared" si="252"/>
        <v>0</v>
      </c>
      <c r="W217" s="117">
        <f t="shared" si="252"/>
        <v>0</v>
      </c>
      <c r="X217" s="117">
        <f t="shared" si="252"/>
        <v>0</v>
      </c>
      <c r="Y217" s="117">
        <f t="shared" si="252"/>
        <v>0</v>
      </c>
      <c r="Z217" s="117">
        <f t="shared" si="252"/>
        <v>0</v>
      </c>
      <c r="AA217" s="117">
        <f t="shared" si="252"/>
        <v>0</v>
      </c>
      <c r="AB217" s="117">
        <f t="shared" si="252"/>
        <v>0</v>
      </c>
      <c r="AC217" s="117">
        <f t="shared" si="252"/>
        <v>0</v>
      </c>
      <c r="AD217" s="117">
        <f t="shared" si="252"/>
        <v>0</v>
      </c>
      <c r="AE217" s="117">
        <f t="shared" si="252"/>
        <v>0</v>
      </c>
      <c r="AF217" s="117">
        <f t="shared" si="252"/>
        <v>0</v>
      </c>
      <c r="AG217" s="117">
        <f t="shared" si="252"/>
        <v>0</v>
      </c>
      <c r="AH217" s="117">
        <f t="shared" si="252"/>
        <v>0</v>
      </c>
      <c r="AI217" s="117">
        <f t="shared" si="252"/>
        <v>0</v>
      </c>
      <c r="AJ217" s="117">
        <f t="shared" si="252"/>
        <v>0</v>
      </c>
      <c r="AK217" s="117">
        <f t="shared" si="252"/>
        <v>0</v>
      </c>
      <c r="AL217" s="117">
        <f t="shared" si="252"/>
        <v>0</v>
      </c>
      <c r="AM217" s="117">
        <f t="shared" si="252"/>
        <v>0</v>
      </c>
      <c r="AN217" s="117">
        <f t="shared" si="252"/>
        <v>9.0099999999999995E-5</v>
      </c>
      <c r="AO217" s="117">
        <f t="shared" si="252"/>
        <v>2.588E-4</v>
      </c>
      <c r="AP217" s="117">
        <f t="shared" si="252"/>
        <v>6.1569999999999995E-4</v>
      </c>
      <c r="AQ217" s="117">
        <f t="shared" si="252"/>
        <v>1.1563999999999999E-3</v>
      </c>
      <c r="AR217" s="117">
        <f t="shared" si="252"/>
        <v>1.8472E-3</v>
      </c>
      <c r="AS217" s="117">
        <f t="shared" si="252"/>
        <v>2.5045000000000002E-3</v>
      </c>
      <c r="AT217" s="117">
        <f t="shared" si="252"/>
        <v>3.0290999999999998E-3</v>
      </c>
      <c r="AU217" s="117">
        <f t="shared" si="252"/>
        <v>3.3866E-3</v>
      </c>
      <c r="AV217" s="117">
        <f t="shared" si="252"/>
        <v>3.6243999999999998E-3</v>
      </c>
      <c r="AW217" s="117">
        <f t="shared" si="252"/>
        <v>3.8327000000000001E-3</v>
      </c>
      <c r="AX217" s="117">
        <f t="shared" si="252"/>
        <v>4.1196000000000002E-3</v>
      </c>
      <c r="AY217" s="117">
        <f t="shared" si="252"/>
        <v>4.5028000000000004E-3</v>
      </c>
      <c r="AZ217" s="117">
        <f t="shared" si="252"/>
        <v>4.9724000000000001E-3</v>
      </c>
      <c r="BA217" s="117">
        <f t="shared" si="252"/>
        <v>5.4140999999999998E-3</v>
      </c>
      <c r="BB217" s="117">
        <f t="shared" si="252"/>
        <v>5.8034000000000002E-3</v>
      </c>
      <c r="BC217" s="117">
        <f t="shared" si="252"/>
        <v>6.1119E-3</v>
      </c>
      <c r="BD217" s="117">
        <f t="shared" si="252"/>
        <v>6.3613999999999997E-3</v>
      </c>
      <c r="BE217" s="117">
        <f t="shared" si="252"/>
        <v>6.5688999999999999E-3</v>
      </c>
      <c r="BF217" s="117">
        <f t="shared" si="252"/>
        <v>6.8027000000000001E-3</v>
      </c>
      <c r="BG217" s="117">
        <f t="shared" si="252"/>
        <v>7.0657000000000003E-3</v>
      </c>
      <c r="BI217" s="1067" t="s">
        <v>153</v>
      </c>
      <c r="BM217" s="154">
        <f t="shared" ref="BM217:BV218" si="253">AVERAGEIF($T$8:$BG$8,BM$6,$T217:$BG217)</f>
        <v>0</v>
      </c>
      <c r="BN217" s="154">
        <f t="shared" si="253"/>
        <v>0</v>
      </c>
      <c r="BO217" s="154">
        <f t="shared" si="253"/>
        <v>0</v>
      </c>
      <c r="BP217" s="154">
        <f t="shared" si="253"/>
        <v>0</v>
      </c>
      <c r="BQ217" s="154">
        <f t="shared" si="253"/>
        <v>0</v>
      </c>
      <c r="BR217" s="154">
        <f t="shared" si="253"/>
        <v>5.3024999999999991E-4</v>
      </c>
      <c r="BS217" s="154">
        <f t="shared" si="253"/>
        <v>2.69185E-3</v>
      </c>
      <c r="BT217" s="154">
        <f t="shared" si="253"/>
        <v>4.019875E-3</v>
      </c>
      <c r="BU217" s="154">
        <f t="shared" si="253"/>
        <v>5.57545E-3</v>
      </c>
      <c r="BV217" s="154">
        <f t="shared" si="253"/>
        <v>6.6996750000000004E-3</v>
      </c>
      <c r="BX217" s="1068" t="s">
        <v>153</v>
      </c>
    </row>
    <row r="218" spans="3:76">
      <c r="C218" t="s">
        <v>718</v>
      </c>
      <c r="R218" s="392"/>
      <c r="S218" s="392"/>
      <c r="T218" s="318">
        <f>INDEX(GA!$G$602:$G$641,MATCH(T$5,GA!$E$602:$E$641,0))</f>
        <v>1.7500000000000002E-2</v>
      </c>
      <c r="U218" s="318">
        <f>INDEX(GA!$G$602:$G$641,MATCH(U$5,GA!$E$602:$E$641,0))</f>
        <v>1.7500000000000002E-2</v>
      </c>
      <c r="V218" s="318">
        <f>INDEX(GA!$G$602:$G$641,MATCH(V$5,GA!$E$602:$E$641,0))</f>
        <v>1.7500000000000002E-2</v>
      </c>
      <c r="W218" s="318">
        <f>INDEX(GA!$G$602:$G$641,MATCH(W$5,GA!$E$602:$E$641,0))</f>
        <v>1.7500000000000002E-2</v>
      </c>
      <c r="X218" s="318">
        <f>INDEX(GA!$G$602:$G$641,MATCH(X$5,GA!$E$602:$E$641,0))</f>
        <v>1.7500000000000002E-2</v>
      </c>
      <c r="Y218" s="318">
        <f>INDEX(GA!$G$602:$G$641,MATCH(Y$5,GA!$E$602:$E$641,0))</f>
        <v>1.7500000000000002E-2</v>
      </c>
      <c r="Z218" s="318">
        <f>INDEX(GA!$G$602:$G$641,MATCH(Z$5,GA!$E$602:$E$641,0))</f>
        <v>1.7500000000000002E-2</v>
      </c>
      <c r="AA218" s="318">
        <f>INDEX(GA!$G$602:$G$641,MATCH(AA$5,GA!$E$602:$E$641,0))</f>
        <v>1.7500000000000002E-2</v>
      </c>
      <c r="AB218" s="318">
        <f>INDEX(GA!$G$602:$G$641,MATCH(AB$5,GA!$E$602:$E$641,0))</f>
        <v>1.7500000000000002E-2</v>
      </c>
      <c r="AC218" s="318">
        <f>INDEX(GA!$G$602:$G$641,MATCH(AC$5,GA!$E$602:$E$641,0))</f>
        <v>1.7500000000000002E-2</v>
      </c>
      <c r="AD218" s="318">
        <f>INDEX(GA!$G$602:$G$641,MATCH(AD$5,GA!$E$602:$E$641,0))</f>
        <v>1.7500000000000002E-2</v>
      </c>
      <c r="AE218" s="318">
        <f>INDEX(GA!$G$602:$G$641,MATCH(AE$5,GA!$E$602:$E$641,0))</f>
        <v>1.7500000000000002E-2</v>
      </c>
      <c r="AF218" s="318">
        <f>INDEX(GA!$G$602:$G$641,MATCH(AF$5,GA!$E$602:$E$641,0))</f>
        <v>1.7500000000000002E-2</v>
      </c>
      <c r="AG218" s="318">
        <f>INDEX(GA!$G$602:$G$641,MATCH(AG$5,GA!$E$602:$E$641,0))</f>
        <v>1.7500000000000002E-2</v>
      </c>
      <c r="AH218" s="318">
        <f>INDEX(GA!$G$602:$G$641,MATCH(AH$5,GA!$E$602:$E$641,0))</f>
        <v>1.7500000000000002E-2</v>
      </c>
      <c r="AI218" s="318">
        <f>INDEX(GA!$G$602:$G$641,MATCH(AI$5,GA!$E$602:$E$641,0))</f>
        <v>1.7500000000000002E-2</v>
      </c>
      <c r="AJ218" s="318">
        <f>INDEX(GA!$G$602:$G$641,MATCH(AJ$5,GA!$E$602:$E$641,0))</f>
        <v>1.7500000000000002E-2</v>
      </c>
      <c r="AK218" s="318">
        <f>INDEX(GA!$G$602:$G$641,MATCH(AK$5,GA!$E$602:$E$641,0))</f>
        <v>1.7500000000000002E-2</v>
      </c>
      <c r="AL218" s="318">
        <f>INDEX(GA!$G$602:$G$641,MATCH(AL$5,GA!$E$602:$E$641,0))</f>
        <v>1.7500000000000002E-2</v>
      </c>
      <c r="AM218" s="318">
        <f>INDEX(GA!$G$602:$G$641,MATCH(AM$5,GA!$E$602:$E$641,0))</f>
        <v>1.7500000000000002E-2</v>
      </c>
      <c r="AN218" s="318">
        <f>INDEX(GA!$G$602:$G$641,MATCH(AN$5,GA!$E$602:$E$641,0))</f>
        <v>1.7500000000000002E-2</v>
      </c>
      <c r="AO218" s="318">
        <f>INDEX(GA!$G$602:$G$641,MATCH(AO$5,GA!$E$602:$E$641,0))</f>
        <v>1.7500000000000002E-2</v>
      </c>
      <c r="AP218" s="318">
        <f>INDEX(GA!$G$602:$G$641,MATCH(AP$5,GA!$E$602:$E$641,0))</f>
        <v>1.7500000000000002E-2</v>
      </c>
      <c r="AQ218" s="318">
        <f>INDEX(GA!$G$602:$G$641,MATCH(AQ$5,GA!$E$602:$E$641,0))</f>
        <v>1.7500000000000002E-2</v>
      </c>
      <c r="AR218" s="318">
        <f>INDEX(GA!$G$602:$G$641,MATCH(AR$5,GA!$E$602:$E$641,0))</f>
        <v>1.7500000000000002E-2</v>
      </c>
      <c r="AS218" s="318">
        <f>INDEX(GA!$G$602:$G$641,MATCH(AS$5,GA!$E$602:$E$641,0))</f>
        <v>1.7500000000000002E-2</v>
      </c>
      <c r="AT218" s="318">
        <f>INDEX(GA!$G$602:$G$641,MATCH(AT$5,GA!$E$602:$E$641,0))</f>
        <v>1.7500000000000002E-2</v>
      </c>
      <c r="AU218" s="318">
        <f>INDEX(GA!$G$602:$G$641,MATCH(AU$5,GA!$E$602:$E$641,0))</f>
        <v>1.7500000000000002E-2</v>
      </c>
      <c r="AV218" s="318">
        <f>INDEX(GA!$G$602:$G$641,MATCH(AV$5,GA!$E$602:$E$641,0))</f>
        <v>1.7500000000000002E-2</v>
      </c>
      <c r="AW218" s="318">
        <f>INDEX(GA!$G$602:$G$641,MATCH(AW$5,GA!$E$602:$E$641,0))</f>
        <v>1.7500000000000002E-2</v>
      </c>
      <c r="AX218" s="318">
        <f>INDEX(GA!$G$602:$G$641,MATCH(AX$5,GA!$E$602:$E$641,0))</f>
        <v>1.7500000000000002E-2</v>
      </c>
      <c r="AY218" s="318">
        <f>INDEX(GA!$G$602:$G$641,MATCH(AY$5,GA!$E$602:$E$641,0))</f>
        <v>1.7500000000000002E-2</v>
      </c>
      <c r="AZ218" s="318">
        <f>INDEX(GA!$G$602:$G$641,MATCH(AZ$5,GA!$E$602:$E$641,0))</f>
        <v>1.7500000000000002E-2</v>
      </c>
      <c r="BA218" s="318">
        <f>INDEX(GA!$G$602:$G$641,MATCH(BA$5,GA!$E$602:$E$641,0))</f>
        <v>1.7500000000000002E-2</v>
      </c>
      <c r="BB218" s="318">
        <f>INDEX(GA!$G$602:$G$641,MATCH(BB$5,GA!$E$602:$E$641,0))</f>
        <v>1.7500000000000002E-2</v>
      </c>
      <c r="BC218" s="318">
        <f>INDEX(GA!$G$602:$G$641,MATCH(BC$5,GA!$E$602:$E$641,0))</f>
        <v>1.7500000000000002E-2</v>
      </c>
      <c r="BD218" s="318">
        <f>INDEX(GA!$G$602:$G$641,MATCH(BD$5,GA!$E$602:$E$641,0))</f>
        <v>1.7500000000000002E-2</v>
      </c>
      <c r="BE218" s="318">
        <f>INDEX(GA!$G$602:$G$641,MATCH(BE$5,GA!$E$602:$E$641,0))</f>
        <v>1.7500000000000002E-2</v>
      </c>
      <c r="BF218" s="318">
        <f>INDEX(GA!$G$602:$G$641,MATCH(BF$5,GA!$E$602:$E$641,0))</f>
        <v>1.7500000000000002E-2</v>
      </c>
      <c r="BG218" s="318">
        <f>INDEX(GA!$G$602:$G$641,MATCH(BG$5,GA!$E$602:$E$641,0))</f>
        <v>1.7500000000000002E-2</v>
      </c>
      <c r="BI218" s="39" t="s">
        <v>153</v>
      </c>
      <c r="BM218" s="117">
        <f t="shared" si="253"/>
        <v>1.7500000000000002E-2</v>
      </c>
      <c r="BN218" s="117">
        <f t="shared" si="253"/>
        <v>1.7500000000000002E-2</v>
      </c>
      <c r="BO218" s="117">
        <f t="shared" si="253"/>
        <v>1.7500000000000002E-2</v>
      </c>
      <c r="BP218" s="117">
        <f t="shared" si="253"/>
        <v>1.7500000000000002E-2</v>
      </c>
      <c r="BQ218" s="117">
        <f t="shared" si="253"/>
        <v>1.7500000000000002E-2</v>
      </c>
      <c r="BR218" s="117">
        <f t="shared" si="253"/>
        <v>1.7500000000000002E-2</v>
      </c>
      <c r="BS218" s="117">
        <f t="shared" si="253"/>
        <v>1.7500000000000002E-2</v>
      </c>
      <c r="BT218" s="117">
        <f t="shared" si="253"/>
        <v>1.7500000000000002E-2</v>
      </c>
      <c r="BU218" s="117">
        <f t="shared" si="253"/>
        <v>1.7500000000000002E-2</v>
      </c>
      <c r="BV218" s="117">
        <f t="shared" si="253"/>
        <v>1.7500000000000002E-2</v>
      </c>
      <c r="BX218" s="476" t="s">
        <v>153</v>
      </c>
    </row>
    <row r="219" spans="3:76">
      <c r="C219" t="s">
        <v>719</v>
      </c>
      <c r="R219" s="392"/>
      <c r="S219" s="392"/>
      <c r="T219" s="117">
        <f>SUM(T217:T218)</f>
        <v>1.7500000000000002E-2</v>
      </c>
      <c r="U219" s="117">
        <f t="shared" ref="U219:BG219" si="254">SUM(U217:U218)</f>
        <v>1.7500000000000002E-2</v>
      </c>
      <c r="V219" s="117">
        <f t="shared" si="254"/>
        <v>1.7500000000000002E-2</v>
      </c>
      <c r="W219" s="117">
        <f t="shared" si="254"/>
        <v>1.7500000000000002E-2</v>
      </c>
      <c r="X219" s="117">
        <f t="shared" si="254"/>
        <v>1.7500000000000002E-2</v>
      </c>
      <c r="Y219" s="117">
        <f t="shared" si="254"/>
        <v>1.7500000000000002E-2</v>
      </c>
      <c r="Z219" s="117">
        <f t="shared" si="254"/>
        <v>1.7500000000000002E-2</v>
      </c>
      <c r="AA219" s="117">
        <f t="shared" si="254"/>
        <v>1.7500000000000002E-2</v>
      </c>
      <c r="AB219" s="117">
        <f t="shared" si="254"/>
        <v>1.7500000000000002E-2</v>
      </c>
      <c r="AC219" s="117">
        <f t="shared" si="254"/>
        <v>1.7500000000000002E-2</v>
      </c>
      <c r="AD219" s="117">
        <f t="shared" si="254"/>
        <v>1.7500000000000002E-2</v>
      </c>
      <c r="AE219" s="117">
        <f t="shared" si="254"/>
        <v>1.7500000000000002E-2</v>
      </c>
      <c r="AF219" s="117">
        <f t="shared" si="254"/>
        <v>1.7500000000000002E-2</v>
      </c>
      <c r="AG219" s="117">
        <f t="shared" si="254"/>
        <v>1.7500000000000002E-2</v>
      </c>
      <c r="AH219" s="117">
        <f t="shared" si="254"/>
        <v>1.7500000000000002E-2</v>
      </c>
      <c r="AI219" s="117">
        <f t="shared" si="254"/>
        <v>1.7500000000000002E-2</v>
      </c>
      <c r="AJ219" s="117">
        <f t="shared" si="254"/>
        <v>1.7500000000000002E-2</v>
      </c>
      <c r="AK219" s="117">
        <f t="shared" si="254"/>
        <v>1.7500000000000002E-2</v>
      </c>
      <c r="AL219" s="117">
        <f t="shared" si="254"/>
        <v>1.7500000000000002E-2</v>
      </c>
      <c r="AM219" s="117">
        <f t="shared" si="254"/>
        <v>1.7500000000000002E-2</v>
      </c>
      <c r="AN219" s="117">
        <f t="shared" si="254"/>
        <v>1.7590100000000001E-2</v>
      </c>
      <c r="AO219" s="117">
        <f t="shared" si="254"/>
        <v>1.7758800000000002E-2</v>
      </c>
      <c r="AP219" s="117">
        <f t="shared" si="254"/>
        <v>1.8115700000000002E-2</v>
      </c>
      <c r="AQ219" s="117">
        <f t="shared" si="254"/>
        <v>1.86564E-2</v>
      </c>
      <c r="AR219" s="117">
        <f t="shared" si="254"/>
        <v>1.9347200000000002E-2</v>
      </c>
      <c r="AS219" s="117">
        <f t="shared" si="254"/>
        <v>2.0004500000000001E-2</v>
      </c>
      <c r="AT219" s="117">
        <f t="shared" si="254"/>
        <v>2.0529100000000002E-2</v>
      </c>
      <c r="AU219" s="117">
        <f t="shared" si="254"/>
        <v>2.0886600000000002E-2</v>
      </c>
      <c r="AV219" s="117">
        <f t="shared" si="254"/>
        <v>2.1124400000000002E-2</v>
      </c>
      <c r="AW219" s="117">
        <f t="shared" si="254"/>
        <v>2.1332700000000003E-2</v>
      </c>
      <c r="AX219" s="117">
        <f t="shared" si="254"/>
        <v>2.1619600000000003E-2</v>
      </c>
      <c r="AY219" s="117">
        <f t="shared" si="254"/>
        <v>2.2002800000000003E-2</v>
      </c>
      <c r="AZ219" s="117">
        <f t="shared" si="254"/>
        <v>2.2472400000000003E-2</v>
      </c>
      <c r="BA219" s="117">
        <f t="shared" si="254"/>
        <v>2.29141E-2</v>
      </c>
      <c r="BB219" s="117">
        <f t="shared" si="254"/>
        <v>2.3303400000000002E-2</v>
      </c>
      <c r="BC219" s="117">
        <f t="shared" si="254"/>
        <v>2.3611900000000002E-2</v>
      </c>
      <c r="BD219" s="117">
        <f t="shared" si="254"/>
        <v>2.3861400000000001E-2</v>
      </c>
      <c r="BE219" s="117">
        <f t="shared" si="254"/>
        <v>2.4068900000000001E-2</v>
      </c>
      <c r="BF219" s="117">
        <f t="shared" si="254"/>
        <v>2.4302700000000003E-2</v>
      </c>
      <c r="BG219" s="117">
        <f t="shared" si="254"/>
        <v>2.4565700000000003E-2</v>
      </c>
      <c r="BI219" s="39" t="s">
        <v>153</v>
      </c>
      <c r="BM219" s="117">
        <f>SUM(BM217:BM218)</f>
        <v>1.7500000000000002E-2</v>
      </c>
      <c r="BN219" s="117">
        <f t="shared" ref="BN219" si="255">SUM(BN217:BN218)</f>
        <v>1.7500000000000002E-2</v>
      </c>
      <c r="BO219" s="117">
        <f t="shared" ref="BO219" si="256">SUM(BO217:BO218)</f>
        <v>1.7500000000000002E-2</v>
      </c>
      <c r="BP219" s="117">
        <f t="shared" ref="BP219" si="257">SUM(BP217:BP218)</f>
        <v>1.7500000000000002E-2</v>
      </c>
      <c r="BQ219" s="117">
        <f t="shared" ref="BQ219" si="258">SUM(BQ217:BQ218)</f>
        <v>1.7500000000000002E-2</v>
      </c>
      <c r="BR219" s="117">
        <f t="shared" ref="BR219" si="259">SUM(BR217:BR218)</f>
        <v>1.8030250000000001E-2</v>
      </c>
      <c r="BS219" s="117">
        <f t="shared" ref="BS219" si="260">SUM(BS217:BS218)</f>
        <v>2.0191850000000001E-2</v>
      </c>
      <c r="BT219" s="117">
        <f t="shared" ref="BT219" si="261">SUM(BT217:BT218)</f>
        <v>2.1519875000000001E-2</v>
      </c>
      <c r="BU219" s="117">
        <f t="shared" ref="BU219" si="262">SUM(BU217:BU218)</f>
        <v>2.3075450000000001E-2</v>
      </c>
      <c r="BV219" s="117">
        <f t="shared" ref="BV219" si="263">SUM(BV217:BV218)</f>
        <v>2.4199675000000004E-2</v>
      </c>
      <c r="BX219" s="476" t="s">
        <v>153</v>
      </c>
    </row>
    <row r="220" spans="3:76">
      <c r="C220" s="253" t="s">
        <v>720</v>
      </c>
      <c r="D220" s="253"/>
      <c r="E220" s="253"/>
      <c r="F220" s="253"/>
      <c r="G220" s="253"/>
      <c r="H220" s="253"/>
      <c r="I220" s="253"/>
      <c r="J220" s="253"/>
      <c r="K220" s="253"/>
      <c r="L220" s="253"/>
      <c r="M220" s="253"/>
      <c r="N220" s="253"/>
      <c r="O220" s="268"/>
      <c r="P220" s="268"/>
      <c r="Q220" s="268"/>
      <c r="R220" s="153"/>
      <c r="S220" s="153"/>
      <c r="T220" s="254">
        <f>-T219*T210*T$7/GA!$G$599</f>
        <v>0</v>
      </c>
      <c r="U220" s="254">
        <f>-U219*U210*U$7/GA!$G$599</f>
        <v>0</v>
      </c>
      <c r="V220" s="254">
        <f>-V219*V210*V$7/GA!$G$599</f>
        <v>0</v>
      </c>
      <c r="W220" s="254">
        <f>-W219*W210*W$7/GA!$G$599</f>
        <v>0</v>
      </c>
      <c r="X220" s="254">
        <f>-X219*X210*X$7/GA!$G$599</f>
        <v>0</v>
      </c>
      <c r="Y220" s="254">
        <f>-Y219*Y210*Y$7/GA!$G$599</f>
        <v>0</v>
      </c>
      <c r="Z220" s="254">
        <f>-Z219*Z210*Z$7/GA!$G$599</f>
        <v>0</v>
      </c>
      <c r="AA220" s="254">
        <f>-AA219*AA210*AA$7/GA!$G$599</f>
        <v>0</v>
      </c>
      <c r="AB220" s="254">
        <f>-AB219*AB210*AB$7/GA!$G$599</f>
        <v>0</v>
      </c>
      <c r="AC220" s="254">
        <f>-AC219*AC210*AC$7/GA!$G$599</f>
        <v>0</v>
      </c>
      <c r="AD220" s="254">
        <f>-AD219*AD210*AD$7/GA!$G$599</f>
        <v>0</v>
      </c>
      <c r="AE220" s="254">
        <f>-AE219*AE210*AE$7/GA!$G$599</f>
        <v>0</v>
      </c>
      <c r="AF220" s="254">
        <f>-AF219*AF210*AF$7/GA!$G$599</f>
        <v>0</v>
      </c>
      <c r="AG220" s="254">
        <f>-AG219*AG210*AG$7/GA!$G$599</f>
        <v>0</v>
      </c>
      <c r="AH220" s="254">
        <f>-AH219*AH210*AH$7/GA!$G$599</f>
        <v>0</v>
      </c>
      <c r="AI220" s="254">
        <f>-AI219*AI210*AI$7/GA!$G$599</f>
        <v>0</v>
      </c>
      <c r="AJ220" s="254">
        <f>-AJ219*AJ210*AJ$7/GA!$G$599</f>
        <v>0</v>
      </c>
      <c r="AK220" s="254">
        <f>-AK219*AK210*AK$7/GA!$G$599</f>
        <v>0</v>
      </c>
      <c r="AL220" s="254">
        <f>-AL219*AL210*AL$7/GA!$G$599</f>
        <v>0</v>
      </c>
      <c r="AM220" s="254">
        <f>-AM219*AM210*AM$7/GA!$G$599</f>
        <v>0</v>
      </c>
      <c r="AN220" s="254">
        <f>-AN219*AN210*AN$7/GA!$G$599</f>
        <v>0</v>
      </c>
      <c r="AO220" s="254">
        <f>-AO219*AO210*AO$7/GA!$G$599</f>
        <v>0</v>
      </c>
      <c r="AP220" s="254">
        <f>-AP219*AP210*AP$7/GA!$G$599</f>
        <v>0</v>
      </c>
      <c r="AQ220" s="254">
        <f>-AQ219*AQ210*AQ$7/GA!$G$599</f>
        <v>0</v>
      </c>
      <c r="AR220" s="254">
        <f>-AR219*AR210*AR$7/GA!$G$599</f>
        <v>0</v>
      </c>
      <c r="AS220" s="254">
        <f>-AS219*AS210*AS$7/GA!$G$599</f>
        <v>0</v>
      </c>
      <c r="AT220" s="254">
        <f>-AT219*AT210*AT$7/GA!$G$599</f>
        <v>0</v>
      </c>
      <c r="AU220" s="254">
        <f>-AU219*AU210*AU$7/GA!$G$599</f>
        <v>0</v>
      </c>
      <c r="AV220" s="254">
        <f>-AV219*AV210*AV$7/GA!$G$599</f>
        <v>0</v>
      </c>
      <c r="AW220" s="254">
        <f>-AW219*AW210*AW$7/GA!$G$599</f>
        <v>0</v>
      </c>
      <c r="AX220" s="254">
        <f>-AX219*AX210*AX$7/GA!$G$599</f>
        <v>0</v>
      </c>
      <c r="AY220" s="254">
        <f>-AY219*AY210*AY$7/GA!$G$599</f>
        <v>0</v>
      </c>
      <c r="AZ220" s="254">
        <f>-AZ219*AZ210*AZ$7/GA!$G$599</f>
        <v>0</v>
      </c>
      <c r="BA220" s="254">
        <f>-BA219*BA210*BA$7/GA!$G$599</f>
        <v>0</v>
      </c>
      <c r="BB220" s="254">
        <f>-BB219*BB210*BB$7/GA!$G$599</f>
        <v>0</v>
      </c>
      <c r="BC220" s="254">
        <f>-BC219*BC210*BC$7/GA!$G$599</f>
        <v>0</v>
      </c>
      <c r="BD220" s="254">
        <f>-BD219*BD210*BD$7/GA!$G$599</f>
        <v>0</v>
      </c>
      <c r="BE220" s="254">
        <f>-BE219*BE210*BE$7/GA!$G$599</f>
        <v>0</v>
      </c>
      <c r="BF220" s="254">
        <f>-BF219*BF210*BF$7/GA!$G$599</f>
        <v>0</v>
      </c>
      <c r="BG220" s="254">
        <f>-BG219*BG210*BG$7/GA!$G$599</f>
        <v>0</v>
      </c>
      <c r="BI220" s="254">
        <f>SUM(R220:BG220)</f>
        <v>0</v>
      </c>
      <c r="BK220" s="257" t="b">
        <f>ROUND(BI220,GA!$G$112)=ROUND(BX220,GA!$G$112)</f>
        <v>1</v>
      </c>
      <c r="BM220" s="254">
        <f t="shared" ref="BM220:BV220" si="264">SUMIF($T$8:$BG$8,BM$6,$T220:$BG220)</f>
        <v>0</v>
      </c>
      <c r="BN220" s="254">
        <f t="shared" si="264"/>
        <v>0</v>
      </c>
      <c r="BO220" s="254">
        <f t="shared" si="264"/>
        <v>0</v>
      </c>
      <c r="BP220" s="254">
        <f t="shared" si="264"/>
        <v>0</v>
      </c>
      <c r="BQ220" s="254">
        <f t="shared" si="264"/>
        <v>0</v>
      </c>
      <c r="BR220" s="254">
        <f t="shared" si="264"/>
        <v>0</v>
      </c>
      <c r="BS220" s="254">
        <f t="shared" si="264"/>
        <v>0</v>
      </c>
      <c r="BT220" s="254">
        <f t="shared" si="264"/>
        <v>0</v>
      </c>
      <c r="BU220" s="254">
        <f t="shared" si="264"/>
        <v>0</v>
      </c>
      <c r="BV220" s="254">
        <f t="shared" si="264"/>
        <v>0</v>
      </c>
      <c r="BX220" s="254">
        <f>SUM(BM220:BV220)</f>
        <v>0</v>
      </c>
    </row>
    <row r="222" spans="3:76">
      <c r="C222" s="39" t="s">
        <v>722</v>
      </c>
      <c r="D222" s="39"/>
      <c r="E222" s="39"/>
      <c r="F222" s="39"/>
      <c r="G222" s="39"/>
      <c r="H222" s="39"/>
      <c r="I222" s="39"/>
      <c r="J222" s="39"/>
      <c r="K222" s="39"/>
      <c r="L222" s="39"/>
      <c r="M222" s="39"/>
      <c r="N222" s="39"/>
      <c r="T222" s="310"/>
    </row>
    <row r="223" spans="3:76">
      <c r="C223" s="269" t="s">
        <v>723</v>
      </c>
      <c r="D223" s="269"/>
      <c r="E223" s="269"/>
      <c r="F223" s="269"/>
      <c r="G223" s="269"/>
      <c r="H223" s="269"/>
      <c r="I223" s="269"/>
      <c r="J223" s="269"/>
      <c r="K223" s="269"/>
      <c r="L223" s="269"/>
      <c r="M223" s="269"/>
      <c r="N223" s="269"/>
      <c r="O223" s="412">
        <f>GA!$G$583</f>
        <v>5.0000000000000001E-3</v>
      </c>
      <c r="P223" s="269"/>
      <c r="Q223" s="269"/>
      <c r="R223" s="248"/>
      <c r="S223" s="248"/>
      <c r="T223" s="1351">
        <f>-AND(T210=0,T211&gt;0)*GA!$G$576*$O$223</f>
        <v>0</v>
      </c>
      <c r="U223" s="1351">
        <f>-AND(U210=0,U211&gt;0)*GA!$G$576*$O$223</f>
        <v>0</v>
      </c>
      <c r="V223" s="1351">
        <f>-AND(V210=0,V211&gt;0)*GA!$G$576*$O$223</f>
        <v>0</v>
      </c>
      <c r="W223" s="1351">
        <f>-AND(W210=0,W211&gt;0)*GA!$G$576*$O$223</f>
        <v>0</v>
      </c>
      <c r="X223" s="1351">
        <f>-AND(X210=0,X211&gt;0)*GA!$G$576*$O$223</f>
        <v>0</v>
      </c>
      <c r="Y223" s="1351">
        <f>-AND(Y210=0,Y211&gt;0)*GA!$G$576*$O$223</f>
        <v>0</v>
      </c>
      <c r="Z223" s="1351">
        <f>-AND(Z210=0,Z211&gt;0)*GA!$G$576*$O$223</f>
        <v>0</v>
      </c>
      <c r="AA223" s="1351">
        <f>-AND(AA210=0,AA211&gt;0)*GA!$G$576*$O$223</f>
        <v>0</v>
      </c>
      <c r="AB223" s="1351">
        <f>-AND(AB210=0,AB211&gt;0)*GA!$G$576*$O$223</f>
        <v>0</v>
      </c>
      <c r="AC223" s="1351">
        <f>-AND(AC210=0,AC211&gt;0)*GA!$G$576*$O$223</f>
        <v>0</v>
      </c>
      <c r="AD223" s="1351">
        <f>-AND(AD210=0,AD211&gt;0)*GA!$G$576*$O$223</f>
        <v>0</v>
      </c>
      <c r="AE223" s="1351">
        <f>-AND(AE210=0,AE211&gt;0)*GA!$G$576*$O$223</f>
        <v>0</v>
      </c>
      <c r="AF223" s="1351">
        <f>-AND(AF210=0,AF211&gt;0)*GA!$G$576*$O$223</f>
        <v>0</v>
      </c>
      <c r="AG223" s="1351">
        <f>-AND(AG210=0,AG211&gt;0)*GA!$G$576*$O$223</f>
        <v>0</v>
      </c>
      <c r="AH223" s="1351">
        <f>-AND(AH210=0,AH211&gt;0)*GA!$G$576*$O$223</f>
        <v>0</v>
      </c>
      <c r="AI223" s="1351">
        <f>-AND(AI210=0,AI211&gt;0)*GA!$G$576*$O$223</f>
        <v>0</v>
      </c>
      <c r="AJ223" s="1351">
        <f>-AND(AJ210=0,AJ211&gt;0)*GA!$G$576*$O$223</f>
        <v>0</v>
      </c>
      <c r="AK223" s="1351">
        <f>-AND(AK210=0,AK211&gt;0)*GA!$G$576*$O$223</f>
        <v>0</v>
      </c>
      <c r="AL223" s="1351">
        <f>-AND(AL210=0,AL211&gt;0)*GA!$G$576*$O$223</f>
        <v>0</v>
      </c>
      <c r="AM223" s="1351">
        <f>-AND(AM210=0,AM211&gt;0)*GA!$G$576*$O$223</f>
        <v>0</v>
      </c>
      <c r="AN223" s="1351">
        <f>-AND(AN210=0,AN211&gt;0)*GA!$G$576*$O$223</f>
        <v>0</v>
      </c>
      <c r="AO223" s="1351">
        <f>-AND(AO210=0,AO211&gt;0)*GA!$G$576*$O$223</f>
        <v>0</v>
      </c>
      <c r="AP223" s="1351">
        <f>-AND(AP210=0,AP211&gt;0)*GA!$G$576*$O$223</f>
        <v>0</v>
      </c>
      <c r="AQ223" s="1351">
        <f>-AND(AQ210=0,AQ211&gt;0)*GA!$G$576*$O$223</f>
        <v>0</v>
      </c>
      <c r="AR223" s="1351">
        <f>-AND(AR210=0,AR211&gt;0)*GA!$G$576*$O$223</f>
        <v>0</v>
      </c>
      <c r="AS223" s="1351">
        <f>-AND(AS210=0,AS211&gt;0)*GA!$G$576*$O$223</f>
        <v>0</v>
      </c>
      <c r="AT223" s="1351">
        <f>-AND(AT210=0,AT211&gt;0)*GA!$G$576*$O$223</f>
        <v>0</v>
      </c>
      <c r="AU223" s="1351">
        <f>-AND(AU210=0,AU211&gt;0)*GA!$G$576*$O$223</f>
        <v>0</v>
      </c>
      <c r="AV223" s="1351">
        <f>-AND(AV210=0,AV211&gt;0)*GA!$G$576*$O$223</f>
        <v>0</v>
      </c>
      <c r="AW223" s="1351">
        <f>-AND(AW210=0,AW211&gt;0)*GA!$G$576*$O$223</f>
        <v>0</v>
      </c>
      <c r="AX223" s="1351">
        <f>-AND(AX210=0,AX211&gt;0)*GA!$G$576*$O$223</f>
        <v>0</v>
      </c>
      <c r="AY223" s="1351">
        <f>-AND(AY210=0,AY211&gt;0)*GA!$G$576*$O$223</f>
        <v>0</v>
      </c>
      <c r="AZ223" s="1351">
        <f>-AND(AZ210=0,AZ211&gt;0)*GA!$G$576*$O$223</f>
        <v>0</v>
      </c>
      <c r="BA223" s="1351">
        <f>-AND(BA210=0,BA211&gt;0)*GA!$G$576*$O$223</f>
        <v>0</v>
      </c>
      <c r="BB223" s="1351">
        <f>-AND(BB210=0,BB211&gt;0)*GA!$G$576*$O$223</f>
        <v>0</v>
      </c>
      <c r="BC223" s="1351">
        <f>-AND(BC210=0,BC211&gt;0)*GA!$G$576*$O$223</f>
        <v>0</v>
      </c>
      <c r="BD223" s="1351">
        <f>-AND(BD210=0,BD211&gt;0)*GA!$G$576*$O$223</f>
        <v>0</v>
      </c>
      <c r="BE223" s="1351">
        <f>-AND(BE210=0,BE211&gt;0)*GA!$G$576*$O$223</f>
        <v>0</v>
      </c>
      <c r="BF223" s="1351">
        <f>-AND(BF210=0,BF211&gt;0)*GA!$G$576*$O$223</f>
        <v>0</v>
      </c>
      <c r="BG223" s="1351">
        <f>-AND(BG210=0,BG211&gt;0)*GA!$G$576*$O$223</f>
        <v>0</v>
      </c>
      <c r="BI223" s="1068">
        <f>SUM(S223:BG223)</f>
        <v>0</v>
      </c>
      <c r="BM223" s="368">
        <f t="shared" ref="BM223:BV225" si="265">SUMIF($T$8:$BG$8,BM$6,$T223:$BG223)</f>
        <v>0</v>
      </c>
      <c r="BN223" s="368">
        <f t="shared" si="265"/>
        <v>0</v>
      </c>
      <c r="BO223" s="368">
        <f t="shared" si="265"/>
        <v>0</v>
      </c>
      <c r="BP223" s="368">
        <f t="shared" si="265"/>
        <v>0</v>
      </c>
      <c r="BQ223" s="368">
        <f t="shared" si="265"/>
        <v>0</v>
      </c>
      <c r="BR223" s="368">
        <f t="shared" si="265"/>
        <v>0</v>
      </c>
      <c r="BS223" s="368">
        <f t="shared" si="265"/>
        <v>0</v>
      </c>
      <c r="BT223" s="368">
        <f t="shared" si="265"/>
        <v>0</v>
      </c>
      <c r="BU223" s="368">
        <f t="shared" si="265"/>
        <v>0</v>
      </c>
      <c r="BV223" s="368">
        <f t="shared" si="265"/>
        <v>0</v>
      </c>
      <c r="BX223" s="1068">
        <f>SUM(BM223:BV223)</f>
        <v>0</v>
      </c>
    </row>
    <row r="224" spans="3:76">
      <c r="C224" s="17" t="s">
        <v>726</v>
      </c>
      <c r="D224" s="17"/>
      <c r="E224" s="17"/>
      <c r="F224" s="17"/>
      <c r="G224" s="17"/>
      <c r="H224" s="17"/>
      <c r="I224" s="17"/>
      <c r="J224" s="17"/>
      <c r="K224" s="17"/>
      <c r="L224" s="17"/>
      <c r="M224" s="17"/>
      <c r="N224" s="17"/>
      <c r="O224" s="441">
        <f>GA!G586</f>
        <v>0.01</v>
      </c>
      <c r="P224" s="17"/>
      <c r="Q224" s="17"/>
      <c r="R224" s="416"/>
      <c r="S224" s="416"/>
      <c r="T224" s="1354">
        <f>(-(GA!$G$576-SUM($S$211:S211))*$O$224*T$7/GA!$G$599*T$20)*GA!$G$572*(T5&gt;GA!$G$509)</f>
        <v>0</v>
      </c>
      <c r="U224" s="1354">
        <f>(-(GA!$G$576-SUM($S$211:T211))*$O$224*U$7/GA!$G$599*U$20)*GA!$G$572*(U5&gt;GA!$G$509)</f>
        <v>0</v>
      </c>
      <c r="V224" s="1354">
        <f>(-(GA!$G$576-SUM($S$211:U211))*$O$224*V$7/GA!$G$599*V$20)*GA!$G$572*(V5&gt;GA!$G$509)</f>
        <v>0</v>
      </c>
      <c r="W224" s="1354">
        <f>(-(GA!$G$576-SUM($S$211:V211))*$O$224*W$7/GA!$G$599*W$20)*GA!$G$572*(W5&gt;GA!$G$509)</f>
        <v>0</v>
      </c>
      <c r="X224" s="1354">
        <f>(-(GA!$G$576-SUM($S$211:W211))*$O$224*X$7/GA!$G$599*X$20)*GA!$G$572*(X5&gt;GA!$G$509)</f>
        <v>0</v>
      </c>
      <c r="Y224" s="1354">
        <f>(-(GA!$G$576-SUM($S$211:X211))*$O$224*Y$7/GA!$G$599*Y$20)*GA!$G$572*(Y5&gt;GA!$G$509)</f>
        <v>0</v>
      </c>
      <c r="Z224" s="1354">
        <f>(-(GA!$G$576-SUM($S$211:Y211))*$O$224*Z$7/GA!$G$599*Z$20)*GA!$G$572*(Z5&gt;GA!$G$509)</f>
        <v>0</v>
      </c>
      <c r="AA224" s="1354">
        <f>(-(GA!$G$576-SUM($S$211:Z211))*$O$224*AA$7/GA!$G$599*AA$20)*GA!$G$572*(AA5&gt;GA!$G$509)</f>
        <v>0</v>
      </c>
      <c r="AB224" s="1354">
        <f>(-(GA!$G$576-SUM($S$211:AA211))*$O$224*AB$7/GA!$G$599*AB$20)*GA!$G$572*(AB5&gt;GA!$G$509)</f>
        <v>0</v>
      </c>
      <c r="AC224" s="1354">
        <f>(-(GA!$G$576-SUM($S$211:AB211))*$O$224*AC$7/GA!$G$599*AC$20)*GA!$G$572*(AC5&gt;GA!$G$509)</f>
        <v>0</v>
      </c>
      <c r="AD224" s="1354">
        <f>(-(GA!$G$576-SUM($S$211:AC211))*$O$224*AD$7/GA!$G$599*AD$20)*GA!$G$572*(AD5&gt;GA!$G$509)</f>
        <v>0</v>
      </c>
      <c r="AE224" s="1354">
        <f>(-(GA!$G$576-SUM($S$211:AD211))*$O$224*AE$7/GA!$G$599*AE$20)*GA!$G$572*(AE5&gt;GA!$G$509)</f>
        <v>0</v>
      </c>
      <c r="AF224" s="1354">
        <f>(-(GA!$G$576-SUM($S$211:AE211))*$O$224*AF$7/GA!$G$599*AF$20)*GA!$G$572*(AF5&gt;GA!$G$509)</f>
        <v>0</v>
      </c>
      <c r="AG224" s="1354">
        <f>(-(GA!$G$576-SUM($S$211:AF211))*$O$224*AG$7/GA!$G$599*AG$20)*GA!$G$572*(AG5&gt;GA!$G$509)</f>
        <v>0</v>
      </c>
      <c r="AH224" s="1354">
        <f>(-(GA!$G$576-SUM($S$211:AG211))*$O$224*AH$7/GA!$G$599*AH$20)*GA!$G$572*(AH5&gt;GA!$G$509)</f>
        <v>0</v>
      </c>
      <c r="AI224" s="1354">
        <f>(-(GA!$G$576-SUM($S$211:AH211))*$O$224*AI$7/GA!$G$599*AI$20)*GA!$G$572*(AI5&gt;GA!$G$509)</f>
        <v>0</v>
      </c>
      <c r="AJ224" s="1354">
        <f>(-(GA!$G$576-SUM($S$211:AI211))*$O$224*AJ$7/GA!$G$599*AJ$20)*GA!$G$572*(AJ5&gt;GA!$G$509)</f>
        <v>0</v>
      </c>
      <c r="AK224" s="1354">
        <f>(-(GA!$G$576-SUM($S$211:AJ211))*$O$224*AK$7/GA!$G$599*AK$20)*GA!$G$572*(AK5&gt;GA!$G$509)</f>
        <v>0</v>
      </c>
      <c r="AL224" s="1354">
        <f>(-(GA!$G$576-SUM($S$211:AK211))*$O$224*AL$7/GA!$G$599*AL$20)*GA!$G$572*(AL5&gt;GA!$G$509)</f>
        <v>0</v>
      </c>
      <c r="AM224" s="1354">
        <f>(-(GA!$G$576-SUM($S$211:AL211))*$O$224*AM$7/GA!$G$599*AM$20)*GA!$G$572*(AM5&gt;GA!$G$509)</f>
        <v>0</v>
      </c>
      <c r="AN224" s="1354">
        <f>(-(GA!$G$576-SUM($S$211:AM211))*$O$224*AN$7/GA!$G$599*AN$20)*GA!$G$572*(AN5&gt;GA!$G$509)</f>
        <v>0</v>
      </c>
      <c r="AO224" s="1354">
        <f>(-(GA!$G$576-SUM($S$211:AN211))*$O$224*AO$7/GA!$G$599*AO$20)*GA!$G$572*(AO5&gt;GA!$G$509)</f>
        <v>0</v>
      </c>
      <c r="AP224" s="1354">
        <f>(-(GA!$G$576-SUM($S$211:AO211))*$O$224*AP$7/GA!$G$599*AP$20)*GA!$G$572*(AP5&gt;GA!$G$509)</f>
        <v>0</v>
      </c>
      <c r="AQ224" s="1354">
        <f>(-(GA!$G$576-SUM($S$211:AP211))*$O$224*AQ$7/GA!$G$599*AQ$20)*GA!$G$572*(AQ5&gt;GA!$G$509)</f>
        <v>0</v>
      </c>
      <c r="AR224" s="1354">
        <f>(-(GA!$G$576-SUM($S$211:AQ211))*$O$224*AR$7/GA!$G$599*AR$20)*GA!$G$572*(AR5&gt;GA!$G$509)</f>
        <v>0</v>
      </c>
      <c r="AS224" s="1354">
        <f>(-(GA!$G$576-SUM($S$211:AR211))*$O$224*AS$7/GA!$G$599*AS$20)*GA!$G$572*(AS5&gt;GA!$G$509)</f>
        <v>0</v>
      </c>
      <c r="AT224" s="1354">
        <f>(-(GA!$G$576-SUM($S$211:AS211))*$O$224*AT$7/GA!$G$599*AT$20)*GA!$G$572*(AT5&gt;GA!$G$509)</f>
        <v>0</v>
      </c>
      <c r="AU224" s="1354">
        <f>(-(GA!$G$576-SUM($S$211:AT211))*$O$224*AU$7/GA!$G$599*AU$20)*GA!$G$572*(AU5&gt;GA!$G$509)</f>
        <v>0</v>
      </c>
      <c r="AV224" s="1354">
        <f>(-(GA!$G$576-SUM($S$211:AU211))*$O$224*AV$7/GA!$G$599*AV$20)*GA!$G$572*(AV5&gt;GA!$G$509)</f>
        <v>0</v>
      </c>
      <c r="AW224" s="1354">
        <f>(-(GA!$G$576-SUM($S$211:AV211))*$O$224*AW$7/GA!$G$599*AW$20)*GA!$G$572*(AW5&gt;GA!$G$509)</f>
        <v>0</v>
      </c>
      <c r="AX224" s="1354">
        <f>(-(GA!$G$576-SUM($S$211:AW211))*$O$224*AX$7/GA!$G$599*AX$20)*GA!$G$572*(AX5&gt;GA!$G$509)</f>
        <v>0</v>
      </c>
      <c r="AY224" s="1354">
        <f>(-(GA!$G$576-SUM($S$211:AX211))*$O$224*AY$7/GA!$G$599*AY$20)*GA!$G$572*(AY5&gt;GA!$G$509)</f>
        <v>0</v>
      </c>
      <c r="AZ224" s="1354">
        <f>(-(GA!$G$576-SUM($S$211:AY211))*$O$224*AZ$7/GA!$G$599*AZ$20)*GA!$G$572*(AZ5&gt;GA!$G$509)</f>
        <v>0</v>
      </c>
      <c r="BA224" s="1354">
        <f>(-(GA!$G$576-SUM($S$211:AZ211))*$O$224*BA$7/GA!$G$599*BA$20)*GA!$G$572*(BA5&gt;GA!$G$509)</f>
        <v>0</v>
      </c>
      <c r="BB224" s="1354">
        <f>(-(GA!$G$576-SUM($S$211:BA211))*$O$224*BB$7/GA!$G$599*BB$20)*GA!$G$572*(BB5&gt;GA!$G$509)</f>
        <v>0</v>
      </c>
      <c r="BC224" s="1354">
        <f>(-(GA!$G$576-SUM($S$211:BB211))*$O$224*BC$7/GA!$G$599*BC$20)*GA!$G$572*(BC5&gt;GA!$G$509)</f>
        <v>0</v>
      </c>
      <c r="BD224" s="1354">
        <f>(-(GA!$G$576-SUM($S$211:BC211))*$O$224*BD$7/GA!$G$599*BD$20)*GA!$G$572*(BD5&gt;GA!$G$509)</f>
        <v>0</v>
      </c>
      <c r="BE224" s="1354">
        <f>(-(GA!$G$576-SUM($S$211:BD211))*$O$224*BE$7/GA!$G$599*BE$20)*GA!$G$572*(BE5&gt;GA!$G$509)</f>
        <v>0</v>
      </c>
      <c r="BF224" s="1354">
        <f>(-(GA!$G$576-SUM($S$211:BE211))*$O$224*BF$7/GA!$G$599*BF$20)*GA!$G$572*(BF5&gt;GA!$G$509)</f>
        <v>0</v>
      </c>
      <c r="BG224" s="1354">
        <f>(-(GA!$G$576-SUM($S$211:BF211))*$O$224*BG$7/GA!$G$599*BG$20)*GA!$G$572*(BG5&gt;GA!$G$509)</f>
        <v>0</v>
      </c>
      <c r="BI224" s="476">
        <f>SUM(T224:BG224)</f>
        <v>0</v>
      </c>
      <c r="BM224" s="310">
        <f t="shared" si="265"/>
        <v>0</v>
      </c>
      <c r="BN224" s="310">
        <f t="shared" si="265"/>
        <v>0</v>
      </c>
      <c r="BO224" s="310">
        <f t="shared" si="265"/>
        <v>0</v>
      </c>
      <c r="BP224" s="310">
        <f t="shared" si="265"/>
        <v>0</v>
      </c>
      <c r="BQ224" s="310">
        <f t="shared" si="265"/>
        <v>0</v>
      </c>
      <c r="BR224" s="310">
        <f t="shared" si="265"/>
        <v>0</v>
      </c>
      <c r="BS224" s="310">
        <f t="shared" si="265"/>
        <v>0</v>
      </c>
      <c r="BT224" s="310">
        <f t="shared" si="265"/>
        <v>0</v>
      </c>
      <c r="BU224" s="310">
        <f t="shared" si="265"/>
        <v>0</v>
      </c>
      <c r="BV224" s="310">
        <f t="shared" si="265"/>
        <v>0</v>
      </c>
      <c r="BX224" s="476">
        <f>SUM(BM224:BV224)</f>
        <v>0</v>
      </c>
    </row>
    <row r="225" spans="3:76">
      <c r="C225" s="253" t="s">
        <v>728</v>
      </c>
      <c r="D225" s="253"/>
      <c r="E225" s="253"/>
      <c r="F225" s="253"/>
      <c r="G225" s="253"/>
      <c r="H225" s="253"/>
      <c r="I225" s="253"/>
      <c r="J225" s="253"/>
      <c r="K225" s="253"/>
      <c r="L225" s="253"/>
      <c r="M225" s="253"/>
      <c r="N225" s="253"/>
      <c r="O225" s="253"/>
      <c r="P225" s="253"/>
      <c r="Q225" s="253"/>
      <c r="R225" s="401"/>
      <c r="S225" s="401"/>
      <c r="T225" s="254">
        <f t="shared" ref="T225:BG225" si="266">SUM(T223:T224)</f>
        <v>0</v>
      </c>
      <c r="U225" s="254">
        <f t="shared" si="266"/>
        <v>0</v>
      </c>
      <c r="V225" s="254">
        <f t="shared" si="266"/>
        <v>0</v>
      </c>
      <c r="W225" s="254">
        <f t="shared" si="266"/>
        <v>0</v>
      </c>
      <c r="X225" s="254">
        <f t="shared" si="266"/>
        <v>0</v>
      </c>
      <c r="Y225" s="254">
        <f t="shared" si="266"/>
        <v>0</v>
      </c>
      <c r="Z225" s="254">
        <f t="shared" si="266"/>
        <v>0</v>
      </c>
      <c r="AA225" s="254">
        <f t="shared" si="266"/>
        <v>0</v>
      </c>
      <c r="AB225" s="254">
        <f t="shared" si="266"/>
        <v>0</v>
      </c>
      <c r="AC225" s="254">
        <f t="shared" si="266"/>
        <v>0</v>
      </c>
      <c r="AD225" s="254">
        <f t="shared" si="266"/>
        <v>0</v>
      </c>
      <c r="AE225" s="254">
        <f t="shared" si="266"/>
        <v>0</v>
      </c>
      <c r="AF225" s="254">
        <f t="shared" si="266"/>
        <v>0</v>
      </c>
      <c r="AG225" s="254">
        <f t="shared" si="266"/>
        <v>0</v>
      </c>
      <c r="AH225" s="254">
        <f t="shared" si="266"/>
        <v>0</v>
      </c>
      <c r="AI225" s="254">
        <f t="shared" si="266"/>
        <v>0</v>
      </c>
      <c r="AJ225" s="254">
        <f t="shared" si="266"/>
        <v>0</v>
      </c>
      <c r="AK225" s="254">
        <f t="shared" si="266"/>
        <v>0</v>
      </c>
      <c r="AL225" s="254">
        <f t="shared" si="266"/>
        <v>0</v>
      </c>
      <c r="AM225" s="254">
        <f t="shared" si="266"/>
        <v>0</v>
      </c>
      <c r="AN225" s="254">
        <f t="shared" si="266"/>
        <v>0</v>
      </c>
      <c r="AO225" s="254">
        <f t="shared" si="266"/>
        <v>0</v>
      </c>
      <c r="AP225" s="254">
        <f t="shared" si="266"/>
        <v>0</v>
      </c>
      <c r="AQ225" s="254">
        <f t="shared" si="266"/>
        <v>0</v>
      </c>
      <c r="AR225" s="254">
        <f t="shared" si="266"/>
        <v>0</v>
      </c>
      <c r="AS225" s="254">
        <f t="shared" si="266"/>
        <v>0</v>
      </c>
      <c r="AT225" s="254">
        <f t="shared" si="266"/>
        <v>0</v>
      </c>
      <c r="AU225" s="254">
        <f t="shared" si="266"/>
        <v>0</v>
      </c>
      <c r="AV225" s="254">
        <f t="shared" si="266"/>
        <v>0</v>
      </c>
      <c r="AW225" s="254">
        <f t="shared" si="266"/>
        <v>0</v>
      </c>
      <c r="AX225" s="254">
        <f t="shared" si="266"/>
        <v>0</v>
      </c>
      <c r="AY225" s="254">
        <f t="shared" si="266"/>
        <v>0</v>
      </c>
      <c r="AZ225" s="254">
        <f t="shared" si="266"/>
        <v>0</v>
      </c>
      <c r="BA225" s="254">
        <f t="shared" si="266"/>
        <v>0</v>
      </c>
      <c r="BB225" s="254">
        <f t="shared" si="266"/>
        <v>0</v>
      </c>
      <c r="BC225" s="254">
        <f t="shared" si="266"/>
        <v>0</v>
      </c>
      <c r="BD225" s="254">
        <f t="shared" si="266"/>
        <v>0</v>
      </c>
      <c r="BE225" s="254">
        <f t="shared" si="266"/>
        <v>0</v>
      </c>
      <c r="BF225" s="254">
        <f t="shared" si="266"/>
        <v>0</v>
      </c>
      <c r="BG225" s="254">
        <f t="shared" si="266"/>
        <v>0</v>
      </c>
      <c r="BI225" s="254">
        <f>SUM(T225:BG225)</f>
        <v>0</v>
      </c>
      <c r="BM225" s="254">
        <f t="shared" si="265"/>
        <v>0</v>
      </c>
      <c r="BN225" s="254">
        <f t="shared" si="265"/>
        <v>0</v>
      </c>
      <c r="BO225" s="254">
        <f t="shared" si="265"/>
        <v>0</v>
      </c>
      <c r="BP225" s="254">
        <f t="shared" si="265"/>
        <v>0</v>
      </c>
      <c r="BQ225" s="254">
        <f t="shared" si="265"/>
        <v>0</v>
      </c>
      <c r="BR225" s="254">
        <f t="shared" si="265"/>
        <v>0</v>
      </c>
      <c r="BS225" s="254">
        <f t="shared" si="265"/>
        <v>0</v>
      </c>
      <c r="BT225" s="254">
        <f t="shared" si="265"/>
        <v>0</v>
      </c>
      <c r="BU225" s="254">
        <f t="shared" si="265"/>
        <v>0</v>
      </c>
      <c r="BV225" s="254">
        <f t="shared" si="265"/>
        <v>0</v>
      </c>
      <c r="BX225" s="254">
        <f>SUM(BM225:BV225)</f>
        <v>0</v>
      </c>
    </row>
    <row r="227" spans="3:76">
      <c r="C227" t="s">
        <v>729</v>
      </c>
      <c r="S227" s="310">
        <f>-GA!$G$584</f>
        <v>0</v>
      </c>
      <c r="T227" s="392"/>
      <c r="U227" s="392"/>
      <c r="V227" s="392"/>
      <c r="W227" s="392"/>
      <c r="X227" s="392"/>
      <c r="Y227" s="392"/>
      <c r="Z227" s="392"/>
      <c r="AA227" s="392"/>
      <c r="AB227" s="392"/>
      <c r="AC227" s="392"/>
      <c r="AD227" s="392"/>
      <c r="AE227" s="392"/>
      <c r="AF227" s="392"/>
      <c r="AG227" s="392"/>
      <c r="AH227" s="392"/>
      <c r="AI227" s="392"/>
      <c r="AJ227" s="392"/>
      <c r="AK227" s="392"/>
      <c r="AL227" s="392"/>
      <c r="AM227" s="392"/>
      <c r="AN227" s="392"/>
      <c r="AO227" s="392"/>
      <c r="AP227" s="392"/>
      <c r="AQ227" s="392"/>
      <c r="AR227" s="392"/>
      <c r="AS227" s="392"/>
      <c r="AT227" s="392"/>
      <c r="AU227" s="392"/>
      <c r="AV227" s="392"/>
      <c r="AW227" s="392"/>
      <c r="AX227" s="392"/>
      <c r="AY227" s="392"/>
      <c r="AZ227" s="392"/>
      <c r="BA227" s="392"/>
      <c r="BB227" s="392"/>
      <c r="BC227" s="392"/>
      <c r="BD227" s="392"/>
      <c r="BE227" s="392"/>
      <c r="BF227" s="392"/>
      <c r="BG227" s="392"/>
      <c r="BI227" s="402">
        <f>SUM(S227)</f>
        <v>0</v>
      </c>
      <c r="BM227" s="1073">
        <f t="shared" ref="BM227:BV227" si="267">SUMIF($T$8:$BG$8,BM$6,$T227:$BG227)</f>
        <v>0</v>
      </c>
      <c r="BN227" s="1073">
        <f t="shared" si="267"/>
        <v>0</v>
      </c>
      <c r="BO227" s="1073">
        <f t="shared" si="267"/>
        <v>0</v>
      </c>
      <c r="BP227" s="1073">
        <f t="shared" si="267"/>
        <v>0</v>
      </c>
      <c r="BQ227" s="1073">
        <f t="shared" si="267"/>
        <v>0</v>
      </c>
      <c r="BR227" s="1073">
        <f t="shared" si="267"/>
        <v>0</v>
      </c>
      <c r="BS227" s="1073">
        <f t="shared" si="267"/>
        <v>0</v>
      </c>
      <c r="BT227" s="1073">
        <f t="shared" si="267"/>
        <v>0</v>
      </c>
      <c r="BU227" s="1073">
        <f t="shared" si="267"/>
        <v>0</v>
      </c>
      <c r="BV227" s="1073">
        <f t="shared" si="267"/>
        <v>0</v>
      </c>
      <c r="BX227" s="1073">
        <f>SUM(BM227:BV227)</f>
        <v>0</v>
      </c>
    </row>
    <row r="229" spans="3:76">
      <c r="C229" s="253" t="s">
        <v>1428</v>
      </c>
      <c r="D229" s="253"/>
      <c r="E229" s="253"/>
      <c r="F229" s="253"/>
      <c r="G229" s="253"/>
      <c r="H229" s="253"/>
      <c r="I229" s="253"/>
      <c r="J229" s="253"/>
      <c r="K229" s="253"/>
      <c r="L229" s="253"/>
      <c r="M229" s="253"/>
      <c r="N229" s="253"/>
      <c r="O229" s="253"/>
      <c r="P229" s="253"/>
      <c r="Q229" s="253"/>
      <c r="R229" s="401"/>
      <c r="S229" s="254">
        <f t="shared" ref="S229:BG229" si="268">SUM(S211:S213)+S220+S225+S227</f>
        <v>0</v>
      </c>
      <c r="T229" s="254">
        <f t="shared" si="268"/>
        <v>0</v>
      </c>
      <c r="U229" s="254">
        <f t="shared" si="268"/>
        <v>0</v>
      </c>
      <c r="V229" s="254">
        <f t="shared" si="268"/>
        <v>0</v>
      </c>
      <c r="W229" s="254">
        <f t="shared" si="268"/>
        <v>0</v>
      </c>
      <c r="X229" s="254">
        <f t="shared" si="268"/>
        <v>0</v>
      </c>
      <c r="Y229" s="254">
        <f t="shared" si="268"/>
        <v>0</v>
      </c>
      <c r="Z229" s="254">
        <f t="shared" si="268"/>
        <v>0</v>
      </c>
      <c r="AA229" s="254">
        <f t="shared" si="268"/>
        <v>0</v>
      </c>
      <c r="AB229" s="254">
        <f t="shared" si="268"/>
        <v>0</v>
      </c>
      <c r="AC229" s="254">
        <f t="shared" si="268"/>
        <v>0</v>
      </c>
      <c r="AD229" s="254">
        <f t="shared" si="268"/>
        <v>0</v>
      </c>
      <c r="AE229" s="254">
        <f t="shared" si="268"/>
        <v>0</v>
      </c>
      <c r="AF229" s="254">
        <f t="shared" si="268"/>
        <v>0</v>
      </c>
      <c r="AG229" s="254">
        <f t="shared" si="268"/>
        <v>0</v>
      </c>
      <c r="AH229" s="254">
        <f t="shared" si="268"/>
        <v>0</v>
      </c>
      <c r="AI229" s="254">
        <f t="shared" si="268"/>
        <v>0</v>
      </c>
      <c r="AJ229" s="254">
        <f t="shared" si="268"/>
        <v>0</v>
      </c>
      <c r="AK229" s="254">
        <f t="shared" si="268"/>
        <v>0</v>
      </c>
      <c r="AL229" s="254">
        <f t="shared" si="268"/>
        <v>0</v>
      </c>
      <c r="AM229" s="254">
        <f t="shared" si="268"/>
        <v>0</v>
      </c>
      <c r="AN229" s="254">
        <f t="shared" si="268"/>
        <v>0</v>
      </c>
      <c r="AO229" s="254">
        <f t="shared" si="268"/>
        <v>0</v>
      </c>
      <c r="AP229" s="254">
        <f t="shared" si="268"/>
        <v>0</v>
      </c>
      <c r="AQ229" s="254">
        <f t="shared" si="268"/>
        <v>0</v>
      </c>
      <c r="AR229" s="254">
        <f t="shared" si="268"/>
        <v>0</v>
      </c>
      <c r="AS229" s="254">
        <f t="shared" si="268"/>
        <v>0</v>
      </c>
      <c r="AT229" s="254">
        <f t="shared" si="268"/>
        <v>0</v>
      </c>
      <c r="AU229" s="254">
        <f t="shared" si="268"/>
        <v>0</v>
      </c>
      <c r="AV229" s="254">
        <f t="shared" si="268"/>
        <v>0</v>
      </c>
      <c r="AW229" s="254">
        <f t="shared" si="268"/>
        <v>0</v>
      </c>
      <c r="AX229" s="254">
        <f t="shared" si="268"/>
        <v>0</v>
      </c>
      <c r="AY229" s="254">
        <f t="shared" si="268"/>
        <v>0</v>
      </c>
      <c r="AZ229" s="254">
        <f t="shared" si="268"/>
        <v>0</v>
      </c>
      <c r="BA229" s="254">
        <f t="shared" si="268"/>
        <v>0</v>
      </c>
      <c r="BB229" s="254">
        <f t="shared" si="268"/>
        <v>0</v>
      </c>
      <c r="BC229" s="254">
        <f t="shared" si="268"/>
        <v>0</v>
      </c>
      <c r="BD229" s="254">
        <f t="shared" si="268"/>
        <v>0</v>
      </c>
      <c r="BE229" s="254">
        <f t="shared" si="268"/>
        <v>0</v>
      </c>
      <c r="BF229" s="254">
        <f t="shared" si="268"/>
        <v>0</v>
      </c>
      <c r="BG229" s="254">
        <f t="shared" si="268"/>
        <v>0</v>
      </c>
      <c r="BI229" s="254">
        <f>SUM(S229:BG229)</f>
        <v>0</v>
      </c>
      <c r="BM229" s="254">
        <f t="shared" ref="BM229:BV229" si="269">SUMIF($T$8:$BG$8,BM$6,$T229:$BG229)</f>
        <v>0</v>
      </c>
      <c r="BN229" s="254">
        <f t="shared" si="269"/>
        <v>0</v>
      </c>
      <c r="BO229" s="254">
        <f t="shared" si="269"/>
        <v>0</v>
      </c>
      <c r="BP229" s="254">
        <f t="shared" si="269"/>
        <v>0</v>
      </c>
      <c r="BQ229" s="254">
        <f t="shared" si="269"/>
        <v>0</v>
      </c>
      <c r="BR229" s="254">
        <f t="shared" si="269"/>
        <v>0</v>
      </c>
      <c r="BS229" s="254">
        <f t="shared" si="269"/>
        <v>0</v>
      </c>
      <c r="BT229" s="254">
        <f t="shared" si="269"/>
        <v>0</v>
      </c>
      <c r="BU229" s="254">
        <f t="shared" si="269"/>
        <v>0</v>
      </c>
      <c r="BV229" s="254">
        <f t="shared" si="269"/>
        <v>0</v>
      </c>
      <c r="BX229" s="254">
        <f>SUM(BM229:BV229)</f>
        <v>0</v>
      </c>
    </row>
    <row r="231" spans="3:76">
      <c r="C231" s="253" t="s">
        <v>738</v>
      </c>
      <c r="D231" s="253"/>
      <c r="E231" s="253"/>
      <c r="F231" s="253"/>
      <c r="G231" s="253"/>
      <c r="H231" s="253"/>
      <c r="I231" s="253"/>
      <c r="J231" s="253"/>
      <c r="K231" s="253"/>
      <c r="L231" s="253"/>
      <c r="M231" s="253"/>
      <c r="N231" s="253"/>
      <c r="O231" s="253"/>
      <c r="P231" s="253"/>
      <c r="Q231" s="253"/>
      <c r="R231" s="254">
        <f t="shared" ref="R231:BG231" si="270">R205+R229</f>
        <v>-126000</v>
      </c>
      <c r="S231" s="254">
        <f t="shared" si="270"/>
        <v>-2278438.2092934325</v>
      </c>
      <c r="T231" s="254">
        <f t="shared" si="270"/>
        <v>-811819.03207949619</v>
      </c>
      <c r="U231" s="254">
        <f t="shared" si="270"/>
        <v>10302.905500140972</v>
      </c>
      <c r="V231" s="254">
        <f t="shared" si="270"/>
        <v>28500.922636107687</v>
      </c>
      <c r="W231" s="254">
        <f t="shared" si="270"/>
        <v>28732.99374999998</v>
      </c>
      <c r="X231" s="254">
        <f t="shared" si="270"/>
        <v>28604.598875868989</v>
      </c>
      <c r="Y231" s="254">
        <f t="shared" si="270"/>
        <v>28716.691420764699</v>
      </c>
      <c r="Z231" s="254">
        <f t="shared" si="270"/>
        <v>28947.134505287315</v>
      </c>
      <c r="AA231" s="254">
        <f t="shared" si="270"/>
        <v>29176.221796874961</v>
      </c>
      <c r="AB231" s="254">
        <f t="shared" si="270"/>
        <v>29052.128898646402</v>
      </c>
      <c r="AC231" s="254">
        <f t="shared" si="270"/>
        <v>29163.656404910515</v>
      </c>
      <c r="AD231" s="254">
        <f t="shared" si="270"/>
        <v>29391.097956675381</v>
      </c>
      <c r="AE231" s="254">
        <f t="shared" si="270"/>
        <v>1343824.6533783348</v>
      </c>
      <c r="AF231" s="254">
        <f t="shared" si="270"/>
        <v>0</v>
      </c>
      <c r="AG231" s="254">
        <f t="shared" si="270"/>
        <v>0</v>
      </c>
      <c r="AH231" s="254">
        <f t="shared" si="270"/>
        <v>0</v>
      </c>
      <c r="AI231" s="254">
        <f t="shared" si="270"/>
        <v>0</v>
      </c>
      <c r="AJ231" s="254">
        <f t="shared" si="270"/>
        <v>0</v>
      </c>
      <c r="AK231" s="254">
        <f t="shared" si="270"/>
        <v>0</v>
      </c>
      <c r="AL231" s="254">
        <f t="shared" si="270"/>
        <v>0</v>
      </c>
      <c r="AM231" s="254">
        <f t="shared" si="270"/>
        <v>0</v>
      </c>
      <c r="AN231" s="254">
        <f t="shared" si="270"/>
        <v>0</v>
      </c>
      <c r="AO231" s="254">
        <f t="shared" si="270"/>
        <v>0</v>
      </c>
      <c r="AP231" s="254">
        <f t="shared" si="270"/>
        <v>0</v>
      </c>
      <c r="AQ231" s="254">
        <f t="shared" si="270"/>
        <v>0</v>
      </c>
      <c r="AR231" s="254">
        <f t="shared" si="270"/>
        <v>0</v>
      </c>
      <c r="AS231" s="254">
        <f t="shared" si="270"/>
        <v>0</v>
      </c>
      <c r="AT231" s="254">
        <f t="shared" si="270"/>
        <v>0</v>
      </c>
      <c r="AU231" s="254">
        <f t="shared" si="270"/>
        <v>0</v>
      </c>
      <c r="AV231" s="254">
        <f t="shared" si="270"/>
        <v>0</v>
      </c>
      <c r="AW231" s="254">
        <f t="shared" si="270"/>
        <v>0</v>
      </c>
      <c r="AX231" s="254">
        <f t="shared" si="270"/>
        <v>0</v>
      </c>
      <c r="AY231" s="254">
        <f t="shared" si="270"/>
        <v>0</v>
      </c>
      <c r="AZ231" s="254">
        <f t="shared" si="270"/>
        <v>0</v>
      </c>
      <c r="BA231" s="254">
        <f t="shared" si="270"/>
        <v>0</v>
      </c>
      <c r="BB231" s="254">
        <f t="shared" si="270"/>
        <v>0</v>
      </c>
      <c r="BC231" s="254">
        <f t="shared" si="270"/>
        <v>0</v>
      </c>
      <c r="BD231" s="254">
        <f t="shared" si="270"/>
        <v>0</v>
      </c>
      <c r="BE231" s="254">
        <f t="shared" si="270"/>
        <v>0</v>
      </c>
      <c r="BF231" s="254">
        <f t="shared" si="270"/>
        <v>0</v>
      </c>
      <c r="BG231" s="254">
        <f t="shared" si="270"/>
        <v>0</v>
      </c>
      <c r="BI231" s="254">
        <f>SUM(T231:BG231)</f>
        <v>802593.97304411547</v>
      </c>
      <c r="BK231" s="257" t="b">
        <f>ROUND(BI231,GA!$G$112)=ROUND(BX231,GA!$G$112)</f>
        <v>1</v>
      </c>
      <c r="BM231" s="254">
        <f t="shared" ref="BM231:BV231" si="271">SUMIF($T$8:$BG$8,BM$6,$T231:$BG231)</f>
        <v>-744282.21019324753</v>
      </c>
      <c r="BN231" s="254">
        <f t="shared" si="271"/>
        <v>115444.64659879597</v>
      </c>
      <c r="BO231" s="254">
        <f t="shared" si="271"/>
        <v>1431431.5366385672</v>
      </c>
      <c r="BP231" s="254">
        <f t="shared" si="271"/>
        <v>0</v>
      </c>
      <c r="BQ231" s="254">
        <f t="shared" si="271"/>
        <v>0</v>
      </c>
      <c r="BR231" s="254">
        <f t="shared" si="271"/>
        <v>0</v>
      </c>
      <c r="BS231" s="254">
        <f t="shared" si="271"/>
        <v>0</v>
      </c>
      <c r="BT231" s="254">
        <f t="shared" si="271"/>
        <v>0</v>
      </c>
      <c r="BU231" s="254">
        <f t="shared" si="271"/>
        <v>0</v>
      </c>
      <c r="BV231" s="254">
        <f t="shared" si="271"/>
        <v>0</v>
      </c>
      <c r="BX231" s="254">
        <f>SUM(BM231:BV231)</f>
        <v>802593.9730441157</v>
      </c>
    </row>
    <row r="232" spans="3:76">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c r="AQ232" s="442"/>
      <c r="AR232" s="442"/>
      <c r="AS232" s="442"/>
      <c r="AT232" s="442"/>
      <c r="AU232" s="442"/>
      <c r="AV232" s="442"/>
      <c r="AW232" s="442"/>
      <c r="AX232" s="442"/>
      <c r="AY232" s="442"/>
      <c r="AZ232" s="442"/>
      <c r="BA232" s="442"/>
      <c r="BB232" s="442"/>
      <c r="BC232" s="442"/>
      <c r="BD232" s="442"/>
      <c r="BE232" s="442"/>
      <c r="BF232" s="442"/>
      <c r="BG232" s="442"/>
    </row>
    <row r="233" spans="3:76">
      <c r="R233" s="444"/>
      <c r="S233" s="444"/>
      <c r="T233" s="444"/>
      <c r="U233" s="444"/>
      <c r="V233" s="444"/>
      <c r="W233" s="444"/>
      <c r="X233" s="444"/>
      <c r="Y233" s="444"/>
      <c r="Z233" s="444"/>
      <c r="AA233" s="444"/>
      <c r="AB233" s="444"/>
      <c r="AC233" s="444"/>
      <c r="AD233" s="444"/>
      <c r="AE233" s="444"/>
      <c r="AF233" s="444"/>
      <c r="AG233" s="444"/>
      <c r="AH233" s="444"/>
      <c r="AI233" s="444"/>
      <c r="AJ233" s="444"/>
      <c r="AK233" s="444"/>
      <c r="AL233" s="444"/>
      <c r="AM233" s="444"/>
      <c r="AN233" s="444"/>
      <c r="AO233" s="444"/>
      <c r="AP233" s="444"/>
      <c r="AQ233" s="444"/>
      <c r="AR233" s="444"/>
      <c r="AS233" s="444"/>
      <c r="AT233" s="444"/>
      <c r="AU233" s="444"/>
      <c r="AV233" s="444"/>
      <c r="AW233" s="444"/>
      <c r="AX233" s="444"/>
      <c r="AY233" s="444"/>
      <c r="AZ233" s="444"/>
      <c r="BA233" s="444"/>
      <c r="BB233" s="444"/>
      <c r="BC233" s="444"/>
      <c r="BD233" s="444"/>
      <c r="BE233" s="444"/>
      <c r="BF233" s="444"/>
      <c r="BG233" s="444"/>
    </row>
    <row r="234" spans="3:76">
      <c r="C234" s="417" t="s">
        <v>742</v>
      </c>
      <c r="D234" s="1427"/>
      <c r="E234" s="1427"/>
      <c r="F234" s="1427"/>
      <c r="G234" s="1427"/>
      <c r="H234" s="1427"/>
      <c r="I234" s="1427"/>
      <c r="J234" s="1427"/>
      <c r="K234" s="1427"/>
      <c r="L234" s="1427"/>
      <c r="M234" s="1427"/>
      <c r="N234" s="1427"/>
      <c r="O234" s="471">
        <f>GA!$G$700</f>
        <v>1</v>
      </c>
      <c r="P234" s="421" t="s">
        <v>688</v>
      </c>
      <c r="Q234" s="421" t="s">
        <v>764</v>
      </c>
      <c r="R234" s="473"/>
      <c r="S234" s="473"/>
      <c r="T234" s="473"/>
      <c r="U234" s="473"/>
      <c r="V234" s="473"/>
      <c r="W234" s="473"/>
      <c r="X234" s="473"/>
      <c r="Y234" s="473"/>
      <c r="Z234" s="473"/>
      <c r="AA234" s="473"/>
      <c r="AB234" s="473"/>
      <c r="AC234" s="473"/>
      <c r="AD234" s="473"/>
      <c r="AE234" s="473"/>
      <c r="AF234" s="473"/>
      <c r="AG234" s="473"/>
      <c r="AH234" s="473"/>
      <c r="AI234" s="473"/>
      <c r="AJ234" s="473"/>
      <c r="AK234" s="473"/>
      <c r="AL234" s="473"/>
      <c r="AM234" s="473"/>
      <c r="AN234" s="473"/>
      <c r="AO234" s="473"/>
      <c r="AP234" s="473"/>
      <c r="AQ234" s="473"/>
      <c r="AR234" s="473"/>
      <c r="AS234" s="473"/>
      <c r="AT234" s="473"/>
      <c r="AU234" s="473"/>
      <c r="AV234" s="473"/>
      <c r="AW234" s="473"/>
      <c r="AX234" s="473"/>
      <c r="AY234" s="473"/>
      <c r="AZ234" s="473"/>
      <c r="BA234" s="473"/>
      <c r="BB234" s="473"/>
      <c r="BC234" s="473"/>
      <c r="BD234" s="473"/>
      <c r="BE234" s="473"/>
      <c r="BF234" s="473"/>
      <c r="BG234" s="473"/>
      <c r="BI234" s="473"/>
      <c r="BM234" s="473"/>
      <c r="BN234" s="473"/>
      <c r="BO234" s="473"/>
      <c r="BP234" s="473"/>
      <c r="BQ234" s="473"/>
      <c r="BR234" s="473"/>
      <c r="BS234" s="473"/>
      <c r="BT234" s="473"/>
      <c r="BU234" s="473"/>
      <c r="BV234" s="473"/>
      <c r="BX234" s="473"/>
    </row>
    <row r="235" spans="3:76">
      <c r="C235" s="418" t="s">
        <v>682</v>
      </c>
      <c r="D235" s="418"/>
      <c r="E235" s="418"/>
      <c r="F235" s="418"/>
      <c r="G235" s="418"/>
      <c r="H235" s="418"/>
      <c r="I235" s="418"/>
      <c r="J235" s="418"/>
      <c r="K235" s="418"/>
      <c r="L235" s="418"/>
      <c r="M235" s="418"/>
      <c r="N235" s="418"/>
      <c r="O235" s="420">
        <f>-SUMIF(T231:BG231,"&lt;0",T231:BG231)</f>
        <v>811819.03207949619</v>
      </c>
      <c r="P235" s="472">
        <f>GA!$G$702</f>
        <v>0</v>
      </c>
      <c r="Q235" s="472">
        <f>IF(GA!G701&lt;&gt;0,GA!G701,-SUMIF(T231:BG231,"&lt;0",T231:BG231))</f>
        <v>811819.03207949619</v>
      </c>
      <c r="R235" s="475"/>
      <c r="S235" s="423"/>
      <c r="T235" s="423">
        <f>S239</f>
        <v>811819.03207949619</v>
      </c>
      <c r="U235" s="423">
        <f t="shared" ref="U235:AG235" si="272">T239</f>
        <v>0</v>
      </c>
      <c r="V235" s="423">
        <f t="shared" si="272"/>
        <v>0</v>
      </c>
      <c r="W235" s="423">
        <f t="shared" si="272"/>
        <v>0</v>
      </c>
      <c r="X235" s="423">
        <f t="shared" si="272"/>
        <v>0</v>
      </c>
      <c r="Y235" s="423">
        <f t="shared" si="272"/>
        <v>0</v>
      </c>
      <c r="Z235" s="423">
        <f t="shared" si="272"/>
        <v>0</v>
      </c>
      <c r="AA235" s="423">
        <f t="shared" si="272"/>
        <v>0</v>
      </c>
      <c r="AB235" s="423">
        <f t="shared" si="272"/>
        <v>0</v>
      </c>
      <c r="AC235" s="423">
        <f t="shared" si="272"/>
        <v>0</v>
      </c>
      <c r="AD235" s="423">
        <f t="shared" si="272"/>
        <v>0</v>
      </c>
      <c r="AE235" s="423">
        <f t="shared" si="272"/>
        <v>0</v>
      </c>
      <c r="AF235" s="423">
        <f t="shared" si="272"/>
        <v>0</v>
      </c>
      <c r="AG235" s="423">
        <f t="shared" si="272"/>
        <v>0</v>
      </c>
      <c r="AH235" s="423">
        <f t="shared" ref="AH235:BG235" si="273">AG239</f>
        <v>0</v>
      </c>
      <c r="AI235" s="423">
        <f t="shared" si="273"/>
        <v>0</v>
      </c>
      <c r="AJ235" s="423">
        <f t="shared" si="273"/>
        <v>0</v>
      </c>
      <c r="AK235" s="423">
        <f t="shared" si="273"/>
        <v>0</v>
      </c>
      <c r="AL235" s="423">
        <f t="shared" si="273"/>
        <v>0</v>
      </c>
      <c r="AM235" s="423">
        <f t="shared" si="273"/>
        <v>0</v>
      </c>
      <c r="AN235" s="423">
        <f t="shared" si="273"/>
        <v>0</v>
      </c>
      <c r="AO235" s="423">
        <f t="shared" si="273"/>
        <v>0</v>
      </c>
      <c r="AP235" s="423">
        <f t="shared" si="273"/>
        <v>0</v>
      </c>
      <c r="AQ235" s="423">
        <f t="shared" si="273"/>
        <v>0</v>
      </c>
      <c r="AR235" s="423">
        <f t="shared" si="273"/>
        <v>0</v>
      </c>
      <c r="AS235" s="423">
        <f t="shared" si="273"/>
        <v>0</v>
      </c>
      <c r="AT235" s="423">
        <f t="shared" si="273"/>
        <v>0</v>
      </c>
      <c r="AU235" s="423">
        <f t="shared" si="273"/>
        <v>0</v>
      </c>
      <c r="AV235" s="423">
        <f t="shared" si="273"/>
        <v>0</v>
      </c>
      <c r="AW235" s="423">
        <f t="shared" si="273"/>
        <v>0</v>
      </c>
      <c r="AX235" s="423">
        <f t="shared" si="273"/>
        <v>0</v>
      </c>
      <c r="AY235" s="423">
        <f t="shared" si="273"/>
        <v>0</v>
      </c>
      <c r="AZ235" s="423">
        <f t="shared" si="273"/>
        <v>0</v>
      </c>
      <c r="BA235" s="423">
        <f t="shared" si="273"/>
        <v>0</v>
      </c>
      <c r="BB235" s="423">
        <f t="shared" si="273"/>
        <v>0</v>
      </c>
      <c r="BC235" s="423">
        <f t="shared" si="273"/>
        <v>0</v>
      </c>
      <c r="BD235" s="423">
        <f t="shared" si="273"/>
        <v>0</v>
      </c>
      <c r="BE235" s="423">
        <f t="shared" si="273"/>
        <v>0</v>
      </c>
      <c r="BF235" s="423">
        <f t="shared" si="273"/>
        <v>0</v>
      </c>
      <c r="BG235" s="423">
        <f t="shared" si="273"/>
        <v>0</v>
      </c>
      <c r="BI235" s="1070" t="s">
        <v>153</v>
      </c>
      <c r="BM235" s="423">
        <f t="shared" ref="BM235:BV235" si="274">INDEX($T235:$BG235,MATCH(BM$5-3,$T$5:$BG$5,0))</f>
        <v>811819.03207949619</v>
      </c>
      <c r="BN235" s="423">
        <f t="shared" si="274"/>
        <v>0</v>
      </c>
      <c r="BO235" s="423">
        <f t="shared" si="274"/>
        <v>0</v>
      </c>
      <c r="BP235" s="423">
        <f t="shared" si="274"/>
        <v>0</v>
      </c>
      <c r="BQ235" s="423">
        <f t="shared" si="274"/>
        <v>0</v>
      </c>
      <c r="BR235" s="423">
        <f t="shared" si="274"/>
        <v>0</v>
      </c>
      <c r="BS235" s="423">
        <f t="shared" si="274"/>
        <v>0</v>
      </c>
      <c r="BT235" s="423">
        <f t="shared" si="274"/>
        <v>0</v>
      </c>
      <c r="BU235" s="423">
        <f t="shared" si="274"/>
        <v>0</v>
      </c>
      <c r="BV235" s="423">
        <f t="shared" si="274"/>
        <v>0</v>
      </c>
      <c r="BX235" s="1070" t="s">
        <v>153</v>
      </c>
    </row>
    <row r="236" spans="3:76">
      <c r="C236" s="418" t="s">
        <v>740</v>
      </c>
      <c r="D236" s="418"/>
      <c r="E236" s="418"/>
      <c r="F236" s="418"/>
      <c r="G236" s="418"/>
      <c r="H236" s="418"/>
      <c r="I236" s="418"/>
      <c r="J236" s="418"/>
      <c r="K236" s="418"/>
      <c r="L236" s="418"/>
      <c r="M236" s="418"/>
      <c r="N236" s="418"/>
      <c r="O236" s="418"/>
      <c r="P236" s="418"/>
      <c r="Q236" s="418"/>
      <c r="R236" s="473"/>
      <c r="S236" s="422"/>
      <c r="T236" s="422">
        <f>T237-S237</f>
        <v>0</v>
      </c>
      <c r="U236" s="422">
        <f t="shared" ref="U236:BG236" si="275">U237-T237</f>
        <v>0</v>
      </c>
      <c r="V236" s="422">
        <f t="shared" si="275"/>
        <v>0</v>
      </c>
      <c r="W236" s="422">
        <f t="shared" si="275"/>
        <v>0</v>
      </c>
      <c r="X236" s="422">
        <f t="shared" si="275"/>
        <v>0</v>
      </c>
      <c r="Y236" s="422">
        <f t="shared" si="275"/>
        <v>0</v>
      </c>
      <c r="Z236" s="422">
        <f t="shared" si="275"/>
        <v>0</v>
      </c>
      <c r="AA236" s="422">
        <f t="shared" si="275"/>
        <v>0</v>
      </c>
      <c r="AB236" s="422">
        <f t="shared" si="275"/>
        <v>0</v>
      </c>
      <c r="AC236" s="422">
        <f t="shared" si="275"/>
        <v>0</v>
      </c>
      <c r="AD236" s="422">
        <f t="shared" si="275"/>
        <v>0</v>
      </c>
      <c r="AE236" s="422">
        <f t="shared" si="275"/>
        <v>0</v>
      </c>
      <c r="AF236" s="422">
        <f t="shared" si="275"/>
        <v>0</v>
      </c>
      <c r="AG236" s="422">
        <f t="shared" si="275"/>
        <v>0</v>
      </c>
      <c r="AH236" s="422">
        <f t="shared" si="275"/>
        <v>0</v>
      </c>
      <c r="AI236" s="422">
        <f t="shared" si="275"/>
        <v>0</v>
      </c>
      <c r="AJ236" s="422">
        <f t="shared" si="275"/>
        <v>0</v>
      </c>
      <c r="AK236" s="422">
        <f t="shared" si="275"/>
        <v>0</v>
      </c>
      <c r="AL236" s="422">
        <f t="shared" si="275"/>
        <v>0</v>
      </c>
      <c r="AM236" s="422">
        <f t="shared" si="275"/>
        <v>0</v>
      </c>
      <c r="AN236" s="422">
        <f t="shared" si="275"/>
        <v>0</v>
      </c>
      <c r="AO236" s="422">
        <f t="shared" si="275"/>
        <v>0</v>
      </c>
      <c r="AP236" s="422">
        <f t="shared" si="275"/>
        <v>0</v>
      </c>
      <c r="AQ236" s="422">
        <f t="shared" si="275"/>
        <v>0</v>
      </c>
      <c r="AR236" s="422">
        <f t="shared" si="275"/>
        <v>0</v>
      </c>
      <c r="AS236" s="422">
        <f t="shared" si="275"/>
        <v>0</v>
      </c>
      <c r="AT236" s="422">
        <f t="shared" si="275"/>
        <v>0</v>
      </c>
      <c r="AU236" s="422">
        <f t="shared" si="275"/>
        <v>0</v>
      </c>
      <c r="AV236" s="422">
        <f t="shared" si="275"/>
        <v>0</v>
      </c>
      <c r="AW236" s="422">
        <f t="shared" si="275"/>
        <v>0</v>
      </c>
      <c r="AX236" s="422">
        <f t="shared" si="275"/>
        <v>0</v>
      </c>
      <c r="AY236" s="422">
        <f t="shared" si="275"/>
        <v>0</v>
      </c>
      <c r="AZ236" s="422">
        <f t="shared" si="275"/>
        <v>0</v>
      </c>
      <c r="BA236" s="422">
        <f t="shared" si="275"/>
        <v>0</v>
      </c>
      <c r="BB236" s="422">
        <f t="shared" si="275"/>
        <v>0</v>
      </c>
      <c r="BC236" s="422">
        <f t="shared" si="275"/>
        <v>0</v>
      </c>
      <c r="BD236" s="422">
        <f t="shared" si="275"/>
        <v>0</v>
      </c>
      <c r="BE236" s="422">
        <f t="shared" si="275"/>
        <v>0</v>
      </c>
      <c r="BF236" s="422">
        <f t="shared" si="275"/>
        <v>0</v>
      </c>
      <c r="BG236" s="422">
        <f t="shared" si="275"/>
        <v>0</v>
      </c>
      <c r="BI236" s="1071" t="s">
        <v>153</v>
      </c>
      <c r="BM236" s="422">
        <f t="shared" ref="BM236:BV238" si="276">SUMIF($T$8:$BG$8,BM$6,$T236:$BG236)</f>
        <v>0</v>
      </c>
      <c r="BN236" s="422">
        <f t="shared" si="276"/>
        <v>0</v>
      </c>
      <c r="BO236" s="422">
        <f t="shared" si="276"/>
        <v>0</v>
      </c>
      <c r="BP236" s="422">
        <f t="shared" si="276"/>
        <v>0</v>
      </c>
      <c r="BQ236" s="422">
        <f t="shared" si="276"/>
        <v>0</v>
      </c>
      <c r="BR236" s="422">
        <f t="shared" si="276"/>
        <v>0</v>
      </c>
      <c r="BS236" s="422">
        <f t="shared" si="276"/>
        <v>0</v>
      </c>
      <c r="BT236" s="422">
        <f t="shared" si="276"/>
        <v>0</v>
      </c>
      <c r="BU236" s="422">
        <f t="shared" si="276"/>
        <v>0</v>
      </c>
      <c r="BV236" s="422">
        <f t="shared" si="276"/>
        <v>0</v>
      </c>
      <c r="BX236" s="1071" t="s">
        <v>153</v>
      </c>
    </row>
    <row r="237" spans="3:76">
      <c r="C237" s="443" t="s">
        <v>741</v>
      </c>
      <c r="D237" s="443"/>
      <c r="E237" s="443"/>
      <c r="F237" s="443"/>
      <c r="G237" s="443"/>
      <c r="H237" s="443"/>
      <c r="I237" s="443"/>
      <c r="J237" s="443"/>
      <c r="K237" s="443"/>
      <c r="L237" s="443"/>
      <c r="M237" s="443"/>
      <c r="N237" s="443"/>
      <c r="O237" s="418"/>
      <c r="P237" s="418"/>
      <c r="Q237" s="418"/>
      <c r="R237" s="473"/>
      <c r="S237" s="491">
        <f>IF(AND($O$234=1,ROUND(S231,GA!$G$713)&gt;0),MIN(R237+S231,$Q$235-$S$238),R237)</f>
        <v>0</v>
      </c>
      <c r="T237" s="491">
        <f>IF(AND($O$234=1,ROUND(T231,GA!$G$713)&gt;0),MIN(S237+T231,$Q$235-$S$238),S237)</f>
        <v>0</v>
      </c>
      <c r="U237" s="491">
        <f>IF(AND($O$234=1,ROUND(U231,GA!$G$713)&gt;0),MIN(T237+U231,$Q$235-$S$238),T237)</f>
        <v>0</v>
      </c>
      <c r="V237" s="491">
        <f>IF(AND($O$234=1,ROUND(V231,GA!$G$713)&gt;0),MIN(U237+V231,$Q$235-$S$238),U237)</f>
        <v>0</v>
      </c>
      <c r="W237" s="491">
        <f>IF(AND($O$234=1,ROUND(W231,GA!$G$713)&gt;0),MIN(V237+W231,$Q$235-$S$238),V237)</f>
        <v>0</v>
      </c>
      <c r="X237" s="491">
        <f>IF(AND($O$234=1,ROUND(X231,GA!$G$713)&gt;0),MIN(W237+X231,$Q$235-$S$238),W237)</f>
        <v>0</v>
      </c>
      <c r="Y237" s="491">
        <f>IF(AND($O$234=1,ROUND(Y231,GA!$G$713)&gt;0),MIN(X237+Y231,$Q$235-$S$238),X237)</f>
        <v>0</v>
      </c>
      <c r="Z237" s="491">
        <f>IF(AND($O$234=1,ROUND(Z231,GA!$G$713)&gt;0),MIN(Y237+Z231,$Q$235-$S$238),Y237)</f>
        <v>0</v>
      </c>
      <c r="AA237" s="491">
        <f>IF(AND($O$234=1,ROUND(AA231,GA!$G$713)&gt;0),MIN(Z237+AA231,$Q$235-$S$238),Z237)</f>
        <v>0</v>
      </c>
      <c r="AB237" s="491">
        <f>IF(AND($O$234=1,ROUND(AB231,GA!$G$713)&gt;0),MIN(AA237+AB231,$Q$235-$S$238),AA237)</f>
        <v>0</v>
      </c>
      <c r="AC237" s="491">
        <f>IF(AND($O$234=1,ROUND(AC231,GA!$G$713)&gt;0),MIN(AB237+AC231,$Q$235-$S$238),AB237)</f>
        <v>0</v>
      </c>
      <c r="AD237" s="491">
        <f>IF(AND($O$234=1,ROUND(AD231,GA!$G$713)&gt;0),MIN(AC237+AD231,$Q$235-$S$238),AC237)</f>
        <v>0</v>
      </c>
      <c r="AE237" s="491">
        <f>IF(AND($O$234=1,ROUND(AE231,GA!$G$713)&gt;0),MIN(AD237+AE231,$Q$235-$S$238),AD237)</f>
        <v>0</v>
      </c>
      <c r="AF237" s="491">
        <f>IF(AND($O$234=1,ROUND(AF231,GA!$G$713)&gt;0),MIN(AE237+AF231,$Q$235-$S$238),AE237)</f>
        <v>0</v>
      </c>
      <c r="AG237" s="491">
        <f>IF(AND($O$234=1,ROUND(AG231,GA!$G$713)&gt;0),MIN(AF237+AG231,$Q$235-$S$238),AF237)</f>
        <v>0</v>
      </c>
      <c r="AH237" s="491">
        <f>IF(AND($O$234=1,ROUND(AH231,GA!$G$713)&gt;0),MIN(AG237+AH231,$Q$235-$S$238),AG237)</f>
        <v>0</v>
      </c>
      <c r="AI237" s="491">
        <f>IF(AND($O$234=1,ROUND(AI231,GA!$G$713)&gt;0),MIN(AH237+AI231,$Q$235-$S$238),AH237)</f>
        <v>0</v>
      </c>
      <c r="AJ237" s="491">
        <f>IF(AND($O$234=1,ROUND(AJ231,GA!$G$713)&gt;0),MIN(AI237+AJ231,$Q$235-$S$238),AI237)</f>
        <v>0</v>
      </c>
      <c r="AK237" s="491">
        <f>IF(AND($O$234=1,ROUND(AK231,GA!$G$713)&gt;0),MIN(AJ237+AK231,$Q$235-$S$238),AJ237)</f>
        <v>0</v>
      </c>
      <c r="AL237" s="491">
        <f>IF(AND($O$234=1,ROUND(AL231,GA!$G$713)&gt;0),MIN(AK237+AL231,$Q$235-$S$238),AK237)</f>
        <v>0</v>
      </c>
      <c r="AM237" s="491">
        <f>IF(AND($O$234=1,ROUND(AM231,GA!$G$713)&gt;0),MIN(AL237+AM231,$Q$235-$S$238),AL237)</f>
        <v>0</v>
      </c>
      <c r="AN237" s="491">
        <f>IF(AND($O$234=1,ROUND(AN231,GA!$G$713)&gt;0),MIN(AM237+AN231,$Q$235-$S$238),AM237)</f>
        <v>0</v>
      </c>
      <c r="AO237" s="491">
        <f>IF(AND($O$234=1,ROUND(AO231,GA!$G$713)&gt;0),MIN(AN237+AO231,$Q$235-$S$238),AN237)</f>
        <v>0</v>
      </c>
      <c r="AP237" s="491">
        <f>IF(AND($O$234=1,ROUND(AP231,GA!$G$713)&gt;0),MIN(AO237+AP231,$Q$235-$S$238),AO237)</f>
        <v>0</v>
      </c>
      <c r="AQ237" s="491">
        <f>IF(AND($O$234=1,ROUND(AQ231,GA!$G$713)&gt;0),MIN(AP237+AQ231,$Q$235-$S$238),AP237)</f>
        <v>0</v>
      </c>
      <c r="AR237" s="491">
        <f>IF(AND($O$234=1,ROUND(AR231,GA!$G$713)&gt;0),MIN(AQ237+AR231,$Q$235-$S$238),AQ237)</f>
        <v>0</v>
      </c>
      <c r="AS237" s="491">
        <f>IF(AND($O$234=1,ROUND(AS231,GA!$G$713)&gt;0),MIN(AR237+AS231,$Q$235-$S$238),AR237)</f>
        <v>0</v>
      </c>
      <c r="AT237" s="491">
        <f>IF(AND($O$234=1,ROUND(AT231,GA!$G$713)&gt;0),MIN(AS237+AT231,$Q$235-$S$238),AS237)</f>
        <v>0</v>
      </c>
      <c r="AU237" s="491">
        <f>IF(AND($O$234=1,ROUND(AU231,GA!$G$713)&gt;0),MIN(AT237+AU231,$Q$235-$S$238),AT237)</f>
        <v>0</v>
      </c>
      <c r="AV237" s="491">
        <f>IF(AND($O$234=1,ROUND(AV231,GA!$G$713)&gt;0),MIN(AU237+AV231,$Q$235-$S$238),AU237)</f>
        <v>0</v>
      </c>
      <c r="AW237" s="491">
        <f>IF(AND($O$234=1,ROUND(AW231,GA!$G$713)&gt;0),MIN(AV237+AW231,$Q$235-$S$238),AV237)</f>
        <v>0</v>
      </c>
      <c r="AX237" s="491">
        <f>IF(AND($O$234=1,ROUND(AX231,GA!$G$713)&gt;0),MIN(AW237+AX231,$Q$235-$S$238),AW237)</f>
        <v>0</v>
      </c>
      <c r="AY237" s="491">
        <f>IF(AND($O$234=1,ROUND(AY231,GA!$G$713)&gt;0),MIN(AX237+AY231,$Q$235-$S$238),AX237)</f>
        <v>0</v>
      </c>
      <c r="AZ237" s="491">
        <f>IF(AND($O$234=1,ROUND(AZ231,GA!$G$713)&gt;0),MIN(AY237+AZ231,$Q$235-$S$238),AY237)</f>
        <v>0</v>
      </c>
      <c r="BA237" s="491">
        <f>IF(AND($O$234=1,ROUND(BA231,GA!$G$713)&gt;0),MIN(AZ237+BA231,$Q$235-$S$238),AZ237)</f>
        <v>0</v>
      </c>
      <c r="BB237" s="491">
        <f>IF(AND($O$234=1,ROUND(BB231,GA!$G$713)&gt;0),MIN(BA237+BB231,$Q$235-$S$238),BA237)</f>
        <v>0</v>
      </c>
      <c r="BC237" s="491">
        <f>IF(AND($O$234=1,ROUND(BC231,GA!$G$713)&gt;0),MIN(BB237+BC231,$Q$235-$S$238),BB237)</f>
        <v>0</v>
      </c>
      <c r="BD237" s="491">
        <f>IF(AND($O$234=1,ROUND(BD231,GA!$G$713)&gt;0),MIN(BC237+BD231,$Q$235-$S$238),BC237)</f>
        <v>0</v>
      </c>
      <c r="BE237" s="491">
        <f>IF(AND($O$234=1,ROUND(BE231,GA!$G$713)&gt;0),MIN(BD237+BE231,$Q$235-$S$238),BD237)</f>
        <v>0</v>
      </c>
      <c r="BF237" s="491">
        <f>IF(AND($O$234=1,ROUND(BF231,GA!$G$713)&gt;0),MIN(BE237+BF231,$Q$235-$S$238),BE237)</f>
        <v>0</v>
      </c>
      <c r="BG237" s="491">
        <f>IF(AND($O$234=1,ROUND(BG231,GA!$G$713)&gt;0),MIN(BF237+BG231,$Q$235-$S$238),BF237)</f>
        <v>0</v>
      </c>
      <c r="BI237" s="1074" t="s">
        <v>153</v>
      </c>
      <c r="BM237" s="422">
        <f t="shared" si="276"/>
        <v>0</v>
      </c>
      <c r="BN237" s="422">
        <f t="shared" si="276"/>
        <v>0</v>
      </c>
      <c r="BO237" s="422">
        <f t="shared" si="276"/>
        <v>0</v>
      </c>
      <c r="BP237" s="422">
        <f t="shared" si="276"/>
        <v>0</v>
      </c>
      <c r="BQ237" s="422">
        <f t="shared" si="276"/>
        <v>0</v>
      </c>
      <c r="BR237" s="422">
        <f t="shared" si="276"/>
        <v>0</v>
      </c>
      <c r="BS237" s="422">
        <f t="shared" si="276"/>
        <v>0</v>
      </c>
      <c r="BT237" s="422">
        <f t="shared" si="276"/>
        <v>0</v>
      </c>
      <c r="BU237" s="422">
        <f t="shared" si="276"/>
        <v>0</v>
      </c>
      <c r="BV237" s="422">
        <f t="shared" si="276"/>
        <v>0</v>
      </c>
      <c r="BX237" s="1074" t="s">
        <v>153</v>
      </c>
    </row>
    <row r="238" spans="3:76">
      <c r="C238" s="418" t="s">
        <v>683</v>
      </c>
      <c r="D238" s="418"/>
      <c r="E238" s="418"/>
      <c r="F238" s="418"/>
      <c r="G238" s="418"/>
      <c r="H238" s="418"/>
      <c r="I238" s="418"/>
      <c r="J238" s="418"/>
      <c r="K238" s="418"/>
      <c r="L238" s="418"/>
      <c r="M238" s="418"/>
      <c r="N238" s="418"/>
      <c r="O238" s="418"/>
      <c r="P238" s="418"/>
      <c r="Q238" s="418"/>
      <c r="R238" s="473"/>
      <c r="S238" s="422">
        <f>$O$234*IF($P$235&lt;&gt;0,$P$235,$O$235)</f>
        <v>811819.03207949619</v>
      </c>
      <c r="T238" s="422">
        <f t="shared" ref="T238:BG238" si="277">$O$234*-IF(T$27=0,T235,MIN(MAX(-T231,0),T235))</f>
        <v>-811819.03207949619</v>
      </c>
      <c r="U238" s="422">
        <f t="shared" si="277"/>
        <v>0</v>
      </c>
      <c r="V238" s="422">
        <f t="shared" si="277"/>
        <v>0</v>
      </c>
      <c r="W238" s="422">
        <f t="shared" si="277"/>
        <v>0</v>
      </c>
      <c r="X238" s="422">
        <f t="shared" si="277"/>
        <v>0</v>
      </c>
      <c r="Y238" s="422">
        <f t="shared" si="277"/>
        <v>0</v>
      </c>
      <c r="Z238" s="422">
        <f t="shared" si="277"/>
        <v>0</v>
      </c>
      <c r="AA238" s="422">
        <f t="shared" si="277"/>
        <v>0</v>
      </c>
      <c r="AB238" s="422">
        <f t="shared" si="277"/>
        <v>0</v>
      </c>
      <c r="AC238" s="422">
        <f t="shared" si="277"/>
        <v>0</v>
      </c>
      <c r="AD238" s="422">
        <f t="shared" si="277"/>
        <v>0</v>
      </c>
      <c r="AE238" s="422">
        <f t="shared" si="277"/>
        <v>0</v>
      </c>
      <c r="AF238" s="422">
        <f t="shared" si="277"/>
        <v>0</v>
      </c>
      <c r="AG238" s="422">
        <f t="shared" si="277"/>
        <v>0</v>
      </c>
      <c r="AH238" s="422">
        <f t="shared" si="277"/>
        <v>0</v>
      </c>
      <c r="AI238" s="422">
        <f t="shared" si="277"/>
        <v>0</v>
      </c>
      <c r="AJ238" s="422">
        <f t="shared" si="277"/>
        <v>0</v>
      </c>
      <c r="AK238" s="422">
        <f t="shared" si="277"/>
        <v>0</v>
      </c>
      <c r="AL238" s="422">
        <f t="shared" si="277"/>
        <v>0</v>
      </c>
      <c r="AM238" s="422">
        <f t="shared" si="277"/>
        <v>0</v>
      </c>
      <c r="AN238" s="422">
        <f t="shared" si="277"/>
        <v>0</v>
      </c>
      <c r="AO238" s="422">
        <f t="shared" si="277"/>
        <v>0</v>
      </c>
      <c r="AP238" s="422">
        <f t="shared" si="277"/>
        <v>0</v>
      </c>
      <c r="AQ238" s="422">
        <f t="shared" si="277"/>
        <v>0</v>
      </c>
      <c r="AR238" s="422">
        <f t="shared" si="277"/>
        <v>0</v>
      </c>
      <c r="AS238" s="422">
        <f t="shared" si="277"/>
        <v>0</v>
      </c>
      <c r="AT238" s="422">
        <f t="shared" si="277"/>
        <v>0</v>
      </c>
      <c r="AU238" s="422">
        <f t="shared" si="277"/>
        <v>0</v>
      </c>
      <c r="AV238" s="422">
        <f t="shared" si="277"/>
        <v>0</v>
      </c>
      <c r="AW238" s="422">
        <f t="shared" si="277"/>
        <v>0</v>
      </c>
      <c r="AX238" s="422">
        <f t="shared" si="277"/>
        <v>0</v>
      </c>
      <c r="AY238" s="422">
        <f t="shared" si="277"/>
        <v>0</v>
      </c>
      <c r="AZ238" s="422">
        <f t="shared" si="277"/>
        <v>0</v>
      </c>
      <c r="BA238" s="422">
        <f t="shared" si="277"/>
        <v>0</v>
      </c>
      <c r="BB238" s="422">
        <f t="shared" si="277"/>
        <v>0</v>
      </c>
      <c r="BC238" s="422">
        <f t="shared" si="277"/>
        <v>0</v>
      </c>
      <c r="BD238" s="422">
        <f t="shared" si="277"/>
        <v>0</v>
      </c>
      <c r="BE238" s="422">
        <f t="shared" si="277"/>
        <v>0</v>
      </c>
      <c r="BF238" s="422">
        <f t="shared" si="277"/>
        <v>0</v>
      </c>
      <c r="BG238" s="422">
        <f t="shared" si="277"/>
        <v>0</v>
      </c>
      <c r="BI238" s="1071">
        <f>SUM(S238:BH238)</f>
        <v>0</v>
      </c>
      <c r="BM238" s="422">
        <f t="shared" si="276"/>
        <v>-811819.03207949619</v>
      </c>
      <c r="BN238" s="422">
        <f t="shared" si="276"/>
        <v>0</v>
      </c>
      <c r="BO238" s="422">
        <f t="shared" si="276"/>
        <v>0</v>
      </c>
      <c r="BP238" s="422">
        <f t="shared" si="276"/>
        <v>0</v>
      </c>
      <c r="BQ238" s="422">
        <f t="shared" si="276"/>
        <v>0</v>
      </c>
      <c r="BR238" s="422">
        <f t="shared" si="276"/>
        <v>0</v>
      </c>
      <c r="BS238" s="422">
        <f t="shared" si="276"/>
        <v>0</v>
      </c>
      <c r="BT238" s="422">
        <f t="shared" si="276"/>
        <v>0</v>
      </c>
      <c r="BU238" s="422">
        <f t="shared" si="276"/>
        <v>0</v>
      </c>
      <c r="BV238" s="422">
        <f t="shared" si="276"/>
        <v>0</v>
      </c>
      <c r="BX238" s="1071">
        <f>SUM(BM238:BV238)</f>
        <v>-811819.03207949619</v>
      </c>
    </row>
    <row r="239" spans="3:76">
      <c r="C239" s="419" t="s">
        <v>684</v>
      </c>
      <c r="D239" s="419"/>
      <c r="E239" s="419"/>
      <c r="F239" s="419"/>
      <c r="G239" s="419"/>
      <c r="H239" s="419"/>
      <c r="I239" s="419"/>
      <c r="J239" s="419"/>
      <c r="K239" s="419"/>
      <c r="L239" s="419"/>
      <c r="M239" s="419"/>
      <c r="N239" s="419"/>
      <c r="O239" s="419"/>
      <c r="P239" s="419"/>
      <c r="Q239" s="419"/>
      <c r="R239" s="474"/>
      <c r="S239" s="424">
        <f>IF(S235+S236+S238&lt;GA!$G$712,0,S235+S236+S238)</f>
        <v>811819.03207949619</v>
      </c>
      <c r="T239" s="424">
        <f>IF(T235+T236+T238&lt;GA!$G$712,0,T235+T236+T238)</f>
        <v>0</v>
      </c>
      <c r="U239" s="424">
        <f>IF(U235+U236+U238&lt;GA!$G$712,0,U235+U236+U238)</f>
        <v>0</v>
      </c>
      <c r="V239" s="424">
        <f>IF(V235+V236+V238&lt;GA!$G$712,0,V235+V236+V238)</f>
        <v>0</v>
      </c>
      <c r="W239" s="424">
        <f>IF(W235+W236+W238&lt;GA!$G$712,0,W235+W236+W238)</f>
        <v>0</v>
      </c>
      <c r="X239" s="424">
        <f>IF(X235+X236+X238&lt;GA!$G$712,0,X235+X236+X238)</f>
        <v>0</v>
      </c>
      <c r="Y239" s="424">
        <f>IF(Y235+Y236+Y238&lt;GA!$G$712,0,Y235+Y236+Y238)</f>
        <v>0</v>
      </c>
      <c r="Z239" s="424">
        <f>IF(Z235+Z236+Z238&lt;GA!$G$712,0,Z235+Z236+Z238)</f>
        <v>0</v>
      </c>
      <c r="AA239" s="424">
        <f>IF(AA235+AA236+AA238&lt;GA!$G$712,0,AA235+AA236+AA238)</f>
        <v>0</v>
      </c>
      <c r="AB239" s="424">
        <f>IF(AB235+AB236+AB238&lt;GA!$G$712,0,AB235+AB236+AB238)</f>
        <v>0</v>
      </c>
      <c r="AC239" s="424">
        <f>IF(AC235+AC236+AC238&lt;GA!$G$712,0,AC235+AC236+AC238)</f>
        <v>0</v>
      </c>
      <c r="AD239" s="424">
        <f>IF(AD235+AD236+AD238&lt;GA!$G$712,0,AD235+AD236+AD238)</f>
        <v>0</v>
      </c>
      <c r="AE239" s="424">
        <f>IF(AE235+AE236+AE238&lt;GA!$G$712,0,AE235+AE236+AE238)</f>
        <v>0</v>
      </c>
      <c r="AF239" s="424">
        <f>IF(AF235+AF236+AF238&lt;GA!$G$712,0,AF235+AF236+AF238)</f>
        <v>0</v>
      </c>
      <c r="AG239" s="424">
        <f>IF(AG235+AG236+AG238&lt;GA!$G$712,0,AG235+AG236+AG238)</f>
        <v>0</v>
      </c>
      <c r="AH239" s="424">
        <f>IF(AH235+AH236+AH238&lt;GA!$G$712,0,AH235+AH236+AH238)</f>
        <v>0</v>
      </c>
      <c r="AI239" s="424">
        <f>IF(AI235+AI236+AI238&lt;GA!$G$712,0,AI235+AI236+AI238)</f>
        <v>0</v>
      </c>
      <c r="AJ239" s="424">
        <f>IF(AJ235+AJ236+AJ238&lt;GA!$G$712,0,AJ235+AJ236+AJ238)</f>
        <v>0</v>
      </c>
      <c r="AK239" s="424">
        <f>IF(AK235+AK236+AK238&lt;GA!$G$712,0,AK235+AK236+AK238)</f>
        <v>0</v>
      </c>
      <c r="AL239" s="424">
        <f>IF(AL235+AL236+AL238&lt;GA!$G$712,0,AL235+AL236+AL238)</f>
        <v>0</v>
      </c>
      <c r="AM239" s="424">
        <f>IF(AM235+AM236+AM238&lt;GA!$G$712,0,AM235+AM236+AM238)</f>
        <v>0</v>
      </c>
      <c r="AN239" s="424">
        <f>IF(AN235+AN236+AN238&lt;GA!$G$712,0,AN235+AN236+AN238)</f>
        <v>0</v>
      </c>
      <c r="AO239" s="424">
        <f>IF(AO235+AO236+AO238&lt;GA!$G$712,0,AO235+AO236+AO238)</f>
        <v>0</v>
      </c>
      <c r="AP239" s="424">
        <f>IF(AP235+AP236+AP238&lt;GA!$G$712,0,AP235+AP236+AP238)</f>
        <v>0</v>
      </c>
      <c r="AQ239" s="424">
        <f>IF(AQ235+AQ236+AQ238&lt;GA!$G$712,0,AQ235+AQ236+AQ238)</f>
        <v>0</v>
      </c>
      <c r="AR239" s="424">
        <f>IF(AR235+AR236+AR238&lt;GA!$G$712,0,AR235+AR236+AR238)</f>
        <v>0</v>
      </c>
      <c r="AS239" s="424">
        <f>IF(AS235+AS236+AS238&lt;GA!$G$712,0,AS235+AS236+AS238)</f>
        <v>0</v>
      </c>
      <c r="AT239" s="424">
        <f>IF(AT235+AT236+AT238&lt;GA!$G$712,0,AT235+AT236+AT238)</f>
        <v>0</v>
      </c>
      <c r="AU239" s="424">
        <f>IF(AU235+AU236+AU238&lt;GA!$G$712,0,AU235+AU236+AU238)</f>
        <v>0</v>
      </c>
      <c r="AV239" s="424">
        <f>IF(AV235+AV236+AV238&lt;GA!$G$712,0,AV235+AV236+AV238)</f>
        <v>0</v>
      </c>
      <c r="AW239" s="424">
        <f>IF(AW235+AW236+AW238&lt;GA!$G$712,0,AW235+AW236+AW238)</f>
        <v>0</v>
      </c>
      <c r="AX239" s="424">
        <f>IF(AX235+AX236+AX238&lt;GA!$G$712,0,AX235+AX236+AX238)</f>
        <v>0</v>
      </c>
      <c r="AY239" s="424">
        <f>IF(AY235+AY236+AY238&lt;GA!$G$712,0,AY235+AY236+AY238)</f>
        <v>0</v>
      </c>
      <c r="AZ239" s="424">
        <f>IF(AZ235+AZ236+AZ238&lt;GA!$G$712,0,AZ235+AZ236+AZ238)</f>
        <v>0</v>
      </c>
      <c r="BA239" s="424">
        <f>IF(BA235+BA236+BA238&lt;GA!$G$712,0,BA235+BA236+BA238)</f>
        <v>0</v>
      </c>
      <c r="BB239" s="424">
        <f>IF(BB235+BB236+BB238&lt;GA!$G$712,0,BB235+BB236+BB238)</f>
        <v>0</v>
      </c>
      <c r="BC239" s="424">
        <f>IF(BC235+BC236+BC238&lt;GA!$G$712,0,BC235+BC236+BC238)</f>
        <v>0</v>
      </c>
      <c r="BD239" s="424">
        <f>IF(BD235+BD236+BD238&lt;GA!$G$712,0,BD235+BD236+BD238)</f>
        <v>0</v>
      </c>
      <c r="BE239" s="424">
        <f>IF(BE235+BE236+BE238&lt;GA!$G$712,0,BE235+BE236+BE238)</f>
        <v>0</v>
      </c>
      <c r="BF239" s="424">
        <f>IF(BF235+BF236+BF238&lt;GA!$G$712,0,BF235+BF236+BF238)</f>
        <v>0</v>
      </c>
      <c r="BG239" s="424">
        <f>IF(BG235+BG236+BG238&lt;GA!$G$712,0,BG235+BG236+BG238)</f>
        <v>0</v>
      </c>
      <c r="BI239" s="1072" t="s">
        <v>153</v>
      </c>
      <c r="BM239" s="424">
        <f t="shared" ref="BM239:BV239" si="278">INDEX($T239:$BG239,MATCH(BM$5,$T$5:$BG$5,0))</f>
        <v>0</v>
      </c>
      <c r="BN239" s="424">
        <f t="shared" si="278"/>
        <v>0</v>
      </c>
      <c r="BO239" s="424">
        <f t="shared" si="278"/>
        <v>0</v>
      </c>
      <c r="BP239" s="424">
        <f t="shared" si="278"/>
        <v>0</v>
      </c>
      <c r="BQ239" s="424">
        <f t="shared" si="278"/>
        <v>0</v>
      </c>
      <c r="BR239" s="424">
        <f t="shared" si="278"/>
        <v>0</v>
      </c>
      <c r="BS239" s="424">
        <f t="shared" si="278"/>
        <v>0</v>
      </c>
      <c r="BT239" s="424">
        <f t="shared" si="278"/>
        <v>0</v>
      </c>
      <c r="BU239" s="424">
        <f t="shared" si="278"/>
        <v>0</v>
      </c>
      <c r="BV239" s="424">
        <f t="shared" si="278"/>
        <v>0</v>
      </c>
      <c r="BX239" s="1072" t="s">
        <v>153</v>
      </c>
    </row>
    <row r="240" spans="3:76">
      <c r="R240" s="444"/>
      <c r="S240" s="444"/>
      <c r="T240" s="444"/>
      <c r="U240" s="444"/>
      <c r="V240" s="444"/>
      <c r="W240" s="444"/>
      <c r="X240" s="444"/>
      <c r="Y240" s="444"/>
      <c r="Z240" s="444"/>
      <c r="AA240" s="444"/>
      <c r="AB240" s="444"/>
      <c r="AC240" s="444"/>
      <c r="AD240" s="444"/>
      <c r="AE240" s="444"/>
      <c r="AF240" s="444"/>
      <c r="AG240" s="444"/>
      <c r="AH240" s="444"/>
      <c r="AI240" s="444"/>
      <c r="AJ240" s="444"/>
      <c r="AK240" s="444"/>
      <c r="AL240" s="444"/>
      <c r="AM240" s="444"/>
      <c r="AN240" s="444"/>
      <c r="AO240" s="444"/>
      <c r="AP240" s="444"/>
      <c r="AQ240" s="444"/>
      <c r="AR240" s="444"/>
      <c r="AS240" s="444"/>
      <c r="AT240" s="444"/>
      <c r="AU240" s="444"/>
      <c r="AV240" s="444"/>
      <c r="AW240" s="444"/>
      <c r="AX240" s="444"/>
      <c r="AY240" s="444"/>
      <c r="AZ240" s="444"/>
      <c r="BA240" s="444"/>
      <c r="BB240" s="444"/>
      <c r="BC240" s="444"/>
      <c r="BD240" s="444"/>
      <c r="BE240" s="444"/>
      <c r="BF240" s="444"/>
      <c r="BG240" s="444"/>
    </row>
    <row r="241" spans="3:76">
      <c r="C241" s="253" t="s">
        <v>784</v>
      </c>
      <c r="D241" s="253"/>
      <c r="E241" s="253"/>
      <c r="F241" s="253"/>
      <c r="G241" s="253"/>
      <c r="H241" s="253"/>
      <c r="I241" s="253"/>
      <c r="J241" s="253"/>
      <c r="K241" s="253"/>
      <c r="L241" s="253"/>
      <c r="M241" s="253"/>
      <c r="N241" s="253"/>
      <c r="O241" s="253"/>
      <c r="P241" s="253"/>
      <c r="Q241" s="253"/>
      <c r="R241" s="254">
        <f>R231-R236-R238</f>
        <v>-126000</v>
      </c>
      <c r="S241" s="254">
        <f>S231-S236-S238</f>
        <v>-3090257.241372929</v>
      </c>
      <c r="T241" s="254">
        <f t="shared" ref="T241:BG241" si="279">T231-T236-T238</f>
        <v>0</v>
      </c>
      <c r="U241" s="254">
        <f t="shared" si="279"/>
        <v>10302.905500140972</v>
      </c>
      <c r="V241" s="254">
        <f t="shared" si="279"/>
        <v>28500.922636107687</v>
      </c>
      <c r="W241" s="254">
        <f t="shared" si="279"/>
        <v>28732.99374999998</v>
      </c>
      <c r="X241" s="254">
        <f t="shared" si="279"/>
        <v>28604.598875868989</v>
      </c>
      <c r="Y241" s="254">
        <f t="shared" si="279"/>
        <v>28716.691420764699</v>
      </c>
      <c r="Z241" s="254">
        <f t="shared" si="279"/>
        <v>28947.134505287315</v>
      </c>
      <c r="AA241" s="254">
        <f t="shared" si="279"/>
        <v>29176.221796874961</v>
      </c>
      <c r="AB241" s="254">
        <f t="shared" si="279"/>
        <v>29052.128898646402</v>
      </c>
      <c r="AC241" s="254">
        <f t="shared" si="279"/>
        <v>29163.656404910515</v>
      </c>
      <c r="AD241" s="254">
        <f t="shared" si="279"/>
        <v>29391.097956675381</v>
      </c>
      <c r="AE241" s="254">
        <f t="shared" si="279"/>
        <v>1343824.6533783348</v>
      </c>
      <c r="AF241" s="254">
        <f t="shared" si="279"/>
        <v>0</v>
      </c>
      <c r="AG241" s="254">
        <f t="shared" si="279"/>
        <v>0</v>
      </c>
      <c r="AH241" s="254">
        <f t="shared" si="279"/>
        <v>0</v>
      </c>
      <c r="AI241" s="254">
        <f t="shared" si="279"/>
        <v>0</v>
      </c>
      <c r="AJ241" s="254">
        <f t="shared" si="279"/>
        <v>0</v>
      </c>
      <c r="AK241" s="254">
        <f t="shared" si="279"/>
        <v>0</v>
      </c>
      <c r="AL241" s="254">
        <f t="shared" si="279"/>
        <v>0</v>
      </c>
      <c r="AM241" s="254">
        <f t="shared" si="279"/>
        <v>0</v>
      </c>
      <c r="AN241" s="254">
        <f t="shared" si="279"/>
        <v>0</v>
      </c>
      <c r="AO241" s="254">
        <f t="shared" si="279"/>
        <v>0</v>
      </c>
      <c r="AP241" s="254">
        <f t="shared" si="279"/>
        <v>0</v>
      </c>
      <c r="AQ241" s="254">
        <f t="shared" si="279"/>
        <v>0</v>
      </c>
      <c r="AR241" s="254">
        <f t="shared" si="279"/>
        <v>0</v>
      </c>
      <c r="AS241" s="254">
        <f t="shared" si="279"/>
        <v>0</v>
      </c>
      <c r="AT241" s="254">
        <f t="shared" si="279"/>
        <v>0</v>
      </c>
      <c r="AU241" s="254">
        <f t="shared" si="279"/>
        <v>0</v>
      </c>
      <c r="AV241" s="254">
        <f t="shared" si="279"/>
        <v>0</v>
      </c>
      <c r="AW241" s="254">
        <f t="shared" si="279"/>
        <v>0</v>
      </c>
      <c r="AX241" s="254">
        <f t="shared" si="279"/>
        <v>0</v>
      </c>
      <c r="AY241" s="254">
        <f t="shared" si="279"/>
        <v>0</v>
      </c>
      <c r="AZ241" s="254">
        <f t="shared" si="279"/>
        <v>0</v>
      </c>
      <c r="BA241" s="254">
        <f t="shared" si="279"/>
        <v>0</v>
      </c>
      <c r="BB241" s="254">
        <f t="shared" si="279"/>
        <v>0</v>
      </c>
      <c r="BC241" s="254">
        <f t="shared" si="279"/>
        <v>0</v>
      </c>
      <c r="BD241" s="254">
        <f t="shared" si="279"/>
        <v>0</v>
      </c>
      <c r="BE241" s="254">
        <f t="shared" si="279"/>
        <v>0</v>
      </c>
      <c r="BF241" s="254">
        <f t="shared" si="279"/>
        <v>0</v>
      </c>
      <c r="BG241" s="254">
        <f t="shared" si="279"/>
        <v>0</v>
      </c>
      <c r="BI241" s="254">
        <f>SUM(T241:BG241)</f>
        <v>1614413.0051236118</v>
      </c>
      <c r="BM241" s="254">
        <f t="shared" ref="BM241:BV241" si="280">SUMIF($T$8:$BG$8,BM$6,$T241:$BG241)</f>
        <v>67536.821886248639</v>
      </c>
      <c r="BN241" s="254">
        <f t="shared" si="280"/>
        <v>115444.64659879597</v>
      </c>
      <c r="BO241" s="254">
        <f t="shared" si="280"/>
        <v>1431431.5366385672</v>
      </c>
      <c r="BP241" s="254">
        <f t="shared" si="280"/>
        <v>0</v>
      </c>
      <c r="BQ241" s="254">
        <f t="shared" si="280"/>
        <v>0</v>
      </c>
      <c r="BR241" s="254">
        <f t="shared" si="280"/>
        <v>0</v>
      </c>
      <c r="BS241" s="254">
        <f t="shared" si="280"/>
        <v>0</v>
      </c>
      <c r="BT241" s="254">
        <f t="shared" si="280"/>
        <v>0</v>
      </c>
      <c r="BU241" s="254">
        <f t="shared" si="280"/>
        <v>0</v>
      </c>
      <c r="BV241" s="254">
        <f t="shared" si="280"/>
        <v>0</v>
      </c>
      <c r="BX241" s="254">
        <f>SUM(BM241:BV241)</f>
        <v>1614413.0051236118</v>
      </c>
    </row>
    <row r="242" spans="3:76">
      <c r="R242" s="444"/>
      <c r="S242" s="444"/>
      <c r="T242" s="444"/>
      <c r="U242" s="444"/>
      <c r="V242" s="444"/>
      <c r="W242" s="444"/>
      <c r="X242" s="444"/>
      <c r="Y242" s="444"/>
      <c r="Z242" s="444"/>
      <c r="AA242" s="444"/>
      <c r="AB242" s="444"/>
      <c r="AC242" s="444"/>
      <c r="AD242" s="444"/>
      <c r="AE242" s="444"/>
      <c r="AF242" s="444"/>
      <c r="AG242" s="444"/>
      <c r="AH242" s="444"/>
      <c r="AI242" s="444"/>
      <c r="AJ242" s="444"/>
      <c r="AK242" s="444"/>
      <c r="AL242" s="444"/>
      <c r="AM242" s="444"/>
      <c r="AN242" s="444"/>
      <c r="AO242" s="444"/>
      <c r="AP242" s="444"/>
      <c r="AQ242" s="444"/>
      <c r="AR242" s="444"/>
      <c r="AS242" s="444"/>
      <c r="AT242" s="444"/>
      <c r="AU242" s="444"/>
      <c r="AV242" s="444"/>
      <c r="AW242" s="444"/>
      <c r="AX242" s="444"/>
      <c r="AY242" s="444"/>
      <c r="AZ242" s="444"/>
      <c r="BA242" s="444"/>
      <c r="BB242" s="444"/>
      <c r="BC242" s="444"/>
      <c r="BD242" s="444"/>
      <c r="BE242" s="444"/>
      <c r="BF242" s="444"/>
      <c r="BG242" s="444"/>
    </row>
    <row r="243" spans="3:76">
      <c r="C243" s="268" t="s">
        <v>679</v>
      </c>
      <c r="D243" s="268"/>
      <c r="E243" s="268"/>
      <c r="F243" s="268"/>
      <c r="G243" s="268"/>
      <c r="H243" s="268"/>
      <c r="I243" s="268"/>
      <c r="J243" s="268"/>
      <c r="K243" s="268"/>
      <c r="L243" s="268"/>
      <c r="M243" s="268"/>
      <c r="N243" s="268"/>
      <c r="O243" s="268"/>
      <c r="P243" s="268"/>
      <c r="Q243" s="268"/>
      <c r="R243" s="401"/>
      <c r="S243" s="401"/>
      <c r="T243" s="254">
        <f>T$442</f>
        <v>0</v>
      </c>
      <c r="U243" s="254">
        <f t="shared" ref="U243:BG243" si="281">U$442</f>
        <v>0</v>
      </c>
      <c r="V243" s="254">
        <f t="shared" si="281"/>
        <v>0</v>
      </c>
      <c r="W243" s="254">
        <f t="shared" si="281"/>
        <v>0</v>
      </c>
      <c r="X243" s="254">
        <f t="shared" si="281"/>
        <v>0</v>
      </c>
      <c r="Y243" s="254">
        <f t="shared" si="281"/>
        <v>0</v>
      </c>
      <c r="Z243" s="254">
        <f t="shared" si="281"/>
        <v>0</v>
      </c>
      <c r="AA243" s="254">
        <f t="shared" si="281"/>
        <v>0</v>
      </c>
      <c r="AB243" s="254">
        <f t="shared" si="281"/>
        <v>0</v>
      </c>
      <c r="AC243" s="254">
        <f t="shared" si="281"/>
        <v>0</v>
      </c>
      <c r="AD243" s="254">
        <f t="shared" si="281"/>
        <v>0</v>
      </c>
      <c r="AE243" s="254">
        <f t="shared" si="281"/>
        <v>-278.23851046038078</v>
      </c>
      <c r="AF243" s="254">
        <f t="shared" si="281"/>
        <v>0</v>
      </c>
      <c r="AG243" s="254">
        <f t="shared" si="281"/>
        <v>0</v>
      </c>
      <c r="AH243" s="254">
        <f t="shared" si="281"/>
        <v>0</v>
      </c>
      <c r="AI243" s="254">
        <f t="shared" si="281"/>
        <v>0</v>
      </c>
      <c r="AJ243" s="254">
        <f t="shared" si="281"/>
        <v>0</v>
      </c>
      <c r="AK243" s="254">
        <f t="shared" si="281"/>
        <v>0</v>
      </c>
      <c r="AL243" s="254">
        <f t="shared" si="281"/>
        <v>0</v>
      </c>
      <c r="AM243" s="254">
        <f t="shared" si="281"/>
        <v>0</v>
      </c>
      <c r="AN243" s="254">
        <f t="shared" si="281"/>
        <v>0</v>
      </c>
      <c r="AO243" s="254">
        <f t="shared" si="281"/>
        <v>0</v>
      </c>
      <c r="AP243" s="254">
        <f t="shared" si="281"/>
        <v>0</v>
      </c>
      <c r="AQ243" s="254">
        <f t="shared" si="281"/>
        <v>0</v>
      </c>
      <c r="AR243" s="254">
        <f t="shared" si="281"/>
        <v>0</v>
      </c>
      <c r="AS243" s="254">
        <f t="shared" si="281"/>
        <v>0</v>
      </c>
      <c r="AT243" s="254">
        <f t="shared" si="281"/>
        <v>0</v>
      </c>
      <c r="AU243" s="254">
        <f t="shared" si="281"/>
        <v>0</v>
      </c>
      <c r="AV243" s="254">
        <f t="shared" si="281"/>
        <v>0</v>
      </c>
      <c r="AW243" s="254">
        <f t="shared" si="281"/>
        <v>0</v>
      </c>
      <c r="AX243" s="254">
        <f t="shared" si="281"/>
        <v>0</v>
      </c>
      <c r="AY243" s="254">
        <f t="shared" si="281"/>
        <v>0</v>
      </c>
      <c r="AZ243" s="254">
        <f t="shared" si="281"/>
        <v>0</v>
      </c>
      <c r="BA243" s="254">
        <f t="shared" si="281"/>
        <v>0</v>
      </c>
      <c r="BB243" s="254">
        <f t="shared" si="281"/>
        <v>0</v>
      </c>
      <c r="BC243" s="254">
        <f t="shared" si="281"/>
        <v>0</v>
      </c>
      <c r="BD243" s="254">
        <f t="shared" si="281"/>
        <v>0</v>
      </c>
      <c r="BE243" s="254">
        <f t="shared" si="281"/>
        <v>0</v>
      </c>
      <c r="BF243" s="254">
        <f t="shared" si="281"/>
        <v>0</v>
      </c>
      <c r="BG243" s="254">
        <f t="shared" si="281"/>
        <v>0</v>
      </c>
      <c r="BI243" s="254">
        <f>SUM(T243:BG243)</f>
        <v>-278.23851046038078</v>
      </c>
      <c r="BM243" s="254">
        <f t="shared" ref="BM243:BV243" si="282">SUMIF($T$8:$BG$8,BM$6,$T243:$BG243)</f>
        <v>0</v>
      </c>
      <c r="BN243" s="254">
        <f t="shared" si="282"/>
        <v>0</v>
      </c>
      <c r="BO243" s="254">
        <f t="shared" si="282"/>
        <v>-278.23851046038078</v>
      </c>
      <c r="BP243" s="254">
        <f t="shared" si="282"/>
        <v>0</v>
      </c>
      <c r="BQ243" s="254">
        <f t="shared" si="282"/>
        <v>0</v>
      </c>
      <c r="BR243" s="254">
        <f t="shared" si="282"/>
        <v>0</v>
      </c>
      <c r="BS243" s="254">
        <f t="shared" si="282"/>
        <v>0</v>
      </c>
      <c r="BT243" s="254">
        <f t="shared" si="282"/>
        <v>0</v>
      </c>
      <c r="BU243" s="254">
        <f t="shared" si="282"/>
        <v>0</v>
      </c>
      <c r="BV243" s="254">
        <f t="shared" si="282"/>
        <v>0</v>
      </c>
      <c r="BX243" s="254">
        <f>SUM(BM243:BV243)</f>
        <v>-278.23851046038078</v>
      </c>
    </row>
    <row r="244" spans="3:76">
      <c r="R244" s="444"/>
      <c r="S244" s="444"/>
      <c r="T244" s="444"/>
      <c r="U244" s="444"/>
      <c r="V244" s="444"/>
      <c r="W244" s="444"/>
      <c r="X244" s="444"/>
      <c r="Y244" s="444"/>
      <c r="Z244" s="444"/>
      <c r="AA244" s="444"/>
      <c r="AB244" s="444"/>
      <c r="AC244" s="444"/>
      <c r="AD244" s="444"/>
      <c r="AE244" s="444"/>
      <c r="AF244" s="444"/>
      <c r="AG244" s="444"/>
      <c r="AH244" s="444"/>
      <c r="AI244" s="444"/>
      <c r="AJ244" s="444"/>
      <c r="AK244" s="444"/>
      <c r="AL244" s="444"/>
      <c r="AM244" s="444"/>
      <c r="AN244" s="444"/>
      <c r="AO244" s="444"/>
      <c r="AP244" s="444"/>
      <c r="AQ244" s="444"/>
      <c r="AR244" s="444"/>
      <c r="AS244" s="444"/>
      <c r="AT244" s="444"/>
      <c r="AU244" s="444"/>
      <c r="AV244" s="444"/>
      <c r="AW244" s="444"/>
      <c r="AX244" s="444"/>
      <c r="AY244" s="444"/>
      <c r="AZ244" s="444"/>
      <c r="BA244" s="444"/>
      <c r="BB244" s="444"/>
      <c r="BC244" s="444"/>
      <c r="BD244" s="444"/>
      <c r="BE244" s="444"/>
      <c r="BF244" s="444"/>
      <c r="BG244" s="444"/>
    </row>
    <row r="245" spans="3:76">
      <c r="C245" s="253" t="s">
        <v>1390</v>
      </c>
      <c r="D245" s="253"/>
      <c r="E245" s="253"/>
      <c r="F245" s="253"/>
      <c r="G245" s="253"/>
      <c r="H245" s="253"/>
      <c r="I245" s="253"/>
      <c r="J245" s="253"/>
      <c r="K245" s="253"/>
      <c r="L245" s="253"/>
      <c r="M245" s="253"/>
      <c r="N245" s="253"/>
      <c r="O245" s="253"/>
      <c r="P245" s="253"/>
      <c r="Q245" s="253"/>
      <c r="R245" s="254">
        <f>R241+R243</f>
        <v>-126000</v>
      </c>
      <c r="S245" s="254">
        <f t="shared" ref="S245:BG245" si="283">S241+S243</f>
        <v>-3090257.241372929</v>
      </c>
      <c r="T245" s="254">
        <f t="shared" si="283"/>
        <v>0</v>
      </c>
      <c r="U245" s="254">
        <f t="shared" si="283"/>
        <v>10302.905500140972</v>
      </c>
      <c r="V245" s="254">
        <f t="shared" si="283"/>
        <v>28500.922636107687</v>
      </c>
      <c r="W245" s="254">
        <f t="shared" si="283"/>
        <v>28732.99374999998</v>
      </c>
      <c r="X245" s="254">
        <f t="shared" si="283"/>
        <v>28604.598875868989</v>
      </c>
      <c r="Y245" s="254">
        <f t="shared" si="283"/>
        <v>28716.691420764699</v>
      </c>
      <c r="Z245" s="254">
        <f t="shared" si="283"/>
        <v>28947.134505287315</v>
      </c>
      <c r="AA245" s="254">
        <f t="shared" si="283"/>
        <v>29176.221796874961</v>
      </c>
      <c r="AB245" s="254">
        <f t="shared" si="283"/>
        <v>29052.128898646402</v>
      </c>
      <c r="AC245" s="254">
        <f t="shared" si="283"/>
        <v>29163.656404910515</v>
      </c>
      <c r="AD245" s="254">
        <f t="shared" si="283"/>
        <v>29391.097956675381</v>
      </c>
      <c r="AE245" s="254">
        <f t="shared" si="283"/>
        <v>1343546.4148678745</v>
      </c>
      <c r="AF245" s="254">
        <f t="shared" si="283"/>
        <v>0</v>
      </c>
      <c r="AG245" s="254">
        <f t="shared" si="283"/>
        <v>0</v>
      </c>
      <c r="AH245" s="254">
        <f t="shared" si="283"/>
        <v>0</v>
      </c>
      <c r="AI245" s="254">
        <f t="shared" si="283"/>
        <v>0</v>
      </c>
      <c r="AJ245" s="254">
        <f t="shared" si="283"/>
        <v>0</v>
      </c>
      <c r="AK245" s="254">
        <f t="shared" si="283"/>
        <v>0</v>
      </c>
      <c r="AL245" s="254">
        <f t="shared" si="283"/>
        <v>0</v>
      </c>
      <c r="AM245" s="254">
        <f t="shared" si="283"/>
        <v>0</v>
      </c>
      <c r="AN245" s="254">
        <f t="shared" si="283"/>
        <v>0</v>
      </c>
      <c r="AO245" s="254">
        <f t="shared" si="283"/>
        <v>0</v>
      </c>
      <c r="AP245" s="254">
        <f t="shared" si="283"/>
        <v>0</v>
      </c>
      <c r="AQ245" s="254">
        <f t="shared" si="283"/>
        <v>0</v>
      </c>
      <c r="AR245" s="254">
        <f t="shared" si="283"/>
        <v>0</v>
      </c>
      <c r="AS245" s="254">
        <f t="shared" si="283"/>
        <v>0</v>
      </c>
      <c r="AT245" s="254">
        <f t="shared" si="283"/>
        <v>0</v>
      </c>
      <c r="AU245" s="254">
        <f t="shared" si="283"/>
        <v>0</v>
      </c>
      <c r="AV245" s="254">
        <f t="shared" si="283"/>
        <v>0</v>
      </c>
      <c r="AW245" s="254">
        <f t="shared" si="283"/>
        <v>0</v>
      </c>
      <c r="AX245" s="254">
        <f t="shared" si="283"/>
        <v>0</v>
      </c>
      <c r="AY245" s="254">
        <f t="shared" si="283"/>
        <v>0</v>
      </c>
      <c r="AZ245" s="254">
        <f t="shared" si="283"/>
        <v>0</v>
      </c>
      <c r="BA245" s="254">
        <f t="shared" si="283"/>
        <v>0</v>
      </c>
      <c r="BB245" s="254">
        <f t="shared" si="283"/>
        <v>0</v>
      </c>
      <c r="BC245" s="254">
        <f t="shared" si="283"/>
        <v>0</v>
      </c>
      <c r="BD245" s="254">
        <f t="shared" si="283"/>
        <v>0</v>
      </c>
      <c r="BE245" s="254">
        <f t="shared" si="283"/>
        <v>0</v>
      </c>
      <c r="BF245" s="254">
        <f t="shared" si="283"/>
        <v>0</v>
      </c>
      <c r="BG245" s="254">
        <f t="shared" si="283"/>
        <v>0</v>
      </c>
      <c r="BI245" s="254">
        <f>SUM(R245:BG245)</f>
        <v>-1602122.4747597778</v>
      </c>
      <c r="BM245" s="254">
        <f t="shared" ref="BM245:BV245" si="284">SUMIF($T$8:$BG$8,BM$6,$T245:$BG245)</f>
        <v>67536.821886248639</v>
      </c>
      <c r="BN245" s="254">
        <f t="shared" si="284"/>
        <v>115444.64659879597</v>
      </c>
      <c r="BO245" s="254">
        <f t="shared" si="284"/>
        <v>1431153.2981281069</v>
      </c>
      <c r="BP245" s="254">
        <f t="shared" si="284"/>
        <v>0</v>
      </c>
      <c r="BQ245" s="254">
        <f t="shared" si="284"/>
        <v>0</v>
      </c>
      <c r="BR245" s="254">
        <f t="shared" si="284"/>
        <v>0</v>
      </c>
      <c r="BS245" s="254">
        <f t="shared" si="284"/>
        <v>0</v>
      </c>
      <c r="BT245" s="254">
        <f t="shared" si="284"/>
        <v>0</v>
      </c>
      <c r="BU245" s="254">
        <f t="shared" si="284"/>
        <v>0</v>
      </c>
      <c r="BV245" s="254">
        <f t="shared" si="284"/>
        <v>0</v>
      </c>
      <c r="BX245" s="254">
        <f>SUM(BM245:BV245)</f>
        <v>1614134.7666131514</v>
      </c>
    </row>
    <row r="246" spans="3:76" outlineLevel="1">
      <c r="C246" s="398" t="s">
        <v>686</v>
      </c>
      <c r="D246" s="398"/>
      <c r="E246" s="398"/>
      <c r="F246" s="398"/>
      <c r="G246" s="398"/>
      <c r="H246" s="398"/>
      <c r="I246" s="398"/>
      <c r="J246" s="398"/>
      <c r="K246" s="398"/>
      <c r="L246" s="398"/>
      <c r="M246" s="398"/>
      <c r="N246" s="398"/>
      <c r="O246" s="39"/>
      <c r="P246" s="39"/>
      <c r="Q246" s="39"/>
      <c r="R246" s="404">
        <f>SUM($R$245:R245)</f>
        <v>-126000</v>
      </c>
      <c r="S246" s="404">
        <f>SUM($R$245:S245)</f>
        <v>-3216257.241372929</v>
      </c>
      <c r="T246" s="404">
        <f>SUM($R$245:T245)</f>
        <v>-3216257.241372929</v>
      </c>
      <c r="U246" s="404">
        <f>SUM($R$245:U245)</f>
        <v>-3205954.335872788</v>
      </c>
      <c r="V246" s="404">
        <f>SUM($R$245:V245)</f>
        <v>-3177453.4132366804</v>
      </c>
      <c r="W246" s="404">
        <f>SUM($R$245:W245)</f>
        <v>-3148720.4194866805</v>
      </c>
      <c r="X246" s="404">
        <f>SUM($R$245:X245)</f>
        <v>-3120115.8206108115</v>
      </c>
      <c r="Y246" s="404">
        <f>SUM($R$245:Y245)</f>
        <v>-3091399.1291900468</v>
      </c>
      <c r="Z246" s="404">
        <f>SUM($R$245:Z245)</f>
        <v>-3062451.9946847595</v>
      </c>
      <c r="AA246" s="404">
        <f>SUM($R$245:AA245)</f>
        <v>-3033275.7728878846</v>
      </c>
      <c r="AB246" s="404">
        <f>SUM($R$245:AB245)</f>
        <v>-3004223.6439892384</v>
      </c>
      <c r="AC246" s="404">
        <f>SUM($R$245:AC245)</f>
        <v>-2975059.9875843278</v>
      </c>
      <c r="AD246" s="404">
        <f>SUM($R$245:AD245)</f>
        <v>-2945668.8896276522</v>
      </c>
      <c r="AE246" s="404">
        <f>SUM($R$245:AE245)</f>
        <v>-1602122.4747597778</v>
      </c>
      <c r="AF246" s="404">
        <f>SUM($R$245:AF245)</f>
        <v>-1602122.4747597778</v>
      </c>
      <c r="AG246" s="404">
        <f>SUM($R$245:AG245)</f>
        <v>-1602122.4747597778</v>
      </c>
      <c r="AH246" s="404">
        <f>SUM($R$245:AH245)</f>
        <v>-1602122.4747597778</v>
      </c>
      <c r="AI246" s="404">
        <f>SUM($R$245:AI245)</f>
        <v>-1602122.4747597778</v>
      </c>
      <c r="AJ246" s="404">
        <f>SUM($R$245:AJ245)</f>
        <v>-1602122.4747597778</v>
      </c>
      <c r="AK246" s="404">
        <f>SUM($R$245:AK245)</f>
        <v>-1602122.4747597778</v>
      </c>
      <c r="AL246" s="404">
        <f>SUM($R$245:AL245)</f>
        <v>-1602122.4747597778</v>
      </c>
      <c r="AM246" s="404">
        <f>SUM($R$245:AM245)</f>
        <v>-1602122.4747597778</v>
      </c>
      <c r="AN246" s="404">
        <f>SUM($R$245:AN245)</f>
        <v>-1602122.4747597778</v>
      </c>
      <c r="AO246" s="404">
        <f>SUM($R$245:AO245)</f>
        <v>-1602122.4747597778</v>
      </c>
      <c r="AP246" s="404">
        <f>SUM($R$245:AP245)</f>
        <v>-1602122.4747597778</v>
      </c>
      <c r="AQ246" s="404">
        <f>SUM($R$245:AQ245)</f>
        <v>-1602122.4747597778</v>
      </c>
      <c r="AR246" s="404">
        <f>SUM($R$245:AR245)</f>
        <v>-1602122.4747597778</v>
      </c>
      <c r="AS246" s="404">
        <f>SUM($R$245:AS245)</f>
        <v>-1602122.4747597778</v>
      </c>
      <c r="AT246" s="404">
        <f>SUM($R$245:AT245)</f>
        <v>-1602122.4747597778</v>
      </c>
      <c r="AU246" s="404">
        <f>SUM($R$245:AU245)</f>
        <v>-1602122.4747597778</v>
      </c>
      <c r="AV246" s="404">
        <f>SUM($R$245:AV245)</f>
        <v>-1602122.4747597778</v>
      </c>
      <c r="AW246" s="404">
        <f>SUM($R$245:AW245)</f>
        <v>-1602122.4747597778</v>
      </c>
      <c r="AX246" s="404">
        <f>SUM($R$245:AX245)</f>
        <v>-1602122.4747597778</v>
      </c>
      <c r="AY246" s="404">
        <f>SUM($R$245:AY245)</f>
        <v>-1602122.4747597778</v>
      </c>
      <c r="AZ246" s="404">
        <f>SUM($R$245:AZ245)</f>
        <v>-1602122.4747597778</v>
      </c>
      <c r="BA246" s="404">
        <f>SUM($R$245:BA245)</f>
        <v>-1602122.4747597778</v>
      </c>
      <c r="BB246" s="404">
        <f>SUM($R$245:BB245)</f>
        <v>-1602122.4747597778</v>
      </c>
      <c r="BC246" s="404">
        <f>SUM($R$245:BC245)</f>
        <v>-1602122.4747597778</v>
      </c>
      <c r="BD246" s="404">
        <f>SUM($R$245:BD245)</f>
        <v>-1602122.4747597778</v>
      </c>
      <c r="BE246" s="404">
        <f>SUM($R$245:BE245)</f>
        <v>-1602122.4747597778</v>
      </c>
      <c r="BF246" s="404">
        <f>SUM($R$245:BF245)</f>
        <v>-1602122.4747597778</v>
      </c>
      <c r="BG246" s="404">
        <f>SUM($R$245:BG245)</f>
        <v>-1602122.4747597778</v>
      </c>
    </row>
    <row r="247" spans="3:76" outlineLevel="1">
      <c r="C247" s="398" t="s">
        <v>687</v>
      </c>
      <c r="D247" s="398"/>
      <c r="E247" s="398"/>
      <c r="F247" s="398"/>
      <c r="G247" s="398"/>
      <c r="H247" s="398"/>
      <c r="I247" s="398"/>
      <c r="J247" s="398"/>
      <c r="K247" s="398"/>
      <c r="L247" s="398"/>
      <c r="M247" s="398"/>
      <c r="N247" s="398"/>
      <c r="O247" s="39"/>
      <c r="P247" s="39"/>
      <c r="Q247" s="39"/>
      <c r="S247" s="404">
        <f>MIN(-R246,S245)*(R246&lt;0)*(S$5&gt;0)+(S$5&lt;=0)*S246</f>
        <v>-3216257.241372929</v>
      </c>
      <c r="T247" s="404">
        <f t="shared" ref="T247:BG247" si="285">MIN(-S246,T245)*(S246&lt;0)*(T$5&gt;0)+(T$5&lt;=0)*T246</f>
        <v>0</v>
      </c>
      <c r="U247" s="404">
        <f t="shared" si="285"/>
        <v>10302.905500140972</v>
      </c>
      <c r="V247" s="404">
        <f t="shared" si="285"/>
        <v>28500.922636107687</v>
      </c>
      <c r="W247" s="404">
        <f t="shared" si="285"/>
        <v>28732.99374999998</v>
      </c>
      <c r="X247" s="404">
        <f t="shared" si="285"/>
        <v>28604.598875868989</v>
      </c>
      <c r="Y247" s="404">
        <f t="shared" si="285"/>
        <v>28716.691420764699</v>
      </c>
      <c r="Z247" s="404">
        <f t="shared" si="285"/>
        <v>28947.134505287315</v>
      </c>
      <c r="AA247" s="404">
        <f t="shared" si="285"/>
        <v>29176.221796874961</v>
      </c>
      <c r="AB247" s="404">
        <f t="shared" si="285"/>
        <v>29052.128898646402</v>
      </c>
      <c r="AC247" s="404">
        <f t="shared" si="285"/>
        <v>29163.656404910515</v>
      </c>
      <c r="AD247" s="404">
        <f t="shared" si="285"/>
        <v>29391.097956675381</v>
      </c>
      <c r="AE247" s="404">
        <f t="shared" si="285"/>
        <v>1343546.4148678745</v>
      </c>
      <c r="AF247" s="404">
        <f t="shared" si="285"/>
        <v>0</v>
      </c>
      <c r="AG247" s="404">
        <f t="shared" si="285"/>
        <v>0</v>
      </c>
      <c r="AH247" s="404">
        <f t="shared" si="285"/>
        <v>0</v>
      </c>
      <c r="AI247" s="404">
        <f t="shared" si="285"/>
        <v>0</v>
      </c>
      <c r="AJ247" s="404">
        <f t="shared" si="285"/>
        <v>0</v>
      </c>
      <c r="AK247" s="404">
        <f t="shared" si="285"/>
        <v>0</v>
      </c>
      <c r="AL247" s="404">
        <f t="shared" si="285"/>
        <v>0</v>
      </c>
      <c r="AM247" s="404">
        <f t="shared" si="285"/>
        <v>0</v>
      </c>
      <c r="AN247" s="404">
        <f t="shared" si="285"/>
        <v>0</v>
      </c>
      <c r="AO247" s="404">
        <f t="shared" si="285"/>
        <v>0</v>
      </c>
      <c r="AP247" s="404">
        <f t="shared" si="285"/>
        <v>0</v>
      </c>
      <c r="AQ247" s="404">
        <f t="shared" si="285"/>
        <v>0</v>
      </c>
      <c r="AR247" s="404">
        <f t="shared" si="285"/>
        <v>0</v>
      </c>
      <c r="AS247" s="404">
        <f t="shared" si="285"/>
        <v>0</v>
      </c>
      <c r="AT247" s="404">
        <f t="shared" si="285"/>
        <v>0</v>
      </c>
      <c r="AU247" s="404">
        <f t="shared" si="285"/>
        <v>0</v>
      </c>
      <c r="AV247" s="404">
        <f t="shared" si="285"/>
        <v>0</v>
      </c>
      <c r="AW247" s="404">
        <f t="shared" si="285"/>
        <v>0</v>
      </c>
      <c r="AX247" s="404">
        <f t="shared" si="285"/>
        <v>0</v>
      </c>
      <c r="AY247" s="404">
        <f t="shared" si="285"/>
        <v>0</v>
      </c>
      <c r="AZ247" s="404">
        <f t="shared" si="285"/>
        <v>0</v>
      </c>
      <c r="BA247" s="404">
        <f t="shared" si="285"/>
        <v>0</v>
      </c>
      <c r="BB247" s="404">
        <f t="shared" si="285"/>
        <v>0</v>
      </c>
      <c r="BC247" s="404">
        <f t="shared" si="285"/>
        <v>0</v>
      </c>
      <c r="BD247" s="404">
        <f t="shared" si="285"/>
        <v>0</v>
      </c>
      <c r="BE247" s="404">
        <f t="shared" si="285"/>
        <v>0</v>
      </c>
      <c r="BF247" s="404">
        <f t="shared" si="285"/>
        <v>0</v>
      </c>
      <c r="BG247" s="404">
        <f t="shared" si="285"/>
        <v>0</v>
      </c>
      <c r="BI247" s="310">
        <f>SUM(S247:BG247)</f>
        <v>-1602122.4747597778</v>
      </c>
    </row>
    <row r="248" spans="3:76">
      <c r="C248" s="39"/>
      <c r="D248" s="39"/>
      <c r="E248" s="39"/>
      <c r="F248" s="39"/>
      <c r="G248" s="39"/>
      <c r="H248" s="39"/>
      <c r="I248" s="39"/>
      <c r="J248" s="39"/>
      <c r="K248" s="39"/>
      <c r="L248" s="39"/>
      <c r="M248" s="39"/>
      <c r="N248" s="39"/>
      <c r="O248" s="39"/>
      <c r="P248" s="39"/>
      <c r="Q248" s="39"/>
      <c r="R248" s="476"/>
      <c r="S248" s="476"/>
      <c r="T248" s="476"/>
      <c r="U248" s="476"/>
      <c r="V248" s="476"/>
      <c r="W248" s="476"/>
      <c r="X248" s="476"/>
      <c r="Y248" s="476"/>
      <c r="Z248" s="476"/>
      <c r="AA248" s="476"/>
      <c r="AB248" s="476"/>
      <c r="AC248" s="476"/>
      <c r="AD248" s="476"/>
      <c r="AE248" s="476"/>
      <c r="AF248" s="476"/>
      <c r="AG248" s="476"/>
      <c r="AH248" s="476"/>
      <c r="AI248" s="476"/>
      <c r="AJ248" s="476"/>
      <c r="AK248" s="476"/>
      <c r="AL248" s="476"/>
      <c r="AM248" s="476"/>
      <c r="AN248" s="476"/>
      <c r="AO248" s="476"/>
      <c r="AP248" s="476"/>
      <c r="AQ248" s="476"/>
      <c r="AR248" s="476"/>
      <c r="AS248" s="476"/>
      <c r="AT248" s="476"/>
      <c r="AU248" s="476"/>
      <c r="AV248" s="476"/>
      <c r="AW248" s="476"/>
      <c r="AX248" s="476"/>
      <c r="AY248" s="476"/>
      <c r="AZ248" s="476"/>
      <c r="BA248" s="476"/>
      <c r="BB248" s="476"/>
      <c r="BC248" s="476"/>
      <c r="BD248" s="476"/>
      <c r="BE248" s="476"/>
      <c r="BF248" s="476"/>
      <c r="BG248" s="476"/>
    </row>
    <row r="249" spans="3:76">
      <c r="C249" s="39"/>
      <c r="D249" s="39"/>
      <c r="E249" s="39"/>
      <c r="F249" s="39"/>
      <c r="G249" s="39"/>
      <c r="H249" s="39"/>
      <c r="I249" s="39"/>
      <c r="J249" s="39"/>
      <c r="K249" s="39"/>
      <c r="L249" s="39"/>
      <c r="M249" s="39"/>
      <c r="N249" s="39"/>
      <c r="O249" s="39"/>
      <c r="P249" s="39"/>
      <c r="Q249" s="39"/>
      <c r="R249" s="476"/>
      <c r="S249" s="476"/>
      <c r="T249" s="476"/>
      <c r="U249" s="476"/>
      <c r="V249" s="476"/>
      <c r="W249" s="476"/>
      <c r="X249" s="476"/>
      <c r="Y249" s="476"/>
      <c r="Z249" s="476"/>
      <c r="AA249" s="476"/>
      <c r="AB249" s="476"/>
      <c r="AC249" s="476"/>
      <c r="AD249" s="476"/>
      <c r="AE249" s="476"/>
      <c r="AF249" s="476"/>
      <c r="AG249" s="476"/>
      <c r="AH249" s="476"/>
      <c r="AI249" s="476"/>
      <c r="AJ249" s="476"/>
      <c r="AK249" s="476"/>
      <c r="AL249" s="476"/>
      <c r="AM249" s="476"/>
      <c r="AN249" s="476"/>
      <c r="AO249" s="476"/>
      <c r="AP249" s="476"/>
      <c r="AQ249" s="476"/>
      <c r="AR249" s="476"/>
      <c r="AS249" s="476"/>
      <c r="AT249" s="476"/>
      <c r="AU249" s="476"/>
      <c r="AV249" s="476"/>
      <c r="AW249" s="476"/>
      <c r="AX249" s="476"/>
      <c r="AY249" s="476"/>
      <c r="AZ249" s="476"/>
      <c r="BA249" s="476"/>
      <c r="BB249" s="476"/>
      <c r="BC249" s="476"/>
      <c r="BD249" s="476"/>
      <c r="BE249" s="476"/>
      <c r="BF249" s="476"/>
      <c r="BG249" s="476"/>
    </row>
    <row r="250" spans="3:76">
      <c r="C250" s="391" t="s">
        <v>698</v>
      </c>
      <c r="D250" s="391"/>
      <c r="E250" s="391"/>
      <c r="F250" s="391"/>
      <c r="G250" s="391"/>
      <c r="H250" s="391"/>
      <c r="I250" s="391"/>
      <c r="J250" s="391"/>
      <c r="K250" s="391"/>
      <c r="L250" s="391"/>
      <c r="M250" s="391"/>
      <c r="N250" s="391"/>
      <c r="O250" s="391"/>
      <c r="P250" s="391"/>
      <c r="Q250" s="391"/>
      <c r="R250" s="391"/>
      <c r="S250" s="391"/>
      <c r="T250" s="391"/>
      <c r="U250" s="391"/>
      <c r="V250" s="391"/>
      <c r="W250" s="391"/>
      <c r="X250" s="391"/>
      <c r="Y250" s="391"/>
      <c r="Z250" s="391"/>
      <c r="AA250" s="391"/>
      <c r="AB250" s="391"/>
      <c r="AC250" s="391"/>
      <c r="AD250" s="391"/>
      <c r="AE250" s="391"/>
      <c r="AF250" s="391"/>
      <c r="AG250" s="391"/>
      <c r="AH250" s="391"/>
      <c r="AI250" s="391"/>
      <c r="AJ250" s="391"/>
      <c r="AK250" s="391"/>
      <c r="AL250" s="391"/>
      <c r="AM250" s="391"/>
      <c r="AN250" s="391"/>
      <c r="AO250" s="391"/>
      <c r="AP250" s="391"/>
      <c r="AQ250" s="391"/>
      <c r="AR250" s="391"/>
      <c r="AS250" s="391"/>
      <c r="AT250" s="391"/>
      <c r="AU250" s="391"/>
      <c r="AV250" s="391"/>
      <c r="AW250" s="391"/>
      <c r="AX250" s="391"/>
      <c r="AY250" s="391"/>
      <c r="AZ250" s="391"/>
      <c r="BA250" s="391"/>
      <c r="BB250" s="391"/>
      <c r="BC250" s="391"/>
      <c r="BD250" s="391"/>
      <c r="BE250" s="391"/>
      <c r="BF250" s="391"/>
      <c r="BG250" s="391"/>
      <c r="BI250" s="391"/>
      <c r="BM250" s="1073"/>
      <c r="BN250" s="1073"/>
      <c r="BO250" s="1073"/>
      <c r="BP250" s="1073"/>
      <c r="BQ250" s="1073"/>
      <c r="BR250" s="1073"/>
      <c r="BS250" s="1073"/>
      <c r="BT250" s="1073"/>
      <c r="BU250" s="1073"/>
      <c r="BV250" s="1073"/>
      <c r="BX250" s="1073"/>
    </row>
    <row r="251" spans="3:76">
      <c r="R251" s="444"/>
      <c r="S251" s="444"/>
      <c r="T251" s="444"/>
      <c r="U251" s="444"/>
      <c r="V251" s="444"/>
      <c r="W251" s="444"/>
      <c r="X251" s="444"/>
      <c r="Y251" s="444"/>
      <c r="Z251" s="444"/>
      <c r="AA251" s="444"/>
      <c r="AB251" s="444"/>
      <c r="AC251" s="444"/>
      <c r="AD251" s="444"/>
      <c r="AE251" s="444"/>
      <c r="AF251" s="444"/>
      <c r="AG251" s="444"/>
      <c r="AH251" s="444"/>
      <c r="AI251" s="444"/>
      <c r="AJ251" s="444"/>
      <c r="AK251" s="444"/>
      <c r="AL251" s="444"/>
      <c r="AM251" s="444"/>
      <c r="AN251" s="444"/>
      <c r="AO251" s="444"/>
      <c r="AP251" s="444"/>
      <c r="AQ251" s="444"/>
      <c r="AR251" s="444"/>
      <c r="AS251" s="444"/>
      <c r="AT251" s="444"/>
      <c r="AU251" s="444"/>
      <c r="AV251" s="444"/>
      <c r="AW251" s="444"/>
      <c r="AX251" s="444"/>
      <c r="AY251" s="444"/>
      <c r="AZ251" s="444"/>
      <c r="BA251" s="444"/>
      <c r="BB251" s="444"/>
      <c r="BC251" s="444"/>
      <c r="BD251" s="444"/>
      <c r="BE251" s="444"/>
      <c r="BF251" s="444"/>
      <c r="BG251" s="444"/>
    </row>
    <row r="252" spans="3:76">
      <c r="C252" s="253" t="s">
        <v>783</v>
      </c>
      <c r="D252" s="253"/>
      <c r="E252" s="253"/>
      <c r="F252" s="253"/>
      <c r="G252" s="253"/>
      <c r="H252" s="253"/>
      <c r="I252" s="253"/>
      <c r="J252" s="253"/>
      <c r="K252" s="253"/>
      <c r="L252" s="253"/>
      <c r="M252" s="253"/>
      <c r="N252" s="253"/>
      <c r="O252" s="253"/>
      <c r="P252" s="253"/>
      <c r="Q252" s="253"/>
      <c r="R252" s="254">
        <f>R241</f>
        <v>-126000</v>
      </c>
      <c r="S252" s="254">
        <f t="shared" ref="S252:BG252" si="286">S241</f>
        <v>-3090257.241372929</v>
      </c>
      <c r="T252" s="254">
        <f t="shared" si="286"/>
        <v>0</v>
      </c>
      <c r="U252" s="254">
        <f t="shared" si="286"/>
        <v>10302.905500140972</v>
      </c>
      <c r="V252" s="254">
        <f t="shared" si="286"/>
        <v>28500.922636107687</v>
      </c>
      <c r="W252" s="254">
        <f t="shared" si="286"/>
        <v>28732.99374999998</v>
      </c>
      <c r="X252" s="254">
        <f t="shared" si="286"/>
        <v>28604.598875868989</v>
      </c>
      <c r="Y252" s="254">
        <f t="shared" si="286"/>
        <v>28716.691420764699</v>
      </c>
      <c r="Z252" s="254">
        <f t="shared" si="286"/>
        <v>28947.134505287315</v>
      </c>
      <c r="AA252" s="254">
        <f t="shared" si="286"/>
        <v>29176.221796874961</v>
      </c>
      <c r="AB252" s="254">
        <f t="shared" si="286"/>
        <v>29052.128898646402</v>
      </c>
      <c r="AC252" s="254">
        <f t="shared" si="286"/>
        <v>29163.656404910515</v>
      </c>
      <c r="AD252" s="254">
        <f t="shared" si="286"/>
        <v>29391.097956675381</v>
      </c>
      <c r="AE252" s="254">
        <f t="shared" si="286"/>
        <v>1343824.6533783348</v>
      </c>
      <c r="AF252" s="254">
        <f t="shared" si="286"/>
        <v>0</v>
      </c>
      <c r="AG252" s="254">
        <f t="shared" si="286"/>
        <v>0</v>
      </c>
      <c r="AH252" s="254">
        <f t="shared" si="286"/>
        <v>0</v>
      </c>
      <c r="AI252" s="254">
        <f t="shared" si="286"/>
        <v>0</v>
      </c>
      <c r="AJ252" s="254">
        <f t="shared" si="286"/>
        <v>0</v>
      </c>
      <c r="AK252" s="254">
        <f t="shared" si="286"/>
        <v>0</v>
      </c>
      <c r="AL252" s="254">
        <f t="shared" si="286"/>
        <v>0</v>
      </c>
      <c r="AM252" s="254">
        <f t="shared" si="286"/>
        <v>0</v>
      </c>
      <c r="AN252" s="254">
        <f t="shared" si="286"/>
        <v>0</v>
      </c>
      <c r="AO252" s="254">
        <f t="shared" si="286"/>
        <v>0</v>
      </c>
      <c r="AP252" s="254">
        <f t="shared" si="286"/>
        <v>0</v>
      </c>
      <c r="AQ252" s="254">
        <f t="shared" si="286"/>
        <v>0</v>
      </c>
      <c r="AR252" s="254">
        <f t="shared" si="286"/>
        <v>0</v>
      </c>
      <c r="AS252" s="254">
        <f t="shared" si="286"/>
        <v>0</v>
      </c>
      <c r="AT252" s="254">
        <f t="shared" si="286"/>
        <v>0</v>
      </c>
      <c r="AU252" s="254">
        <f t="shared" si="286"/>
        <v>0</v>
      </c>
      <c r="AV252" s="254">
        <f t="shared" si="286"/>
        <v>0</v>
      </c>
      <c r="AW252" s="254">
        <f t="shared" si="286"/>
        <v>0</v>
      </c>
      <c r="AX252" s="254">
        <f t="shared" si="286"/>
        <v>0</v>
      </c>
      <c r="AY252" s="254">
        <f t="shared" si="286"/>
        <v>0</v>
      </c>
      <c r="AZ252" s="254">
        <f t="shared" si="286"/>
        <v>0</v>
      </c>
      <c r="BA252" s="254">
        <f t="shared" si="286"/>
        <v>0</v>
      </c>
      <c r="BB252" s="254">
        <f t="shared" si="286"/>
        <v>0</v>
      </c>
      <c r="BC252" s="254">
        <f t="shared" si="286"/>
        <v>0</v>
      </c>
      <c r="BD252" s="254">
        <f t="shared" si="286"/>
        <v>0</v>
      </c>
      <c r="BE252" s="254">
        <f t="shared" si="286"/>
        <v>0</v>
      </c>
      <c r="BF252" s="254">
        <f t="shared" si="286"/>
        <v>0</v>
      </c>
      <c r="BG252" s="254">
        <f t="shared" si="286"/>
        <v>0</v>
      </c>
      <c r="BI252" s="254">
        <f>SUM(T252:BG252)</f>
        <v>1614413.0051236118</v>
      </c>
      <c r="BK252" s="257" t="b">
        <f>ROUND(BI252,GA!$G$112)=ROUND(BX252,GA!$G$112)</f>
        <v>1</v>
      </c>
      <c r="BM252" s="254">
        <f t="shared" ref="BM252:BV252" si="287">SUMIF($T$8:$BG$8,BM$6,$T252:$BG252)</f>
        <v>67536.821886248639</v>
      </c>
      <c r="BN252" s="254">
        <f t="shared" si="287"/>
        <v>115444.64659879597</v>
      </c>
      <c r="BO252" s="254">
        <f t="shared" si="287"/>
        <v>1431431.5366385672</v>
      </c>
      <c r="BP252" s="254">
        <f t="shared" si="287"/>
        <v>0</v>
      </c>
      <c r="BQ252" s="254">
        <f t="shared" si="287"/>
        <v>0</v>
      </c>
      <c r="BR252" s="254">
        <f t="shared" si="287"/>
        <v>0</v>
      </c>
      <c r="BS252" s="254">
        <f t="shared" si="287"/>
        <v>0</v>
      </c>
      <c r="BT252" s="254">
        <f t="shared" si="287"/>
        <v>0</v>
      </c>
      <c r="BU252" s="254">
        <f t="shared" si="287"/>
        <v>0</v>
      </c>
      <c r="BV252" s="254">
        <f t="shared" si="287"/>
        <v>0</v>
      </c>
      <c r="BX252" s="254">
        <f>SUM(BM252:BV252)</f>
        <v>1614413.0051236118</v>
      </c>
    </row>
    <row r="253" spans="3:76">
      <c r="R253" s="444"/>
      <c r="S253" s="444"/>
      <c r="T253" s="444"/>
      <c r="U253" s="444"/>
      <c r="V253" s="444"/>
      <c r="W253" s="444"/>
      <c r="X253" s="444"/>
      <c r="Y253" s="444"/>
      <c r="Z253" s="444"/>
      <c r="AA253" s="444"/>
      <c r="AB253" s="444"/>
      <c r="AC253" s="444"/>
      <c r="AD253" s="444"/>
      <c r="AE253" s="444"/>
      <c r="AF253" s="444"/>
      <c r="AG253" s="444"/>
      <c r="AH253" s="444"/>
      <c r="AI253" s="444"/>
      <c r="AJ253" s="444"/>
      <c r="AK253" s="444"/>
      <c r="AL253" s="444"/>
      <c r="AM253" s="444"/>
      <c r="AN253" s="444"/>
      <c r="AO253" s="444"/>
      <c r="AP253" s="444"/>
      <c r="AQ253" s="444"/>
      <c r="AR253" s="444"/>
      <c r="AS253" s="444"/>
      <c r="AT253" s="444"/>
      <c r="AU253" s="444"/>
      <c r="AV253" s="444"/>
      <c r="AW253" s="444"/>
      <c r="AX253" s="444"/>
      <c r="AY253" s="444"/>
      <c r="AZ253" s="444"/>
      <c r="BA253" s="444"/>
      <c r="BB253" s="444"/>
      <c r="BC253" s="444"/>
      <c r="BD253" s="444"/>
      <c r="BE253" s="444"/>
      <c r="BF253" s="444"/>
      <c r="BG253" s="444"/>
    </row>
    <row r="254" spans="3:76">
      <c r="R254" s="444"/>
      <c r="S254" s="444"/>
      <c r="T254" s="444"/>
      <c r="U254" s="444"/>
      <c r="V254" s="444"/>
      <c r="W254" s="444"/>
      <c r="X254" s="444"/>
      <c r="Y254" s="444"/>
      <c r="Z254" s="444"/>
      <c r="AA254" s="444"/>
      <c r="AB254" s="444"/>
      <c r="AC254" s="444"/>
      <c r="AD254" s="444"/>
      <c r="AE254" s="444"/>
      <c r="AF254" s="444"/>
      <c r="AG254" s="444"/>
      <c r="AH254" s="444"/>
      <c r="AI254" s="444"/>
      <c r="AJ254" s="444"/>
      <c r="AK254" s="444"/>
      <c r="AL254" s="444"/>
      <c r="AM254" s="444"/>
      <c r="AN254" s="444"/>
      <c r="AO254" s="444"/>
      <c r="AP254" s="444"/>
      <c r="AQ254" s="444"/>
      <c r="AR254" s="444"/>
      <c r="AS254" s="444"/>
      <c r="AT254" s="444"/>
      <c r="AU254" s="444"/>
      <c r="AV254" s="444"/>
      <c r="AW254" s="444"/>
      <c r="AX254" s="444"/>
      <c r="AY254" s="444"/>
      <c r="AZ254" s="444"/>
      <c r="BA254" s="444"/>
      <c r="BB254" s="444"/>
      <c r="BC254" s="444"/>
      <c r="BD254" s="444"/>
      <c r="BE254" s="444"/>
      <c r="BF254" s="444"/>
      <c r="BG254" s="444"/>
    </row>
    <row r="255" spans="3:76">
      <c r="C255" s="253" t="s">
        <v>692</v>
      </c>
      <c r="D255" s="253"/>
      <c r="E255" s="253"/>
      <c r="F255" s="253"/>
      <c r="G255" s="253"/>
      <c r="H255" s="253"/>
      <c r="I255" s="253"/>
      <c r="J255" s="253"/>
      <c r="K255" s="253"/>
      <c r="L255" s="253"/>
      <c r="M255" s="253"/>
      <c r="N255" s="253"/>
      <c r="O255" s="253"/>
      <c r="P255" s="253"/>
      <c r="Q255" s="254"/>
      <c r="R255" s="439"/>
      <c r="S255" s="439"/>
      <c r="T255" s="254">
        <f>S262</f>
        <v>0</v>
      </c>
      <c r="U255" s="254">
        <f t="shared" ref="U255:BG255" si="288">T262</f>
        <v>0</v>
      </c>
      <c r="V255" s="254">
        <f t="shared" si="288"/>
        <v>0</v>
      </c>
      <c r="W255" s="254">
        <f t="shared" si="288"/>
        <v>0</v>
      </c>
      <c r="X255" s="254">
        <f t="shared" si="288"/>
        <v>0</v>
      </c>
      <c r="Y255" s="254">
        <f t="shared" si="288"/>
        <v>0</v>
      </c>
      <c r="Z255" s="254">
        <f t="shared" si="288"/>
        <v>0</v>
      </c>
      <c r="AA255" s="254">
        <f t="shared" si="288"/>
        <v>0</v>
      </c>
      <c r="AB255" s="254">
        <f t="shared" si="288"/>
        <v>0</v>
      </c>
      <c r="AC255" s="254">
        <f t="shared" si="288"/>
        <v>0</v>
      </c>
      <c r="AD255" s="254">
        <f t="shared" si="288"/>
        <v>0</v>
      </c>
      <c r="AE255" s="254">
        <f t="shared" si="288"/>
        <v>0</v>
      </c>
      <c r="AF255" s="254">
        <f t="shared" si="288"/>
        <v>0</v>
      </c>
      <c r="AG255" s="254">
        <f t="shared" si="288"/>
        <v>0</v>
      </c>
      <c r="AH255" s="254">
        <f t="shared" si="288"/>
        <v>0</v>
      </c>
      <c r="AI255" s="254">
        <f t="shared" si="288"/>
        <v>0</v>
      </c>
      <c r="AJ255" s="254">
        <f t="shared" si="288"/>
        <v>0</v>
      </c>
      <c r="AK255" s="254">
        <f t="shared" si="288"/>
        <v>0</v>
      </c>
      <c r="AL255" s="254">
        <f t="shared" si="288"/>
        <v>0</v>
      </c>
      <c r="AM255" s="254">
        <f t="shared" si="288"/>
        <v>0</v>
      </c>
      <c r="AN255" s="254">
        <f t="shared" si="288"/>
        <v>0</v>
      </c>
      <c r="AO255" s="254">
        <f t="shared" si="288"/>
        <v>0</v>
      </c>
      <c r="AP255" s="254">
        <f t="shared" si="288"/>
        <v>0</v>
      </c>
      <c r="AQ255" s="254">
        <f t="shared" si="288"/>
        <v>0</v>
      </c>
      <c r="AR255" s="254">
        <f t="shared" si="288"/>
        <v>0</v>
      </c>
      <c r="AS255" s="254">
        <f t="shared" si="288"/>
        <v>0</v>
      </c>
      <c r="AT255" s="254">
        <f t="shared" si="288"/>
        <v>0</v>
      </c>
      <c r="AU255" s="254">
        <f t="shared" si="288"/>
        <v>0</v>
      </c>
      <c r="AV255" s="254">
        <f t="shared" si="288"/>
        <v>0</v>
      </c>
      <c r="AW255" s="254">
        <f t="shared" si="288"/>
        <v>0</v>
      </c>
      <c r="AX255" s="254">
        <f t="shared" si="288"/>
        <v>0</v>
      </c>
      <c r="AY255" s="254">
        <f t="shared" si="288"/>
        <v>0</v>
      </c>
      <c r="AZ255" s="254">
        <f t="shared" si="288"/>
        <v>0</v>
      </c>
      <c r="BA255" s="254">
        <f t="shared" si="288"/>
        <v>0</v>
      </c>
      <c r="BB255" s="254">
        <f t="shared" si="288"/>
        <v>0</v>
      </c>
      <c r="BC255" s="254">
        <f t="shared" si="288"/>
        <v>0</v>
      </c>
      <c r="BD255" s="254">
        <f t="shared" si="288"/>
        <v>0</v>
      </c>
      <c r="BE255" s="254">
        <f t="shared" si="288"/>
        <v>0</v>
      </c>
      <c r="BF255" s="254">
        <f t="shared" si="288"/>
        <v>0</v>
      </c>
      <c r="BG255" s="254">
        <f t="shared" si="288"/>
        <v>0</v>
      </c>
      <c r="BI255" s="254" t="s">
        <v>1149</v>
      </c>
      <c r="BM255" s="254">
        <f t="shared" ref="BM255:BV255" si="289">INDEX($T255:$BG255,MATCH(BM$5-3,$T$5:$BG$5,0))</f>
        <v>0</v>
      </c>
      <c r="BN255" s="254">
        <f t="shared" si="289"/>
        <v>0</v>
      </c>
      <c r="BO255" s="254">
        <f t="shared" si="289"/>
        <v>0</v>
      </c>
      <c r="BP255" s="254">
        <f t="shared" si="289"/>
        <v>0</v>
      </c>
      <c r="BQ255" s="254">
        <f t="shared" si="289"/>
        <v>0</v>
      </c>
      <c r="BR255" s="254">
        <f t="shared" si="289"/>
        <v>0</v>
      </c>
      <c r="BS255" s="254">
        <f t="shared" si="289"/>
        <v>0</v>
      </c>
      <c r="BT255" s="254">
        <f t="shared" si="289"/>
        <v>0</v>
      </c>
      <c r="BU255" s="254">
        <f t="shared" si="289"/>
        <v>0</v>
      </c>
      <c r="BV255" s="254">
        <f t="shared" si="289"/>
        <v>0</v>
      </c>
      <c r="BX255" s="254" t="s">
        <v>153</v>
      </c>
    </row>
    <row r="256" spans="3:76">
      <c r="C256" t="s">
        <v>769</v>
      </c>
      <c r="Q256" s="310"/>
      <c r="R256" s="402"/>
      <c r="S256" s="403">
        <f>MIN(GA!$G$649,-$S$241)*(S$5=GA!$G$650)*GA!$G$648</f>
        <v>0</v>
      </c>
      <c r="T256" s="403">
        <f>MIN(GA!$G$649,-$S$241)*(T$5=GA!$G$650)*GA!$G$648</f>
        <v>0</v>
      </c>
      <c r="U256" s="403">
        <f>MIN(GA!$G$649,-$S$241)*(U$5=GA!$G$650)*GA!$G$648</f>
        <v>0</v>
      </c>
      <c r="V256" s="403">
        <f>MIN(GA!$G$649,-$S$241)*(V$5=GA!$G$650)*GA!$G$648</f>
        <v>0</v>
      </c>
      <c r="W256" s="403">
        <f>MIN(GA!$G$649,-$S$241)*(W$5=GA!$G$650)*GA!$G$648</f>
        <v>0</v>
      </c>
      <c r="X256" s="403">
        <f>MIN(GA!$G$649,-$S$241)*(X$5=GA!$G$650)*GA!$G$648</f>
        <v>0</v>
      </c>
      <c r="Y256" s="403">
        <f>MIN(GA!$G$649,-$S$241)*(Y$5=GA!$G$650)*GA!$G$648</f>
        <v>0</v>
      </c>
      <c r="Z256" s="403">
        <f>MIN(GA!$G$649,-$S$241)*(Z$5=GA!$G$650)*GA!$G$648</f>
        <v>0</v>
      </c>
      <c r="AA256" s="403">
        <f>MIN(GA!$G$649,-$S$241)*(AA$5=GA!$G$650)*GA!$G$648</f>
        <v>0</v>
      </c>
      <c r="AB256" s="403">
        <f>MIN(GA!$G$649,-$S$241)*(AB$5=GA!$G$650)*GA!$G$648</f>
        <v>0</v>
      </c>
      <c r="AC256" s="403">
        <f>MIN(GA!$G$649,-$S$241)*(AC$5=GA!$G$650)*GA!$G$648</f>
        <v>0</v>
      </c>
      <c r="AD256" s="403">
        <f>MIN(GA!$G$649,-$S$241)*(AD$5=GA!$G$650)*GA!$G$648</f>
        <v>0</v>
      </c>
      <c r="AE256" s="403">
        <f>MIN(GA!$G$649,-$S$241)*(AE$5=GA!$G$650)*GA!$G$648</f>
        <v>0</v>
      </c>
      <c r="AF256" s="403">
        <f>MIN(GA!$G$649,-$S$241)*(AF$5=GA!$G$650)*GA!$G$648</f>
        <v>0</v>
      </c>
      <c r="AG256" s="403">
        <f>MIN(GA!$G$649,-$S$241)*(AG$5=GA!$G$650)*GA!$G$648</f>
        <v>0</v>
      </c>
      <c r="AH256" s="403">
        <f>MIN(GA!$G$649,-$S$241)*(AH$5=GA!$G$650)*GA!$G$648</f>
        <v>0</v>
      </c>
      <c r="AI256" s="403">
        <f>MIN(GA!$G$649,-$S$241)*(AI$5=GA!$G$650)*GA!$G$648</f>
        <v>0</v>
      </c>
      <c r="AJ256" s="403">
        <f>MIN(GA!$G$649,-$S$241)*(AJ$5=GA!$G$650)*GA!$G$648</f>
        <v>0</v>
      </c>
      <c r="AK256" s="403">
        <f>MIN(GA!$G$649,-$S$241)*(AK$5=GA!$G$650)*GA!$G$648</f>
        <v>0</v>
      </c>
      <c r="AL256" s="403">
        <f>MIN(GA!$G$649,-$S$241)*(AL$5=GA!$G$650)*GA!$G$648</f>
        <v>0</v>
      </c>
      <c r="AM256" s="403">
        <f>MIN(GA!$G$649,-$S$241)*(AM$5=GA!$G$650)*GA!$G$648</f>
        <v>0</v>
      </c>
      <c r="AN256" s="403">
        <f>MIN(GA!$G$649,-$S$241)*(AN$5=GA!$G$650)*GA!$G$648</f>
        <v>0</v>
      </c>
      <c r="AO256" s="403">
        <f>MIN(GA!$G$649,-$S$241)*(AO$5=GA!$G$650)*GA!$G$648</f>
        <v>0</v>
      </c>
      <c r="AP256" s="403">
        <f>MIN(GA!$G$649,-$S$241)*(AP$5=GA!$G$650)*GA!$G$648</f>
        <v>0</v>
      </c>
      <c r="AQ256" s="403">
        <f>MIN(GA!$G$649,-$S$241)*(AQ$5=GA!$G$650)*GA!$G$648</f>
        <v>0</v>
      </c>
      <c r="AR256" s="403">
        <f>MIN(GA!$G$649,-$S$241)*(AR$5=GA!$G$650)*GA!$G$648</f>
        <v>0</v>
      </c>
      <c r="AS256" s="403">
        <f>MIN(GA!$G$649,-$S$241)*(AS$5=GA!$G$650)*GA!$G$648</f>
        <v>0</v>
      </c>
      <c r="AT256" s="403">
        <f>MIN(GA!$G$649,-$S$241)*(AT$5=GA!$G$650)*GA!$G$648</f>
        <v>0</v>
      </c>
      <c r="AU256" s="403">
        <f>MIN(GA!$G$649,-$S$241)*(AU$5=GA!$G$650)*GA!$G$648</f>
        <v>0</v>
      </c>
      <c r="AV256" s="403">
        <f>MIN(GA!$G$649,-$S$241)*(AV$5=GA!$G$650)*GA!$G$648</f>
        <v>0</v>
      </c>
      <c r="AW256" s="403">
        <f>MIN(GA!$G$649,-$S$241)*(AW$5=GA!$G$650)*GA!$G$648</f>
        <v>0</v>
      </c>
      <c r="AX256" s="403">
        <f>MIN(GA!$G$649,-$S$241)*(AX$5=GA!$G$650)*GA!$G$648</f>
        <v>0</v>
      </c>
      <c r="AY256" s="403">
        <f>MIN(GA!$G$649,-$S$241)*(AY$5=GA!$G$650)*GA!$G$648</f>
        <v>0</v>
      </c>
      <c r="AZ256" s="403">
        <f>MIN(GA!$G$649,-$S$241)*(AZ$5=GA!$G$650)*GA!$G$648</f>
        <v>0</v>
      </c>
      <c r="BA256" s="403">
        <f>MIN(GA!$G$649,-$S$241)*(BA$5=GA!$G$650)*GA!$G$648</f>
        <v>0</v>
      </c>
      <c r="BB256" s="403">
        <f>MIN(GA!$G$649,-$S$241)*(BB$5=GA!$G$650)*GA!$G$648</f>
        <v>0</v>
      </c>
      <c r="BC256" s="403">
        <f>MIN(GA!$G$649,-$S$241)*(BC$5=GA!$G$650)*GA!$G$648</f>
        <v>0</v>
      </c>
      <c r="BD256" s="403">
        <f>MIN(GA!$G$649,-$S$241)*(BD$5=GA!$G$650)*GA!$G$648</f>
        <v>0</v>
      </c>
      <c r="BE256" s="403">
        <f>MIN(GA!$G$649,-$S$241)*(BE$5=GA!$G$650)*GA!$G$648</f>
        <v>0</v>
      </c>
      <c r="BF256" s="403">
        <f>MIN(GA!$G$649,-$S$241)*(BF$5=GA!$G$650)*GA!$G$648</f>
        <v>0</v>
      </c>
      <c r="BG256" s="403">
        <f>MIN(GA!$G$649,-$S$241)*(BG$5=GA!$G$650)*GA!$G$648</f>
        <v>0</v>
      </c>
      <c r="BI256" s="476">
        <f>SUM(S256:BG256)</f>
        <v>0</v>
      </c>
      <c r="BM256" s="310">
        <f t="shared" ref="BM256:BV261" si="290">SUMIF($T$8:$BG$8,BM$6,$T256:$BG256)</f>
        <v>0</v>
      </c>
      <c r="BN256" s="310">
        <f t="shared" si="290"/>
        <v>0</v>
      </c>
      <c r="BO256" s="310">
        <f t="shared" si="290"/>
        <v>0</v>
      </c>
      <c r="BP256" s="310">
        <f t="shared" si="290"/>
        <v>0</v>
      </c>
      <c r="BQ256" s="310">
        <f t="shared" si="290"/>
        <v>0</v>
      </c>
      <c r="BR256" s="310">
        <f t="shared" si="290"/>
        <v>0</v>
      </c>
      <c r="BS256" s="310">
        <f t="shared" si="290"/>
        <v>0</v>
      </c>
      <c r="BT256" s="310">
        <f t="shared" si="290"/>
        <v>0</v>
      </c>
      <c r="BU256" s="310">
        <f t="shared" si="290"/>
        <v>0</v>
      </c>
      <c r="BV256" s="310">
        <f t="shared" si="290"/>
        <v>0</v>
      </c>
      <c r="BX256" s="476">
        <f t="shared" ref="BX256:BX261" si="291">SUM(BM256:BV256)</f>
        <v>0</v>
      </c>
    </row>
    <row r="257" spans="3:76">
      <c r="C257" t="s">
        <v>703</v>
      </c>
      <c r="O257" s="410">
        <f>GA!$G$664</f>
        <v>0</v>
      </c>
      <c r="Q257" s="310"/>
      <c r="R257" s="402"/>
      <c r="S257" s="402"/>
      <c r="T257" s="310">
        <f>-MIN(SUM($S$256:$BG$256)*$O$257/4,T255)</f>
        <v>0</v>
      </c>
      <c r="U257" s="310">
        <f t="shared" ref="U257:BG257" si="292">-MIN(SUM($S$256:$BG$256)*$O$257/4,U255)</f>
        <v>0</v>
      </c>
      <c r="V257" s="310">
        <f t="shared" si="292"/>
        <v>0</v>
      </c>
      <c r="W257" s="310">
        <f t="shared" si="292"/>
        <v>0</v>
      </c>
      <c r="X257" s="310">
        <f t="shared" si="292"/>
        <v>0</v>
      </c>
      <c r="Y257" s="310">
        <f t="shared" si="292"/>
        <v>0</v>
      </c>
      <c r="Z257" s="310">
        <f t="shared" si="292"/>
        <v>0</v>
      </c>
      <c r="AA257" s="310">
        <f t="shared" si="292"/>
        <v>0</v>
      </c>
      <c r="AB257" s="310">
        <f t="shared" si="292"/>
        <v>0</v>
      </c>
      <c r="AC257" s="310">
        <f t="shared" si="292"/>
        <v>0</v>
      </c>
      <c r="AD257" s="310">
        <f t="shared" si="292"/>
        <v>0</v>
      </c>
      <c r="AE257" s="310">
        <f t="shared" si="292"/>
        <v>0</v>
      </c>
      <c r="AF257" s="310">
        <f t="shared" si="292"/>
        <v>0</v>
      </c>
      <c r="AG257" s="310">
        <f t="shared" si="292"/>
        <v>0</v>
      </c>
      <c r="AH257" s="310">
        <f t="shared" si="292"/>
        <v>0</v>
      </c>
      <c r="AI257" s="310">
        <f t="shared" si="292"/>
        <v>0</v>
      </c>
      <c r="AJ257" s="310">
        <f t="shared" si="292"/>
        <v>0</v>
      </c>
      <c r="AK257" s="310">
        <f t="shared" si="292"/>
        <v>0</v>
      </c>
      <c r="AL257" s="310">
        <f t="shared" si="292"/>
        <v>0</v>
      </c>
      <c r="AM257" s="310">
        <f t="shared" si="292"/>
        <v>0</v>
      </c>
      <c r="AN257" s="310">
        <f t="shared" si="292"/>
        <v>0</v>
      </c>
      <c r="AO257" s="310">
        <f t="shared" si="292"/>
        <v>0</v>
      </c>
      <c r="AP257" s="310">
        <f t="shared" si="292"/>
        <v>0</v>
      </c>
      <c r="AQ257" s="310">
        <f t="shared" si="292"/>
        <v>0</v>
      </c>
      <c r="AR257" s="310">
        <f t="shared" si="292"/>
        <v>0</v>
      </c>
      <c r="AS257" s="310">
        <f t="shared" si="292"/>
        <v>0</v>
      </c>
      <c r="AT257" s="310">
        <f t="shared" si="292"/>
        <v>0</v>
      </c>
      <c r="AU257" s="310">
        <f t="shared" si="292"/>
        <v>0</v>
      </c>
      <c r="AV257" s="310">
        <f t="shared" si="292"/>
        <v>0</v>
      </c>
      <c r="AW257" s="310">
        <f t="shared" si="292"/>
        <v>0</v>
      </c>
      <c r="AX257" s="310">
        <f t="shared" si="292"/>
        <v>0</v>
      </c>
      <c r="AY257" s="310">
        <f t="shared" si="292"/>
        <v>0</v>
      </c>
      <c r="AZ257" s="310">
        <f t="shared" si="292"/>
        <v>0</v>
      </c>
      <c r="BA257" s="310">
        <f t="shared" si="292"/>
        <v>0</v>
      </c>
      <c r="BB257" s="310">
        <f t="shared" si="292"/>
        <v>0</v>
      </c>
      <c r="BC257" s="310">
        <f t="shared" si="292"/>
        <v>0</v>
      </c>
      <c r="BD257" s="310">
        <f t="shared" si="292"/>
        <v>0</v>
      </c>
      <c r="BE257" s="310">
        <f t="shared" si="292"/>
        <v>0</v>
      </c>
      <c r="BF257" s="310">
        <f t="shared" si="292"/>
        <v>0</v>
      </c>
      <c r="BG257" s="310">
        <f t="shared" si="292"/>
        <v>0</v>
      </c>
      <c r="BI257" s="476">
        <f>SUM(T257:BG257)</f>
        <v>0</v>
      </c>
      <c r="BM257" s="310">
        <f t="shared" si="290"/>
        <v>0</v>
      </c>
      <c r="BN257" s="310">
        <f t="shared" si="290"/>
        <v>0</v>
      </c>
      <c r="BO257" s="310">
        <f t="shared" si="290"/>
        <v>0</v>
      </c>
      <c r="BP257" s="310">
        <f t="shared" si="290"/>
        <v>0</v>
      </c>
      <c r="BQ257" s="310">
        <f t="shared" si="290"/>
        <v>0</v>
      </c>
      <c r="BR257" s="310">
        <f t="shared" si="290"/>
        <v>0</v>
      </c>
      <c r="BS257" s="310">
        <f t="shared" si="290"/>
        <v>0</v>
      </c>
      <c r="BT257" s="310">
        <f t="shared" si="290"/>
        <v>0</v>
      </c>
      <c r="BU257" s="310">
        <f t="shared" si="290"/>
        <v>0</v>
      </c>
      <c r="BV257" s="310">
        <f t="shared" si="290"/>
        <v>0</v>
      </c>
      <c r="BX257" s="476">
        <f t="shared" si="291"/>
        <v>0</v>
      </c>
    </row>
    <row r="258" spans="3:76">
      <c r="C258" t="s">
        <v>704</v>
      </c>
      <c r="Q258" s="310"/>
      <c r="R258" s="402"/>
      <c r="S258" s="402"/>
      <c r="T258" s="403">
        <f>-MIN(SUM(T$255:T$257),MAX(T$252,0),T$150,TDCF!T$200)</f>
        <v>0</v>
      </c>
      <c r="U258" s="403">
        <f>-MIN(SUM(U$255:U$257),MAX(U$252,0),U$150,TDCF!U$200)</f>
        <v>0</v>
      </c>
      <c r="V258" s="403">
        <f>-MIN(SUM(V$255:V$257),MAX(V$252,0),V$150,TDCF!V$200)</f>
        <v>0</v>
      </c>
      <c r="W258" s="403">
        <f>-MIN(SUM(W$255:W$257),MAX(W$252,0),W$150,TDCF!W$200)</f>
        <v>0</v>
      </c>
      <c r="X258" s="403">
        <f>-MIN(SUM(X$255:X$257),MAX(X$252,0),X$150,TDCF!X$200)</f>
        <v>0</v>
      </c>
      <c r="Y258" s="403">
        <f>-MIN(SUM(Y$255:Y$257),MAX(Y$252,0),Y$150,TDCF!Y$200)</f>
        <v>0</v>
      </c>
      <c r="Z258" s="403">
        <f>-MIN(SUM(Z$255:Z$257),MAX(Z$252,0),Z$150,TDCF!Z$200)</f>
        <v>0</v>
      </c>
      <c r="AA258" s="403">
        <f>-MIN(SUM(AA$255:AA$257),MAX(AA$252,0),AA$150,TDCF!AA$200)</f>
        <v>0</v>
      </c>
      <c r="AB258" s="403">
        <f>-MIN(SUM(AB$255:AB$257),MAX(AB$252,0),AB$150,TDCF!AB$200)</f>
        <v>0</v>
      </c>
      <c r="AC258" s="403">
        <f>-MIN(SUM(AC$255:AC$257),MAX(AC$252,0),AC$150,TDCF!AC$200)</f>
        <v>0</v>
      </c>
      <c r="AD258" s="403">
        <f>-MIN(SUM(AD$255:AD$257),MAX(AD$252,0),AD$150,TDCF!AD$200)</f>
        <v>0</v>
      </c>
      <c r="AE258" s="403">
        <f>-MIN(SUM(AE$255:AE$257),MAX(AE$252,0),AE$150,TDCF!AE$200)</f>
        <v>0</v>
      </c>
      <c r="AF258" s="403">
        <f>-MIN(SUM(AF$255:AF$257),MAX(AF$252,0),AF$150,TDCF!AF$200)</f>
        <v>0</v>
      </c>
      <c r="AG258" s="403">
        <f>-MIN(SUM(AG$255:AG$257),MAX(AG$252,0),AG$150,TDCF!AG$200)</f>
        <v>0</v>
      </c>
      <c r="AH258" s="403">
        <f>-MIN(SUM(AH$255:AH$257),MAX(AH$252,0),AH$150,TDCF!AH$200)</f>
        <v>0</v>
      </c>
      <c r="AI258" s="403">
        <f>-MIN(SUM(AI$255:AI$257),MAX(AI$252,0),AI$150,TDCF!AI$200)</f>
        <v>0</v>
      </c>
      <c r="AJ258" s="403">
        <f>-MIN(SUM(AJ$255:AJ$257),MAX(AJ$252,0),AJ$150,TDCF!AJ$200)</f>
        <v>0</v>
      </c>
      <c r="AK258" s="403">
        <f>-MIN(SUM(AK$255:AK$257),MAX(AK$252,0),AK$150,TDCF!AK$200)</f>
        <v>0</v>
      </c>
      <c r="AL258" s="403">
        <f>-MIN(SUM(AL$255:AL$257),MAX(AL$252,0),AL$150,TDCF!AL$200)</f>
        <v>0</v>
      </c>
      <c r="AM258" s="403">
        <f>-MIN(SUM(AM$255:AM$257),MAX(AM$252,0),AM$150,TDCF!AM$200)</f>
        <v>0</v>
      </c>
      <c r="AN258" s="403">
        <f>-MIN(SUM(AN$255:AN$257),MAX(AN$252,0),AN$150,TDCF!AN$200)</f>
        <v>0</v>
      </c>
      <c r="AO258" s="403">
        <f>-MIN(SUM(AO$255:AO$257),MAX(AO$252,0),AO$150,TDCF!AO$200)</f>
        <v>0</v>
      </c>
      <c r="AP258" s="403">
        <f>-MIN(SUM(AP$255:AP$257),MAX(AP$252,0),AP$150,TDCF!AP$200)</f>
        <v>0</v>
      </c>
      <c r="AQ258" s="403">
        <f>-MIN(SUM(AQ$255:AQ$257),MAX(AQ$252,0),AQ$150,TDCF!AQ$200)</f>
        <v>0</v>
      </c>
      <c r="AR258" s="403">
        <f>-MIN(SUM(AR$255:AR$257),MAX(AR$252,0),AR$150,TDCF!AR$200)</f>
        <v>0</v>
      </c>
      <c r="AS258" s="403">
        <f>-MIN(SUM(AS$255:AS$257),MAX(AS$252,0),AS$150,TDCF!AS$200)</f>
        <v>0</v>
      </c>
      <c r="AT258" s="403">
        <f>-MIN(SUM(AT$255:AT$257),MAX(AT$252,0),AT$150,TDCF!AT$200)</f>
        <v>0</v>
      </c>
      <c r="AU258" s="403">
        <f>-MIN(SUM(AU$255:AU$257),MAX(AU$252,0),AU$150,TDCF!AU$200)</f>
        <v>0</v>
      </c>
      <c r="AV258" s="403">
        <f>-MIN(SUM(AV$255:AV$257),MAX(AV$252,0),AV$150,TDCF!AV$200)</f>
        <v>0</v>
      </c>
      <c r="AW258" s="403">
        <f>-MIN(SUM(AW$255:AW$257),MAX(AW$252,0),AW$150,TDCF!AW$200)</f>
        <v>0</v>
      </c>
      <c r="AX258" s="403">
        <f>-MIN(SUM(AX$255:AX$257),MAX(AX$252,0),AX$150,TDCF!AX$200)</f>
        <v>0</v>
      </c>
      <c r="AY258" s="403">
        <f>-MIN(SUM(AY$255:AY$257),MAX(AY$252,0),AY$150,TDCF!AY$200)</f>
        <v>0</v>
      </c>
      <c r="AZ258" s="403">
        <f>-MIN(SUM(AZ$255:AZ$257),MAX(AZ$252,0),AZ$150,TDCF!AZ$200)</f>
        <v>0</v>
      </c>
      <c r="BA258" s="403">
        <f>-MIN(SUM(BA$255:BA$257),MAX(BA$252,0),BA$150,TDCF!BA$200)</f>
        <v>0</v>
      </c>
      <c r="BB258" s="403">
        <f>-MIN(SUM(BB$255:BB$257),MAX(BB$252,0),BB$150,TDCF!BB$200)</f>
        <v>0</v>
      </c>
      <c r="BC258" s="403">
        <f>-MIN(SUM(BC$255:BC$257),MAX(BC$252,0),BC$150,TDCF!BC$200)</f>
        <v>0</v>
      </c>
      <c r="BD258" s="403">
        <f>-MIN(SUM(BD$255:BD$257),MAX(BD$252,0),BD$150,TDCF!BD$200)</f>
        <v>0</v>
      </c>
      <c r="BE258" s="403">
        <f>-MIN(SUM(BE$255:BE$257),MAX(BE$252,0),BE$150,TDCF!BE$200)</f>
        <v>0</v>
      </c>
      <c r="BF258" s="403">
        <f>-MIN(SUM(BF$255:BF$257),MAX(BF$252,0),BF$150,TDCF!BF$200)</f>
        <v>0</v>
      </c>
      <c r="BG258" s="403">
        <f>-MIN(SUM(BG$255:BG$257),MAX(BG$252,0),BG$150,TDCF!BG$200)</f>
        <v>0</v>
      </c>
      <c r="BI258" s="476">
        <f>SUM(T258:BG258)</f>
        <v>0</v>
      </c>
      <c r="BM258" s="310">
        <f t="shared" si="290"/>
        <v>0</v>
      </c>
      <c r="BN258" s="310">
        <f t="shared" si="290"/>
        <v>0</v>
      </c>
      <c r="BO258" s="310">
        <f t="shared" si="290"/>
        <v>0</v>
      </c>
      <c r="BP258" s="310">
        <f t="shared" si="290"/>
        <v>0</v>
      </c>
      <c r="BQ258" s="310">
        <f t="shared" si="290"/>
        <v>0</v>
      </c>
      <c r="BR258" s="310">
        <f t="shared" si="290"/>
        <v>0</v>
      </c>
      <c r="BS258" s="310">
        <f t="shared" si="290"/>
        <v>0</v>
      </c>
      <c r="BT258" s="310">
        <f t="shared" si="290"/>
        <v>0</v>
      </c>
      <c r="BU258" s="310">
        <f t="shared" si="290"/>
        <v>0</v>
      </c>
      <c r="BV258" s="310">
        <f t="shared" si="290"/>
        <v>0</v>
      </c>
      <c r="BX258" s="476">
        <f t="shared" si="291"/>
        <v>0</v>
      </c>
    </row>
    <row r="259" spans="3:76">
      <c r="C259" t="s">
        <v>774</v>
      </c>
      <c r="Q259" s="310"/>
      <c r="R259" s="402"/>
      <c r="S259" s="402"/>
      <c r="T259" s="403">
        <f>-AND(T$5&gt;GA!$G$659,T$5&lt;&gt;GA!$G$666)*MIN(T255+T256+T257+T258,T241+T256+T257)*GA!$G$658*T$20*GA!$G$648</f>
        <v>0</v>
      </c>
      <c r="U259" s="403">
        <f>-AND(U$5&gt;GA!$G$659,U$5&lt;&gt;GA!$G$666)*MIN(U255+U256+U257+U258,U241+U256+U257)*GA!$G$658*U$20*GA!$G$648</f>
        <v>0</v>
      </c>
      <c r="V259" s="403">
        <f>-AND(V$5&gt;GA!$G$659,V$5&lt;&gt;GA!$G$666)*MIN(V255+V256+V257+V258,V241+V256+V257)*GA!$G$658*V$20*GA!$G$648</f>
        <v>0</v>
      </c>
      <c r="W259" s="403">
        <f>-AND(W$5&gt;GA!$G$659,W$5&lt;&gt;GA!$G$666)*MIN(W255+W256+W257+W258,W241+W256+W257)*GA!$G$658*W$20*GA!$G$648</f>
        <v>0</v>
      </c>
      <c r="X259" s="403">
        <f>-AND(X$5&gt;GA!$G$659,X$5&lt;&gt;GA!$G$666)*MIN(X255+X256+X257+X258,X241+X256+X257)*GA!$G$658*X$20*GA!$G$648</f>
        <v>0</v>
      </c>
      <c r="Y259" s="403">
        <f>-AND(Y$5&gt;GA!$G$659,Y$5&lt;&gt;GA!$G$666)*MIN(Y255+Y256+Y257+Y258,Y241+Y256+Y257)*GA!$G$658*Y$20*GA!$G$648</f>
        <v>0</v>
      </c>
      <c r="Z259" s="403">
        <f>-AND(Z$5&gt;GA!$G$659,Z$5&lt;&gt;GA!$G$666)*MIN(Z255+Z256+Z257+Z258,Z241+Z256+Z257)*GA!$G$658*Z$20*GA!$G$648</f>
        <v>0</v>
      </c>
      <c r="AA259" s="403">
        <f>-AND(AA$5&gt;GA!$G$659,AA$5&lt;&gt;GA!$G$666)*MIN(AA255+AA256+AA257+AA258,AA241+AA256+AA257)*GA!$G$658*AA$20*GA!$G$648</f>
        <v>0</v>
      </c>
      <c r="AB259" s="403">
        <f>-AND(AB$5&gt;GA!$G$659,AB$5&lt;&gt;GA!$G$666)*MIN(AB255+AB256+AB257+AB258,AB241+AB256+AB257)*GA!$G$658*AB$20*GA!$G$648</f>
        <v>0</v>
      </c>
      <c r="AC259" s="403">
        <f>-AND(AC$5&gt;GA!$G$659,AC$5&lt;&gt;GA!$G$666)*MIN(AC255+AC256+AC257+AC258,AC241+AC256+AC257)*GA!$G$658*AC$20*GA!$G$648</f>
        <v>0</v>
      </c>
      <c r="AD259" s="403">
        <f>-AND(AD$5&gt;GA!$G$659,AD$5&lt;&gt;GA!$G$666)*MIN(AD255+AD256+AD257+AD258,AD241+AD256+AD257)*GA!$G$658*AD$20*GA!$G$648</f>
        <v>0</v>
      </c>
      <c r="AE259" s="403">
        <f>-AND(AE$5&gt;GA!$G$659,AE$5&lt;&gt;GA!$G$666)*MIN(AE255+AE256+AE257+AE258,AE241+AE256+AE257)*GA!$G$658*AE$20*GA!$G$648</f>
        <v>0</v>
      </c>
      <c r="AF259" s="403">
        <f>-AND(AF$5&gt;GA!$G$659,AF$5&lt;&gt;GA!$G$666)*MIN(AF255+AF256+AF257+AF258,AF241+AF256+AF257)*GA!$G$658*AF$20*GA!$G$648</f>
        <v>0</v>
      </c>
      <c r="AG259" s="403">
        <f>-AND(AG$5&gt;GA!$G$659,AG$5&lt;&gt;GA!$G$666)*MIN(AG255+AG256+AG257+AG258,AG241+AG256+AG257)*GA!$G$658*AG$20*GA!$G$648</f>
        <v>0</v>
      </c>
      <c r="AH259" s="403">
        <f>-AND(AH$5&gt;GA!$G$659,AH$5&lt;&gt;GA!$G$666)*MIN(AH255+AH256+AH257+AH258,AH241+AH256+AH257)*GA!$G$658*AH$20*GA!$G$648</f>
        <v>0</v>
      </c>
      <c r="AI259" s="403">
        <f>-AND(AI$5&gt;GA!$G$659,AI$5&lt;&gt;GA!$G$666)*MIN(AI255+AI256+AI257+AI258,AI241+AI256+AI257)*GA!$G$658*AI$20*GA!$G$648</f>
        <v>0</v>
      </c>
      <c r="AJ259" s="403">
        <f>-AND(AJ$5&gt;GA!$G$659,AJ$5&lt;&gt;GA!$G$666)*MIN(AJ255+AJ256+AJ257+AJ258,AJ241+AJ256+AJ257)*GA!$G$658*AJ$20*GA!$G$648</f>
        <v>0</v>
      </c>
      <c r="AK259" s="403">
        <f>-AND(AK$5&gt;GA!$G$659,AK$5&lt;&gt;GA!$G$666)*MIN(AK255+AK256+AK257+AK258,AK241+AK256+AK257)*GA!$G$658*AK$20*GA!$G$648</f>
        <v>0</v>
      </c>
      <c r="AL259" s="403">
        <f>-AND(AL$5&gt;GA!$G$659,AL$5&lt;&gt;GA!$G$666)*MIN(AL255+AL256+AL257+AL258,AL241+AL256+AL257)*GA!$G$658*AL$20*GA!$G$648</f>
        <v>0</v>
      </c>
      <c r="AM259" s="403">
        <f>-AND(AM$5&gt;GA!$G$659,AM$5&lt;&gt;GA!$G$666)*MIN(AM255+AM256+AM257+AM258,AM241+AM256+AM257)*GA!$G$658*AM$20*GA!$G$648</f>
        <v>0</v>
      </c>
      <c r="AN259" s="403">
        <f>-AND(AN$5&gt;GA!$G$659,AN$5&lt;&gt;GA!$G$666)*MIN(AN255+AN256+AN257+AN258,AN241+AN256+AN257)*GA!$G$658*AN$20*GA!$G$648</f>
        <v>0</v>
      </c>
      <c r="AO259" s="403">
        <f>-AND(AO$5&gt;GA!$G$659,AO$5&lt;&gt;GA!$G$666)*MIN(AO255+AO256+AO257+AO258,AO241+AO256+AO257)*GA!$G$658*AO$20*GA!$G$648</f>
        <v>0</v>
      </c>
      <c r="AP259" s="403">
        <f>-AND(AP$5&gt;GA!$G$659,AP$5&lt;&gt;GA!$G$666)*MIN(AP255+AP256+AP257+AP258,AP241+AP256+AP257)*GA!$G$658*AP$20*GA!$G$648</f>
        <v>0</v>
      </c>
      <c r="AQ259" s="403">
        <f>-AND(AQ$5&gt;GA!$G$659,AQ$5&lt;&gt;GA!$G$666)*MIN(AQ255+AQ256+AQ257+AQ258,AQ241+AQ256+AQ257)*GA!$G$658*AQ$20*GA!$G$648</f>
        <v>0</v>
      </c>
      <c r="AR259" s="403">
        <f>-AND(AR$5&gt;GA!$G$659,AR$5&lt;&gt;GA!$G$666)*MIN(AR255+AR256+AR257+AR258,AR241+AR256+AR257)*GA!$G$658*AR$20*GA!$G$648</f>
        <v>0</v>
      </c>
      <c r="AS259" s="403">
        <f>-AND(AS$5&gt;GA!$G$659,AS$5&lt;&gt;GA!$G$666)*MIN(AS255+AS256+AS257+AS258,AS241+AS256+AS257)*GA!$G$658*AS$20*GA!$G$648</f>
        <v>0</v>
      </c>
      <c r="AT259" s="403">
        <f>-AND(AT$5&gt;GA!$G$659,AT$5&lt;&gt;GA!$G$666)*MIN(AT255+AT256+AT257+AT258,AT241+AT256+AT257)*GA!$G$658*AT$20*GA!$G$648</f>
        <v>0</v>
      </c>
      <c r="AU259" s="403">
        <f>-AND(AU$5&gt;GA!$G$659,AU$5&lt;&gt;GA!$G$666)*MIN(AU255+AU256+AU257+AU258,AU241+AU256+AU257)*GA!$G$658*AU$20*GA!$G$648</f>
        <v>0</v>
      </c>
      <c r="AV259" s="403">
        <f>-AND(AV$5&gt;GA!$G$659,AV$5&lt;&gt;GA!$G$666)*MIN(AV255+AV256+AV257+AV258,AV241+AV256+AV257)*GA!$G$658*AV$20*GA!$G$648</f>
        <v>0</v>
      </c>
      <c r="AW259" s="403">
        <f>-AND(AW$5&gt;GA!$G$659,AW$5&lt;&gt;GA!$G$666)*MIN(AW255+AW256+AW257+AW258,AW241+AW256+AW257)*GA!$G$658*AW$20*GA!$G$648</f>
        <v>0</v>
      </c>
      <c r="AX259" s="403">
        <f>-AND(AX$5&gt;GA!$G$659,AX$5&lt;&gt;GA!$G$666)*MIN(AX255+AX256+AX257+AX258,AX241+AX256+AX257)*GA!$G$658*AX$20*GA!$G$648</f>
        <v>0</v>
      </c>
      <c r="AY259" s="403">
        <f>-AND(AY$5&gt;GA!$G$659,AY$5&lt;&gt;GA!$G$666)*MIN(AY255+AY256+AY257+AY258,AY241+AY256+AY257)*GA!$G$658*AY$20*GA!$G$648</f>
        <v>0</v>
      </c>
      <c r="AZ259" s="403">
        <f>-AND(AZ$5&gt;GA!$G$659,AZ$5&lt;&gt;GA!$G$666)*MIN(AZ255+AZ256+AZ257+AZ258,AZ241+AZ256+AZ257)*GA!$G$658*AZ$20*GA!$G$648</f>
        <v>0</v>
      </c>
      <c r="BA259" s="403">
        <f>-AND(BA$5&gt;GA!$G$659,BA$5&lt;&gt;GA!$G$666)*MIN(BA255+BA256+BA257+BA258,BA241+BA256+BA257)*GA!$G$658*BA$20*GA!$G$648</f>
        <v>0</v>
      </c>
      <c r="BB259" s="403">
        <f>-AND(BB$5&gt;GA!$G$659,BB$5&lt;&gt;GA!$G$666)*MIN(BB255+BB256+BB257+BB258,BB241+BB256+BB257)*GA!$G$658*BB$20*GA!$G$648</f>
        <v>0</v>
      </c>
      <c r="BC259" s="403">
        <f>-AND(BC$5&gt;GA!$G$659,BC$5&lt;&gt;GA!$G$666)*MIN(BC255+BC256+BC257+BC258,BC241+BC256+BC257)*GA!$G$658*BC$20*GA!$G$648</f>
        <v>0</v>
      </c>
      <c r="BD259" s="403">
        <f>-AND(BD$5&gt;GA!$G$659,BD$5&lt;&gt;GA!$G$666)*MIN(BD255+BD256+BD257+BD258,BD241+BD256+BD257)*GA!$G$658*BD$20*GA!$G$648</f>
        <v>0</v>
      </c>
      <c r="BE259" s="403">
        <f>-AND(BE$5&gt;GA!$G$659,BE$5&lt;&gt;GA!$G$666)*MIN(BE255+BE256+BE257+BE258,BE241+BE256+BE257)*GA!$G$658*BE$20*GA!$G$648</f>
        <v>0</v>
      </c>
      <c r="BF259" s="403">
        <f>-AND(BF$5&gt;GA!$G$659,BF$5&lt;&gt;GA!$G$666)*MIN(BF255+BF256+BF257+BF258,BF241+BF256+BF257)*GA!$G$658*BF$20*GA!$G$648</f>
        <v>0</v>
      </c>
      <c r="BG259" s="403">
        <f>-AND(BG$5&gt;GA!$G$659,BG$5&lt;&gt;GA!$G$666)*MIN(BG255+BG256+BG257+BG258,BG241+BG256+BG257)*GA!$G$658*BG$20*GA!$G$648</f>
        <v>0</v>
      </c>
      <c r="BI259" s="476">
        <f>SUM(T259:BG259)</f>
        <v>0</v>
      </c>
      <c r="BK259" s="310"/>
      <c r="BM259" s="310">
        <f t="shared" si="290"/>
        <v>0</v>
      </c>
      <c r="BN259" s="310">
        <f t="shared" si="290"/>
        <v>0</v>
      </c>
      <c r="BO259" s="310">
        <f t="shared" si="290"/>
        <v>0</v>
      </c>
      <c r="BP259" s="310">
        <f t="shared" si="290"/>
        <v>0</v>
      </c>
      <c r="BQ259" s="310">
        <f t="shared" si="290"/>
        <v>0</v>
      </c>
      <c r="BR259" s="310">
        <f t="shared" si="290"/>
        <v>0</v>
      </c>
      <c r="BS259" s="310">
        <f t="shared" si="290"/>
        <v>0</v>
      </c>
      <c r="BT259" s="310">
        <f t="shared" si="290"/>
        <v>0</v>
      </c>
      <c r="BU259" s="310">
        <f t="shared" si="290"/>
        <v>0</v>
      </c>
      <c r="BV259" s="310">
        <f t="shared" si="290"/>
        <v>0</v>
      </c>
      <c r="BX259" s="476">
        <f t="shared" si="291"/>
        <v>0</v>
      </c>
    </row>
    <row r="260" spans="3:76">
      <c r="C260" t="s">
        <v>1228</v>
      </c>
      <c r="Q260" s="310"/>
      <c r="R260" s="402"/>
      <c r="S260" s="402"/>
      <c r="T260" s="403">
        <f>IF(T$5&gt;GA!$G$662,-MAX(MIN(SUM(T252,T257:T259,T266)*GA!$G$661,SUM(T255:T259)),0),0)*GA!$G$648</f>
        <v>0</v>
      </c>
      <c r="U260" s="403">
        <f>IF(U$5&gt;GA!$G$662,-MAX(MIN(SUM(U252,U257:U259,U266)*GA!$G$661,SUM(U255:U259)),0),0)*GA!$G$648</f>
        <v>0</v>
      </c>
      <c r="V260" s="403">
        <f>IF(V$5&gt;GA!$G$662,-MAX(MIN(SUM(V252,V257:V259,V266)*GA!$G$661,SUM(V255:V259)),0),0)*GA!$G$648</f>
        <v>0</v>
      </c>
      <c r="W260" s="403">
        <f>IF(W$5&gt;GA!$G$662,-MAX(MIN(SUM(W252,W257:W259,W266)*GA!$G$661,SUM(W255:W259)),0),0)*GA!$G$648</f>
        <v>0</v>
      </c>
      <c r="X260" s="403">
        <f>IF(X$5&gt;GA!$G$662,-MAX(MIN(SUM(X252,X257:X259,X266)*GA!$G$661,SUM(X255:X259)),0),0)*GA!$G$648</f>
        <v>0</v>
      </c>
      <c r="Y260" s="403">
        <f>IF(Y$5&gt;GA!$G$662,-MAX(MIN(SUM(Y252,Y257:Y259,Y266)*GA!$G$661,SUM(Y255:Y259)),0),0)*GA!$G$648</f>
        <v>0</v>
      </c>
      <c r="Z260" s="403">
        <f>IF(Z$5&gt;GA!$G$662,-MAX(MIN(SUM(Z252,Z257:Z259,Z266)*GA!$G$661,SUM(Z255:Z259)),0),0)*GA!$G$648</f>
        <v>0</v>
      </c>
      <c r="AA260" s="403">
        <f>IF(AA$5&gt;GA!$G$662,-MAX(MIN(SUM(AA252,AA257:AA259,AA266)*GA!$G$661,SUM(AA255:AA259)),0),0)*GA!$G$648</f>
        <v>0</v>
      </c>
      <c r="AB260" s="403">
        <f>IF(AB$5&gt;GA!$G$662,-MAX(MIN(SUM(AB252,AB257:AB259,AB266)*GA!$G$661,SUM(AB255:AB259)),0),0)*GA!$G$648</f>
        <v>0</v>
      </c>
      <c r="AC260" s="403">
        <f>IF(AC$5&gt;GA!$G$662,-MAX(MIN(SUM(AC252,AC257:AC259,AC266)*GA!$G$661,SUM(AC255:AC259)),0),0)*GA!$G$648</f>
        <v>0</v>
      </c>
      <c r="AD260" s="403">
        <f>IF(AD$5&gt;GA!$G$662,-MAX(MIN(SUM(AD252,AD257:AD259,AD266)*GA!$G$661,SUM(AD255:AD259)),0),0)*GA!$G$648</f>
        <v>0</v>
      </c>
      <c r="AE260" s="403">
        <f>IF(AE$5&gt;GA!$G$662,-MAX(MIN(SUM(AE252,AE257:AE259,AE266)*GA!$G$661,SUM(AE255:AE259)),0),0)*GA!$G$648</f>
        <v>0</v>
      </c>
      <c r="AF260" s="403">
        <f>IF(AF$5&gt;GA!$G$662,-MAX(MIN(SUM(AF252,AF257:AF259,AF266)*GA!$G$661,SUM(AF255:AF259)),0),0)*GA!$G$648</f>
        <v>0</v>
      </c>
      <c r="AG260" s="403">
        <f>IF(AG$5&gt;GA!$G$662,-MAX(MIN(SUM(AG252,AG257:AG259,AG266)*GA!$G$661,SUM(AG255:AG259)),0),0)*GA!$G$648</f>
        <v>0</v>
      </c>
      <c r="AH260" s="403">
        <f>IF(AH$5&gt;GA!$G$662,-MAX(MIN(SUM(AH252,AH257:AH259,AH266)*GA!$G$661,SUM(AH255:AH259)),0),0)*GA!$G$648</f>
        <v>0</v>
      </c>
      <c r="AI260" s="403">
        <f>IF(AI$5&gt;GA!$G$662,-MAX(MIN(SUM(AI252,AI257:AI259,AI266)*GA!$G$661,SUM(AI255:AI259)),0),0)*GA!$G$648</f>
        <v>0</v>
      </c>
      <c r="AJ260" s="403">
        <f>IF(AJ$5&gt;GA!$G$662,-MAX(MIN(SUM(AJ252,AJ257:AJ259,AJ266)*GA!$G$661,SUM(AJ255:AJ259)),0),0)*GA!$G$648</f>
        <v>0</v>
      </c>
      <c r="AK260" s="403">
        <f>IF(AK$5&gt;GA!$G$662,-MAX(MIN(SUM(AK252,AK257:AK259,AK266)*GA!$G$661,SUM(AK255:AK259)),0),0)*GA!$G$648</f>
        <v>0</v>
      </c>
      <c r="AL260" s="403">
        <f>IF(AL$5&gt;GA!$G$662,-MAX(MIN(SUM(AL252,AL257:AL259,AL266)*GA!$G$661,SUM(AL255:AL259)),0),0)*GA!$G$648</f>
        <v>0</v>
      </c>
      <c r="AM260" s="403">
        <f>IF(AM$5&gt;GA!$G$662,-MAX(MIN(SUM(AM252,AM257:AM259,AM266)*GA!$G$661,SUM(AM255:AM259)),0),0)*GA!$G$648</f>
        <v>0</v>
      </c>
      <c r="AN260" s="403">
        <f>IF(AN$5&gt;GA!$G$662,-MAX(MIN(SUM(AN252,AN257:AN259,AN266)*GA!$G$661,SUM(AN255:AN259)),0),0)*GA!$G$648</f>
        <v>0</v>
      </c>
      <c r="AO260" s="403">
        <f>IF(AO$5&gt;GA!$G$662,-MAX(MIN(SUM(AO252,AO257:AO259,AO266)*GA!$G$661,SUM(AO255:AO259)),0),0)*GA!$G$648</f>
        <v>0</v>
      </c>
      <c r="AP260" s="403">
        <f>IF(AP$5&gt;GA!$G$662,-MAX(MIN(SUM(AP252,AP257:AP259,AP266)*GA!$G$661,SUM(AP255:AP259)),0),0)*GA!$G$648</f>
        <v>0</v>
      </c>
      <c r="AQ260" s="403">
        <f>IF(AQ$5&gt;GA!$G$662,-MAX(MIN(SUM(AQ252,AQ257:AQ259,AQ266)*GA!$G$661,SUM(AQ255:AQ259)),0),0)*GA!$G$648</f>
        <v>0</v>
      </c>
      <c r="AR260" s="403">
        <f>IF(AR$5&gt;GA!$G$662,-MAX(MIN(SUM(AR252,AR257:AR259,AR266)*GA!$G$661,SUM(AR255:AR259)),0),0)*GA!$G$648</f>
        <v>0</v>
      </c>
      <c r="AS260" s="403">
        <f>IF(AS$5&gt;GA!$G$662,-MAX(MIN(SUM(AS252,AS257:AS259,AS266)*GA!$G$661,SUM(AS255:AS259)),0),0)*GA!$G$648</f>
        <v>0</v>
      </c>
      <c r="AT260" s="403">
        <f>IF(AT$5&gt;GA!$G$662,-MAX(MIN(SUM(AT252,AT257:AT259,AT266)*GA!$G$661,SUM(AT255:AT259)),0),0)*GA!$G$648</f>
        <v>0</v>
      </c>
      <c r="AU260" s="403">
        <f>IF(AU$5&gt;GA!$G$662,-MAX(MIN(SUM(AU252,AU257:AU259,AU266)*GA!$G$661,SUM(AU255:AU259)),0),0)*GA!$G$648</f>
        <v>0</v>
      </c>
      <c r="AV260" s="403">
        <f>IF(AV$5&gt;GA!$G$662,-MAX(MIN(SUM(AV252,AV257:AV259,AV266)*GA!$G$661,SUM(AV255:AV259)),0),0)*GA!$G$648</f>
        <v>0</v>
      </c>
      <c r="AW260" s="403">
        <f>IF(AW$5&gt;GA!$G$662,-MAX(MIN(SUM(AW252,AW257:AW259,AW266)*GA!$G$661,SUM(AW255:AW259)),0),0)*GA!$G$648</f>
        <v>0</v>
      </c>
      <c r="AX260" s="403">
        <f>IF(AX$5&gt;GA!$G$662,-MAX(MIN(SUM(AX252,AX257:AX259,AX266)*GA!$G$661,SUM(AX255:AX259)),0),0)*GA!$G$648</f>
        <v>0</v>
      </c>
      <c r="AY260" s="403">
        <f>IF(AY$5&gt;GA!$G$662,-MAX(MIN(SUM(AY252,AY257:AY259,AY266)*GA!$G$661,SUM(AY255:AY259)),0),0)*GA!$G$648</f>
        <v>0</v>
      </c>
      <c r="AZ260" s="403">
        <f>IF(AZ$5&gt;GA!$G$662,-MAX(MIN(SUM(AZ252,AZ257:AZ259,AZ266)*GA!$G$661,SUM(AZ255:AZ259)),0),0)*GA!$G$648</f>
        <v>0</v>
      </c>
      <c r="BA260" s="403">
        <f>IF(BA$5&gt;GA!$G$662,-MAX(MIN(SUM(BA252,BA257:BA259,BA266)*GA!$G$661,SUM(BA255:BA259)),0),0)*GA!$G$648</f>
        <v>0</v>
      </c>
      <c r="BB260" s="403">
        <f>IF(BB$5&gt;GA!$G$662,-MAX(MIN(SUM(BB252,BB257:BB259,BB266)*GA!$G$661,SUM(BB255:BB259)),0),0)*GA!$G$648</f>
        <v>0</v>
      </c>
      <c r="BC260" s="403">
        <f>IF(BC$5&gt;GA!$G$662,-MAX(MIN(SUM(BC252,BC257:BC259,BC266)*GA!$G$661,SUM(BC255:BC259)),0),0)*GA!$G$648</f>
        <v>0</v>
      </c>
      <c r="BD260" s="403">
        <f>IF(BD$5&gt;GA!$G$662,-MAX(MIN(SUM(BD252,BD257:BD259,BD266)*GA!$G$661,SUM(BD255:BD259)),0),0)*GA!$G$648</f>
        <v>0</v>
      </c>
      <c r="BE260" s="403">
        <f>IF(BE$5&gt;GA!$G$662,-MAX(MIN(SUM(BE252,BE257:BE259,BE266)*GA!$G$661,SUM(BE255:BE259)),0),0)*GA!$G$648</f>
        <v>0</v>
      </c>
      <c r="BF260" s="403">
        <f>IF(BF$5&gt;GA!$G$662,-MAX(MIN(SUM(BF252,BF257:BF259,BF266)*GA!$G$661,SUM(BF255:BF259)),0),0)*GA!$G$648</f>
        <v>0</v>
      </c>
      <c r="BG260" s="403">
        <f>IF(BG$5&gt;GA!$G$662,-MAX(MIN(SUM(BG252,BG257:BG259,BG266)*GA!$G$661,SUM(BG255:BG259)),0),0)*GA!$G$648</f>
        <v>0</v>
      </c>
      <c r="BI260" s="476">
        <f>SUM(T260:BG260)</f>
        <v>0</v>
      </c>
      <c r="BM260" s="310">
        <f t="shared" si="290"/>
        <v>0</v>
      </c>
      <c r="BN260" s="310">
        <f t="shared" si="290"/>
        <v>0</v>
      </c>
      <c r="BO260" s="310">
        <f t="shared" si="290"/>
        <v>0</v>
      </c>
      <c r="BP260" s="310">
        <f t="shared" si="290"/>
        <v>0</v>
      </c>
      <c r="BQ260" s="310">
        <f t="shared" si="290"/>
        <v>0</v>
      </c>
      <c r="BR260" s="310">
        <f t="shared" si="290"/>
        <v>0</v>
      </c>
      <c r="BS260" s="310">
        <f t="shared" si="290"/>
        <v>0</v>
      </c>
      <c r="BT260" s="310">
        <f t="shared" si="290"/>
        <v>0</v>
      </c>
      <c r="BU260" s="310">
        <f t="shared" si="290"/>
        <v>0</v>
      </c>
      <c r="BV260" s="310">
        <f t="shared" si="290"/>
        <v>0</v>
      </c>
      <c r="BX260" s="476">
        <f t="shared" si="291"/>
        <v>0</v>
      </c>
    </row>
    <row r="261" spans="3:76">
      <c r="C261" t="s">
        <v>786</v>
      </c>
      <c r="Q261" s="310"/>
      <c r="R261" s="402"/>
      <c r="S261" s="402"/>
      <c r="T261" s="403">
        <f>-OR(AND(T$26&gt;0,T$27=0),T$5=GA!$G$666)*SUM(T255:T260)</f>
        <v>0</v>
      </c>
      <c r="U261" s="403">
        <f>-OR(AND(U$26&gt;0,U$27=0),U$5=GA!$G$666)*SUM(U255:U260)</f>
        <v>0</v>
      </c>
      <c r="V261" s="403">
        <f>-OR(AND(V$26&gt;0,V$27=0),V$5=GA!$G$666)*SUM(V255:V260)</f>
        <v>0</v>
      </c>
      <c r="W261" s="403">
        <f>-OR(AND(W$26&gt;0,W$27=0),W$5=GA!$G$666)*SUM(W255:W260)</f>
        <v>0</v>
      </c>
      <c r="X261" s="403">
        <f>-OR(AND(X$26&gt;0,X$27=0),X$5=GA!$G$666)*SUM(X255:X260)</f>
        <v>0</v>
      </c>
      <c r="Y261" s="403">
        <f>-OR(AND(Y$26&gt;0,Y$27=0),Y$5=GA!$G$666)*SUM(Y255:Y260)</f>
        <v>0</v>
      </c>
      <c r="Z261" s="403">
        <f>-OR(AND(Z$26&gt;0,Z$27=0),Z$5=GA!$G$666)*SUM(Z255:Z260)</f>
        <v>0</v>
      </c>
      <c r="AA261" s="403">
        <f>-OR(AND(AA$26&gt;0,AA$27=0),AA$5=GA!$G$666)*SUM(AA255:AA260)</f>
        <v>0</v>
      </c>
      <c r="AB261" s="403">
        <f>-OR(AND(AB$26&gt;0,AB$27=0),AB$5=GA!$G$666)*SUM(AB255:AB260)</f>
        <v>0</v>
      </c>
      <c r="AC261" s="403">
        <f>-OR(AND(AC$26&gt;0,AC$27=0),AC$5=GA!$G$666)*SUM(AC255:AC260)</f>
        <v>0</v>
      </c>
      <c r="AD261" s="403">
        <f>-OR(AND(AD$26&gt;0,AD$27=0),AD$5=GA!$G$666)*SUM(AD255:AD260)</f>
        <v>0</v>
      </c>
      <c r="AE261" s="403">
        <f>-OR(AND(AE$26&gt;0,AE$27=0),AE$5=GA!$G$666)*SUM(AE255:AE260)</f>
        <v>0</v>
      </c>
      <c r="AF261" s="403">
        <f>-OR(AND(AF$26&gt;0,AF$27=0),AF$5=GA!$G$666)*SUM(AF255:AF260)</f>
        <v>0</v>
      </c>
      <c r="AG261" s="403">
        <f>-OR(AND(AG$26&gt;0,AG$27=0),AG$5=GA!$G$666)*SUM(AG255:AG260)</f>
        <v>0</v>
      </c>
      <c r="AH261" s="403">
        <f>-OR(AND(AH$26&gt;0,AH$27=0),AH$5=GA!$G$666)*SUM(AH255:AH260)</f>
        <v>0</v>
      </c>
      <c r="AI261" s="403">
        <f>-OR(AND(AI$26&gt;0,AI$27=0),AI$5=GA!$G$666)*SUM(AI255:AI260)</f>
        <v>0</v>
      </c>
      <c r="AJ261" s="403">
        <f>-OR(AND(AJ$26&gt;0,AJ$27=0),AJ$5=GA!$G$666)*SUM(AJ255:AJ260)</f>
        <v>0</v>
      </c>
      <c r="AK261" s="403">
        <f>-OR(AND(AK$26&gt;0,AK$27=0),AK$5=GA!$G$666)*SUM(AK255:AK260)</f>
        <v>0</v>
      </c>
      <c r="AL261" s="403">
        <f>-OR(AND(AL$26&gt;0,AL$27=0),AL$5=GA!$G$666)*SUM(AL255:AL260)</f>
        <v>0</v>
      </c>
      <c r="AM261" s="403">
        <f>-OR(AND(AM$26&gt;0,AM$27=0),AM$5=GA!$G$666)*SUM(AM255:AM260)</f>
        <v>0</v>
      </c>
      <c r="AN261" s="403">
        <f>-OR(AND(AN$26&gt;0,AN$27=0),AN$5=GA!$G$666)*SUM(AN255:AN260)</f>
        <v>0</v>
      </c>
      <c r="AO261" s="403">
        <f>-OR(AND(AO$26&gt;0,AO$27=0),AO$5=GA!$G$666)*SUM(AO255:AO260)</f>
        <v>0</v>
      </c>
      <c r="AP261" s="403">
        <f>-OR(AND(AP$26&gt;0,AP$27=0),AP$5=GA!$G$666)*SUM(AP255:AP260)</f>
        <v>0</v>
      </c>
      <c r="AQ261" s="403">
        <f>-OR(AND(AQ$26&gt;0,AQ$27=0),AQ$5=GA!$G$666)*SUM(AQ255:AQ260)</f>
        <v>0</v>
      </c>
      <c r="AR261" s="403">
        <f>-OR(AND(AR$26&gt;0,AR$27=0),AR$5=GA!$G$666)*SUM(AR255:AR260)</f>
        <v>0</v>
      </c>
      <c r="AS261" s="403">
        <f>-OR(AND(AS$26&gt;0,AS$27=0),AS$5=GA!$G$666)*SUM(AS255:AS260)</f>
        <v>0</v>
      </c>
      <c r="AT261" s="403">
        <f>-OR(AND(AT$26&gt;0,AT$27=0),AT$5=GA!$G$666)*SUM(AT255:AT260)</f>
        <v>0</v>
      </c>
      <c r="AU261" s="403">
        <f>-OR(AND(AU$26&gt;0,AU$27=0),AU$5=GA!$G$666)*SUM(AU255:AU260)</f>
        <v>0</v>
      </c>
      <c r="AV261" s="403">
        <f>-OR(AND(AV$26&gt;0,AV$27=0),AV$5=GA!$G$666)*SUM(AV255:AV260)</f>
        <v>0</v>
      </c>
      <c r="AW261" s="403">
        <f>-OR(AND(AW$26&gt;0,AW$27=0),AW$5=GA!$G$666)*SUM(AW255:AW260)</f>
        <v>0</v>
      </c>
      <c r="AX261" s="403">
        <f>-OR(AND(AX$26&gt;0,AX$27=0),AX$5=GA!$G$666)*SUM(AX255:AX260)</f>
        <v>0</v>
      </c>
      <c r="AY261" s="403">
        <f>-OR(AND(AY$26&gt;0,AY$27=0),AY$5=GA!$G$666)*SUM(AY255:AY260)</f>
        <v>0</v>
      </c>
      <c r="AZ261" s="403">
        <f>-OR(AND(AZ$26&gt;0,AZ$27=0),AZ$5=GA!$G$666)*SUM(AZ255:AZ260)</f>
        <v>0</v>
      </c>
      <c r="BA261" s="403">
        <f>-OR(AND(BA$26&gt;0,BA$27=0),BA$5=GA!$G$666)*SUM(BA255:BA260)</f>
        <v>0</v>
      </c>
      <c r="BB261" s="403">
        <f>-OR(AND(BB$26&gt;0,BB$27=0),BB$5=GA!$G$666)*SUM(BB255:BB260)</f>
        <v>0</v>
      </c>
      <c r="BC261" s="403">
        <f>-OR(AND(BC$26&gt;0,BC$27=0),BC$5=GA!$G$666)*SUM(BC255:BC260)</f>
        <v>0</v>
      </c>
      <c r="BD261" s="403">
        <f>-OR(AND(BD$26&gt;0,BD$27=0),BD$5=GA!$G$666)*SUM(BD255:BD260)</f>
        <v>0</v>
      </c>
      <c r="BE261" s="403">
        <f>-OR(AND(BE$26&gt;0,BE$27=0),BE$5=GA!$G$666)*SUM(BE255:BE260)</f>
        <v>0</v>
      </c>
      <c r="BF261" s="403">
        <f>-OR(AND(BF$26&gt;0,BF$27=0),BF$5=GA!$G$666)*SUM(BF255:BF260)</f>
        <v>0</v>
      </c>
      <c r="BG261" s="403">
        <f>-OR(AND(BG$26&gt;0,BG$27=0),BG$5=GA!$G$666)*SUM(BG255:BG260)</f>
        <v>0</v>
      </c>
      <c r="BI261" s="476">
        <f>SUM(T261:BG261)</f>
        <v>0</v>
      </c>
      <c r="BM261" s="310">
        <f t="shared" si="290"/>
        <v>0</v>
      </c>
      <c r="BN261" s="310">
        <f t="shared" si="290"/>
        <v>0</v>
      </c>
      <c r="BO261" s="310">
        <f t="shared" si="290"/>
        <v>0</v>
      </c>
      <c r="BP261" s="310">
        <f t="shared" si="290"/>
        <v>0</v>
      </c>
      <c r="BQ261" s="310">
        <f t="shared" si="290"/>
        <v>0</v>
      </c>
      <c r="BR261" s="310">
        <f t="shared" si="290"/>
        <v>0</v>
      </c>
      <c r="BS261" s="310">
        <f t="shared" si="290"/>
        <v>0</v>
      </c>
      <c r="BT261" s="310">
        <f t="shared" si="290"/>
        <v>0</v>
      </c>
      <c r="BU261" s="310">
        <f t="shared" si="290"/>
        <v>0</v>
      </c>
      <c r="BV261" s="310">
        <f t="shared" si="290"/>
        <v>0</v>
      </c>
      <c r="BX261" s="476">
        <f t="shared" si="291"/>
        <v>0</v>
      </c>
    </row>
    <row r="262" spans="3:76">
      <c r="C262" s="253" t="s">
        <v>706</v>
      </c>
      <c r="D262" s="253"/>
      <c r="E262" s="253"/>
      <c r="F262" s="253"/>
      <c r="G262" s="253"/>
      <c r="H262" s="253"/>
      <c r="I262" s="253"/>
      <c r="J262" s="253"/>
      <c r="K262" s="253"/>
      <c r="L262" s="253"/>
      <c r="M262" s="253"/>
      <c r="N262" s="253"/>
      <c r="O262" s="268"/>
      <c r="P262" s="268"/>
      <c r="Q262" s="367"/>
      <c r="R262" s="482"/>
      <c r="S262" s="254">
        <f>SUM(S255:S261)</f>
        <v>0</v>
      </c>
      <c r="T262" s="254">
        <f>SUM(T255:T261)</f>
        <v>0</v>
      </c>
      <c r="U262" s="254">
        <f t="shared" ref="U262:BG262" si="293">SUM(U255:U261)</f>
        <v>0</v>
      </c>
      <c r="V262" s="254">
        <f t="shared" si="293"/>
        <v>0</v>
      </c>
      <c r="W262" s="254">
        <f t="shared" si="293"/>
        <v>0</v>
      </c>
      <c r="X262" s="254">
        <f t="shared" si="293"/>
        <v>0</v>
      </c>
      <c r="Y262" s="254">
        <f t="shared" si="293"/>
        <v>0</v>
      </c>
      <c r="Z262" s="254">
        <f t="shared" si="293"/>
        <v>0</v>
      </c>
      <c r="AA262" s="254">
        <f t="shared" si="293"/>
        <v>0</v>
      </c>
      <c r="AB262" s="254">
        <f t="shared" si="293"/>
        <v>0</v>
      </c>
      <c r="AC262" s="254">
        <f t="shared" si="293"/>
        <v>0</v>
      </c>
      <c r="AD262" s="254">
        <f t="shared" si="293"/>
        <v>0</v>
      </c>
      <c r="AE262" s="254">
        <f t="shared" si="293"/>
        <v>0</v>
      </c>
      <c r="AF262" s="254">
        <f t="shared" si="293"/>
        <v>0</v>
      </c>
      <c r="AG262" s="254">
        <f t="shared" si="293"/>
        <v>0</v>
      </c>
      <c r="AH262" s="254">
        <f t="shared" si="293"/>
        <v>0</v>
      </c>
      <c r="AI262" s="254">
        <f t="shared" si="293"/>
        <v>0</v>
      </c>
      <c r="AJ262" s="254">
        <f t="shared" si="293"/>
        <v>0</v>
      </c>
      <c r="AK262" s="254">
        <f t="shared" si="293"/>
        <v>0</v>
      </c>
      <c r="AL262" s="254">
        <f t="shared" si="293"/>
        <v>0</v>
      </c>
      <c r="AM262" s="254">
        <f t="shared" si="293"/>
        <v>0</v>
      </c>
      <c r="AN262" s="254">
        <f t="shared" si="293"/>
        <v>0</v>
      </c>
      <c r="AO262" s="254">
        <f t="shared" si="293"/>
        <v>0</v>
      </c>
      <c r="AP262" s="254">
        <f t="shared" si="293"/>
        <v>0</v>
      </c>
      <c r="AQ262" s="254">
        <f t="shared" si="293"/>
        <v>0</v>
      </c>
      <c r="AR262" s="254">
        <f t="shared" si="293"/>
        <v>0</v>
      </c>
      <c r="AS262" s="254">
        <f t="shared" si="293"/>
        <v>0</v>
      </c>
      <c r="AT262" s="254">
        <f t="shared" si="293"/>
        <v>0</v>
      </c>
      <c r="AU262" s="254">
        <f t="shared" si="293"/>
        <v>0</v>
      </c>
      <c r="AV262" s="254">
        <f t="shared" si="293"/>
        <v>0</v>
      </c>
      <c r="AW262" s="254">
        <f t="shared" si="293"/>
        <v>0</v>
      </c>
      <c r="AX262" s="254">
        <f t="shared" si="293"/>
        <v>0</v>
      </c>
      <c r="AY262" s="254">
        <f t="shared" si="293"/>
        <v>0</v>
      </c>
      <c r="AZ262" s="254">
        <f t="shared" si="293"/>
        <v>0</v>
      </c>
      <c r="BA262" s="254">
        <f t="shared" si="293"/>
        <v>0</v>
      </c>
      <c r="BB262" s="254">
        <f t="shared" si="293"/>
        <v>0</v>
      </c>
      <c r="BC262" s="254">
        <f t="shared" si="293"/>
        <v>0</v>
      </c>
      <c r="BD262" s="254">
        <f t="shared" si="293"/>
        <v>0</v>
      </c>
      <c r="BE262" s="254">
        <f t="shared" si="293"/>
        <v>0</v>
      </c>
      <c r="BF262" s="254">
        <f t="shared" si="293"/>
        <v>0</v>
      </c>
      <c r="BG262" s="254">
        <f t="shared" si="293"/>
        <v>0</v>
      </c>
      <c r="BI262" s="254" t="s">
        <v>153</v>
      </c>
      <c r="BM262" s="254">
        <f t="shared" ref="BM262:BV262" si="294">INDEX($T262:$BG262,MATCH(BM$5,$T$5:$BG$5,0))</f>
        <v>0</v>
      </c>
      <c r="BN262" s="254">
        <f t="shared" si="294"/>
        <v>0</v>
      </c>
      <c r="BO262" s="254">
        <f t="shared" si="294"/>
        <v>0</v>
      </c>
      <c r="BP262" s="254">
        <f t="shared" si="294"/>
        <v>0</v>
      </c>
      <c r="BQ262" s="254">
        <f t="shared" si="294"/>
        <v>0</v>
      </c>
      <c r="BR262" s="254">
        <f t="shared" si="294"/>
        <v>0</v>
      </c>
      <c r="BS262" s="254">
        <f t="shared" si="294"/>
        <v>0</v>
      </c>
      <c r="BT262" s="254">
        <f t="shared" si="294"/>
        <v>0</v>
      </c>
      <c r="BU262" s="254">
        <f t="shared" si="294"/>
        <v>0</v>
      </c>
      <c r="BV262" s="254">
        <f t="shared" si="294"/>
        <v>0</v>
      </c>
      <c r="BX262" s="254" t="s">
        <v>153</v>
      </c>
    </row>
    <row r="263" spans="3:76">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c r="AS263" s="310"/>
      <c r="AT263" s="310"/>
      <c r="AU263" s="310"/>
      <c r="AV263" s="310"/>
      <c r="AW263" s="310"/>
      <c r="AX263" s="310"/>
      <c r="AY263" s="310"/>
      <c r="AZ263" s="310"/>
      <c r="BA263" s="310"/>
      <c r="BB263" s="310"/>
      <c r="BC263" s="310"/>
      <c r="BD263" s="310"/>
      <c r="BE263" s="310"/>
      <c r="BF263" s="310"/>
      <c r="BG263" s="310"/>
    </row>
    <row r="264" spans="3:76">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c r="AS264" s="310"/>
      <c r="AT264" s="310"/>
      <c r="AU264" s="310"/>
      <c r="AV264" s="310"/>
      <c r="AW264" s="310"/>
      <c r="AX264" s="310"/>
      <c r="AY264" s="310"/>
      <c r="AZ264" s="310"/>
      <c r="BA264" s="310"/>
      <c r="BB264" s="310"/>
      <c r="BC264" s="310"/>
      <c r="BD264" s="310"/>
      <c r="BE264" s="310"/>
      <c r="BF264" s="310"/>
      <c r="BG264" s="310"/>
    </row>
    <row r="265" spans="3:76">
      <c r="C265" s="364" t="s">
        <v>721</v>
      </c>
      <c r="D265" s="364"/>
      <c r="E265" s="364"/>
      <c r="F265" s="364"/>
      <c r="G265" s="364"/>
      <c r="H265" s="364"/>
      <c r="I265" s="364"/>
      <c r="J265" s="364"/>
      <c r="K265" s="364"/>
      <c r="L265" s="364"/>
      <c r="M265" s="364"/>
      <c r="N265" s="364"/>
      <c r="O265" s="17"/>
      <c r="P265" s="17"/>
      <c r="Q265" s="369"/>
      <c r="R265" s="369"/>
      <c r="S265" s="369"/>
      <c r="T265" s="369"/>
      <c r="U265" s="369"/>
      <c r="V265" s="369"/>
      <c r="W265" s="369"/>
      <c r="X265" s="369"/>
      <c r="Y265" s="369"/>
      <c r="Z265" s="369"/>
      <c r="AA265" s="369"/>
      <c r="AB265" s="369"/>
      <c r="AC265" s="369"/>
      <c r="AD265" s="369"/>
      <c r="AE265" s="369"/>
      <c r="AF265" s="369"/>
      <c r="AG265" s="369"/>
      <c r="AH265" s="369"/>
      <c r="AI265" s="369"/>
      <c r="AJ265" s="369"/>
      <c r="AK265" s="369"/>
      <c r="AL265" s="369"/>
      <c r="AM265" s="369"/>
      <c r="AN265" s="369"/>
      <c r="AO265" s="369"/>
      <c r="AP265" s="369"/>
      <c r="AQ265" s="369"/>
      <c r="AR265" s="369"/>
      <c r="AS265" s="369"/>
      <c r="AT265" s="369"/>
      <c r="AU265" s="369"/>
      <c r="AV265" s="369"/>
      <c r="AW265" s="369"/>
      <c r="AX265" s="369"/>
      <c r="AY265" s="369"/>
      <c r="AZ265" s="369"/>
      <c r="BA265" s="369"/>
      <c r="BB265" s="369"/>
      <c r="BC265" s="369"/>
      <c r="BD265" s="369"/>
      <c r="BE265" s="369"/>
      <c r="BF265" s="369"/>
      <c r="BG265" s="369"/>
    </row>
    <row r="266" spans="3:76">
      <c r="C266" t="s">
        <v>787</v>
      </c>
      <c r="O266" s="410">
        <f>GA!$G$678</f>
        <v>0.06</v>
      </c>
      <c r="Q266" s="310"/>
      <c r="R266" s="402"/>
      <c r="S266" s="402"/>
      <c r="T266" s="403">
        <f>-T255*$O$266*T$7/GA!$G$680</f>
        <v>0</v>
      </c>
      <c r="U266" s="403">
        <f>-U255*$O$266*U$7/GA!$G$680</f>
        <v>0</v>
      </c>
      <c r="V266" s="403">
        <f>-V255*$O$266*V$7/GA!$G$680</f>
        <v>0</v>
      </c>
      <c r="W266" s="403">
        <f>-W255*$O$266*W$7/GA!$G$680</f>
        <v>0</v>
      </c>
      <c r="X266" s="403">
        <f>-X255*$O$266*X$7/GA!$G$680</f>
        <v>0</v>
      </c>
      <c r="Y266" s="403">
        <f>-Y255*$O$266*Y$7/GA!$G$680</f>
        <v>0</v>
      </c>
      <c r="Z266" s="403">
        <f>-Z255*$O$266*Z$7/GA!$G$680</f>
        <v>0</v>
      </c>
      <c r="AA266" s="403">
        <f>-AA255*$O$266*AA$7/GA!$G$680</f>
        <v>0</v>
      </c>
      <c r="AB266" s="403">
        <f>-AB255*$O$266*AB$7/GA!$G$680</f>
        <v>0</v>
      </c>
      <c r="AC266" s="403">
        <f>-AC255*$O$266*AC$7/GA!$G$680</f>
        <v>0</v>
      </c>
      <c r="AD266" s="403">
        <f>-AD255*$O$266*AD$7/GA!$G$680</f>
        <v>0</v>
      </c>
      <c r="AE266" s="403">
        <f>-AE255*$O$266*AE$7/GA!$G$680</f>
        <v>0</v>
      </c>
      <c r="AF266" s="403">
        <f>-AF255*$O$266*AF$7/GA!$G$680</f>
        <v>0</v>
      </c>
      <c r="AG266" s="403">
        <f>-AG255*$O$266*AG$7/GA!$G$680</f>
        <v>0</v>
      </c>
      <c r="AH266" s="403">
        <f>-AH255*$O$266*AH$7/GA!$G$680</f>
        <v>0</v>
      </c>
      <c r="AI266" s="403">
        <f>-AI255*$O$266*AI$7/GA!$G$680</f>
        <v>0</v>
      </c>
      <c r="AJ266" s="403">
        <f>-AJ255*$O$266*AJ$7/GA!$G$680</f>
        <v>0</v>
      </c>
      <c r="AK266" s="403">
        <f>-AK255*$O$266*AK$7/GA!$G$680</f>
        <v>0</v>
      </c>
      <c r="AL266" s="403">
        <f>-AL255*$O$266*AL$7/GA!$G$680</f>
        <v>0</v>
      </c>
      <c r="AM266" s="403">
        <f>-AM255*$O$266*AM$7/GA!$G$680</f>
        <v>0</v>
      </c>
      <c r="AN266" s="403">
        <f>-AN255*$O$266*AN$7/GA!$G$680</f>
        <v>0</v>
      </c>
      <c r="AO266" s="403">
        <f>-AO255*$O$266*AO$7/GA!$G$680</f>
        <v>0</v>
      </c>
      <c r="AP266" s="403">
        <f>-AP255*$O$266*AP$7/GA!$G$680</f>
        <v>0</v>
      </c>
      <c r="AQ266" s="403">
        <f>-AQ255*$O$266*AQ$7/GA!$G$680</f>
        <v>0</v>
      </c>
      <c r="AR266" s="403">
        <f>-AR255*$O$266*AR$7/GA!$G$680</f>
        <v>0</v>
      </c>
      <c r="AS266" s="403">
        <f>-AS255*$O$266*AS$7/GA!$G$680</f>
        <v>0</v>
      </c>
      <c r="AT266" s="403">
        <f>-AT255*$O$266*AT$7/GA!$G$680</f>
        <v>0</v>
      </c>
      <c r="AU266" s="403">
        <f>-AU255*$O$266*AU$7/GA!$G$680</f>
        <v>0</v>
      </c>
      <c r="AV266" s="403">
        <f>-AV255*$O$266*AV$7/GA!$G$680</f>
        <v>0</v>
      </c>
      <c r="AW266" s="403">
        <f>-AW255*$O$266*AW$7/GA!$G$680</f>
        <v>0</v>
      </c>
      <c r="AX266" s="403">
        <f>-AX255*$O$266*AX$7/GA!$G$680</f>
        <v>0</v>
      </c>
      <c r="AY266" s="403">
        <f>-AY255*$O$266*AY$7/GA!$G$680</f>
        <v>0</v>
      </c>
      <c r="AZ266" s="403">
        <f>-AZ255*$O$266*AZ$7/GA!$G$680</f>
        <v>0</v>
      </c>
      <c r="BA266" s="403">
        <f>-BA255*$O$266*BA$7/GA!$G$680</f>
        <v>0</v>
      </c>
      <c r="BB266" s="403">
        <f>-BB255*$O$266*BB$7/GA!$G$680</f>
        <v>0</v>
      </c>
      <c r="BC266" s="403">
        <f>-BC255*$O$266*BC$7/GA!$G$680</f>
        <v>0</v>
      </c>
      <c r="BD266" s="403">
        <f>-BD255*$O$266*BD$7/GA!$G$680</f>
        <v>0</v>
      </c>
      <c r="BE266" s="403">
        <f>-BE255*$O$266*BE$7/GA!$G$680</f>
        <v>0</v>
      </c>
      <c r="BF266" s="403">
        <f>-BF255*$O$266*BF$7/GA!$G$680</f>
        <v>0</v>
      </c>
      <c r="BG266" s="403">
        <f>-BG255*$O$266*BG$7/GA!$G$680</f>
        <v>0</v>
      </c>
      <c r="BI266" s="1068">
        <f>SUM(T266:BG266)</f>
        <v>0</v>
      </c>
      <c r="BM266" s="368">
        <f t="shared" ref="BM266:BV266" si="295">SUMIF($T$8:$BG$8,BM$6,$T266:$BG266)</f>
        <v>0</v>
      </c>
      <c r="BN266" s="368">
        <f t="shared" si="295"/>
        <v>0</v>
      </c>
      <c r="BO266" s="368">
        <f t="shared" si="295"/>
        <v>0</v>
      </c>
      <c r="BP266" s="368">
        <f t="shared" si="295"/>
        <v>0</v>
      </c>
      <c r="BQ266" s="368">
        <f t="shared" si="295"/>
        <v>0</v>
      </c>
      <c r="BR266" s="368">
        <f t="shared" si="295"/>
        <v>0</v>
      </c>
      <c r="BS266" s="368">
        <f t="shared" si="295"/>
        <v>0</v>
      </c>
      <c r="BT266" s="368">
        <f t="shared" si="295"/>
        <v>0</v>
      </c>
      <c r="BU266" s="368">
        <f t="shared" si="295"/>
        <v>0</v>
      </c>
      <c r="BV266" s="368">
        <f t="shared" si="295"/>
        <v>0</v>
      </c>
      <c r="BX266" s="1068">
        <f>SUM(BM266:BV266)</f>
        <v>0</v>
      </c>
    </row>
    <row r="267" spans="3:76">
      <c r="O267" s="4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c r="AS267" s="310"/>
      <c r="AT267" s="310"/>
      <c r="AU267" s="310"/>
      <c r="AV267" s="310"/>
      <c r="AW267" s="310"/>
      <c r="AX267" s="310"/>
      <c r="AY267" s="310"/>
      <c r="AZ267" s="310"/>
      <c r="BA267" s="310"/>
      <c r="BB267" s="310"/>
      <c r="BC267" s="310"/>
      <c r="BD267" s="310"/>
      <c r="BE267" s="310"/>
      <c r="BF267" s="310"/>
      <c r="BG267" s="310"/>
    </row>
    <row r="268" spans="3:76">
      <c r="C268" t="s">
        <v>789</v>
      </c>
      <c r="R268" s="483"/>
      <c r="S268" s="310">
        <f>S256</f>
        <v>0</v>
      </c>
      <c r="T268" s="310">
        <f t="shared" ref="T268:BG268" si="296">(S268-S269)*(T$255&gt;0)</f>
        <v>0</v>
      </c>
      <c r="U268" s="310">
        <f t="shared" si="296"/>
        <v>0</v>
      </c>
      <c r="V268" s="310">
        <f t="shared" si="296"/>
        <v>0</v>
      </c>
      <c r="W268" s="310">
        <f t="shared" si="296"/>
        <v>0</v>
      </c>
      <c r="X268" s="310">
        <f t="shared" si="296"/>
        <v>0</v>
      </c>
      <c r="Y268" s="310">
        <f t="shared" si="296"/>
        <v>0</v>
      </c>
      <c r="Z268" s="310">
        <f t="shared" si="296"/>
        <v>0</v>
      </c>
      <c r="AA268" s="310">
        <f t="shared" si="296"/>
        <v>0</v>
      </c>
      <c r="AB268" s="310">
        <f t="shared" si="296"/>
        <v>0</v>
      </c>
      <c r="AC268" s="310">
        <f t="shared" si="296"/>
        <v>0</v>
      </c>
      <c r="AD268" s="310">
        <f t="shared" si="296"/>
        <v>0</v>
      </c>
      <c r="AE268" s="310">
        <f t="shared" si="296"/>
        <v>0</v>
      </c>
      <c r="AF268" s="310">
        <f t="shared" si="296"/>
        <v>0</v>
      </c>
      <c r="AG268" s="310">
        <f t="shared" si="296"/>
        <v>0</v>
      </c>
      <c r="AH268" s="310">
        <f t="shared" si="296"/>
        <v>0</v>
      </c>
      <c r="AI268" s="310">
        <f t="shared" si="296"/>
        <v>0</v>
      </c>
      <c r="AJ268" s="310">
        <f t="shared" si="296"/>
        <v>0</v>
      </c>
      <c r="AK268" s="310">
        <f t="shared" si="296"/>
        <v>0</v>
      </c>
      <c r="AL268" s="310">
        <f t="shared" si="296"/>
        <v>0</v>
      </c>
      <c r="AM268" s="310">
        <f t="shared" si="296"/>
        <v>0</v>
      </c>
      <c r="AN268" s="310">
        <f t="shared" si="296"/>
        <v>0</v>
      </c>
      <c r="AO268" s="310">
        <f t="shared" si="296"/>
        <v>0</v>
      </c>
      <c r="AP268" s="310">
        <f t="shared" si="296"/>
        <v>0</v>
      </c>
      <c r="AQ268" s="310">
        <f t="shared" si="296"/>
        <v>0</v>
      </c>
      <c r="AR268" s="310">
        <f t="shared" si="296"/>
        <v>0</v>
      </c>
      <c r="AS268" s="310">
        <f t="shared" si="296"/>
        <v>0</v>
      </c>
      <c r="AT268" s="310">
        <f t="shared" si="296"/>
        <v>0</v>
      </c>
      <c r="AU268" s="310">
        <f t="shared" si="296"/>
        <v>0</v>
      </c>
      <c r="AV268" s="310">
        <f t="shared" si="296"/>
        <v>0</v>
      </c>
      <c r="AW268" s="310">
        <f t="shared" si="296"/>
        <v>0</v>
      </c>
      <c r="AX268" s="310">
        <f t="shared" si="296"/>
        <v>0</v>
      </c>
      <c r="AY268" s="310">
        <f t="shared" si="296"/>
        <v>0</v>
      </c>
      <c r="AZ268" s="310">
        <f t="shared" si="296"/>
        <v>0</v>
      </c>
      <c r="BA268" s="310">
        <f t="shared" si="296"/>
        <v>0</v>
      </c>
      <c r="BB268" s="310">
        <f t="shared" si="296"/>
        <v>0</v>
      </c>
      <c r="BC268" s="310">
        <f t="shared" si="296"/>
        <v>0</v>
      </c>
      <c r="BD268" s="310">
        <f t="shared" si="296"/>
        <v>0</v>
      </c>
      <c r="BE268" s="310">
        <f t="shared" si="296"/>
        <v>0</v>
      </c>
      <c r="BF268" s="310">
        <f t="shared" si="296"/>
        <v>0</v>
      </c>
      <c r="BG268" s="310">
        <f t="shared" si="296"/>
        <v>0</v>
      </c>
      <c r="BI268" s="39" t="s">
        <v>153</v>
      </c>
      <c r="BM268" s="746">
        <f t="shared" ref="BM268:BV268" si="297">AVERAGEIF($T$8:$BG$8,BM$6,$T268:$BG268)</f>
        <v>0</v>
      </c>
      <c r="BN268" s="746">
        <f t="shared" si="297"/>
        <v>0</v>
      </c>
      <c r="BO268" s="746">
        <f t="shared" si="297"/>
        <v>0</v>
      </c>
      <c r="BP268" s="746">
        <f t="shared" si="297"/>
        <v>0</v>
      </c>
      <c r="BQ268" s="746">
        <f t="shared" si="297"/>
        <v>0</v>
      </c>
      <c r="BR268" s="746">
        <f t="shared" si="297"/>
        <v>0</v>
      </c>
      <c r="BS268" s="746">
        <f t="shared" si="297"/>
        <v>0</v>
      </c>
      <c r="BT268" s="746">
        <f t="shared" si="297"/>
        <v>0</v>
      </c>
      <c r="BU268" s="746">
        <f t="shared" si="297"/>
        <v>0</v>
      </c>
      <c r="BV268" s="746">
        <f t="shared" si="297"/>
        <v>0</v>
      </c>
      <c r="BX268" s="476" t="s">
        <v>153</v>
      </c>
    </row>
    <row r="269" spans="3:76">
      <c r="C269" t="s">
        <v>788</v>
      </c>
      <c r="O269" s="479">
        <f>GA!$G$679</f>
        <v>2.5399999999999999E-2</v>
      </c>
      <c r="R269" s="483"/>
      <c r="S269" s="402"/>
      <c r="T269" s="403">
        <f>-$O$269*T$7/GA!$G$599*T268</f>
        <v>0</v>
      </c>
      <c r="U269" s="403">
        <f>-$O$269*U$7/GA!$G$599*U268</f>
        <v>0</v>
      </c>
      <c r="V269" s="403">
        <f>-$O$269*V$7/GA!$G$599*V268</f>
        <v>0</v>
      </c>
      <c r="W269" s="403">
        <f>-$O$269*W$7/GA!$G$599*W268</f>
        <v>0</v>
      </c>
      <c r="X269" s="403">
        <f>-$O$269*X$7/GA!$G$599*X268</f>
        <v>0</v>
      </c>
      <c r="Y269" s="403">
        <f>-$O$269*Y$7/GA!$G$599*Y268</f>
        <v>0</v>
      </c>
      <c r="Z269" s="403">
        <f>-$O$269*Z$7/GA!$G$599*Z268</f>
        <v>0</v>
      </c>
      <c r="AA269" s="403">
        <f>-$O$269*AA$7/GA!$G$599*AA268</f>
        <v>0</v>
      </c>
      <c r="AB269" s="403">
        <f>-$O$269*AB$7/GA!$G$599*AB268</f>
        <v>0</v>
      </c>
      <c r="AC269" s="403">
        <f>-$O$269*AC$7/GA!$G$599*AC268</f>
        <v>0</v>
      </c>
      <c r="AD269" s="403">
        <f>-$O$269*AD$7/GA!$G$599*AD268</f>
        <v>0</v>
      </c>
      <c r="AE269" s="403">
        <f>-$O$269*AE$7/GA!$G$599*AE268</f>
        <v>0</v>
      </c>
      <c r="AF269" s="403">
        <f>-$O$269*AF$7/GA!$G$599*AF268</f>
        <v>0</v>
      </c>
      <c r="AG269" s="403">
        <f>-$O$269*AG$7/GA!$G$599*AG268</f>
        <v>0</v>
      </c>
      <c r="AH269" s="403">
        <f>-$O$269*AH$7/GA!$G$599*AH268</f>
        <v>0</v>
      </c>
      <c r="AI269" s="403">
        <f>-$O$269*AI$7/GA!$G$599*AI268</f>
        <v>0</v>
      </c>
      <c r="AJ269" s="403">
        <f>-$O$269*AJ$7/GA!$G$599*AJ268</f>
        <v>0</v>
      </c>
      <c r="AK269" s="403">
        <f>-$O$269*AK$7/GA!$G$599*AK268</f>
        <v>0</v>
      </c>
      <c r="AL269" s="403">
        <f>-$O$269*AL$7/GA!$G$599*AL268</f>
        <v>0</v>
      </c>
      <c r="AM269" s="403">
        <f>-$O$269*AM$7/GA!$G$599*AM268</f>
        <v>0</v>
      </c>
      <c r="AN269" s="403">
        <f>-$O$269*AN$7/GA!$G$599*AN268</f>
        <v>0</v>
      </c>
      <c r="AO269" s="403">
        <f>-$O$269*AO$7/GA!$G$599*AO268</f>
        <v>0</v>
      </c>
      <c r="AP269" s="403">
        <f>-$O$269*AP$7/GA!$G$599*AP268</f>
        <v>0</v>
      </c>
      <c r="AQ269" s="403">
        <f>-$O$269*AQ$7/GA!$G$599*AQ268</f>
        <v>0</v>
      </c>
      <c r="AR269" s="403">
        <f>-$O$269*AR$7/GA!$G$599*AR268</f>
        <v>0</v>
      </c>
      <c r="AS269" s="403">
        <f>-$O$269*AS$7/GA!$G$599*AS268</f>
        <v>0</v>
      </c>
      <c r="AT269" s="403">
        <f>-$O$269*AT$7/GA!$G$599*AT268</f>
        <v>0</v>
      </c>
      <c r="AU269" s="403">
        <f>-$O$269*AU$7/GA!$G$599*AU268</f>
        <v>0</v>
      </c>
      <c r="AV269" s="403">
        <f>-$O$269*AV$7/GA!$G$599*AV268</f>
        <v>0</v>
      </c>
      <c r="AW269" s="403">
        <f>-$O$269*AW$7/GA!$G$599*AW268</f>
        <v>0</v>
      </c>
      <c r="AX269" s="403">
        <f>-$O$269*AX$7/GA!$G$599*AX268</f>
        <v>0</v>
      </c>
      <c r="AY269" s="403">
        <f>-$O$269*AY$7/GA!$G$599*AY268</f>
        <v>0</v>
      </c>
      <c r="AZ269" s="403">
        <f>-$O$269*AZ$7/GA!$G$599*AZ268</f>
        <v>0</v>
      </c>
      <c r="BA269" s="403">
        <f>-$O$269*BA$7/GA!$G$599*BA268</f>
        <v>0</v>
      </c>
      <c r="BB269" s="403">
        <f>-$O$269*BB$7/GA!$G$599*BB268</f>
        <v>0</v>
      </c>
      <c r="BC269" s="403">
        <f>-$O$269*BC$7/GA!$G$599*BC268</f>
        <v>0</v>
      </c>
      <c r="BD269" s="403">
        <f>-$O$269*BD$7/GA!$G$599*BD268</f>
        <v>0</v>
      </c>
      <c r="BE269" s="403">
        <f>-$O$269*BE$7/GA!$G$599*BE268</f>
        <v>0</v>
      </c>
      <c r="BF269" s="403">
        <f>-$O$269*BF$7/GA!$G$599*BF268</f>
        <v>0</v>
      </c>
      <c r="BG269" s="403">
        <f>-$O$269*BG$7/GA!$G$599*BG268</f>
        <v>0</v>
      </c>
      <c r="BI269" s="476">
        <f>SUM(T269:BG269)</f>
        <v>0</v>
      </c>
      <c r="BM269" s="1423">
        <f t="shared" ref="BM269:BV269" si="298">SUMIF($T$8:$BG$8,BM$6,$T269:$BG269)</f>
        <v>0</v>
      </c>
      <c r="BN269" s="1423">
        <f t="shared" si="298"/>
        <v>0</v>
      </c>
      <c r="BO269" s="1423">
        <f t="shared" si="298"/>
        <v>0</v>
      </c>
      <c r="BP269" s="1423">
        <f t="shared" si="298"/>
        <v>0</v>
      </c>
      <c r="BQ269" s="1423">
        <f t="shared" si="298"/>
        <v>0</v>
      </c>
      <c r="BR269" s="1423">
        <f t="shared" si="298"/>
        <v>0</v>
      </c>
      <c r="BS269" s="1423">
        <f t="shared" si="298"/>
        <v>0</v>
      </c>
      <c r="BT269" s="1423">
        <f t="shared" si="298"/>
        <v>0</v>
      </c>
      <c r="BU269" s="1423">
        <f t="shared" si="298"/>
        <v>0</v>
      </c>
      <c r="BV269" s="1423">
        <f t="shared" si="298"/>
        <v>0</v>
      </c>
      <c r="BX269" s="476">
        <f>SUM(BM269:BV269)</f>
        <v>0</v>
      </c>
    </row>
    <row r="270" spans="3:76">
      <c r="C270" t="s">
        <v>790</v>
      </c>
      <c r="R270" s="392"/>
      <c r="S270" s="392"/>
      <c r="T270" s="310">
        <f>SUM($T269:T269)-SUM($S271:S271)</f>
        <v>0</v>
      </c>
      <c r="U270" s="310">
        <f>SUM($T269:U269)-SUM($S271:T271)</f>
        <v>0</v>
      </c>
      <c r="V270" s="310">
        <f>SUM($T269:V269)-SUM($S271:U271)</f>
        <v>0</v>
      </c>
      <c r="W270" s="310">
        <f>SUM($T269:W269)-SUM($S271:V271)</f>
        <v>0</v>
      </c>
      <c r="X270" s="310">
        <f>SUM($T269:X269)-SUM($S271:W271)</f>
        <v>0</v>
      </c>
      <c r="Y270" s="310">
        <f>SUM($T269:Y269)-SUM($S271:X271)</f>
        <v>0</v>
      </c>
      <c r="Z270" s="310">
        <f>SUM($T269:Z269)-SUM($S271:Y271)</f>
        <v>0</v>
      </c>
      <c r="AA270" s="310">
        <f>SUM($T269:AA269)-SUM($S271:Z271)</f>
        <v>0</v>
      </c>
      <c r="AB270" s="310">
        <f>SUM($T269:AB269)-SUM($S271:AA271)</f>
        <v>0</v>
      </c>
      <c r="AC270" s="310">
        <f>SUM($T269:AC269)-SUM($S271:AB271)</f>
        <v>0</v>
      </c>
      <c r="AD270" s="310">
        <f>SUM($T269:AD269)-SUM($S271:AC271)</f>
        <v>0</v>
      </c>
      <c r="AE270" s="310">
        <f>SUM($T269:AE269)-SUM($S271:AD271)</f>
        <v>0</v>
      </c>
      <c r="AF270" s="310">
        <f>SUM($T269:AF269)-SUM($S271:AE271)</f>
        <v>0</v>
      </c>
      <c r="AG270" s="310">
        <f>SUM($T269:AG269)-SUM($S271:AF271)</f>
        <v>0</v>
      </c>
      <c r="AH270" s="310">
        <f>SUM($T269:AH269)-SUM($S271:AG271)</f>
        <v>0</v>
      </c>
      <c r="AI270" s="310">
        <f>SUM($T269:AI269)-SUM($S271:AH271)</f>
        <v>0</v>
      </c>
      <c r="AJ270" s="310">
        <f>SUM($T269:AJ269)-SUM($S271:AI271)</f>
        <v>0</v>
      </c>
      <c r="AK270" s="310">
        <f>SUM($T269:AK269)-SUM($S271:AJ271)</f>
        <v>0</v>
      </c>
      <c r="AL270" s="310">
        <f>SUM($T269:AL269)-SUM($S271:AK271)</f>
        <v>0</v>
      </c>
      <c r="AM270" s="310">
        <f>SUM($T269:AM269)-SUM($S271:AL271)</f>
        <v>0</v>
      </c>
      <c r="AN270" s="310">
        <f>SUM($T269:AN269)-SUM($S271:AM271)</f>
        <v>0</v>
      </c>
      <c r="AO270" s="310">
        <f>SUM($T269:AO269)-SUM($S271:AN271)</f>
        <v>0</v>
      </c>
      <c r="AP270" s="310">
        <f>SUM($T269:AP269)-SUM($S271:AO271)</f>
        <v>0</v>
      </c>
      <c r="AQ270" s="310">
        <f>SUM($T269:AQ269)-SUM($S271:AP271)</f>
        <v>0</v>
      </c>
      <c r="AR270" s="310">
        <f>SUM($T269:AR269)-SUM($S271:AQ271)</f>
        <v>0</v>
      </c>
      <c r="AS270" s="310">
        <f>SUM($T269:AS269)-SUM($S271:AR271)</f>
        <v>0</v>
      </c>
      <c r="AT270" s="310">
        <f>SUM($T269:AT269)-SUM($S271:AS271)</f>
        <v>0</v>
      </c>
      <c r="AU270" s="310">
        <f>SUM($T269:AU269)-SUM($S271:AT271)</f>
        <v>0</v>
      </c>
      <c r="AV270" s="310">
        <f>SUM($T269:AV269)-SUM($S271:AU271)</f>
        <v>0</v>
      </c>
      <c r="AW270" s="310">
        <f>SUM($T269:AW269)-SUM($S271:AV271)</f>
        <v>0</v>
      </c>
      <c r="AX270" s="310">
        <f>SUM($T269:AX269)-SUM($S271:AW271)</f>
        <v>0</v>
      </c>
      <c r="AY270" s="310">
        <f>SUM($T269:AY269)-SUM($S271:AX271)</f>
        <v>0</v>
      </c>
      <c r="AZ270" s="310">
        <f>SUM($T269:AZ269)-SUM($S271:AY271)</f>
        <v>0</v>
      </c>
      <c r="BA270" s="310">
        <f>SUM($T269:BA269)-SUM($S271:AZ271)</f>
        <v>0</v>
      </c>
      <c r="BB270" s="310">
        <f>SUM($T269:BB269)-SUM($S271:BA271)</f>
        <v>0</v>
      </c>
      <c r="BC270" s="310">
        <f>SUM($T269:BC269)-SUM($S271:BB271)</f>
        <v>0</v>
      </c>
      <c r="BD270" s="310">
        <f>SUM($T269:BD269)-SUM($S271:BC271)</f>
        <v>0</v>
      </c>
      <c r="BE270" s="310">
        <f>SUM($T269:BE269)-SUM($S271:BD271)</f>
        <v>0</v>
      </c>
      <c r="BF270" s="310">
        <f>SUM($T269:BF269)-SUM($S271:BE271)</f>
        <v>0</v>
      </c>
      <c r="BG270" s="310">
        <f>SUM($T269:BG269)-SUM($S271:BF271)</f>
        <v>0</v>
      </c>
      <c r="BI270" s="39" t="s">
        <v>153</v>
      </c>
      <c r="BM270" s="1423">
        <f t="shared" ref="BM270:BV270" si="299">INDEX($T$270:$BG$270,MATCH(BM$5,$T$5:$BG$5))</f>
        <v>0</v>
      </c>
      <c r="BN270" s="1423">
        <f t="shared" si="299"/>
        <v>0</v>
      </c>
      <c r="BO270" s="1423">
        <f t="shared" si="299"/>
        <v>0</v>
      </c>
      <c r="BP270" s="1423">
        <f t="shared" si="299"/>
        <v>0</v>
      </c>
      <c r="BQ270" s="1423">
        <f t="shared" si="299"/>
        <v>0</v>
      </c>
      <c r="BR270" s="1423">
        <f t="shared" si="299"/>
        <v>0</v>
      </c>
      <c r="BS270" s="1423">
        <f t="shared" si="299"/>
        <v>0</v>
      </c>
      <c r="BT270" s="1423">
        <f t="shared" si="299"/>
        <v>0</v>
      </c>
      <c r="BU270" s="1423">
        <f t="shared" si="299"/>
        <v>0</v>
      </c>
      <c r="BV270" s="1423">
        <f t="shared" si="299"/>
        <v>0</v>
      </c>
      <c r="BX270" s="476" t="s">
        <v>153</v>
      </c>
    </row>
    <row r="271" spans="3:76">
      <c r="C271" t="s">
        <v>791</v>
      </c>
      <c r="R271" s="483"/>
      <c r="S271" s="483"/>
      <c r="T271" s="403">
        <f>OR(T21=1,T$5=GA!$G$666,AND(T268&gt;0,U268=0))*T270+AND(T150&gt;0,T21=0)*IF(TDCF!T199=0,0,TDCF!T200/TDCF!T199)*T270</f>
        <v>0</v>
      </c>
      <c r="U271" s="403">
        <f>OR(U21=1,U$5=GA!$G$666,AND(U268&gt;0,V268=0))*U270+AND(U150&gt;0,U21=0)*IF(TDCF!U199=0,0,TDCF!U200/TDCF!U199)*U270</f>
        <v>0</v>
      </c>
      <c r="V271" s="403">
        <f>OR(V21=1,V$5=GA!$G$666,AND(V268&gt;0,W268=0))*V270+AND(V150&gt;0,V21=0)*IF(TDCF!V199=0,0,TDCF!V200/TDCF!V199)*V270</f>
        <v>0</v>
      </c>
      <c r="W271" s="403">
        <f>OR(W21=1,W$5=GA!$G$666,AND(W268&gt;0,X268=0))*W270+AND(W150&gt;0,W21=0)*IF(TDCF!W199=0,0,TDCF!W200/TDCF!W199)*W270</f>
        <v>0</v>
      </c>
      <c r="X271" s="403">
        <f>OR(X21=1,X$5=GA!$G$666,AND(X268&gt;0,Y268=0))*X270+AND(X150&gt;0,X21=0)*IF(TDCF!X199=0,0,TDCF!X200/TDCF!X199)*X270</f>
        <v>0</v>
      </c>
      <c r="Y271" s="403">
        <f>OR(Y21=1,Y$5=GA!$G$666,AND(Y268&gt;0,Z268=0))*Y270+AND(Y150&gt;0,Y21=0)*IF(TDCF!Y199=0,0,TDCF!Y200/TDCF!Y199)*Y270</f>
        <v>0</v>
      </c>
      <c r="Z271" s="403">
        <f>OR(Z21=1,Z$5=GA!$G$666,AND(Z268&gt;0,AA268=0))*Z270+AND(Z150&gt;0,Z21=0)*IF(TDCF!Z199=0,0,TDCF!Z200/TDCF!Z199)*Z270</f>
        <v>0</v>
      </c>
      <c r="AA271" s="403">
        <f>OR(AA21=1,AA$5=GA!$G$666,AND(AA268&gt;0,AB268=0))*AA270+AND(AA150&gt;0,AA21=0)*IF(TDCF!AA199=0,0,TDCF!AA200/TDCF!AA199)*AA270</f>
        <v>0</v>
      </c>
      <c r="AB271" s="403">
        <f>OR(AB21=1,AB$5=GA!$G$666,AND(AB268&gt;0,AC268=0))*AB270+AND(AB150&gt;0,AB21=0)*IF(TDCF!AB199=0,0,TDCF!AB200/TDCF!AB199)*AB270</f>
        <v>0</v>
      </c>
      <c r="AC271" s="403">
        <f>OR(AC21=1,AC$5=GA!$G$666,AND(AC268&gt;0,AD268=0))*AC270+AND(AC150&gt;0,AC21=0)*IF(TDCF!AC199=0,0,TDCF!AC200/TDCF!AC199)*AC270</f>
        <v>0</v>
      </c>
      <c r="AD271" s="403">
        <f>OR(AD21=1,AD$5=GA!$G$666,AND(AD268&gt;0,AE268=0))*AD270+AND(AD150&gt;0,AD21=0)*IF(TDCF!AD199=0,0,TDCF!AD200/TDCF!AD199)*AD270</f>
        <v>0</v>
      </c>
      <c r="AE271" s="403">
        <f>OR(AE21=1,AE$5=GA!$G$666,AND(AE268&gt;0,AF268=0))*AE270+AND(AE150&gt;0,AE21=0)*IF(TDCF!AE199=0,0,TDCF!AE200/TDCF!AE199)*AE270</f>
        <v>0</v>
      </c>
      <c r="AF271" s="403">
        <f>OR(AF21=1,AF$5=GA!$G$666,AND(AF268&gt;0,AG268=0))*AF270+AND(AF150&gt;0,AF21=0)*IF(TDCF!AF199=0,0,TDCF!AF200/TDCF!AF199)*AF270</f>
        <v>0</v>
      </c>
      <c r="AG271" s="403">
        <f>OR(AG21=1,AG$5=GA!$G$666,AND(AG268&gt;0,AH268=0))*AG270+AND(AG150&gt;0,AG21=0)*IF(TDCF!AG199=0,0,TDCF!AG200/TDCF!AG199)*AG270</f>
        <v>0</v>
      </c>
      <c r="AH271" s="403">
        <f>OR(AH21=1,AH$5=GA!$G$666,AND(AH268&gt;0,AI268=0))*AH270+AND(AH150&gt;0,AH21=0)*IF(TDCF!AH199=0,0,TDCF!AH200/TDCF!AH199)*AH270</f>
        <v>0</v>
      </c>
      <c r="AI271" s="403">
        <f>OR(AI21=1,AI$5=GA!$G$666,AND(AI268&gt;0,AJ268=0))*AI270+AND(AI150&gt;0,AI21=0)*IF(TDCF!AI199=0,0,TDCF!AI200/TDCF!AI199)*AI270</f>
        <v>0</v>
      </c>
      <c r="AJ271" s="403">
        <f>OR(AJ21=1,AJ$5=GA!$G$666,AND(AJ268&gt;0,AK268=0))*AJ270+AND(AJ150&gt;0,AJ21=0)*IF(TDCF!AJ199=0,0,TDCF!AJ200/TDCF!AJ199)*AJ270</f>
        <v>0</v>
      </c>
      <c r="AK271" s="403">
        <f>OR(AK21=1,AK$5=GA!$G$666,AND(AK268&gt;0,AL268=0))*AK270+AND(AK150&gt;0,AK21=0)*IF(TDCF!AK199=0,0,TDCF!AK200/TDCF!AK199)*AK270</f>
        <v>0</v>
      </c>
      <c r="AL271" s="403">
        <f>OR(AL21=1,AL$5=GA!$G$666,AND(AL268&gt;0,AM268=0))*AL270+AND(AL150&gt;0,AL21=0)*IF(TDCF!AL199=0,0,TDCF!AL200/TDCF!AL199)*AL270</f>
        <v>0</v>
      </c>
      <c r="AM271" s="403">
        <f>OR(AM21=1,AM$5=GA!$G$666,AND(AM268&gt;0,AN268=0))*AM270+AND(AM150&gt;0,AM21=0)*IF(TDCF!AM199=0,0,TDCF!AM200/TDCF!AM199)*AM270</f>
        <v>0</v>
      </c>
      <c r="AN271" s="403">
        <f>OR(AN21=1,AN$5=GA!$G$666,AND(AN268&gt;0,AO268=0))*AN270+AND(AN150&gt;0,AN21=0)*IF(TDCF!AN199=0,0,TDCF!AN200/TDCF!AN199)*AN270</f>
        <v>0</v>
      </c>
      <c r="AO271" s="403">
        <f>OR(AO21=1,AO$5=GA!$G$666,AND(AO268&gt;0,AP268=0))*AO270+AND(AO150&gt;0,AO21=0)*IF(TDCF!AO199=0,0,TDCF!AO200/TDCF!AO199)*AO270</f>
        <v>0</v>
      </c>
      <c r="AP271" s="403">
        <f>OR(AP21=1,AP$5=GA!$G$666,AND(AP268&gt;0,AQ268=0))*AP270+AND(AP150&gt;0,AP21=0)*IF(TDCF!AP199=0,0,TDCF!AP200/TDCF!AP199)*AP270</f>
        <v>0</v>
      </c>
      <c r="AQ271" s="403">
        <f>OR(AQ21=1,AQ$5=GA!$G$666,AND(AQ268&gt;0,AR268=0))*AQ270+AND(AQ150&gt;0,AQ21=0)*IF(TDCF!AQ199=0,0,TDCF!AQ200/TDCF!AQ199)*AQ270</f>
        <v>0</v>
      </c>
      <c r="AR271" s="403">
        <f>OR(AR21=1,AR$5=GA!$G$666,AND(AR268&gt;0,AS268=0))*AR270+AND(AR150&gt;0,AR21=0)*IF(TDCF!AR199=0,0,TDCF!AR200/TDCF!AR199)*AR270</f>
        <v>0</v>
      </c>
      <c r="AS271" s="403">
        <f>OR(AS21=1,AS$5=GA!$G$666,AND(AS268&gt;0,AT268=0))*AS270+AND(AS150&gt;0,AS21=0)*IF(TDCF!AS199=0,0,TDCF!AS200/TDCF!AS199)*AS270</f>
        <v>0</v>
      </c>
      <c r="AT271" s="403">
        <f>OR(AT21=1,AT$5=GA!$G$666,AND(AT268&gt;0,AU268=0))*AT270+AND(AT150&gt;0,AT21=0)*IF(TDCF!AT199=0,0,TDCF!AT200/TDCF!AT199)*AT270</f>
        <v>0</v>
      </c>
      <c r="AU271" s="403">
        <f>OR(AU21=1,AU$5=GA!$G$666,AND(AU268&gt;0,AV268=0))*AU270+AND(AU150&gt;0,AU21=0)*IF(TDCF!AU199=0,0,TDCF!AU200/TDCF!AU199)*AU270</f>
        <v>0</v>
      </c>
      <c r="AV271" s="403">
        <f>OR(AV21=1,AV$5=GA!$G$666,AND(AV268&gt;0,AW268=0))*AV270+AND(AV150&gt;0,AV21=0)*IF(TDCF!AV199=0,0,TDCF!AV200/TDCF!AV199)*AV270</f>
        <v>0</v>
      </c>
      <c r="AW271" s="403">
        <f>OR(AW21=1,AW$5=GA!$G$666,AND(AW268&gt;0,AX268=0))*AW270+AND(AW150&gt;0,AW21=0)*IF(TDCF!AW199=0,0,TDCF!AW200/TDCF!AW199)*AW270</f>
        <v>0</v>
      </c>
      <c r="AX271" s="403">
        <f>OR(AX21=1,AX$5=GA!$G$666,AND(AX268&gt;0,AY268=0))*AX270+AND(AX150&gt;0,AX21=0)*IF(TDCF!AX199=0,0,TDCF!AX200/TDCF!AX199)*AX270</f>
        <v>0</v>
      </c>
      <c r="AY271" s="403">
        <f>OR(AY21=1,AY$5=GA!$G$666,AND(AY268&gt;0,AZ268=0))*AY270+AND(AY150&gt;0,AY21=0)*IF(TDCF!AY199=0,0,TDCF!AY200/TDCF!AY199)*AY270</f>
        <v>0</v>
      </c>
      <c r="AZ271" s="403">
        <f>OR(AZ21=1,AZ$5=GA!$G$666,AND(AZ268&gt;0,BA268=0))*AZ270+AND(AZ150&gt;0,AZ21=0)*IF(TDCF!AZ199=0,0,TDCF!AZ200/TDCF!AZ199)*AZ270</f>
        <v>0</v>
      </c>
      <c r="BA271" s="403">
        <f>OR(BA21=1,BA$5=GA!$G$666,AND(BA268&gt;0,BB268=0))*BA270+AND(BA150&gt;0,BA21=0)*IF(TDCF!BA199=0,0,TDCF!BA200/TDCF!BA199)*BA270</f>
        <v>0</v>
      </c>
      <c r="BB271" s="403">
        <f>OR(BB21=1,BB$5=GA!$G$666,AND(BB268&gt;0,BC268=0))*BB270+AND(BB150&gt;0,BB21=0)*IF(TDCF!BB199=0,0,TDCF!BB200/TDCF!BB199)*BB270</f>
        <v>0</v>
      </c>
      <c r="BC271" s="403">
        <f>OR(BC21=1,BC$5=GA!$G$666,AND(BC268&gt;0,BD268=0))*BC270+AND(BC150&gt;0,BC21=0)*IF(TDCF!BC199=0,0,TDCF!BC200/TDCF!BC199)*BC270</f>
        <v>0</v>
      </c>
      <c r="BD271" s="403">
        <f>OR(BD21=1,BD$5=GA!$G$666,AND(BD268&gt;0,BE268=0))*BD270+AND(BD150&gt;0,BD21=0)*IF(TDCF!BD199=0,0,TDCF!BD200/TDCF!BD199)*BD270</f>
        <v>0</v>
      </c>
      <c r="BE271" s="403">
        <f>OR(BE21=1,BE$5=GA!$G$666,AND(BE268&gt;0,BF268=0))*BE270+AND(BE150&gt;0,BE21=0)*IF(TDCF!BE199=0,0,TDCF!BE200/TDCF!BE199)*BE270</f>
        <v>0</v>
      </c>
      <c r="BF271" s="403">
        <f>OR(BF21=1,BF$5=GA!$G$666,AND(BF268&gt;0,BG268=0))*BF270+AND(BF150&gt;0,BF21=0)*IF(TDCF!BF199=0,0,TDCF!BF200/TDCF!BF199)*BF270</f>
        <v>0</v>
      </c>
      <c r="BG271" s="403">
        <f>OR(BG21=1,BG$5=GA!$G$666,AND(BG268&gt;0,BH268=0))*BG270+AND(BG150&gt;0,BG21=0)*IF(TDCF!BG199=0,0,TDCF!BG200/TDCF!BG199)*BG270</f>
        <v>0</v>
      </c>
      <c r="BI271" s="476">
        <f>SUM(T271:BG271)</f>
        <v>0</v>
      </c>
      <c r="BM271" s="310">
        <f t="shared" ref="BM271:BV271" si="300">SUMIF($T$8:$BG$8,BM$6,$T271:$BG271)</f>
        <v>0</v>
      </c>
      <c r="BN271" s="310">
        <f t="shared" si="300"/>
        <v>0</v>
      </c>
      <c r="BO271" s="310">
        <f t="shared" si="300"/>
        <v>0</v>
      </c>
      <c r="BP271" s="310">
        <f t="shared" si="300"/>
        <v>0</v>
      </c>
      <c r="BQ271" s="310">
        <f t="shared" si="300"/>
        <v>0</v>
      </c>
      <c r="BR271" s="310">
        <f t="shared" si="300"/>
        <v>0</v>
      </c>
      <c r="BS271" s="310">
        <f t="shared" si="300"/>
        <v>0</v>
      </c>
      <c r="BT271" s="310">
        <f t="shared" si="300"/>
        <v>0</v>
      </c>
      <c r="BU271" s="310">
        <f t="shared" si="300"/>
        <v>0</v>
      </c>
      <c r="BV271" s="310">
        <f t="shared" si="300"/>
        <v>0</v>
      </c>
      <c r="BX271" s="476">
        <f>SUM(BM271:BV271)</f>
        <v>0</v>
      </c>
    </row>
    <row r="272" spans="3:76">
      <c r="R272" s="444"/>
      <c r="S272" s="444"/>
      <c r="T272" s="444"/>
      <c r="U272" s="444"/>
      <c r="V272" s="444"/>
      <c r="W272" s="444"/>
      <c r="X272" s="444"/>
      <c r="Y272" s="444"/>
      <c r="Z272" s="444"/>
      <c r="AA272" s="444"/>
      <c r="AB272" s="444"/>
      <c r="AC272" s="444"/>
      <c r="AD272" s="444"/>
      <c r="AE272" s="444"/>
      <c r="AF272" s="444"/>
      <c r="AG272" s="444"/>
      <c r="AH272" s="444"/>
      <c r="AI272" s="444"/>
      <c r="AJ272" s="444"/>
      <c r="AK272" s="444"/>
      <c r="AL272" s="444"/>
      <c r="AM272" s="444"/>
      <c r="AN272" s="444"/>
      <c r="AO272" s="444"/>
      <c r="AP272" s="444"/>
      <c r="AQ272" s="444"/>
      <c r="AR272" s="444"/>
      <c r="AS272" s="444"/>
      <c r="AT272" s="444"/>
      <c r="AU272" s="444"/>
      <c r="AV272" s="444"/>
      <c r="AW272" s="444"/>
      <c r="AX272" s="444"/>
      <c r="AY272" s="444"/>
      <c r="AZ272" s="444"/>
      <c r="BA272" s="444"/>
      <c r="BB272" s="444"/>
      <c r="BC272" s="444"/>
      <c r="BD272" s="444"/>
      <c r="BE272" s="444"/>
      <c r="BF272" s="444"/>
      <c r="BG272" s="444"/>
    </row>
    <row r="273" spans="3:76">
      <c r="C273" s="268" t="s">
        <v>792</v>
      </c>
      <c r="D273" s="268"/>
      <c r="E273" s="268"/>
      <c r="F273" s="268"/>
      <c r="G273" s="268"/>
      <c r="H273" s="268"/>
      <c r="I273" s="268"/>
      <c r="J273" s="268"/>
      <c r="K273" s="268"/>
      <c r="L273" s="268"/>
      <c r="M273" s="268"/>
      <c r="N273" s="268"/>
      <c r="O273" s="268"/>
      <c r="P273" s="268"/>
      <c r="Q273" s="268"/>
      <c r="R273" s="484"/>
      <c r="S273" s="484"/>
      <c r="T273" s="367">
        <f>T266+T271</f>
        <v>0</v>
      </c>
      <c r="U273" s="367">
        <f t="shared" ref="U273:BG273" si="301">U266+U271</f>
        <v>0</v>
      </c>
      <c r="V273" s="367">
        <f t="shared" si="301"/>
        <v>0</v>
      </c>
      <c r="W273" s="367">
        <f t="shared" si="301"/>
        <v>0</v>
      </c>
      <c r="X273" s="367">
        <f t="shared" si="301"/>
        <v>0</v>
      </c>
      <c r="Y273" s="367">
        <f t="shared" si="301"/>
        <v>0</v>
      </c>
      <c r="Z273" s="367">
        <f t="shared" si="301"/>
        <v>0</v>
      </c>
      <c r="AA273" s="367">
        <f t="shared" si="301"/>
        <v>0</v>
      </c>
      <c r="AB273" s="367">
        <f t="shared" si="301"/>
        <v>0</v>
      </c>
      <c r="AC273" s="367">
        <f t="shared" si="301"/>
        <v>0</v>
      </c>
      <c r="AD273" s="367">
        <f t="shared" si="301"/>
        <v>0</v>
      </c>
      <c r="AE273" s="367">
        <f t="shared" si="301"/>
        <v>0</v>
      </c>
      <c r="AF273" s="367">
        <f t="shared" si="301"/>
        <v>0</v>
      </c>
      <c r="AG273" s="367">
        <f t="shared" si="301"/>
        <v>0</v>
      </c>
      <c r="AH273" s="367">
        <f t="shared" si="301"/>
        <v>0</v>
      </c>
      <c r="AI273" s="367">
        <f t="shared" si="301"/>
        <v>0</v>
      </c>
      <c r="AJ273" s="367">
        <f t="shared" si="301"/>
        <v>0</v>
      </c>
      <c r="AK273" s="367">
        <f t="shared" si="301"/>
        <v>0</v>
      </c>
      <c r="AL273" s="367">
        <f t="shared" si="301"/>
        <v>0</v>
      </c>
      <c r="AM273" s="367">
        <f t="shared" si="301"/>
        <v>0</v>
      </c>
      <c r="AN273" s="367">
        <f t="shared" si="301"/>
        <v>0</v>
      </c>
      <c r="AO273" s="367">
        <f t="shared" si="301"/>
        <v>0</v>
      </c>
      <c r="AP273" s="367">
        <f t="shared" si="301"/>
        <v>0</v>
      </c>
      <c r="AQ273" s="367">
        <f t="shared" si="301"/>
        <v>0</v>
      </c>
      <c r="AR273" s="367">
        <f t="shared" si="301"/>
        <v>0</v>
      </c>
      <c r="AS273" s="367">
        <f t="shared" si="301"/>
        <v>0</v>
      </c>
      <c r="AT273" s="367">
        <f t="shared" si="301"/>
        <v>0</v>
      </c>
      <c r="AU273" s="367">
        <f t="shared" si="301"/>
        <v>0</v>
      </c>
      <c r="AV273" s="367">
        <f t="shared" si="301"/>
        <v>0</v>
      </c>
      <c r="AW273" s="367">
        <f t="shared" si="301"/>
        <v>0</v>
      </c>
      <c r="AX273" s="367">
        <f t="shared" si="301"/>
        <v>0</v>
      </c>
      <c r="AY273" s="367">
        <f t="shared" si="301"/>
        <v>0</v>
      </c>
      <c r="AZ273" s="367">
        <f t="shared" si="301"/>
        <v>0</v>
      </c>
      <c r="BA273" s="367">
        <f t="shared" si="301"/>
        <v>0</v>
      </c>
      <c r="BB273" s="367">
        <f t="shared" si="301"/>
        <v>0</v>
      </c>
      <c r="BC273" s="367">
        <f t="shared" si="301"/>
        <v>0</v>
      </c>
      <c r="BD273" s="367">
        <f t="shared" si="301"/>
        <v>0</v>
      </c>
      <c r="BE273" s="367">
        <f t="shared" si="301"/>
        <v>0</v>
      </c>
      <c r="BF273" s="367">
        <f t="shared" si="301"/>
        <v>0</v>
      </c>
      <c r="BG273" s="367">
        <f t="shared" si="301"/>
        <v>0</v>
      </c>
      <c r="BI273" s="254">
        <f>SUM(T273:BG273)</f>
        <v>0</v>
      </c>
      <c r="BM273" s="254">
        <f t="shared" ref="BM273:BV273" si="302">SUMIF($T$8:$BG$8,BM$6,$T273:$BG273)</f>
        <v>0</v>
      </c>
      <c r="BN273" s="254">
        <f t="shared" si="302"/>
        <v>0</v>
      </c>
      <c r="BO273" s="254">
        <f t="shared" si="302"/>
        <v>0</v>
      </c>
      <c r="BP273" s="254">
        <f t="shared" si="302"/>
        <v>0</v>
      </c>
      <c r="BQ273" s="254">
        <f t="shared" si="302"/>
        <v>0</v>
      </c>
      <c r="BR273" s="254">
        <f t="shared" si="302"/>
        <v>0</v>
      </c>
      <c r="BS273" s="254">
        <f t="shared" si="302"/>
        <v>0</v>
      </c>
      <c r="BT273" s="254">
        <f t="shared" si="302"/>
        <v>0</v>
      </c>
      <c r="BU273" s="254">
        <f t="shared" si="302"/>
        <v>0</v>
      </c>
      <c r="BV273" s="254">
        <f t="shared" si="302"/>
        <v>0</v>
      </c>
      <c r="BX273" s="254">
        <f>SUM(BM273:BV273)</f>
        <v>0</v>
      </c>
    </row>
    <row r="274" spans="3:76">
      <c r="R274" s="444"/>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c r="AS274" s="310"/>
      <c r="AT274" s="310"/>
      <c r="AU274" s="310"/>
      <c r="AV274" s="310"/>
      <c r="AW274" s="310"/>
      <c r="AX274" s="310"/>
      <c r="AY274" s="310"/>
      <c r="AZ274" s="310"/>
      <c r="BA274" s="310"/>
      <c r="BB274" s="310"/>
      <c r="BC274" s="310"/>
      <c r="BD274" s="310"/>
      <c r="BE274" s="310"/>
      <c r="BF274" s="310"/>
      <c r="BG274" s="310"/>
    </row>
    <row r="275" spans="3:76">
      <c r="C275" s="364" t="s">
        <v>798</v>
      </c>
      <c r="D275" s="364"/>
      <c r="E275" s="364"/>
      <c r="F275" s="364"/>
      <c r="G275" s="364"/>
      <c r="H275" s="364"/>
      <c r="I275" s="364"/>
      <c r="J275" s="364"/>
      <c r="K275" s="364"/>
      <c r="L275" s="364"/>
      <c r="M275" s="364"/>
      <c r="N275" s="364"/>
      <c r="O275" s="17"/>
      <c r="P275" s="17"/>
      <c r="Q275" s="17"/>
      <c r="R275" s="481"/>
      <c r="S275" s="369"/>
      <c r="T275" s="369"/>
      <c r="U275" s="369"/>
      <c r="V275" s="369"/>
      <c r="W275" s="369"/>
      <c r="X275" s="369"/>
      <c r="Y275" s="369"/>
      <c r="Z275" s="369"/>
      <c r="AA275" s="369"/>
      <c r="AB275" s="369"/>
      <c r="AC275" s="369"/>
      <c r="AD275" s="369"/>
      <c r="AE275" s="369"/>
      <c r="AF275" s="369"/>
      <c r="AG275" s="369"/>
      <c r="AH275" s="369"/>
      <c r="AI275" s="369"/>
      <c r="AJ275" s="369"/>
      <c r="AK275" s="369"/>
      <c r="AL275" s="369"/>
      <c r="AM275" s="369"/>
      <c r="AN275" s="369"/>
      <c r="AO275" s="369"/>
      <c r="AP275" s="369"/>
      <c r="AQ275" s="369"/>
      <c r="AR275" s="369"/>
      <c r="AS275" s="369"/>
      <c r="AT275" s="369"/>
      <c r="AU275" s="369"/>
      <c r="AV275" s="369"/>
      <c r="AW275" s="369"/>
      <c r="AX275" s="369"/>
      <c r="AY275" s="369"/>
      <c r="AZ275" s="369"/>
      <c r="BA275" s="369"/>
      <c r="BB275" s="369"/>
      <c r="BC275" s="369"/>
      <c r="BD275" s="369"/>
      <c r="BE275" s="369"/>
      <c r="BF275" s="369"/>
      <c r="BG275" s="369"/>
    </row>
    <row r="276" spans="3:76">
      <c r="C276" t="s">
        <v>723</v>
      </c>
      <c r="O276" s="479">
        <f>GA!$G$671</f>
        <v>5.0000000000000001E-3</v>
      </c>
      <c r="R276" s="483"/>
      <c r="S276" s="310">
        <f>-GA!$G$649*$O$276*AND(S255=0,S256&gt;0)</f>
        <v>0</v>
      </c>
      <c r="T276" s="310">
        <f>-GA!$G$649*$O$276*AND(T255=0,T256&gt;0)</f>
        <v>0</v>
      </c>
      <c r="U276" s="310">
        <f>-GA!$G$649*$O$276*AND(U255=0,U256&gt;0)</f>
        <v>0</v>
      </c>
      <c r="V276" s="310">
        <f>-GA!$G$649*$O$276*AND(V255=0,V256&gt;0)</f>
        <v>0</v>
      </c>
      <c r="W276" s="310">
        <f>-GA!$G$649*$O$276*AND(W255=0,W256&gt;0)</f>
        <v>0</v>
      </c>
      <c r="X276" s="310">
        <f>-GA!$G$649*$O$276*AND(X255=0,X256&gt;0)</f>
        <v>0</v>
      </c>
      <c r="Y276" s="310">
        <f>-GA!$G$649*$O$276*AND(Y255=0,Y256&gt;0)</f>
        <v>0</v>
      </c>
      <c r="Z276" s="310">
        <f>-GA!$G$649*$O$276*AND(Z255=0,Z256&gt;0)</f>
        <v>0</v>
      </c>
      <c r="AA276" s="310">
        <f>-GA!$G$649*$O$276*AND(AA255=0,AA256&gt;0)</f>
        <v>0</v>
      </c>
      <c r="AB276" s="310">
        <f>-GA!$G$649*$O$276*AND(AB255=0,AB256&gt;0)</f>
        <v>0</v>
      </c>
      <c r="AC276" s="310">
        <f>-GA!$G$649*$O$276*AND(AC255=0,AC256&gt;0)</f>
        <v>0</v>
      </c>
      <c r="AD276" s="310">
        <f>-GA!$G$649*$O$276*AND(AD255=0,AD256&gt;0)</f>
        <v>0</v>
      </c>
      <c r="AE276" s="310">
        <f>-GA!$G$649*$O$276*AND(AE255=0,AE256&gt;0)</f>
        <v>0</v>
      </c>
      <c r="AF276" s="310">
        <f>-GA!$G$649*$O$276*AND(AF255=0,AF256&gt;0)</f>
        <v>0</v>
      </c>
      <c r="AG276" s="310">
        <f>-GA!$G$649*$O$276*AND(AG255=0,AG256&gt;0)</f>
        <v>0</v>
      </c>
      <c r="AH276" s="310">
        <f>-GA!$G$649*$O$276*AND(AH255=0,AH256&gt;0)</f>
        <v>0</v>
      </c>
      <c r="AI276" s="310">
        <f>-GA!$G$649*$O$276*AND(AI255=0,AI256&gt;0)</f>
        <v>0</v>
      </c>
      <c r="AJ276" s="310">
        <f>-GA!$G$649*$O$276*AND(AJ255=0,AJ256&gt;0)</f>
        <v>0</v>
      </c>
      <c r="AK276" s="310">
        <f>-GA!$G$649*$O$276*AND(AK255=0,AK256&gt;0)</f>
        <v>0</v>
      </c>
      <c r="AL276" s="310">
        <f>-GA!$G$649*$O$276*AND(AL255=0,AL256&gt;0)</f>
        <v>0</v>
      </c>
      <c r="AM276" s="310">
        <f>-GA!$G$649*$O$276*AND(AM255=0,AM256&gt;0)</f>
        <v>0</v>
      </c>
      <c r="AN276" s="310">
        <f>-GA!$G$649*$O$276*AND(AN255=0,AN256&gt;0)</f>
        <v>0</v>
      </c>
      <c r="AO276" s="310">
        <f>-GA!$G$649*$O$276*AND(AO255=0,AO256&gt;0)</f>
        <v>0</v>
      </c>
      <c r="AP276" s="310">
        <f>-GA!$G$649*$O$276*AND(AP255=0,AP256&gt;0)</f>
        <v>0</v>
      </c>
      <c r="AQ276" s="310">
        <f>-GA!$G$649*$O$276*AND(AQ255=0,AQ256&gt;0)</f>
        <v>0</v>
      </c>
      <c r="AR276" s="310">
        <f>-GA!$G$649*$O$276*AND(AR255=0,AR256&gt;0)</f>
        <v>0</v>
      </c>
      <c r="AS276" s="310">
        <f>-GA!$G$649*$O$276*AND(AS255=0,AS256&gt;0)</f>
        <v>0</v>
      </c>
      <c r="AT276" s="310">
        <f>-GA!$G$649*$O$276*AND(AT255=0,AT256&gt;0)</f>
        <v>0</v>
      </c>
      <c r="AU276" s="310">
        <f>-GA!$G$649*$O$276*AND(AU255=0,AU256&gt;0)</f>
        <v>0</v>
      </c>
      <c r="AV276" s="310">
        <f>-GA!$G$649*$O$276*AND(AV255=0,AV256&gt;0)</f>
        <v>0</v>
      </c>
      <c r="AW276" s="310">
        <f>-GA!$G$649*$O$276*AND(AW255=0,AW256&gt;0)</f>
        <v>0</v>
      </c>
      <c r="AX276" s="310">
        <f>-GA!$G$649*$O$276*AND(AX255=0,AX256&gt;0)</f>
        <v>0</v>
      </c>
      <c r="AY276" s="310">
        <f>-GA!$G$649*$O$276*AND(AY255=0,AY256&gt;0)</f>
        <v>0</v>
      </c>
      <c r="AZ276" s="310">
        <f>-GA!$G$649*$O$276*AND(AZ255=0,AZ256&gt;0)</f>
        <v>0</v>
      </c>
      <c r="BA276" s="310">
        <f>-GA!$G$649*$O$276*AND(BA255=0,BA256&gt;0)</f>
        <v>0</v>
      </c>
      <c r="BB276" s="310">
        <f>-GA!$G$649*$O$276*AND(BB255=0,BB256&gt;0)</f>
        <v>0</v>
      </c>
      <c r="BC276" s="310">
        <f>-GA!$G$649*$O$276*AND(BC255=0,BC256&gt;0)</f>
        <v>0</v>
      </c>
      <c r="BD276" s="310">
        <f>-GA!$G$649*$O$276*AND(BD255=0,BD256&gt;0)</f>
        <v>0</v>
      </c>
      <c r="BE276" s="310">
        <f>-GA!$G$649*$O$276*AND(BE255=0,BE256&gt;0)</f>
        <v>0</v>
      </c>
      <c r="BF276" s="310">
        <f>-GA!$G$649*$O$276*AND(BF255=0,BF256&gt;0)</f>
        <v>0</v>
      </c>
      <c r="BG276" s="310">
        <f>-GA!$G$649*$O$276*AND(BG255=0,BG256&gt;0)</f>
        <v>0</v>
      </c>
      <c r="BI276" s="1068">
        <f>SUM(S276:BG276)</f>
        <v>0</v>
      </c>
      <c r="BM276" s="368">
        <f t="shared" ref="BM276:BV280" si="303">SUMIF($T$8:$BG$8,BM$6,$T276:$BG276)</f>
        <v>0</v>
      </c>
      <c r="BN276" s="368">
        <f t="shared" si="303"/>
        <v>0</v>
      </c>
      <c r="BO276" s="368">
        <f t="shared" si="303"/>
        <v>0</v>
      </c>
      <c r="BP276" s="368">
        <f t="shared" si="303"/>
        <v>0</v>
      </c>
      <c r="BQ276" s="368">
        <f t="shared" si="303"/>
        <v>0</v>
      </c>
      <c r="BR276" s="368">
        <f t="shared" si="303"/>
        <v>0</v>
      </c>
      <c r="BS276" s="368">
        <f t="shared" si="303"/>
        <v>0</v>
      </c>
      <c r="BT276" s="368">
        <f t="shared" si="303"/>
        <v>0</v>
      </c>
      <c r="BU276" s="368">
        <f t="shared" si="303"/>
        <v>0</v>
      </c>
      <c r="BV276" s="368">
        <f t="shared" si="303"/>
        <v>0</v>
      </c>
      <c r="BX276" s="1068">
        <f>SUM(BM276:BV276)</f>
        <v>0</v>
      </c>
    </row>
    <row r="277" spans="3:76">
      <c r="C277" t="s">
        <v>729</v>
      </c>
      <c r="O277" s="1355">
        <f>GA!$G$672*GA!G648</f>
        <v>0</v>
      </c>
      <c r="R277" s="483"/>
      <c r="S277" s="310">
        <f>-O277</f>
        <v>0</v>
      </c>
      <c r="T277" s="402"/>
      <c r="U277" s="402"/>
      <c r="V277" s="402"/>
      <c r="W277" s="402"/>
      <c r="X277" s="402"/>
      <c r="Y277" s="402"/>
      <c r="Z277" s="402"/>
      <c r="AA277" s="402"/>
      <c r="AB277" s="402"/>
      <c r="AC277" s="402"/>
      <c r="AD277" s="402"/>
      <c r="AE277" s="402"/>
      <c r="AF277" s="402"/>
      <c r="AG277" s="402"/>
      <c r="AH277" s="402"/>
      <c r="AI277" s="402"/>
      <c r="AJ277" s="402"/>
      <c r="AK277" s="402"/>
      <c r="AL277" s="402"/>
      <c r="AM277" s="402"/>
      <c r="AN277" s="402"/>
      <c r="AO277" s="402"/>
      <c r="AP277" s="402"/>
      <c r="AQ277" s="402"/>
      <c r="AR277" s="402"/>
      <c r="AS277" s="402"/>
      <c r="AT277" s="402"/>
      <c r="AU277" s="402"/>
      <c r="AV277" s="402"/>
      <c r="AW277" s="402"/>
      <c r="AX277" s="402"/>
      <c r="AY277" s="402"/>
      <c r="AZ277" s="402"/>
      <c r="BA277" s="402"/>
      <c r="BB277" s="402"/>
      <c r="BC277" s="402"/>
      <c r="BD277" s="402"/>
      <c r="BE277" s="402"/>
      <c r="BF277" s="402"/>
      <c r="BG277" s="402"/>
      <c r="BI277" s="402">
        <f>SUM(S277)</f>
        <v>0</v>
      </c>
      <c r="BM277" s="1073">
        <f t="shared" si="303"/>
        <v>0</v>
      </c>
      <c r="BN277" s="1073">
        <f t="shared" si="303"/>
        <v>0</v>
      </c>
      <c r="BO277" s="1073">
        <f t="shared" si="303"/>
        <v>0</v>
      </c>
      <c r="BP277" s="1073">
        <f t="shared" si="303"/>
        <v>0</v>
      </c>
      <c r="BQ277" s="1073">
        <f t="shared" si="303"/>
        <v>0</v>
      </c>
      <c r="BR277" s="1073">
        <f t="shared" si="303"/>
        <v>0</v>
      </c>
      <c r="BS277" s="1073">
        <f t="shared" si="303"/>
        <v>0</v>
      </c>
      <c r="BT277" s="1073">
        <f t="shared" si="303"/>
        <v>0</v>
      </c>
      <c r="BU277" s="1073">
        <f t="shared" si="303"/>
        <v>0</v>
      </c>
      <c r="BV277" s="1073">
        <f t="shared" si="303"/>
        <v>0</v>
      </c>
      <c r="BX277" s="1073">
        <f>SUM(BM277:BV277)</f>
        <v>0</v>
      </c>
    </row>
    <row r="278" spans="3:76">
      <c r="C278" t="s">
        <v>773</v>
      </c>
      <c r="O278" s="410">
        <f>GA!$G$673</f>
        <v>0</v>
      </c>
      <c r="R278" s="483"/>
      <c r="S278" s="402"/>
      <c r="T278" s="310">
        <f>-T$255*$O$278/4</f>
        <v>0</v>
      </c>
      <c r="U278" s="310">
        <f t="shared" ref="U278:BG278" si="304">-U$255*$O$278/4</f>
        <v>0</v>
      </c>
      <c r="V278" s="310">
        <f t="shared" si="304"/>
        <v>0</v>
      </c>
      <c r="W278" s="310">
        <f t="shared" si="304"/>
        <v>0</v>
      </c>
      <c r="X278" s="310">
        <f t="shared" si="304"/>
        <v>0</v>
      </c>
      <c r="Y278" s="310">
        <f t="shared" si="304"/>
        <v>0</v>
      </c>
      <c r="Z278" s="310">
        <f t="shared" si="304"/>
        <v>0</v>
      </c>
      <c r="AA278" s="310">
        <f t="shared" si="304"/>
        <v>0</v>
      </c>
      <c r="AB278" s="310">
        <f t="shared" si="304"/>
        <v>0</v>
      </c>
      <c r="AC278" s="310">
        <f t="shared" si="304"/>
        <v>0</v>
      </c>
      <c r="AD278" s="310">
        <f t="shared" si="304"/>
        <v>0</v>
      </c>
      <c r="AE278" s="310">
        <f t="shared" si="304"/>
        <v>0</v>
      </c>
      <c r="AF278" s="310">
        <f t="shared" si="304"/>
        <v>0</v>
      </c>
      <c r="AG278" s="310">
        <f t="shared" si="304"/>
        <v>0</v>
      </c>
      <c r="AH278" s="310">
        <f t="shared" si="304"/>
        <v>0</v>
      </c>
      <c r="AI278" s="310">
        <f t="shared" si="304"/>
        <v>0</v>
      </c>
      <c r="AJ278" s="310">
        <f t="shared" si="304"/>
        <v>0</v>
      </c>
      <c r="AK278" s="310">
        <f t="shared" si="304"/>
        <v>0</v>
      </c>
      <c r="AL278" s="310">
        <f t="shared" si="304"/>
        <v>0</v>
      </c>
      <c r="AM278" s="310">
        <f t="shared" si="304"/>
        <v>0</v>
      </c>
      <c r="AN278" s="310">
        <f t="shared" si="304"/>
        <v>0</v>
      </c>
      <c r="AO278" s="310">
        <f t="shared" si="304"/>
        <v>0</v>
      </c>
      <c r="AP278" s="310">
        <f t="shared" si="304"/>
        <v>0</v>
      </c>
      <c r="AQ278" s="310">
        <f t="shared" si="304"/>
        <v>0</v>
      </c>
      <c r="AR278" s="310">
        <f t="shared" si="304"/>
        <v>0</v>
      </c>
      <c r="AS278" s="310">
        <f t="shared" si="304"/>
        <v>0</v>
      </c>
      <c r="AT278" s="310">
        <f t="shared" si="304"/>
        <v>0</v>
      </c>
      <c r="AU278" s="310">
        <f t="shared" si="304"/>
        <v>0</v>
      </c>
      <c r="AV278" s="310">
        <f t="shared" si="304"/>
        <v>0</v>
      </c>
      <c r="AW278" s="310">
        <f t="shared" si="304"/>
        <v>0</v>
      </c>
      <c r="AX278" s="310">
        <f t="shared" si="304"/>
        <v>0</v>
      </c>
      <c r="AY278" s="310">
        <f t="shared" si="304"/>
        <v>0</v>
      </c>
      <c r="AZ278" s="310">
        <f t="shared" si="304"/>
        <v>0</v>
      </c>
      <c r="BA278" s="310">
        <f t="shared" si="304"/>
        <v>0</v>
      </c>
      <c r="BB278" s="310">
        <f t="shared" si="304"/>
        <v>0</v>
      </c>
      <c r="BC278" s="310">
        <f t="shared" si="304"/>
        <v>0</v>
      </c>
      <c r="BD278" s="310">
        <f t="shared" si="304"/>
        <v>0</v>
      </c>
      <c r="BE278" s="310">
        <f t="shared" si="304"/>
        <v>0</v>
      </c>
      <c r="BF278" s="310">
        <f t="shared" si="304"/>
        <v>0</v>
      </c>
      <c r="BG278" s="310">
        <f t="shared" si="304"/>
        <v>0</v>
      </c>
      <c r="BI278" s="310">
        <f>SUM(T278:BG278)</f>
        <v>0</v>
      </c>
      <c r="BM278" s="310">
        <f t="shared" si="303"/>
        <v>0</v>
      </c>
      <c r="BN278" s="310">
        <f t="shared" si="303"/>
        <v>0</v>
      </c>
      <c r="BO278" s="310">
        <f t="shared" si="303"/>
        <v>0</v>
      </c>
      <c r="BP278" s="310">
        <f t="shared" si="303"/>
        <v>0</v>
      </c>
      <c r="BQ278" s="310">
        <f t="shared" si="303"/>
        <v>0</v>
      </c>
      <c r="BR278" s="310">
        <f t="shared" si="303"/>
        <v>0</v>
      </c>
      <c r="BS278" s="310">
        <f t="shared" si="303"/>
        <v>0</v>
      </c>
      <c r="BT278" s="310">
        <f t="shared" si="303"/>
        <v>0</v>
      </c>
      <c r="BU278" s="310">
        <f t="shared" si="303"/>
        <v>0</v>
      </c>
      <c r="BV278" s="310">
        <f t="shared" si="303"/>
        <v>0</v>
      </c>
      <c r="BX278" s="476">
        <f>SUM(BM278:BV278)</f>
        <v>0</v>
      </c>
    </row>
    <row r="279" spans="3:76">
      <c r="C279" t="s">
        <v>726</v>
      </c>
      <c r="O279" s="410">
        <f>GA!G674</f>
        <v>0.03</v>
      </c>
      <c r="R279" s="483"/>
      <c r="S279" s="402"/>
      <c r="T279" s="310">
        <f>(-(GA!$G$649-SUM($S$256:S256))*$O$279*T$7/GA!$G$599*T$20)*GA!$G$648</f>
        <v>0</v>
      </c>
      <c r="U279" s="310">
        <f>(-(GA!$G$649-SUM($S$256:T256))*$O$279*U$7/GA!$G$599*U$20)*GA!$G$648</f>
        <v>0</v>
      </c>
      <c r="V279" s="310">
        <f>(-(GA!$G$649-SUM($S$256:U256))*$O$279*V$7/GA!$G$599*V$20)*GA!$G$648</f>
        <v>0</v>
      </c>
      <c r="W279" s="310">
        <f>(-(GA!$G$649-SUM($S$256:V256))*$O$279*W$7/GA!$G$599*W$20)*GA!$G$648</f>
        <v>0</v>
      </c>
      <c r="X279" s="310">
        <f>(-(GA!$G$649-SUM($S$256:W256))*$O$279*X$7/GA!$G$599*X$20)*GA!$G$648</f>
        <v>0</v>
      </c>
      <c r="Y279" s="310">
        <f>(-(GA!$G$649-SUM($S$256:X256))*$O$279*Y$7/GA!$G$599*Y$20)*GA!$G$648</f>
        <v>0</v>
      </c>
      <c r="Z279" s="310">
        <f>(-(GA!$G$649-SUM($S$256:Y256))*$O$279*Z$7/GA!$G$599*Z$20)*GA!$G$648</f>
        <v>0</v>
      </c>
      <c r="AA279" s="310">
        <f>(-(GA!$G$649-SUM($S$256:Z256))*$O$279*AA$7/GA!$G$599*AA$20)*GA!$G$648</f>
        <v>0</v>
      </c>
      <c r="AB279" s="310">
        <f>(-(GA!$G$649-SUM($S$256:AA256))*$O$279*AB$7/GA!$G$599*AB$20)*GA!$G$648</f>
        <v>0</v>
      </c>
      <c r="AC279" s="310">
        <f>(-(GA!$G$649-SUM($S$256:AB256))*$O$279*AC$7/GA!$G$599*AC$20)*GA!$G$648</f>
        <v>0</v>
      </c>
      <c r="AD279" s="310">
        <f>(-(GA!$G$649-SUM($S$256:AC256))*$O$279*AD$7/GA!$G$599*AD$20)*GA!$G$648</f>
        <v>0</v>
      </c>
      <c r="AE279" s="310">
        <f>(-(GA!$G$649-SUM($S$256:AD256))*$O$279*AE$7/GA!$G$599*AE$20)*GA!$G$648</f>
        <v>0</v>
      </c>
      <c r="AF279" s="310">
        <f>(-(GA!$G$649-SUM($S$256:AE256))*$O$279*AF$7/GA!$G$599*AF$20)*GA!$G$648</f>
        <v>0</v>
      </c>
      <c r="AG279" s="310">
        <f>(-(GA!$G$649-SUM($S$256:AF256))*$O$279*AG$7/GA!$G$599*AG$20)*GA!$G$648</f>
        <v>0</v>
      </c>
      <c r="AH279" s="310">
        <f>(-(GA!$G$649-SUM($S$256:AG256))*$O$279*AH$7/GA!$G$599*AH$20)*GA!$G$648</f>
        <v>0</v>
      </c>
      <c r="AI279" s="310">
        <f>(-(GA!$G$649-SUM($S$256:AH256))*$O$279*AI$7/GA!$G$599*AI$20)*GA!$G$648</f>
        <v>0</v>
      </c>
      <c r="AJ279" s="310">
        <f>(-(GA!$G$649-SUM($S$256:AI256))*$O$279*AJ$7/GA!$G$599*AJ$20)*GA!$G$648</f>
        <v>0</v>
      </c>
      <c r="AK279" s="310">
        <f>(-(GA!$G$649-SUM($S$256:AJ256))*$O$279*AK$7/GA!$G$599*AK$20)*GA!$G$648</f>
        <v>0</v>
      </c>
      <c r="AL279" s="310">
        <f>(-(GA!$G$649-SUM($S$256:AK256))*$O$279*AL$7/GA!$G$599*AL$20)*GA!$G$648</f>
        <v>0</v>
      </c>
      <c r="AM279" s="310">
        <f>(-(GA!$G$649-SUM($S$256:AL256))*$O$279*AM$7/GA!$G$599*AM$20)*GA!$G$648</f>
        <v>0</v>
      </c>
      <c r="AN279" s="310">
        <f>(-(GA!$G$649-SUM($S$256:AM256))*$O$279*AN$7/GA!$G$599*AN$20)*GA!$G$648</f>
        <v>0</v>
      </c>
      <c r="AO279" s="310">
        <f>(-(GA!$G$649-SUM($S$256:AN256))*$O$279*AO$7/GA!$G$599*AO$20)*GA!$G$648</f>
        <v>0</v>
      </c>
      <c r="AP279" s="310">
        <f>(-(GA!$G$649-SUM($S$256:AO256))*$O$279*AP$7/GA!$G$599*AP$20)*GA!$G$648</f>
        <v>0</v>
      </c>
      <c r="AQ279" s="310">
        <f>(-(GA!$G$649-SUM($S$256:AP256))*$O$279*AQ$7/GA!$G$599*AQ$20)*GA!$G$648</f>
        <v>0</v>
      </c>
      <c r="AR279" s="310">
        <f>(-(GA!$G$649-SUM($S$256:AQ256))*$O$279*AR$7/GA!$G$599*AR$20)*GA!$G$648</f>
        <v>0</v>
      </c>
      <c r="AS279" s="310">
        <f>(-(GA!$G$649-SUM($S$256:AR256))*$O$279*AS$7/GA!$G$599*AS$20)*GA!$G$648</f>
        <v>0</v>
      </c>
      <c r="AT279" s="310">
        <f>(-(GA!$G$649-SUM($S$256:AS256))*$O$279*AT$7/GA!$G$599*AT$20)*GA!$G$648</f>
        <v>0</v>
      </c>
      <c r="AU279" s="310">
        <f>(-(GA!$G$649-SUM($S$256:AT256))*$O$279*AU$7/GA!$G$599*AU$20)*GA!$G$648</f>
        <v>0</v>
      </c>
      <c r="AV279" s="310">
        <f>(-(GA!$G$649-SUM($S$256:AU256))*$O$279*AV$7/GA!$G$599*AV$20)*GA!$G$648</f>
        <v>0</v>
      </c>
      <c r="AW279" s="310">
        <f>(-(GA!$G$649-SUM($S$256:AV256))*$O$279*AW$7/GA!$G$599*AW$20)*GA!$G$648</f>
        <v>0</v>
      </c>
      <c r="AX279" s="310">
        <f>(-(GA!$G$649-SUM($S$256:AW256))*$O$279*AX$7/GA!$G$599*AX$20)*GA!$G$648</f>
        <v>0</v>
      </c>
      <c r="AY279" s="310">
        <f>(-(GA!$G$649-SUM($S$256:AX256))*$O$279*AY$7/GA!$G$599*AY$20)*GA!$G$648</f>
        <v>0</v>
      </c>
      <c r="AZ279" s="310">
        <f>(-(GA!$G$649-SUM($S$256:AY256))*$O$279*AZ$7/GA!$G$599*AZ$20)*GA!$G$648</f>
        <v>0</v>
      </c>
      <c r="BA279" s="310">
        <f>(-(GA!$G$649-SUM($S$256:AZ256))*$O$279*BA$7/GA!$G$599*BA$20)*GA!$G$648</f>
        <v>0</v>
      </c>
      <c r="BB279" s="310">
        <f>(-(GA!$G$649-SUM($S$256:BA256))*$O$279*BB$7/GA!$G$599*BB$20)*GA!$G$648</f>
        <v>0</v>
      </c>
      <c r="BC279" s="310">
        <f>(-(GA!$G$649-SUM($S$256:BB256))*$O$279*BC$7/GA!$G$599*BC$20)*GA!$G$648</f>
        <v>0</v>
      </c>
      <c r="BD279" s="310">
        <f>(-(GA!$G$649-SUM($S$256:BC256))*$O$279*BD$7/GA!$G$599*BD$20)*GA!$G$648</f>
        <v>0</v>
      </c>
      <c r="BE279" s="310">
        <f>(-(GA!$G$649-SUM($S$256:BD256))*$O$279*BE$7/GA!$G$599*BE$20)*GA!$G$648</f>
        <v>0</v>
      </c>
      <c r="BF279" s="310">
        <f>(-(GA!$G$649-SUM($S$256:BE256))*$O$279*BF$7/GA!$G$599*BF$20)*GA!$G$648</f>
        <v>0</v>
      </c>
      <c r="BG279" s="310">
        <f>(-(GA!$G$649-SUM($S$256:BF256))*$O$279*BG$7/GA!$G$599*BG$20)*GA!$G$648</f>
        <v>0</v>
      </c>
      <c r="BI279" s="310"/>
      <c r="BM279" s="310">
        <f t="shared" si="303"/>
        <v>0</v>
      </c>
      <c r="BN279" s="310">
        <f t="shared" si="303"/>
        <v>0</v>
      </c>
      <c r="BO279" s="310">
        <f t="shared" si="303"/>
        <v>0</v>
      </c>
      <c r="BP279" s="310">
        <f t="shared" si="303"/>
        <v>0</v>
      </c>
      <c r="BQ279" s="310">
        <f t="shared" si="303"/>
        <v>0</v>
      </c>
      <c r="BR279" s="310">
        <f t="shared" si="303"/>
        <v>0</v>
      </c>
      <c r="BS279" s="310">
        <f t="shared" si="303"/>
        <v>0</v>
      </c>
      <c r="BT279" s="310">
        <f t="shared" si="303"/>
        <v>0</v>
      </c>
      <c r="BU279" s="310">
        <f t="shared" si="303"/>
        <v>0</v>
      </c>
      <c r="BV279" s="310">
        <f t="shared" si="303"/>
        <v>0</v>
      </c>
      <c r="BX279" s="476">
        <f>SUM(BM279:BV279)</f>
        <v>0</v>
      </c>
    </row>
    <row r="280" spans="3:76">
      <c r="C280" s="253" t="s">
        <v>799</v>
      </c>
      <c r="D280" s="253"/>
      <c r="E280" s="253"/>
      <c r="F280" s="253"/>
      <c r="G280" s="253"/>
      <c r="H280" s="253"/>
      <c r="I280" s="253"/>
      <c r="J280" s="253"/>
      <c r="K280" s="253"/>
      <c r="L280" s="253"/>
      <c r="M280" s="253"/>
      <c r="N280" s="253"/>
      <c r="O280" s="480"/>
      <c r="P280" s="268"/>
      <c r="Q280" s="268"/>
      <c r="R280" s="484"/>
      <c r="S280" s="367">
        <f>SUM(S276:S279)</f>
        <v>0</v>
      </c>
      <c r="T280" s="367">
        <f t="shared" ref="T280:BG280" si="305">SUM(T276:T279)</f>
        <v>0</v>
      </c>
      <c r="U280" s="367">
        <f t="shared" si="305"/>
        <v>0</v>
      </c>
      <c r="V280" s="367">
        <f t="shared" si="305"/>
        <v>0</v>
      </c>
      <c r="W280" s="367">
        <f t="shared" si="305"/>
        <v>0</v>
      </c>
      <c r="X280" s="367">
        <f t="shared" si="305"/>
        <v>0</v>
      </c>
      <c r="Y280" s="367">
        <f t="shared" si="305"/>
        <v>0</v>
      </c>
      <c r="Z280" s="367">
        <f t="shared" si="305"/>
        <v>0</v>
      </c>
      <c r="AA280" s="367">
        <f t="shared" si="305"/>
        <v>0</v>
      </c>
      <c r="AB280" s="367">
        <f t="shared" si="305"/>
        <v>0</v>
      </c>
      <c r="AC280" s="367">
        <f t="shared" si="305"/>
        <v>0</v>
      </c>
      <c r="AD280" s="367">
        <f t="shared" si="305"/>
        <v>0</v>
      </c>
      <c r="AE280" s="367">
        <f t="shared" si="305"/>
        <v>0</v>
      </c>
      <c r="AF280" s="367">
        <f t="shared" si="305"/>
        <v>0</v>
      </c>
      <c r="AG280" s="367">
        <f t="shared" si="305"/>
        <v>0</v>
      </c>
      <c r="AH280" s="367">
        <f t="shared" si="305"/>
        <v>0</v>
      </c>
      <c r="AI280" s="367">
        <f t="shared" si="305"/>
        <v>0</v>
      </c>
      <c r="AJ280" s="367">
        <f t="shared" si="305"/>
        <v>0</v>
      </c>
      <c r="AK280" s="367">
        <f t="shared" si="305"/>
        <v>0</v>
      </c>
      <c r="AL280" s="367">
        <f t="shared" si="305"/>
        <v>0</v>
      </c>
      <c r="AM280" s="367">
        <f t="shared" si="305"/>
        <v>0</v>
      </c>
      <c r="AN280" s="367">
        <f t="shared" si="305"/>
        <v>0</v>
      </c>
      <c r="AO280" s="367">
        <f t="shared" si="305"/>
        <v>0</v>
      </c>
      <c r="AP280" s="367">
        <f t="shared" si="305"/>
        <v>0</v>
      </c>
      <c r="AQ280" s="367">
        <f t="shared" si="305"/>
        <v>0</v>
      </c>
      <c r="AR280" s="367">
        <f t="shared" si="305"/>
        <v>0</v>
      </c>
      <c r="AS280" s="367">
        <f t="shared" si="305"/>
        <v>0</v>
      </c>
      <c r="AT280" s="367">
        <f t="shared" si="305"/>
        <v>0</v>
      </c>
      <c r="AU280" s="367">
        <f t="shared" si="305"/>
        <v>0</v>
      </c>
      <c r="AV280" s="367">
        <f t="shared" si="305"/>
        <v>0</v>
      </c>
      <c r="AW280" s="367">
        <f t="shared" si="305"/>
        <v>0</v>
      </c>
      <c r="AX280" s="367">
        <f t="shared" si="305"/>
        <v>0</v>
      </c>
      <c r="AY280" s="367">
        <f t="shared" si="305"/>
        <v>0</v>
      </c>
      <c r="AZ280" s="367">
        <f t="shared" si="305"/>
        <v>0</v>
      </c>
      <c r="BA280" s="367">
        <f t="shared" si="305"/>
        <v>0</v>
      </c>
      <c r="BB280" s="367">
        <f t="shared" si="305"/>
        <v>0</v>
      </c>
      <c r="BC280" s="367">
        <f t="shared" si="305"/>
        <v>0</v>
      </c>
      <c r="BD280" s="367">
        <f t="shared" si="305"/>
        <v>0</v>
      </c>
      <c r="BE280" s="367">
        <f t="shared" si="305"/>
        <v>0</v>
      </c>
      <c r="BF280" s="367">
        <f t="shared" si="305"/>
        <v>0</v>
      </c>
      <c r="BG280" s="367">
        <f t="shared" si="305"/>
        <v>0</v>
      </c>
      <c r="BI280" s="254">
        <f>SUM(T280:BG280)</f>
        <v>0</v>
      </c>
      <c r="BM280" s="254">
        <f t="shared" si="303"/>
        <v>0</v>
      </c>
      <c r="BN280" s="254">
        <f t="shared" si="303"/>
        <v>0</v>
      </c>
      <c r="BO280" s="254">
        <f t="shared" si="303"/>
        <v>0</v>
      </c>
      <c r="BP280" s="254">
        <f t="shared" si="303"/>
        <v>0</v>
      </c>
      <c r="BQ280" s="254">
        <f t="shared" si="303"/>
        <v>0</v>
      </c>
      <c r="BR280" s="254">
        <f t="shared" si="303"/>
        <v>0</v>
      </c>
      <c r="BS280" s="254">
        <f t="shared" si="303"/>
        <v>0</v>
      </c>
      <c r="BT280" s="254">
        <f t="shared" si="303"/>
        <v>0</v>
      </c>
      <c r="BU280" s="254">
        <f t="shared" si="303"/>
        <v>0</v>
      </c>
      <c r="BV280" s="254">
        <f t="shared" si="303"/>
        <v>0</v>
      </c>
      <c r="BX280" s="254">
        <f>SUM(BM280:BV280)</f>
        <v>0</v>
      </c>
    </row>
    <row r="281" spans="3:76">
      <c r="R281" s="444"/>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c r="AS281" s="310"/>
      <c r="AT281" s="310"/>
      <c r="AU281" s="310"/>
      <c r="AV281" s="310"/>
      <c r="AW281" s="310"/>
      <c r="AX281" s="310"/>
      <c r="AY281" s="310"/>
      <c r="AZ281" s="310"/>
      <c r="BA281" s="310"/>
      <c r="BB281" s="310"/>
      <c r="BC281" s="310"/>
      <c r="BD281" s="310"/>
      <c r="BE281" s="310"/>
      <c r="BF281" s="310"/>
      <c r="BG281" s="310"/>
    </row>
    <row r="282" spans="3:76">
      <c r="C282" t="s">
        <v>782</v>
      </c>
      <c r="O282" s="410">
        <f>GA!$G$688</f>
        <v>0</v>
      </c>
      <c r="P282" s="255" t="s">
        <v>793</v>
      </c>
      <c r="R282" s="483"/>
      <c r="S282" s="402"/>
      <c r="T282" s="310">
        <f>-SUM($R245:T245)*$O$282*AND(T$26&gt;0,T27=0,T$5&lt;GA!$G$666)</f>
        <v>0</v>
      </c>
      <c r="U282" s="310">
        <f>-SUM($R245:U245)*$O$282*AND(U$26&gt;0,U27=0,U$5&lt;GA!$G$666)</f>
        <v>0</v>
      </c>
      <c r="V282" s="310">
        <f>-SUM($R245:V245)*$O$282*AND(V$26&gt;0,V27=0,V$5&lt;GA!$G$666)</f>
        <v>0</v>
      </c>
      <c r="W282" s="310">
        <f>-SUM($R245:W245)*$O$282*AND(W$26&gt;0,W27=0,W$5&lt;GA!$G$666)</f>
        <v>0</v>
      </c>
      <c r="X282" s="310">
        <f>-SUM($R245:X245)*$O$282*AND(X$26&gt;0,X27=0,X$5&lt;GA!$G$666)</f>
        <v>0</v>
      </c>
      <c r="Y282" s="310">
        <f>-SUM($R245:Y245)*$O$282*AND(Y$26&gt;0,Y27=0,Y$5&lt;GA!$G$666)</f>
        <v>0</v>
      </c>
      <c r="Z282" s="310">
        <f>-SUM($R245:Z245)*$O$282*AND(Z$26&gt;0,Z27=0,Z$5&lt;GA!$G$666)</f>
        <v>0</v>
      </c>
      <c r="AA282" s="310">
        <f>-SUM($R245:AA245)*$O$282*AND(AA$26&gt;0,AA27=0,AA$5&lt;GA!$G$666)</f>
        <v>0</v>
      </c>
      <c r="AB282" s="310">
        <f>-SUM($R245:AB245)*$O$282*AND(AB$26&gt;0,AB27=0,AB$5&lt;GA!$G$666)</f>
        <v>0</v>
      </c>
      <c r="AC282" s="310">
        <f>-SUM($R245:AC245)*$O$282*AND(AC$26&gt;0,AC27=0,AC$5&lt;GA!$G$666)</f>
        <v>0</v>
      </c>
      <c r="AD282" s="310">
        <f>-SUM($R245:AD245)*$O$282*AND(AD$26&gt;0,AD27=0,AD$5&lt;GA!$G$666)</f>
        <v>0</v>
      </c>
      <c r="AE282" s="310">
        <f>-SUM($R245:AE245)*$O$282*AND(AE$26&gt;0,AE27=0,AE$5&lt;GA!$G$666)</f>
        <v>0</v>
      </c>
      <c r="AF282" s="310">
        <f>-SUM($R245:AF245)*$O$282*AND(AF$26&gt;0,AF27=0,AF$5&lt;GA!$G$666)</f>
        <v>0</v>
      </c>
      <c r="AG282" s="310">
        <f>-SUM($R245:AG245)*$O$282*AND(AG$26&gt;0,AG27=0,AG$5&lt;GA!$G$666)</f>
        <v>0</v>
      </c>
      <c r="AH282" s="310">
        <f>-SUM($R245:AH245)*$O$282*AND(AH$26&gt;0,AH27=0,AH$5&lt;GA!$G$666)</f>
        <v>0</v>
      </c>
      <c r="AI282" s="310">
        <f>-SUM($R245:AI245)*$O$282*AND(AI$26&gt;0,AI27=0,AI$5&lt;GA!$G$666)</f>
        <v>0</v>
      </c>
      <c r="AJ282" s="310">
        <f>-SUM($R245:AJ245)*$O$282*AND(AJ$26&gt;0,AJ27=0,AJ$5&lt;GA!$G$666)</f>
        <v>0</v>
      </c>
      <c r="AK282" s="310">
        <f>-SUM($R245:AK245)*$O$282*AND(AK$26&gt;0,AK27=0,AK$5&lt;GA!$G$666)</f>
        <v>0</v>
      </c>
      <c r="AL282" s="310">
        <f>-SUM($R245:AL245)*$O$282*AND(AL$26&gt;0,AL27=0,AL$5&lt;GA!$G$666)</f>
        <v>0</v>
      </c>
      <c r="AM282" s="310">
        <f>-SUM($R245:AM245)*$O$282*AND(AM$26&gt;0,AM27=0,AM$5&lt;GA!$G$666)</f>
        <v>0</v>
      </c>
      <c r="AN282" s="310">
        <f>-SUM($R245:AN245)*$O$282*AND(AN$26&gt;0,AN27=0,AN$5&lt;GA!$G$666)</f>
        <v>0</v>
      </c>
      <c r="AO282" s="310">
        <f>-SUM($R245:AO245)*$O$282*AND(AO$26&gt;0,AO27=0,AO$5&lt;GA!$G$666)</f>
        <v>0</v>
      </c>
      <c r="AP282" s="310">
        <f>-SUM($R245:AP245)*$O$282*AND(AP$26&gt;0,AP27=0,AP$5&lt;GA!$G$666)</f>
        <v>0</v>
      </c>
      <c r="AQ282" s="310">
        <f>-SUM($R245:AQ245)*$O$282*AND(AQ$26&gt;0,AQ27=0,AQ$5&lt;GA!$G$666)</f>
        <v>0</v>
      </c>
      <c r="AR282" s="310">
        <f>-SUM($R245:AR245)*$O$282*AND(AR$26&gt;0,AR27=0,AR$5&lt;GA!$G$666)</f>
        <v>0</v>
      </c>
      <c r="AS282" s="310">
        <f>-SUM($R245:AS245)*$O$282*AND(AS$26&gt;0,AS27=0,AS$5&lt;GA!$G$666)</f>
        <v>0</v>
      </c>
      <c r="AT282" s="310">
        <f>-SUM($R245:AT245)*$O$282*AND(AT$26&gt;0,AT27=0,AT$5&lt;GA!$G$666)</f>
        <v>0</v>
      </c>
      <c r="AU282" s="310">
        <f>-SUM($R245:AU245)*$O$282*AND(AU$26&gt;0,AU27=0,AU$5&lt;GA!$G$666)</f>
        <v>0</v>
      </c>
      <c r="AV282" s="310">
        <f>-SUM($R245:AV245)*$O$282*AND(AV$26&gt;0,AV27=0,AV$5&lt;GA!$G$666)</f>
        <v>0</v>
      </c>
      <c r="AW282" s="310">
        <f>-SUM($R245:AW245)*$O$282*AND(AW$26&gt;0,AW27=0,AW$5&lt;GA!$G$666)</f>
        <v>0</v>
      </c>
      <c r="AX282" s="310">
        <f>-SUM($R245:AX245)*$O$282*AND(AX$26&gt;0,AX27=0,AX$5&lt;GA!$G$666)</f>
        <v>0</v>
      </c>
      <c r="AY282" s="310">
        <f>-SUM($R245:AY245)*$O$282*AND(AY$26&gt;0,AY27=0,AY$5&lt;GA!$G$666)</f>
        <v>0</v>
      </c>
      <c r="AZ282" s="310">
        <f>-SUM($R245:AZ245)*$O$282*AND(AZ$26&gt;0,AZ27=0,AZ$5&lt;GA!$G$666)</f>
        <v>0</v>
      </c>
      <c r="BA282" s="310">
        <f>-SUM($R245:BA245)*$O$282*AND(BA$26&gt;0,BA27=0,BA$5&lt;GA!$G$666)</f>
        <v>0</v>
      </c>
      <c r="BB282" s="310">
        <f>-SUM($R245:BB245)*$O$282*AND(BB$26&gt;0,BB27=0,BB$5&lt;GA!$G$666)</f>
        <v>0</v>
      </c>
      <c r="BC282" s="310">
        <f>-SUM($R245:BC245)*$O$282*AND(BC$26&gt;0,BC27=0,BC$5&lt;GA!$G$666)</f>
        <v>0</v>
      </c>
      <c r="BD282" s="310">
        <f>-SUM($R245:BD245)*$O$282*AND(BD$26&gt;0,BD27=0,BD$5&lt;GA!$G$666)</f>
        <v>0</v>
      </c>
      <c r="BE282" s="310">
        <f>-SUM($R245:BE245)*$O$282*AND(BE$26&gt;0,BE27=0,BE$5&lt;GA!$G$666)</f>
        <v>0</v>
      </c>
      <c r="BF282" s="310">
        <f>-SUM($R245:BF245)*$O$282*AND(BF$26&gt;0,BF27=0,BF$5&lt;GA!$G$666)</f>
        <v>0</v>
      </c>
      <c r="BG282" s="310">
        <f>-SUM($R245:BG245)*$O$282*AND(BG$26&gt;0,BG27=0,BG$5&lt;GA!$G$666)</f>
        <v>0</v>
      </c>
      <c r="BI282" s="476">
        <f>SUM(T282:BG282)</f>
        <v>0</v>
      </c>
      <c r="BM282" s="310">
        <f t="shared" ref="BM282:BV283" si="306">SUMIF($T$8:$BG$8,BM$6,$T282:$BG282)</f>
        <v>0</v>
      </c>
      <c r="BN282" s="310">
        <f t="shared" si="306"/>
        <v>0</v>
      </c>
      <c r="BO282" s="310">
        <f t="shared" si="306"/>
        <v>0</v>
      </c>
      <c r="BP282" s="310">
        <f t="shared" si="306"/>
        <v>0</v>
      </c>
      <c r="BQ282" s="310">
        <f t="shared" si="306"/>
        <v>0</v>
      </c>
      <c r="BR282" s="310">
        <f t="shared" si="306"/>
        <v>0</v>
      </c>
      <c r="BS282" s="310">
        <f t="shared" si="306"/>
        <v>0</v>
      </c>
      <c r="BT282" s="310">
        <f t="shared" si="306"/>
        <v>0</v>
      </c>
      <c r="BU282" s="310">
        <f t="shared" si="306"/>
        <v>0</v>
      </c>
      <c r="BV282" s="310">
        <f t="shared" si="306"/>
        <v>0</v>
      </c>
      <c r="BX282" s="476">
        <f>SUM(BM282:BV282)</f>
        <v>0</v>
      </c>
    </row>
    <row r="283" spans="3:76">
      <c r="C283" t="s">
        <v>780</v>
      </c>
      <c r="O283" s="410">
        <f>GA!$G$684</f>
        <v>0</v>
      </c>
      <c r="R283" s="483"/>
      <c r="S283" s="483"/>
      <c r="T283" s="310">
        <f>-AND(T$26&gt;0,T27=0,T$5&lt;GA!$G$666)*SUM($R252:T252,$R273:T273,$R282:T282)*$O$283*GA!$G$648</f>
        <v>0</v>
      </c>
      <c r="U283" s="310">
        <f>-AND(U$26&gt;0,U27=0,U$5&lt;GA!$G$666)*SUM($R252:U252,$R273:U273,$R282:U282)*$O$283*GA!$G$648</f>
        <v>0</v>
      </c>
      <c r="V283" s="310">
        <f>-AND(V$26&gt;0,V27=0,V$5&lt;GA!$G$666)*SUM($R252:V252,$R273:V273,$R282:V282)*$O$283*GA!$G$648</f>
        <v>0</v>
      </c>
      <c r="W283" s="310">
        <f>-AND(W$26&gt;0,W27=0,W$5&lt;GA!$G$666)*SUM($R252:W252,$R273:W273,$R282:W282)*$O$283*GA!$G$648</f>
        <v>0</v>
      </c>
      <c r="X283" s="310">
        <f>-AND(X$26&gt;0,X27=0,X$5&lt;GA!$G$666)*SUM($R252:X252,$R273:X273,$R282:X282)*$O$283*GA!$G$648</f>
        <v>0</v>
      </c>
      <c r="Y283" s="310">
        <f>-AND(Y$26&gt;0,Y27=0,Y$5&lt;GA!$G$666)*SUM($R252:Y252,$R273:Y273,$R282:Y282)*$O$283*GA!$G$648</f>
        <v>0</v>
      </c>
      <c r="Z283" s="310">
        <f>-AND(Z$26&gt;0,Z27=0,Z$5&lt;GA!$G$666)*SUM($R252:Z252,$R273:Z273,$R282:Z282)*$O$283*GA!$G$648</f>
        <v>0</v>
      </c>
      <c r="AA283" s="310">
        <f>-AND(AA$26&gt;0,AA27=0,AA$5&lt;GA!$G$666)*SUM($R252:AA252,$R273:AA273,$R282:AA282)*$O$283*GA!$G$648</f>
        <v>0</v>
      </c>
      <c r="AB283" s="310">
        <f>-AND(AB$26&gt;0,AB27=0,AB$5&lt;GA!$G$666)*SUM($R252:AB252,$R273:AB273,$R282:AB282)*$O$283*GA!$G$648</f>
        <v>0</v>
      </c>
      <c r="AC283" s="310">
        <f>-AND(AC$26&gt;0,AC27=0,AC$5&lt;GA!$G$666)*SUM($R252:AC252,$R273:AC273,$R282:AC282)*$O$283*GA!$G$648</f>
        <v>0</v>
      </c>
      <c r="AD283" s="310">
        <f>-AND(AD$26&gt;0,AD27=0,AD$5&lt;GA!$G$666)*SUM($R252:AD252,$R273:AD273,$R282:AD282)*$O$283*GA!$G$648</f>
        <v>0</v>
      </c>
      <c r="AE283" s="310">
        <f>-AND(AE$26&gt;0,AE27=0,AE$5&lt;GA!$G$666)*SUM($R252:AE252,$R273:AE273,$R282:AE282)*$O$283*GA!$G$648</f>
        <v>0</v>
      </c>
      <c r="AF283" s="310">
        <f>-AND(AF$26&gt;0,AF27=0,AF$5&lt;GA!$G$666)*SUM($R252:AF252,$R273:AF273,$R282:AF282)*$O$283*GA!$G$648</f>
        <v>0</v>
      </c>
      <c r="AG283" s="310">
        <f>-AND(AG$26&gt;0,AG27=0,AG$5&lt;GA!$G$666)*SUM($R252:AG252,$R273:AG273,$R282:AG282)*$O$283*GA!$G$648</f>
        <v>0</v>
      </c>
      <c r="AH283" s="310">
        <f>-AND(AH$26&gt;0,AH27=0,AH$5&lt;GA!$G$666)*SUM($R252:AH252,$R273:AH273,$R282:AH282)*$O$283*GA!$G$648</f>
        <v>0</v>
      </c>
      <c r="AI283" s="310">
        <f>-AND(AI$26&gt;0,AI27=0,AI$5&lt;GA!$G$666)*SUM($R252:AI252,$R273:AI273,$R282:AI282)*$O$283*GA!$G$648</f>
        <v>0</v>
      </c>
      <c r="AJ283" s="310">
        <f>-AND(AJ$26&gt;0,AJ27=0,AJ$5&lt;GA!$G$666)*SUM($R252:AJ252,$R273:AJ273,$R282:AJ282)*$O$283*GA!$G$648</f>
        <v>0</v>
      </c>
      <c r="AK283" s="310">
        <f>-AND(AK$26&gt;0,AK27=0,AK$5&lt;GA!$G$666)*SUM($R252:AK252,$R273:AK273,$R282:AK282)*$O$283*GA!$G$648</f>
        <v>0</v>
      </c>
      <c r="AL283" s="310">
        <f>-AND(AL$26&gt;0,AL27=0,AL$5&lt;GA!$G$666)*SUM($R252:AL252,$R273:AL273,$R282:AL282)*$O$283*GA!$G$648</f>
        <v>0</v>
      </c>
      <c r="AM283" s="310">
        <f>-AND(AM$26&gt;0,AM27=0,AM$5&lt;GA!$G$666)*SUM($R252:AM252,$R273:AM273,$R282:AM282)*$O$283*GA!$G$648</f>
        <v>0</v>
      </c>
      <c r="AN283" s="310">
        <f>-AND(AN$26&gt;0,AN27=0,AN$5&lt;GA!$G$666)*SUM($R252:AN252,$R273:AN273,$R282:AN282)*$O$283*GA!$G$648</f>
        <v>0</v>
      </c>
      <c r="AO283" s="310">
        <f>-AND(AO$26&gt;0,AO27=0,AO$5&lt;GA!$G$666)*SUM($R252:AO252,$R273:AO273,$R282:AO282)*$O$283*GA!$G$648</f>
        <v>0</v>
      </c>
      <c r="AP283" s="310">
        <f>-AND(AP$26&gt;0,AP27=0,AP$5&lt;GA!$G$666)*SUM($R252:AP252,$R273:AP273,$R282:AP282)*$O$283*GA!$G$648</f>
        <v>0</v>
      </c>
      <c r="AQ283" s="310">
        <f>-AND(AQ$26&gt;0,AQ27=0,AQ$5&lt;GA!$G$666)*SUM($R252:AQ252,$R273:AQ273,$R282:AQ282)*$O$283*GA!$G$648</f>
        <v>0</v>
      </c>
      <c r="AR283" s="310">
        <f>-AND(AR$26&gt;0,AR27=0,AR$5&lt;GA!$G$666)*SUM($R252:AR252,$R273:AR273,$R282:AR282)*$O$283*GA!$G$648</f>
        <v>0</v>
      </c>
      <c r="AS283" s="310">
        <f>-AND(AS$26&gt;0,AS27=0,AS$5&lt;GA!$G$666)*SUM($R252:AS252,$R273:AS273,$R282:AS282)*$O$283*GA!$G$648</f>
        <v>0</v>
      </c>
      <c r="AT283" s="310">
        <f>-AND(AT$26&gt;0,AT27=0,AT$5&lt;GA!$G$666)*SUM($R252:AT252,$R273:AT273,$R282:AT282)*$O$283*GA!$G$648</f>
        <v>0</v>
      </c>
      <c r="AU283" s="310">
        <f>-AND(AU$26&gt;0,AU27=0,AU$5&lt;GA!$G$666)*SUM($R252:AU252,$R273:AU273,$R282:AU282)*$O$283*GA!$G$648</f>
        <v>0</v>
      </c>
      <c r="AV283" s="310">
        <f>-AND(AV$26&gt;0,AV27=0,AV$5&lt;GA!$G$666)*SUM($R252:AV252,$R273:AV273,$R282:AV282)*$O$283*GA!$G$648</f>
        <v>0</v>
      </c>
      <c r="AW283" s="310">
        <f>-AND(AW$26&gt;0,AW27=0,AW$5&lt;GA!$G$666)*SUM($R252:AW252,$R273:AW273,$R282:AW282)*$O$283*GA!$G$648</f>
        <v>0</v>
      </c>
      <c r="AX283" s="310">
        <f>-AND(AX$26&gt;0,AX27=0,AX$5&lt;GA!$G$666)*SUM($R252:AX252,$R273:AX273,$R282:AX282)*$O$283*GA!$G$648</f>
        <v>0</v>
      </c>
      <c r="AY283" s="310">
        <f>-AND(AY$26&gt;0,AY27=0,AY$5&lt;GA!$G$666)*SUM($R252:AY252,$R273:AY273,$R282:AY282)*$O$283*GA!$G$648</f>
        <v>0</v>
      </c>
      <c r="AZ283" s="310">
        <f>-AND(AZ$26&gt;0,AZ27=0,AZ$5&lt;GA!$G$666)*SUM($R252:AZ252,$R273:AZ273,$R282:AZ282)*$O$283*GA!$G$648</f>
        <v>0</v>
      </c>
      <c r="BA283" s="310">
        <f>-AND(BA$26&gt;0,BA27=0,BA$5&lt;GA!$G$666)*SUM($R252:BA252,$R273:BA273,$R282:BA282)*$O$283*GA!$G$648</f>
        <v>0</v>
      </c>
      <c r="BB283" s="310">
        <f>-AND(BB$26&gt;0,BB27=0,BB$5&lt;GA!$G$666)*SUM($R252:BB252,$R273:BB273,$R282:BB282)*$O$283*GA!$G$648</f>
        <v>0</v>
      </c>
      <c r="BC283" s="310">
        <f>-AND(BC$26&gt;0,BC27=0,BC$5&lt;GA!$G$666)*SUM($R252:BC252,$R273:BC273,$R282:BC282)*$O$283*GA!$G$648</f>
        <v>0</v>
      </c>
      <c r="BD283" s="310">
        <f>-AND(BD$26&gt;0,BD27=0,BD$5&lt;GA!$G$666)*SUM($R252:BD252,$R273:BD273,$R282:BD282)*$O$283*GA!$G$648</f>
        <v>0</v>
      </c>
      <c r="BE283" s="310">
        <f>-AND(BE$26&gt;0,BE27=0,BE$5&lt;GA!$G$666)*SUM($R252:BE252,$R273:BE273,$R282:BE282)*$O$283*GA!$G$648</f>
        <v>0</v>
      </c>
      <c r="BF283" s="310">
        <f>-AND(BF$26&gt;0,BF27=0,BF$5&lt;GA!$G$666)*SUM($R252:BF252,$R273:BF273,$R282:BF282)*$O$283*GA!$G$648</f>
        <v>0</v>
      </c>
      <c r="BG283" s="310">
        <f>-AND(BG$26&gt;0,BG27=0,BG$5&lt;GA!$G$666)*SUM($R252:BG252,$R273:BG273,$R282:BG282)*$O$283*GA!$G$648</f>
        <v>0</v>
      </c>
      <c r="BI283" s="476">
        <f>SUM(T283:BG283)</f>
        <v>0</v>
      </c>
      <c r="BM283" s="310">
        <f t="shared" si="306"/>
        <v>0</v>
      </c>
      <c r="BN283" s="310">
        <f t="shared" si="306"/>
        <v>0</v>
      </c>
      <c r="BO283" s="310">
        <f t="shared" si="306"/>
        <v>0</v>
      </c>
      <c r="BP283" s="310">
        <f t="shared" si="306"/>
        <v>0</v>
      </c>
      <c r="BQ283" s="310">
        <f t="shared" si="306"/>
        <v>0</v>
      </c>
      <c r="BR283" s="310">
        <f t="shared" si="306"/>
        <v>0</v>
      </c>
      <c r="BS283" s="310">
        <f t="shared" si="306"/>
        <v>0</v>
      </c>
      <c r="BT283" s="310">
        <f t="shared" si="306"/>
        <v>0</v>
      </c>
      <c r="BU283" s="310">
        <f t="shared" si="306"/>
        <v>0</v>
      </c>
      <c r="BV283" s="310">
        <f t="shared" si="306"/>
        <v>0</v>
      </c>
      <c r="BX283" s="476">
        <f>SUM(BM283:BV283)</f>
        <v>0</v>
      </c>
    </row>
    <row r="284" spans="3:76">
      <c r="R284" s="444"/>
      <c r="S284" s="444"/>
      <c r="T284" s="444"/>
      <c r="U284" s="444"/>
      <c r="V284" s="444"/>
      <c r="W284" s="444"/>
      <c r="X284" s="444"/>
      <c r="Y284" s="444"/>
      <c r="Z284" s="444"/>
      <c r="AA284" s="444"/>
      <c r="AB284" s="444"/>
      <c r="AC284" s="444"/>
      <c r="AD284" s="444"/>
      <c r="AE284" s="444"/>
      <c r="AF284" s="444"/>
      <c r="AG284" s="444"/>
      <c r="AH284" s="444"/>
      <c r="AI284" s="444"/>
      <c r="AJ284" s="444"/>
      <c r="AK284" s="444"/>
      <c r="AL284" s="444"/>
      <c r="AM284" s="444"/>
      <c r="AN284" s="444"/>
      <c r="AO284" s="444"/>
      <c r="AP284" s="444"/>
      <c r="AQ284" s="444"/>
      <c r="AR284" s="444"/>
      <c r="AS284" s="444"/>
      <c r="AT284" s="444"/>
      <c r="AU284" s="444"/>
      <c r="AV284" s="444"/>
      <c r="AW284" s="444"/>
      <c r="AX284" s="444"/>
      <c r="AY284" s="444"/>
      <c r="AZ284" s="444"/>
      <c r="BA284" s="444"/>
      <c r="BB284" s="444"/>
      <c r="BC284" s="444"/>
      <c r="BD284" s="444"/>
      <c r="BE284" s="444"/>
      <c r="BF284" s="444"/>
      <c r="BG284" s="444"/>
    </row>
    <row r="285" spans="3:76">
      <c r="C285" s="253" t="s">
        <v>794</v>
      </c>
      <c r="D285" s="253"/>
      <c r="E285" s="253"/>
      <c r="F285" s="253"/>
      <c r="G285" s="253"/>
      <c r="H285" s="253"/>
      <c r="I285" s="253"/>
      <c r="J285" s="253"/>
      <c r="K285" s="253"/>
      <c r="L285" s="253"/>
      <c r="M285" s="253"/>
      <c r="N285" s="253"/>
      <c r="O285" s="268"/>
      <c r="P285" s="408" t="s">
        <v>795</v>
      </c>
      <c r="Q285" s="367"/>
      <c r="R285" s="254">
        <f>-SUM(R256:R261)-R273-R283-R280</f>
        <v>0</v>
      </c>
      <c r="S285" s="254">
        <f t="shared" ref="S285:BG285" si="307">-SUM(S256:S261)-S273-S283-S280</f>
        <v>0</v>
      </c>
      <c r="T285" s="254">
        <f t="shared" si="307"/>
        <v>0</v>
      </c>
      <c r="U285" s="254">
        <f t="shared" si="307"/>
        <v>0</v>
      </c>
      <c r="V285" s="254">
        <f t="shared" si="307"/>
        <v>0</v>
      </c>
      <c r="W285" s="254">
        <f t="shared" si="307"/>
        <v>0</v>
      </c>
      <c r="X285" s="254">
        <f t="shared" si="307"/>
        <v>0</v>
      </c>
      <c r="Y285" s="254">
        <f t="shared" si="307"/>
        <v>0</v>
      </c>
      <c r="Z285" s="254">
        <f t="shared" si="307"/>
        <v>0</v>
      </c>
      <c r="AA285" s="254">
        <f t="shared" si="307"/>
        <v>0</v>
      </c>
      <c r="AB285" s="254">
        <f t="shared" si="307"/>
        <v>0</v>
      </c>
      <c r="AC285" s="254">
        <f t="shared" si="307"/>
        <v>0</v>
      </c>
      <c r="AD285" s="254">
        <f t="shared" si="307"/>
        <v>0</v>
      </c>
      <c r="AE285" s="254">
        <f t="shared" si="307"/>
        <v>0</v>
      </c>
      <c r="AF285" s="254">
        <f t="shared" si="307"/>
        <v>0</v>
      </c>
      <c r="AG285" s="254">
        <f t="shared" si="307"/>
        <v>0</v>
      </c>
      <c r="AH285" s="254">
        <f t="shared" si="307"/>
        <v>0</v>
      </c>
      <c r="AI285" s="254">
        <f t="shared" si="307"/>
        <v>0</v>
      </c>
      <c r="AJ285" s="254">
        <f t="shared" si="307"/>
        <v>0</v>
      </c>
      <c r="AK285" s="254">
        <f t="shared" si="307"/>
        <v>0</v>
      </c>
      <c r="AL285" s="254">
        <f t="shared" si="307"/>
        <v>0</v>
      </c>
      <c r="AM285" s="254">
        <f t="shared" si="307"/>
        <v>0</v>
      </c>
      <c r="AN285" s="254">
        <f t="shared" si="307"/>
        <v>0</v>
      </c>
      <c r="AO285" s="254">
        <f t="shared" si="307"/>
        <v>0</v>
      </c>
      <c r="AP285" s="254">
        <f t="shared" si="307"/>
        <v>0</v>
      </c>
      <c r="AQ285" s="254">
        <f t="shared" si="307"/>
        <v>0</v>
      </c>
      <c r="AR285" s="254">
        <f t="shared" si="307"/>
        <v>0</v>
      </c>
      <c r="AS285" s="254">
        <f t="shared" si="307"/>
        <v>0</v>
      </c>
      <c r="AT285" s="254">
        <f t="shared" si="307"/>
        <v>0</v>
      </c>
      <c r="AU285" s="254">
        <f t="shared" si="307"/>
        <v>0</v>
      </c>
      <c r="AV285" s="254">
        <f t="shared" si="307"/>
        <v>0</v>
      </c>
      <c r="AW285" s="254">
        <f t="shared" si="307"/>
        <v>0</v>
      </c>
      <c r="AX285" s="254">
        <f t="shared" si="307"/>
        <v>0</v>
      </c>
      <c r="AY285" s="254">
        <f t="shared" si="307"/>
        <v>0</v>
      </c>
      <c r="AZ285" s="254">
        <f t="shared" si="307"/>
        <v>0</v>
      </c>
      <c r="BA285" s="254">
        <f t="shared" si="307"/>
        <v>0</v>
      </c>
      <c r="BB285" s="254">
        <f t="shared" si="307"/>
        <v>0</v>
      </c>
      <c r="BC285" s="254">
        <f t="shared" si="307"/>
        <v>0</v>
      </c>
      <c r="BD285" s="254">
        <f t="shared" si="307"/>
        <v>0</v>
      </c>
      <c r="BE285" s="254">
        <f t="shared" si="307"/>
        <v>0</v>
      </c>
      <c r="BF285" s="254">
        <f t="shared" si="307"/>
        <v>0</v>
      </c>
      <c r="BG285" s="254">
        <f t="shared" si="307"/>
        <v>0</v>
      </c>
      <c r="BI285" s="254">
        <f>SUM(T285:BG285)</f>
        <v>0</v>
      </c>
      <c r="BK285" s="257" t="b">
        <f>ROUND(BI285,GA!$G$112)=ROUND(BX285,GA!$G$112)</f>
        <v>1</v>
      </c>
      <c r="BM285" s="254">
        <f t="shared" ref="BM285:BV285" si="308">SUMIF($T$8:$BG$8,BM$6,$T285:$BG285)</f>
        <v>0</v>
      </c>
      <c r="BN285" s="254">
        <f t="shared" si="308"/>
        <v>0</v>
      </c>
      <c r="BO285" s="254">
        <f t="shared" si="308"/>
        <v>0</v>
      </c>
      <c r="BP285" s="254">
        <f t="shared" si="308"/>
        <v>0</v>
      </c>
      <c r="BQ285" s="254">
        <f t="shared" si="308"/>
        <v>0</v>
      </c>
      <c r="BR285" s="254">
        <f t="shared" si="308"/>
        <v>0</v>
      </c>
      <c r="BS285" s="254">
        <f t="shared" si="308"/>
        <v>0</v>
      </c>
      <c r="BT285" s="254">
        <f t="shared" si="308"/>
        <v>0</v>
      </c>
      <c r="BU285" s="254">
        <f t="shared" si="308"/>
        <v>0</v>
      </c>
      <c r="BV285" s="254">
        <f t="shared" si="308"/>
        <v>0</v>
      </c>
      <c r="BX285" s="254">
        <f>SUM(BM285:BV285)</f>
        <v>0</v>
      </c>
    </row>
    <row r="286" spans="3:76" outlineLevel="1">
      <c r="C286" s="398" t="s">
        <v>686</v>
      </c>
      <c r="D286" s="398"/>
      <c r="E286" s="398"/>
      <c r="F286" s="398"/>
      <c r="G286" s="398"/>
      <c r="H286" s="398"/>
      <c r="I286" s="398"/>
      <c r="J286" s="398"/>
      <c r="K286" s="398"/>
      <c r="L286" s="398"/>
      <c r="M286" s="398"/>
      <c r="N286" s="398"/>
      <c r="O286" s="39"/>
      <c r="P286" s="39"/>
      <c r="Q286" s="39"/>
      <c r="R286" s="404">
        <f>SUM($R$285:R285)</f>
        <v>0</v>
      </c>
      <c r="S286" s="404">
        <f>SUM($R$285:S285)</f>
        <v>0</v>
      </c>
      <c r="T286" s="404">
        <f>SUM($R$285:T285)</f>
        <v>0</v>
      </c>
      <c r="U286" s="404">
        <f>SUM($R$285:U285)</f>
        <v>0</v>
      </c>
      <c r="V286" s="404">
        <f>SUM($R$285:V285)</f>
        <v>0</v>
      </c>
      <c r="W286" s="404">
        <f>SUM($R$285:W285)</f>
        <v>0</v>
      </c>
      <c r="X286" s="404">
        <f>SUM($R$285:X285)</f>
        <v>0</v>
      </c>
      <c r="Y286" s="404">
        <f>SUM($R$285:Y285)</f>
        <v>0</v>
      </c>
      <c r="Z286" s="404">
        <f>SUM($R$285:Z285)</f>
        <v>0</v>
      </c>
      <c r="AA286" s="404">
        <f>SUM($R$285:AA285)</f>
        <v>0</v>
      </c>
      <c r="AB286" s="404">
        <f>SUM($R$285:AB285)</f>
        <v>0</v>
      </c>
      <c r="AC286" s="404">
        <f>SUM($R$285:AC285)</f>
        <v>0</v>
      </c>
      <c r="AD286" s="404">
        <f>SUM($R$285:AD285)</f>
        <v>0</v>
      </c>
      <c r="AE286" s="404">
        <f>SUM($R$285:AE285)</f>
        <v>0</v>
      </c>
      <c r="AF286" s="404">
        <f>SUM($R$285:AF285)</f>
        <v>0</v>
      </c>
      <c r="AG286" s="404">
        <f>SUM($R$285:AG285)</f>
        <v>0</v>
      </c>
      <c r="AH286" s="404">
        <f>SUM($R$285:AH285)</f>
        <v>0</v>
      </c>
      <c r="AI286" s="404">
        <f>SUM($R$285:AI285)</f>
        <v>0</v>
      </c>
      <c r="AJ286" s="404">
        <f>SUM($R$285:AJ285)</f>
        <v>0</v>
      </c>
      <c r="AK286" s="404">
        <f>SUM($R$285:AK285)</f>
        <v>0</v>
      </c>
      <c r="AL286" s="404">
        <f>SUM($R$285:AL285)</f>
        <v>0</v>
      </c>
      <c r="AM286" s="404">
        <f>SUM($R$285:AM285)</f>
        <v>0</v>
      </c>
      <c r="AN286" s="404">
        <f>SUM($R$285:AN285)</f>
        <v>0</v>
      </c>
      <c r="AO286" s="404">
        <f>SUM($R$285:AO285)</f>
        <v>0</v>
      </c>
      <c r="AP286" s="404">
        <f>SUM($R$285:AP285)</f>
        <v>0</v>
      </c>
      <c r="AQ286" s="404">
        <f>SUM($R$285:AQ285)</f>
        <v>0</v>
      </c>
      <c r="AR286" s="404">
        <f>SUM($R$285:AR285)</f>
        <v>0</v>
      </c>
      <c r="AS286" s="404">
        <f>SUM($R$285:AS285)</f>
        <v>0</v>
      </c>
      <c r="AT286" s="404">
        <f>SUM($R$285:AT285)</f>
        <v>0</v>
      </c>
      <c r="AU286" s="404">
        <f>SUM($R$285:AU285)</f>
        <v>0</v>
      </c>
      <c r="AV286" s="404">
        <f>SUM($R$285:AV285)</f>
        <v>0</v>
      </c>
      <c r="AW286" s="404">
        <f>SUM($R$285:AW285)</f>
        <v>0</v>
      </c>
      <c r="AX286" s="404">
        <f>SUM($R$285:AX285)</f>
        <v>0</v>
      </c>
      <c r="AY286" s="404">
        <f>SUM($R$285:AY285)</f>
        <v>0</v>
      </c>
      <c r="AZ286" s="404">
        <f>SUM($R$285:AZ285)</f>
        <v>0</v>
      </c>
      <c r="BA286" s="404">
        <f>SUM($R$285:BA285)</f>
        <v>0</v>
      </c>
      <c r="BB286" s="404">
        <f>SUM($R$285:BB285)</f>
        <v>0</v>
      </c>
      <c r="BC286" s="404">
        <f>SUM($R$285:BC285)</f>
        <v>0</v>
      </c>
      <c r="BD286" s="404">
        <f>SUM($R$285:BD285)</f>
        <v>0</v>
      </c>
      <c r="BE286" s="404">
        <f>SUM($R$285:BE285)</f>
        <v>0</v>
      </c>
      <c r="BF286" s="404">
        <f>SUM($R$285:BF285)</f>
        <v>0</v>
      </c>
      <c r="BG286" s="404">
        <f>SUM($R$285:BG285)</f>
        <v>0</v>
      </c>
    </row>
    <row r="287" spans="3:76" outlineLevel="1">
      <c r="C287" s="398" t="s">
        <v>687</v>
      </c>
      <c r="D287" s="398"/>
      <c r="E287" s="398"/>
      <c r="F287" s="398"/>
      <c r="G287" s="398"/>
      <c r="H287" s="398"/>
      <c r="I287" s="398"/>
      <c r="J287" s="398"/>
      <c r="K287" s="398"/>
      <c r="L287" s="398"/>
      <c r="M287" s="398"/>
      <c r="N287" s="398"/>
      <c r="O287" s="39"/>
      <c r="P287" s="39"/>
      <c r="Q287" s="39"/>
      <c r="S287" s="404">
        <f>MIN(-R286,S285)*(R286&lt;0)*(S$5&gt;0)+(S$5&lt;=0)*S286</f>
        <v>0</v>
      </c>
      <c r="T287" s="404">
        <f t="shared" ref="T287:BG287" si="309">MIN(-S286,T285)*(S286&lt;0)*(T$5&gt;0)+(T$5&lt;=0)*T286</f>
        <v>0</v>
      </c>
      <c r="U287" s="404">
        <f t="shared" si="309"/>
        <v>0</v>
      </c>
      <c r="V287" s="404">
        <f t="shared" si="309"/>
        <v>0</v>
      </c>
      <c r="W287" s="404">
        <f t="shared" si="309"/>
        <v>0</v>
      </c>
      <c r="X287" s="404">
        <f t="shared" si="309"/>
        <v>0</v>
      </c>
      <c r="Y287" s="404">
        <f t="shared" si="309"/>
        <v>0</v>
      </c>
      <c r="Z287" s="404">
        <f t="shared" si="309"/>
        <v>0</v>
      </c>
      <c r="AA287" s="404">
        <f t="shared" si="309"/>
        <v>0</v>
      </c>
      <c r="AB287" s="404">
        <f t="shared" si="309"/>
        <v>0</v>
      </c>
      <c r="AC287" s="404">
        <f t="shared" si="309"/>
        <v>0</v>
      </c>
      <c r="AD287" s="404">
        <f t="shared" si="309"/>
        <v>0</v>
      </c>
      <c r="AE287" s="404">
        <f t="shared" si="309"/>
        <v>0</v>
      </c>
      <c r="AF287" s="404">
        <f t="shared" si="309"/>
        <v>0</v>
      </c>
      <c r="AG287" s="404">
        <f t="shared" si="309"/>
        <v>0</v>
      </c>
      <c r="AH287" s="404">
        <f t="shared" si="309"/>
        <v>0</v>
      </c>
      <c r="AI287" s="404">
        <f t="shared" si="309"/>
        <v>0</v>
      </c>
      <c r="AJ287" s="404">
        <f t="shared" si="309"/>
        <v>0</v>
      </c>
      <c r="AK287" s="404">
        <f t="shared" si="309"/>
        <v>0</v>
      </c>
      <c r="AL287" s="404">
        <f t="shared" si="309"/>
        <v>0</v>
      </c>
      <c r="AM287" s="404">
        <f t="shared" si="309"/>
        <v>0</v>
      </c>
      <c r="AN287" s="404">
        <f t="shared" si="309"/>
        <v>0</v>
      </c>
      <c r="AO287" s="404">
        <f t="shared" si="309"/>
        <v>0</v>
      </c>
      <c r="AP287" s="404">
        <f t="shared" si="309"/>
        <v>0</v>
      </c>
      <c r="AQ287" s="404">
        <f t="shared" si="309"/>
        <v>0</v>
      </c>
      <c r="AR287" s="404">
        <f t="shared" si="309"/>
        <v>0</v>
      </c>
      <c r="AS287" s="404">
        <f t="shared" si="309"/>
        <v>0</v>
      </c>
      <c r="AT287" s="404">
        <f t="shared" si="309"/>
        <v>0</v>
      </c>
      <c r="AU287" s="404">
        <f t="shared" si="309"/>
        <v>0</v>
      </c>
      <c r="AV287" s="404">
        <f t="shared" si="309"/>
        <v>0</v>
      </c>
      <c r="AW287" s="404">
        <f t="shared" si="309"/>
        <v>0</v>
      </c>
      <c r="AX287" s="404">
        <f t="shared" si="309"/>
        <v>0</v>
      </c>
      <c r="AY287" s="404">
        <f t="shared" si="309"/>
        <v>0</v>
      </c>
      <c r="AZ287" s="404">
        <f t="shared" si="309"/>
        <v>0</v>
      </c>
      <c r="BA287" s="404">
        <f t="shared" si="309"/>
        <v>0</v>
      </c>
      <c r="BB287" s="404">
        <f t="shared" si="309"/>
        <v>0</v>
      </c>
      <c r="BC287" s="404">
        <f t="shared" si="309"/>
        <v>0</v>
      </c>
      <c r="BD287" s="404">
        <f t="shared" si="309"/>
        <v>0</v>
      </c>
      <c r="BE287" s="404">
        <f t="shared" si="309"/>
        <v>0</v>
      </c>
      <c r="BF287" s="404">
        <f t="shared" si="309"/>
        <v>0</v>
      </c>
      <c r="BG287" s="404">
        <f t="shared" si="309"/>
        <v>0</v>
      </c>
      <c r="BI287" s="310">
        <f>SUM(S287:BG287)</f>
        <v>0</v>
      </c>
    </row>
    <row r="288" spans="3:76">
      <c r="R288" s="444"/>
      <c r="S288" s="444"/>
      <c r="T288" s="444"/>
      <c r="U288" s="444"/>
      <c r="V288" s="444"/>
      <c r="W288" s="444"/>
      <c r="X288" s="444"/>
      <c r="Y288" s="444"/>
      <c r="Z288" s="444"/>
      <c r="AA288" s="444"/>
      <c r="AB288" s="444"/>
      <c r="AC288" s="444"/>
      <c r="AD288" s="444"/>
      <c r="AE288" s="444"/>
      <c r="AF288" s="444"/>
      <c r="AG288" s="444"/>
      <c r="AH288" s="444"/>
      <c r="AI288" s="444"/>
      <c r="AJ288" s="444"/>
      <c r="AK288" s="444"/>
      <c r="AL288" s="444"/>
      <c r="AM288" s="444"/>
      <c r="AN288" s="444"/>
      <c r="AO288" s="444"/>
      <c r="AP288" s="444"/>
      <c r="AQ288" s="444"/>
      <c r="AR288" s="444"/>
      <c r="AS288" s="444"/>
      <c r="AT288" s="444"/>
      <c r="AU288" s="444"/>
      <c r="AV288" s="444"/>
      <c r="AW288" s="444"/>
      <c r="AX288" s="444"/>
      <c r="AY288" s="444"/>
      <c r="AZ288" s="444"/>
      <c r="BA288" s="444"/>
      <c r="BB288" s="444"/>
      <c r="BC288" s="444"/>
      <c r="BD288" s="444"/>
      <c r="BE288" s="444"/>
      <c r="BF288" s="444"/>
      <c r="BG288" s="444"/>
    </row>
    <row r="289" spans="3:76">
      <c r="R289" s="444"/>
      <c r="S289" s="444"/>
      <c r="T289" s="444"/>
      <c r="U289" s="444"/>
      <c r="V289" s="444"/>
      <c r="W289" s="444"/>
      <c r="X289" s="444"/>
      <c r="Y289" s="444"/>
      <c r="Z289" s="444"/>
      <c r="AA289" s="444"/>
      <c r="AB289" s="444"/>
      <c r="AC289" s="444"/>
      <c r="AD289" s="444"/>
      <c r="AE289" s="444"/>
      <c r="AF289" s="444"/>
      <c r="AG289" s="444"/>
      <c r="AH289" s="444"/>
      <c r="AI289" s="444"/>
      <c r="AJ289" s="444"/>
      <c r="AK289" s="444"/>
      <c r="AL289" s="444"/>
      <c r="AM289" s="444"/>
      <c r="AN289" s="444"/>
      <c r="AO289" s="444"/>
      <c r="AP289" s="444"/>
      <c r="AQ289" s="444"/>
      <c r="AR289" s="444"/>
      <c r="AS289" s="444"/>
      <c r="AT289" s="444"/>
      <c r="AU289" s="444"/>
      <c r="AV289" s="444"/>
      <c r="AW289" s="444"/>
      <c r="AX289" s="444"/>
      <c r="AY289" s="444"/>
      <c r="AZ289" s="444"/>
      <c r="BA289" s="444"/>
      <c r="BB289" s="444"/>
      <c r="BC289" s="444"/>
      <c r="BD289" s="444"/>
      <c r="BE289" s="444"/>
      <c r="BF289" s="444"/>
      <c r="BG289" s="444"/>
    </row>
    <row r="290" spans="3:76">
      <c r="C290" s="391" t="s">
        <v>797</v>
      </c>
      <c r="D290" s="391"/>
      <c r="E290" s="391"/>
      <c r="F290" s="391"/>
      <c r="G290" s="391"/>
      <c r="H290" s="391"/>
      <c r="I290" s="391"/>
      <c r="J290" s="391"/>
      <c r="K290" s="391"/>
      <c r="L290" s="391"/>
      <c r="M290" s="391"/>
      <c r="N290" s="391"/>
      <c r="O290" s="391"/>
      <c r="P290" s="391"/>
      <c r="Q290" s="391"/>
      <c r="R290" s="391"/>
      <c r="S290" s="391"/>
      <c r="T290" s="391"/>
      <c r="U290" s="391"/>
      <c r="V290" s="391"/>
      <c r="W290" s="391"/>
      <c r="X290" s="391"/>
      <c r="Y290" s="391"/>
      <c r="Z290" s="391"/>
      <c r="AA290" s="391"/>
      <c r="AB290" s="391"/>
      <c r="AC290" s="391"/>
      <c r="AD290" s="391"/>
      <c r="AE290" s="391"/>
      <c r="AF290" s="391"/>
      <c r="AG290" s="391"/>
      <c r="AH290" s="391"/>
      <c r="AI290" s="391"/>
      <c r="AJ290" s="391"/>
      <c r="AK290" s="391"/>
      <c r="AL290" s="391"/>
      <c r="AM290" s="391"/>
      <c r="AN290" s="391"/>
      <c r="AO290" s="391"/>
      <c r="AP290" s="391"/>
      <c r="AQ290" s="391"/>
      <c r="AR290" s="391"/>
      <c r="AS290" s="391"/>
      <c r="AT290" s="391"/>
      <c r="AU290" s="391"/>
      <c r="AV290" s="391"/>
      <c r="AW290" s="391"/>
      <c r="AX290" s="391"/>
      <c r="AY290" s="391"/>
      <c r="AZ290" s="391"/>
      <c r="BA290" s="391"/>
      <c r="BB290" s="391"/>
      <c r="BC290" s="391"/>
      <c r="BD290" s="391"/>
      <c r="BE290" s="391"/>
      <c r="BF290" s="391"/>
      <c r="BG290" s="391"/>
      <c r="BM290" s="1073"/>
      <c r="BN290" s="1073"/>
      <c r="BO290" s="1073"/>
      <c r="BP290" s="1073"/>
      <c r="BQ290" s="1073"/>
      <c r="BR290" s="1073"/>
      <c r="BS290" s="1073"/>
      <c r="BT290" s="1073"/>
      <c r="BU290" s="1073"/>
      <c r="BV290" s="1073"/>
      <c r="BX290" s="1073"/>
    </row>
    <row r="291" spans="3:76">
      <c r="R291" s="444"/>
      <c r="S291" s="444"/>
      <c r="T291" s="444"/>
      <c r="U291" s="444"/>
      <c r="V291" s="444"/>
      <c r="W291" s="444"/>
      <c r="X291" s="444"/>
      <c r="Y291" s="444"/>
      <c r="Z291" s="444"/>
      <c r="AA291" s="444"/>
      <c r="AB291" s="444"/>
      <c r="AC291" s="444"/>
      <c r="AD291" s="444"/>
      <c r="AE291" s="444"/>
      <c r="AF291" s="444"/>
      <c r="AG291" s="444"/>
      <c r="AH291" s="444"/>
      <c r="AI291" s="444"/>
      <c r="AJ291" s="444"/>
      <c r="AK291" s="444"/>
      <c r="AL291" s="444"/>
      <c r="AM291" s="444"/>
      <c r="AN291" s="444"/>
      <c r="AO291" s="444"/>
      <c r="AP291" s="444"/>
      <c r="AQ291" s="444"/>
      <c r="AR291" s="444"/>
      <c r="AS291" s="444"/>
      <c r="AT291" s="444"/>
      <c r="AU291" s="444"/>
      <c r="AV291" s="444"/>
      <c r="AW291" s="444"/>
      <c r="AX291" s="444"/>
      <c r="AY291" s="444"/>
      <c r="AZ291" s="444"/>
      <c r="BA291" s="444"/>
      <c r="BB291" s="444"/>
      <c r="BC291" s="444"/>
      <c r="BD291" s="444"/>
      <c r="BE291" s="444"/>
      <c r="BF291" s="444"/>
      <c r="BG291" s="444"/>
    </row>
    <row r="292" spans="3:76">
      <c r="C292" s="253" t="s">
        <v>800</v>
      </c>
      <c r="D292" s="253"/>
      <c r="E292" s="253"/>
      <c r="F292" s="253"/>
      <c r="G292" s="253"/>
      <c r="H292" s="253"/>
      <c r="I292" s="253"/>
      <c r="J292" s="253"/>
      <c r="K292" s="253"/>
      <c r="L292" s="253"/>
      <c r="M292" s="253"/>
      <c r="N292" s="253"/>
      <c r="O292" s="268"/>
      <c r="P292" s="408"/>
      <c r="Q292" s="367"/>
      <c r="R292" s="254">
        <f>R252-R285</f>
        <v>-126000</v>
      </c>
      <c r="S292" s="254">
        <f t="shared" ref="S292:BG292" si="310">S252-S285</f>
        <v>-3090257.241372929</v>
      </c>
      <c r="T292" s="254">
        <f t="shared" si="310"/>
        <v>0</v>
      </c>
      <c r="U292" s="254">
        <f t="shared" si="310"/>
        <v>10302.905500140972</v>
      </c>
      <c r="V292" s="254">
        <f t="shared" si="310"/>
        <v>28500.922636107687</v>
      </c>
      <c r="W292" s="254">
        <f t="shared" si="310"/>
        <v>28732.99374999998</v>
      </c>
      <c r="X292" s="254">
        <f t="shared" si="310"/>
        <v>28604.598875868989</v>
      </c>
      <c r="Y292" s="254">
        <f t="shared" si="310"/>
        <v>28716.691420764699</v>
      </c>
      <c r="Z292" s="254">
        <f t="shared" si="310"/>
        <v>28947.134505287315</v>
      </c>
      <c r="AA292" s="254">
        <f t="shared" si="310"/>
        <v>29176.221796874961</v>
      </c>
      <c r="AB292" s="254">
        <f t="shared" si="310"/>
        <v>29052.128898646402</v>
      </c>
      <c r="AC292" s="254">
        <f t="shared" si="310"/>
        <v>29163.656404910515</v>
      </c>
      <c r="AD292" s="254">
        <f t="shared" si="310"/>
        <v>29391.097956675381</v>
      </c>
      <c r="AE292" s="254">
        <f t="shared" si="310"/>
        <v>1343824.6533783348</v>
      </c>
      <c r="AF292" s="254">
        <f t="shared" si="310"/>
        <v>0</v>
      </c>
      <c r="AG292" s="254">
        <f t="shared" si="310"/>
        <v>0</v>
      </c>
      <c r="AH292" s="254">
        <f t="shared" si="310"/>
        <v>0</v>
      </c>
      <c r="AI292" s="254">
        <f t="shared" si="310"/>
        <v>0</v>
      </c>
      <c r="AJ292" s="254">
        <f t="shared" si="310"/>
        <v>0</v>
      </c>
      <c r="AK292" s="254">
        <f t="shared" si="310"/>
        <v>0</v>
      </c>
      <c r="AL292" s="254">
        <f t="shared" si="310"/>
        <v>0</v>
      </c>
      <c r="AM292" s="254">
        <f t="shared" si="310"/>
        <v>0</v>
      </c>
      <c r="AN292" s="254">
        <f t="shared" si="310"/>
        <v>0</v>
      </c>
      <c r="AO292" s="254">
        <f t="shared" si="310"/>
        <v>0</v>
      </c>
      <c r="AP292" s="254">
        <f t="shared" si="310"/>
        <v>0</v>
      </c>
      <c r="AQ292" s="254">
        <f t="shared" si="310"/>
        <v>0</v>
      </c>
      <c r="AR292" s="254">
        <f t="shared" si="310"/>
        <v>0</v>
      </c>
      <c r="AS292" s="254">
        <f t="shared" si="310"/>
        <v>0</v>
      </c>
      <c r="AT292" s="254">
        <f t="shared" si="310"/>
        <v>0</v>
      </c>
      <c r="AU292" s="254">
        <f t="shared" si="310"/>
        <v>0</v>
      </c>
      <c r="AV292" s="254">
        <f t="shared" si="310"/>
        <v>0</v>
      </c>
      <c r="AW292" s="254">
        <f t="shared" si="310"/>
        <v>0</v>
      </c>
      <c r="AX292" s="254">
        <f t="shared" si="310"/>
        <v>0</v>
      </c>
      <c r="AY292" s="254">
        <f t="shared" si="310"/>
        <v>0</v>
      </c>
      <c r="AZ292" s="254">
        <f t="shared" si="310"/>
        <v>0</v>
      </c>
      <c r="BA292" s="254">
        <f t="shared" si="310"/>
        <v>0</v>
      </c>
      <c r="BB292" s="254">
        <f t="shared" si="310"/>
        <v>0</v>
      </c>
      <c r="BC292" s="254">
        <f t="shared" si="310"/>
        <v>0</v>
      </c>
      <c r="BD292" s="254">
        <f t="shared" si="310"/>
        <v>0</v>
      </c>
      <c r="BE292" s="254">
        <f t="shared" si="310"/>
        <v>0</v>
      </c>
      <c r="BF292" s="254">
        <f t="shared" si="310"/>
        <v>0</v>
      </c>
      <c r="BG292" s="254">
        <f t="shared" si="310"/>
        <v>0</v>
      </c>
      <c r="BI292" s="254">
        <f>SUM(T292:BG292)</f>
        <v>1614413.0051236118</v>
      </c>
      <c r="BM292" s="254">
        <f t="shared" ref="BM292:BV292" si="311">SUMIF($T$8:$BG$8,BM$6,$T292:$BG292)</f>
        <v>67536.821886248639</v>
      </c>
      <c r="BN292" s="254">
        <f t="shared" si="311"/>
        <v>115444.64659879597</v>
      </c>
      <c r="BO292" s="254">
        <f t="shared" si="311"/>
        <v>1431431.5366385672</v>
      </c>
      <c r="BP292" s="254">
        <f t="shared" si="311"/>
        <v>0</v>
      </c>
      <c r="BQ292" s="254">
        <f t="shared" si="311"/>
        <v>0</v>
      </c>
      <c r="BR292" s="254">
        <f t="shared" si="311"/>
        <v>0</v>
      </c>
      <c r="BS292" s="254">
        <f t="shared" si="311"/>
        <v>0</v>
      </c>
      <c r="BT292" s="254">
        <f t="shared" si="311"/>
        <v>0</v>
      </c>
      <c r="BU292" s="254">
        <f t="shared" si="311"/>
        <v>0</v>
      </c>
      <c r="BV292" s="254">
        <f t="shared" si="311"/>
        <v>0</v>
      </c>
      <c r="BX292" s="254">
        <f>SUM(BM292:BV292)</f>
        <v>1614413.0051236118</v>
      </c>
    </row>
    <row r="293" spans="3:76">
      <c r="R293" s="444"/>
      <c r="S293" s="444"/>
      <c r="T293" s="444"/>
      <c r="U293" s="444"/>
      <c r="V293" s="444"/>
      <c r="W293" s="444"/>
      <c r="X293" s="444"/>
      <c r="Y293" s="444"/>
      <c r="Z293" s="444"/>
      <c r="AA293" s="444"/>
      <c r="AB293" s="444"/>
      <c r="AC293" s="444"/>
      <c r="AD293" s="444"/>
      <c r="AE293" s="444"/>
      <c r="AF293" s="444"/>
      <c r="AG293" s="444"/>
      <c r="AH293" s="444"/>
      <c r="AI293" s="444"/>
      <c r="AJ293" s="444"/>
      <c r="AK293" s="444"/>
      <c r="AL293" s="444"/>
      <c r="AM293" s="444"/>
      <c r="AN293" s="444"/>
      <c r="AO293" s="444"/>
      <c r="AP293" s="444"/>
      <c r="AQ293" s="444"/>
      <c r="AR293" s="444"/>
      <c r="AS293" s="444"/>
      <c r="AT293" s="444"/>
      <c r="AU293" s="444"/>
      <c r="AV293" s="444"/>
      <c r="AW293" s="444"/>
      <c r="AX293" s="444"/>
      <c r="AY293" s="444"/>
      <c r="AZ293" s="444"/>
      <c r="BA293" s="444"/>
      <c r="BB293" s="444"/>
      <c r="BC293" s="444"/>
      <c r="BD293" s="444"/>
      <c r="BE293" s="444"/>
      <c r="BF293" s="444"/>
      <c r="BG293" s="444"/>
    </row>
    <row r="294" spans="3:76">
      <c r="C294" s="268" t="s">
        <v>679</v>
      </c>
      <c r="D294" s="268"/>
      <c r="E294" s="268"/>
      <c r="F294" s="268"/>
      <c r="G294" s="268"/>
      <c r="H294" s="268"/>
      <c r="I294" s="268"/>
      <c r="J294" s="268"/>
      <c r="K294" s="268"/>
      <c r="L294" s="268"/>
      <c r="M294" s="268"/>
      <c r="N294" s="268"/>
      <c r="O294" s="268"/>
      <c r="P294" s="268"/>
      <c r="Q294" s="268"/>
      <c r="R294" s="401"/>
      <c r="S294" s="401"/>
      <c r="T294" s="254">
        <f>T$442</f>
        <v>0</v>
      </c>
      <c r="U294" s="254">
        <f t="shared" ref="U294:BG294" si="312">U$442</f>
        <v>0</v>
      </c>
      <c r="V294" s="254">
        <f t="shared" si="312"/>
        <v>0</v>
      </c>
      <c r="W294" s="254">
        <f t="shared" si="312"/>
        <v>0</v>
      </c>
      <c r="X294" s="254">
        <f t="shared" si="312"/>
        <v>0</v>
      </c>
      <c r="Y294" s="254">
        <f t="shared" si="312"/>
        <v>0</v>
      </c>
      <c r="Z294" s="254">
        <f t="shared" si="312"/>
        <v>0</v>
      </c>
      <c r="AA294" s="254">
        <f t="shared" si="312"/>
        <v>0</v>
      </c>
      <c r="AB294" s="254">
        <f t="shared" si="312"/>
        <v>0</v>
      </c>
      <c r="AC294" s="254">
        <f t="shared" si="312"/>
        <v>0</v>
      </c>
      <c r="AD294" s="254">
        <f t="shared" si="312"/>
        <v>0</v>
      </c>
      <c r="AE294" s="254">
        <f t="shared" si="312"/>
        <v>-278.23851046038078</v>
      </c>
      <c r="AF294" s="254">
        <f t="shared" si="312"/>
        <v>0</v>
      </c>
      <c r="AG294" s="254">
        <f t="shared" si="312"/>
        <v>0</v>
      </c>
      <c r="AH294" s="254">
        <f t="shared" si="312"/>
        <v>0</v>
      </c>
      <c r="AI294" s="254">
        <f t="shared" si="312"/>
        <v>0</v>
      </c>
      <c r="AJ294" s="254">
        <f t="shared" si="312"/>
        <v>0</v>
      </c>
      <c r="AK294" s="254">
        <f t="shared" si="312"/>
        <v>0</v>
      </c>
      <c r="AL294" s="254">
        <f t="shared" si="312"/>
        <v>0</v>
      </c>
      <c r="AM294" s="254">
        <f t="shared" si="312"/>
        <v>0</v>
      </c>
      <c r="AN294" s="254">
        <f t="shared" si="312"/>
        <v>0</v>
      </c>
      <c r="AO294" s="254">
        <f t="shared" si="312"/>
        <v>0</v>
      </c>
      <c r="AP294" s="254">
        <f t="shared" si="312"/>
        <v>0</v>
      </c>
      <c r="AQ294" s="254">
        <f t="shared" si="312"/>
        <v>0</v>
      </c>
      <c r="AR294" s="254">
        <f t="shared" si="312"/>
        <v>0</v>
      </c>
      <c r="AS294" s="254">
        <f t="shared" si="312"/>
        <v>0</v>
      </c>
      <c r="AT294" s="254">
        <f t="shared" si="312"/>
        <v>0</v>
      </c>
      <c r="AU294" s="254">
        <f t="shared" si="312"/>
        <v>0</v>
      </c>
      <c r="AV294" s="254">
        <f t="shared" si="312"/>
        <v>0</v>
      </c>
      <c r="AW294" s="254">
        <f t="shared" si="312"/>
        <v>0</v>
      </c>
      <c r="AX294" s="254">
        <f t="shared" si="312"/>
        <v>0</v>
      </c>
      <c r="AY294" s="254">
        <f t="shared" si="312"/>
        <v>0</v>
      </c>
      <c r="AZ294" s="254">
        <f t="shared" si="312"/>
        <v>0</v>
      </c>
      <c r="BA294" s="254">
        <f t="shared" si="312"/>
        <v>0</v>
      </c>
      <c r="BB294" s="254">
        <f t="shared" si="312"/>
        <v>0</v>
      </c>
      <c r="BC294" s="254">
        <f t="shared" si="312"/>
        <v>0</v>
      </c>
      <c r="BD294" s="254">
        <f t="shared" si="312"/>
        <v>0</v>
      </c>
      <c r="BE294" s="254">
        <f t="shared" si="312"/>
        <v>0</v>
      </c>
      <c r="BF294" s="254">
        <f t="shared" si="312"/>
        <v>0</v>
      </c>
      <c r="BG294" s="254">
        <f t="shared" si="312"/>
        <v>0</v>
      </c>
      <c r="BI294" s="254">
        <f>SUM(T294:BG294)</f>
        <v>-278.23851046038078</v>
      </c>
      <c r="BM294" s="254">
        <f t="shared" ref="BM294:BV294" si="313">SUMIF($T$8:$BG$8,BM$6,$T294:$BG294)</f>
        <v>0</v>
      </c>
      <c r="BN294" s="254">
        <f t="shared" si="313"/>
        <v>0</v>
      </c>
      <c r="BO294" s="254">
        <f t="shared" si="313"/>
        <v>-278.23851046038078</v>
      </c>
      <c r="BP294" s="254">
        <f t="shared" si="313"/>
        <v>0</v>
      </c>
      <c r="BQ294" s="254">
        <f t="shared" si="313"/>
        <v>0</v>
      </c>
      <c r="BR294" s="254">
        <f t="shared" si="313"/>
        <v>0</v>
      </c>
      <c r="BS294" s="254">
        <f t="shared" si="313"/>
        <v>0</v>
      </c>
      <c r="BT294" s="254">
        <f t="shared" si="313"/>
        <v>0</v>
      </c>
      <c r="BU294" s="254">
        <f t="shared" si="313"/>
        <v>0</v>
      </c>
      <c r="BV294" s="254">
        <f t="shared" si="313"/>
        <v>0</v>
      </c>
      <c r="BX294" s="254">
        <f>SUM(BM294:BV294)</f>
        <v>-278.23851046038078</v>
      </c>
    </row>
    <row r="295" spans="3:76">
      <c r="R295" s="444"/>
      <c r="S295" s="444"/>
      <c r="T295" s="444"/>
      <c r="U295" s="444"/>
      <c r="V295" s="444"/>
      <c r="W295" s="444"/>
      <c r="X295" s="444"/>
      <c r="Y295" s="444"/>
      <c r="Z295" s="444"/>
      <c r="AA295" s="444"/>
      <c r="AB295" s="444"/>
      <c r="AC295" s="444"/>
      <c r="AD295" s="444"/>
      <c r="AE295" s="444"/>
      <c r="AF295" s="444"/>
      <c r="AG295" s="444"/>
      <c r="AH295" s="444"/>
      <c r="AI295" s="444"/>
      <c r="AJ295" s="444"/>
      <c r="AK295" s="444"/>
      <c r="AL295" s="444"/>
      <c r="AM295" s="444"/>
      <c r="AN295" s="444"/>
      <c r="AO295" s="444"/>
      <c r="AP295" s="444"/>
      <c r="AQ295" s="444"/>
      <c r="AR295" s="444"/>
      <c r="AS295" s="444"/>
      <c r="AT295" s="444"/>
      <c r="AU295" s="444"/>
      <c r="AV295" s="444"/>
      <c r="AW295" s="444"/>
      <c r="AX295" s="444"/>
      <c r="AY295" s="444"/>
      <c r="AZ295" s="444"/>
      <c r="BA295" s="444"/>
      <c r="BB295" s="444"/>
      <c r="BC295" s="444"/>
      <c r="BD295" s="444"/>
      <c r="BE295" s="444"/>
      <c r="BF295" s="444"/>
      <c r="BG295" s="444"/>
    </row>
    <row r="296" spans="3:76">
      <c r="C296" s="253" t="s">
        <v>1391</v>
      </c>
      <c r="D296" s="253"/>
      <c r="E296" s="253"/>
      <c r="F296" s="253"/>
      <c r="G296" s="253"/>
      <c r="H296" s="253"/>
      <c r="I296" s="253"/>
      <c r="J296" s="253"/>
      <c r="K296" s="253"/>
      <c r="L296" s="253"/>
      <c r="M296" s="253"/>
      <c r="N296" s="253"/>
      <c r="O296" s="268"/>
      <c r="P296" s="408"/>
      <c r="Q296" s="367"/>
      <c r="R296" s="254">
        <f t="shared" ref="R296:BG296" si="314">R292+R294</f>
        <v>-126000</v>
      </c>
      <c r="S296" s="254">
        <f t="shared" si="314"/>
        <v>-3090257.241372929</v>
      </c>
      <c r="T296" s="254">
        <f t="shared" si="314"/>
        <v>0</v>
      </c>
      <c r="U296" s="254">
        <f t="shared" si="314"/>
        <v>10302.905500140972</v>
      </c>
      <c r="V296" s="254">
        <f t="shared" si="314"/>
        <v>28500.922636107687</v>
      </c>
      <c r="W296" s="254">
        <f t="shared" si="314"/>
        <v>28732.99374999998</v>
      </c>
      <c r="X296" s="254">
        <f t="shared" si="314"/>
        <v>28604.598875868989</v>
      </c>
      <c r="Y296" s="254">
        <f t="shared" si="314"/>
        <v>28716.691420764699</v>
      </c>
      <c r="Z296" s="254">
        <f t="shared" si="314"/>
        <v>28947.134505287315</v>
      </c>
      <c r="AA296" s="254">
        <f t="shared" si="314"/>
        <v>29176.221796874961</v>
      </c>
      <c r="AB296" s="254">
        <f t="shared" si="314"/>
        <v>29052.128898646402</v>
      </c>
      <c r="AC296" s="254">
        <f t="shared" si="314"/>
        <v>29163.656404910515</v>
      </c>
      <c r="AD296" s="254">
        <f t="shared" si="314"/>
        <v>29391.097956675381</v>
      </c>
      <c r="AE296" s="254">
        <f t="shared" si="314"/>
        <v>1343546.4148678745</v>
      </c>
      <c r="AF296" s="254">
        <f t="shared" si="314"/>
        <v>0</v>
      </c>
      <c r="AG296" s="254">
        <f t="shared" si="314"/>
        <v>0</v>
      </c>
      <c r="AH296" s="254">
        <f t="shared" si="314"/>
        <v>0</v>
      </c>
      <c r="AI296" s="254">
        <f t="shared" si="314"/>
        <v>0</v>
      </c>
      <c r="AJ296" s="254">
        <f t="shared" si="314"/>
        <v>0</v>
      </c>
      <c r="AK296" s="254">
        <f t="shared" si="314"/>
        <v>0</v>
      </c>
      <c r="AL296" s="254">
        <f t="shared" si="314"/>
        <v>0</v>
      </c>
      <c r="AM296" s="254">
        <f t="shared" si="314"/>
        <v>0</v>
      </c>
      <c r="AN296" s="254">
        <f t="shared" si="314"/>
        <v>0</v>
      </c>
      <c r="AO296" s="254">
        <f t="shared" si="314"/>
        <v>0</v>
      </c>
      <c r="AP296" s="254">
        <f t="shared" si="314"/>
        <v>0</v>
      </c>
      <c r="AQ296" s="254">
        <f t="shared" si="314"/>
        <v>0</v>
      </c>
      <c r="AR296" s="254">
        <f t="shared" si="314"/>
        <v>0</v>
      </c>
      <c r="AS296" s="254">
        <f t="shared" si="314"/>
        <v>0</v>
      </c>
      <c r="AT296" s="254">
        <f t="shared" si="314"/>
        <v>0</v>
      </c>
      <c r="AU296" s="254">
        <f t="shared" si="314"/>
        <v>0</v>
      </c>
      <c r="AV296" s="254">
        <f t="shared" si="314"/>
        <v>0</v>
      </c>
      <c r="AW296" s="254">
        <f t="shared" si="314"/>
        <v>0</v>
      </c>
      <c r="AX296" s="254">
        <f t="shared" si="314"/>
        <v>0</v>
      </c>
      <c r="AY296" s="254">
        <f t="shared" si="314"/>
        <v>0</v>
      </c>
      <c r="AZ296" s="254">
        <f t="shared" si="314"/>
        <v>0</v>
      </c>
      <c r="BA296" s="254">
        <f t="shared" si="314"/>
        <v>0</v>
      </c>
      <c r="BB296" s="254">
        <f t="shared" si="314"/>
        <v>0</v>
      </c>
      <c r="BC296" s="254">
        <f t="shared" si="314"/>
        <v>0</v>
      </c>
      <c r="BD296" s="254">
        <f t="shared" si="314"/>
        <v>0</v>
      </c>
      <c r="BE296" s="254">
        <f t="shared" si="314"/>
        <v>0</v>
      </c>
      <c r="BF296" s="254">
        <f t="shared" si="314"/>
        <v>0</v>
      </c>
      <c r="BG296" s="254">
        <f t="shared" si="314"/>
        <v>0</v>
      </c>
      <c r="BI296" s="254">
        <f>SUM(R296:BG296)</f>
        <v>-1602122.4747597778</v>
      </c>
      <c r="BM296" s="254">
        <f t="shared" ref="BM296:BV296" si="315">SUMIF($T$8:$BG$8,BM$6,$T296:$BG296)</f>
        <v>67536.821886248639</v>
      </c>
      <c r="BN296" s="254">
        <f t="shared" si="315"/>
        <v>115444.64659879597</v>
      </c>
      <c r="BO296" s="254">
        <f t="shared" si="315"/>
        <v>1431153.2981281069</v>
      </c>
      <c r="BP296" s="254">
        <f t="shared" si="315"/>
        <v>0</v>
      </c>
      <c r="BQ296" s="254">
        <f t="shared" si="315"/>
        <v>0</v>
      </c>
      <c r="BR296" s="254">
        <f t="shared" si="315"/>
        <v>0</v>
      </c>
      <c r="BS296" s="254">
        <f t="shared" si="315"/>
        <v>0</v>
      </c>
      <c r="BT296" s="254">
        <f t="shared" si="315"/>
        <v>0</v>
      </c>
      <c r="BU296" s="254">
        <f t="shared" si="315"/>
        <v>0</v>
      </c>
      <c r="BV296" s="254">
        <f t="shared" si="315"/>
        <v>0</v>
      </c>
      <c r="BX296" s="254">
        <f>SUM(BM296:BV296)</f>
        <v>1614134.7666131514</v>
      </c>
    </row>
    <row r="297" spans="3:76">
      <c r="R297" s="444"/>
      <c r="S297" s="444"/>
      <c r="T297" s="444"/>
      <c r="U297" s="444"/>
      <c r="V297" s="444"/>
      <c r="W297" s="444"/>
      <c r="X297" s="444"/>
      <c r="Y297" s="444"/>
      <c r="Z297" s="444"/>
      <c r="AA297" s="444"/>
      <c r="AB297" s="444"/>
      <c r="AC297" s="444"/>
      <c r="AD297" s="444"/>
      <c r="AE297" s="444"/>
      <c r="AF297" s="444"/>
      <c r="AG297" s="444"/>
      <c r="AH297" s="444"/>
      <c r="AI297" s="444"/>
      <c r="AJ297" s="444"/>
      <c r="AK297" s="444"/>
      <c r="AL297" s="444"/>
      <c r="AM297" s="444"/>
      <c r="AN297" s="444"/>
      <c r="AO297" s="444"/>
      <c r="AP297" s="444"/>
      <c r="AQ297" s="444"/>
      <c r="AR297" s="444"/>
      <c r="AS297" s="444"/>
      <c r="AT297" s="444"/>
      <c r="AU297" s="444"/>
      <c r="AV297" s="444"/>
      <c r="AW297" s="444"/>
      <c r="AX297" s="444"/>
      <c r="AY297" s="444"/>
      <c r="AZ297" s="444"/>
      <c r="BA297" s="444"/>
      <c r="BB297" s="444"/>
      <c r="BC297" s="444"/>
      <c r="BD297" s="444"/>
      <c r="BE297" s="444"/>
      <c r="BF297" s="444"/>
      <c r="BG297" s="444"/>
    </row>
    <row r="298" spans="3:76">
      <c r="C298" s="417" t="s">
        <v>802</v>
      </c>
      <c r="D298" s="1427"/>
      <c r="E298" s="1427"/>
      <c r="F298" s="1427"/>
      <c r="G298" s="1427"/>
      <c r="H298" s="1427"/>
      <c r="I298" s="1427"/>
      <c r="J298" s="1427"/>
      <c r="K298" s="1427"/>
      <c r="L298" s="1427"/>
      <c r="M298" s="1427"/>
      <c r="N298" s="1427"/>
      <c r="O298" s="471">
        <f>GA!$G$706</f>
        <v>0</v>
      </c>
      <c r="P298" s="421" t="s">
        <v>688</v>
      </c>
      <c r="Q298" s="421" t="s">
        <v>764</v>
      </c>
      <c r="R298" s="473"/>
      <c r="S298" s="473"/>
      <c r="T298" s="473"/>
      <c r="U298" s="473"/>
      <c r="V298" s="473"/>
      <c r="W298" s="473"/>
      <c r="X298" s="473"/>
      <c r="Y298" s="473"/>
      <c r="Z298" s="473"/>
      <c r="AA298" s="473"/>
      <c r="AB298" s="473"/>
      <c r="AC298" s="473"/>
      <c r="AD298" s="473"/>
      <c r="AE298" s="473"/>
      <c r="AF298" s="473"/>
      <c r="AG298" s="473"/>
      <c r="AH298" s="473"/>
      <c r="AI298" s="473"/>
      <c r="AJ298" s="473"/>
      <c r="AK298" s="473"/>
      <c r="AL298" s="473"/>
      <c r="AM298" s="473"/>
      <c r="AN298" s="473"/>
      <c r="AO298" s="473"/>
      <c r="AP298" s="473"/>
      <c r="AQ298" s="473"/>
      <c r="AR298" s="473"/>
      <c r="AS298" s="473"/>
      <c r="AT298" s="473"/>
      <c r="AU298" s="473"/>
      <c r="AV298" s="473"/>
      <c r="AW298" s="473"/>
      <c r="AX298" s="473"/>
      <c r="AY298" s="473"/>
      <c r="AZ298" s="473"/>
      <c r="BA298" s="473"/>
      <c r="BB298" s="473"/>
      <c r="BC298" s="473"/>
      <c r="BD298" s="473"/>
      <c r="BE298" s="473"/>
      <c r="BF298" s="473"/>
      <c r="BG298" s="473"/>
      <c r="BI298" s="473"/>
      <c r="BM298" s="473"/>
      <c r="BN298" s="473"/>
      <c r="BO298" s="473"/>
      <c r="BP298" s="473"/>
      <c r="BQ298" s="473"/>
      <c r="BR298" s="473"/>
      <c r="BS298" s="473"/>
      <c r="BT298" s="473"/>
      <c r="BU298" s="473"/>
      <c r="BV298" s="473"/>
      <c r="BX298" s="473"/>
    </row>
    <row r="299" spans="3:76">
      <c r="C299" s="418" t="s">
        <v>682</v>
      </c>
      <c r="D299" s="418"/>
      <c r="E299" s="418"/>
      <c r="F299" s="418"/>
      <c r="G299" s="418"/>
      <c r="H299" s="418"/>
      <c r="I299" s="418"/>
      <c r="J299" s="418"/>
      <c r="K299" s="418"/>
      <c r="L299" s="418"/>
      <c r="M299" s="418"/>
      <c r="N299" s="418"/>
      <c r="O299" s="420">
        <f>-SUMIF(T296:BG296,"&lt;0",T296:BG296)</f>
        <v>0</v>
      </c>
      <c r="P299" s="472">
        <f>GA!$G$708</f>
        <v>0</v>
      </c>
      <c r="Q299" s="472">
        <f>IF(GA!$G$707&lt;&gt;0,GA!$G$707,-SUMIF(T296:BG296,"&lt;0",T296:BG296))</f>
        <v>0</v>
      </c>
      <c r="R299" s="475"/>
      <c r="S299" s="423"/>
      <c r="T299" s="423">
        <f>S303</f>
        <v>0</v>
      </c>
      <c r="U299" s="423">
        <f t="shared" ref="U299:BG299" si="316">T303</f>
        <v>0</v>
      </c>
      <c r="V299" s="423">
        <f t="shared" si="316"/>
        <v>0</v>
      </c>
      <c r="W299" s="423">
        <f t="shared" si="316"/>
        <v>0</v>
      </c>
      <c r="X299" s="423">
        <f t="shared" si="316"/>
        <v>0</v>
      </c>
      <c r="Y299" s="423">
        <f t="shared" si="316"/>
        <v>0</v>
      </c>
      <c r="Z299" s="423">
        <f t="shared" si="316"/>
        <v>0</v>
      </c>
      <c r="AA299" s="423">
        <f t="shared" si="316"/>
        <v>0</v>
      </c>
      <c r="AB299" s="423">
        <f t="shared" si="316"/>
        <v>0</v>
      </c>
      <c r="AC299" s="423">
        <f t="shared" si="316"/>
        <v>0</v>
      </c>
      <c r="AD299" s="423">
        <f t="shared" si="316"/>
        <v>0</v>
      </c>
      <c r="AE299" s="423">
        <f t="shared" si="316"/>
        <v>0</v>
      </c>
      <c r="AF299" s="423">
        <f t="shared" si="316"/>
        <v>0</v>
      </c>
      <c r="AG299" s="423">
        <f t="shared" si="316"/>
        <v>0</v>
      </c>
      <c r="AH299" s="423">
        <f t="shared" si="316"/>
        <v>0</v>
      </c>
      <c r="AI299" s="423">
        <f t="shared" si="316"/>
        <v>0</v>
      </c>
      <c r="AJ299" s="423">
        <f t="shared" si="316"/>
        <v>0</v>
      </c>
      <c r="AK299" s="423">
        <f t="shared" si="316"/>
        <v>0</v>
      </c>
      <c r="AL299" s="423">
        <f t="shared" si="316"/>
        <v>0</v>
      </c>
      <c r="AM299" s="423">
        <f t="shared" si="316"/>
        <v>0</v>
      </c>
      <c r="AN299" s="423">
        <f t="shared" si="316"/>
        <v>0</v>
      </c>
      <c r="AO299" s="423">
        <f t="shared" si="316"/>
        <v>0</v>
      </c>
      <c r="AP299" s="423">
        <f t="shared" si="316"/>
        <v>0</v>
      </c>
      <c r="AQ299" s="423">
        <f t="shared" si="316"/>
        <v>0</v>
      </c>
      <c r="AR299" s="423">
        <f t="shared" si="316"/>
        <v>0</v>
      </c>
      <c r="AS299" s="423">
        <f t="shared" si="316"/>
        <v>0</v>
      </c>
      <c r="AT299" s="423">
        <f t="shared" si="316"/>
        <v>0</v>
      </c>
      <c r="AU299" s="423">
        <f t="shared" si="316"/>
        <v>0</v>
      </c>
      <c r="AV299" s="423">
        <f t="shared" si="316"/>
        <v>0</v>
      </c>
      <c r="AW299" s="423">
        <f t="shared" si="316"/>
        <v>0</v>
      </c>
      <c r="AX299" s="423">
        <f t="shared" si="316"/>
        <v>0</v>
      </c>
      <c r="AY299" s="423">
        <f t="shared" si="316"/>
        <v>0</v>
      </c>
      <c r="AZ299" s="423">
        <f t="shared" si="316"/>
        <v>0</v>
      </c>
      <c r="BA299" s="423">
        <f t="shared" si="316"/>
        <v>0</v>
      </c>
      <c r="BB299" s="423">
        <f t="shared" si="316"/>
        <v>0</v>
      </c>
      <c r="BC299" s="423">
        <f t="shared" si="316"/>
        <v>0</v>
      </c>
      <c r="BD299" s="423">
        <f t="shared" si="316"/>
        <v>0</v>
      </c>
      <c r="BE299" s="423">
        <f t="shared" si="316"/>
        <v>0</v>
      </c>
      <c r="BF299" s="423">
        <f t="shared" si="316"/>
        <v>0</v>
      </c>
      <c r="BG299" s="423">
        <f t="shared" si="316"/>
        <v>0</v>
      </c>
      <c r="BI299" s="1070" t="s">
        <v>153</v>
      </c>
      <c r="BM299" s="423">
        <f t="shared" ref="BM299:BV299" si="317">INDEX($T299:$BG299,MATCH(BM$5-3,$T$5:$BG$5,0))</f>
        <v>0</v>
      </c>
      <c r="BN299" s="423">
        <f t="shared" si="317"/>
        <v>0</v>
      </c>
      <c r="BO299" s="423">
        <f t="shared" si="317"/>
        <v>0</v>
      </c>
      <c r="BP299" s="423">
        <f t="shared" si="317"/>
        <v>0</v>
      </c>
      <c r="BQ299" s="423">
        <f t="shared" si="317"/>
        <v>0</v>
      </c>
      <c r="BR299" s="423">
        <f t="shared" si="317"/>
        <v>0</v>
      </c>
      <c r="BS299" s="423">
        <f t="shared" si="317"/>
        <v>0</v>
      </c>
      <c r="BT299" s="423">
        <f t="shared" si="317"/>
        <v>0</v>
      </c>
      <c r="BU299" s="423">
        <f t="shared" si="317"/>
        <v>0</v>
      </c>
      <c r="BV299" s="423">
        <f t="shared" si="317"/>
        <v>0</v>
      </c>
      <c r="BX299" s="1070" t="s">
        <v>153</v>
      </c>
    </row>
    <row r="300" spans="3:76">
      <c r="C300" s="418" t="s">
        <v>740</v>
      </c>
      <c r="D300" s="418"/>
      <c r="E300" s="418"/>
      <c r="F300" s="418"/>
      <c r="G300" s="418"/>
      <c r="H300" s="418"/>
      <c r="I300" s="418"/>
      <c r="J300" s="418"/>
      <c r="K300" s="418"/>
      <c r="L300" s="418"/>
      <c r="M300" s="418"/>
      <c r="N300" s="418"/>
      <c r="O300" s="418"/>
      <c r="P300" s="418"/>
      <c r="Q300" s="418"/>
      <c r="R300" s="473"/>
      <c r="S300" s="422"/>
      <c r="T300" s="422">
        <f>T301-S301</f>
        <v>0</v>
      </c>
      <c r="U300" s="422">
        <f t="shared" ref="U300:BG300" si="318">U301-T301</f>
        <v>0</v>
      </c>
      <c r="V300" s="422">
        <f t="shared" si="318"/>
        <v>0</v>
      </c>
      <c r="W300" s="422">
        <f t="shared" si="318"/>
        <v>0</v>
      </c>
      <c r="X300" s="422">
        <f t="shared" si="318"/>
        <v>0</v>
      </c>
      <c r="Y300" s="422">
        <f t="shared" si="318"/>
        <v>0</v>
      </c>
      <c r="Z300" s="422">
        <f t="shared" si="318"/>
        <v>0</v>
      </c>
      <c r="AA300" s="422">
        <f t="shared" si="318"/>
        <v>0</v>
      </c>
      <c r="AB300" s="422">
        <f t="shared" si="318"/>
        <v>0</v>
      </c>
      <c r="AC300" s="422">
        <f t="shared" si="318"/>
        <v>0</v>
      </c>
      <c r="AD300" s="422">
        <f t="shared" si="318"/>
        <v>0</v>
      </c>
      <c r="AE300" s="422">
        <f t="shared" si="318"/>
        <v>0</v>
      </c>
      <c r="AF300" s="422">
        <f t="shared" si="318"/>
        <v>0</v>
      </c>
      <c r="AG300" s="422">
        <f t="shared" si="318"/>
        <v>0</v>
      </c>
      <c r="AH300" s="422">
        <f t="shared" si="318"/>
        <v>0</v>
      </c>
      <c r="AI300" s="422">
        <f t="shared" si="318"/>
        <v>0</v>
      </c>
      <c r="AJ300" s="422">
        <f t="shared" si="318"/>
        <v>0</v>
      </c>
      <c r="AK300" s="422">
        <f t="shared" si="318"/>
        <v>0</v>
      </c>
      <c r="AL300" s="422">
        <f t="shared" si="318"/>
        <v>0</v>
      </c>
      <c r="AM300" s="422">
        <f t="shared" si="318"/>
        <v>0</v>
      </c>
      <c r="AN300" s="422">
        <f t="shared" si="318"/>
        <v>0</v>
      </c>
      <c r="AO300" s="422">
        <f t="shared" si="318"/>
        <v>0</v>
      </c>
      <c r="AP300" s="422">
        <f t="shared" si="318"/>
        <v>0</v>
      </c>
      <c r="AQ300" s="422">
        <f t="shared" si="318"/>
        <v>0</v>
      </c>
      <c r="AR300" s="422">
        <f t="shared" si="318"/>
        <v>0</v>
      </c>
      <c r="AS300" s="422">
        <f t="shared" si="318"/>
        <v>0</v>
      </c>
      <c r="AT300" s="422">
        <f t="shared" si="318"/>
        <v>0</v>
      </c>
      <c r="AU300" s="422">
        <f t="shared" si="318"/>
        <v>0</v>
      </c>
      <c r="AV300" s="422">
        <f t="shared" si="318"/>
        <v>0</v>
      </c>
      <c r="AW300" s="422">
        <f t="shared" si="318"/>
        <v>0</v>
      </c>
      <c r="AX300" s="422">
        <f t="shared" si="318"/>
        <v>0</v>
      </c>
      <c r="AY300" s="422">
        <f t="shared" si="318"/>
        <v>0</v>
      </c>
      <c r="AZ300" s="422">
        <f t="shared" si="318"/>
        <v>0</v>
      </c>
      <c r="BA300" s="422">
        <f t="shared" si="318"/>
        <v>0</v>
      </c>
      <c r="BB300" s="422">
        <f t="shared" si="318"/>
        <v>0</v>
      </c>
      <c r="BC300" s="422">
        <f t="shared" si="318"/>
        <v>0</v>
      </c>
      <c r="BD300" s="422">
        <f t="shared" si="318"/>
        <v>0</v>
      </c>
      <c r="BE300" s="422">
        <f t="shared" si="318"/>
        <v>0</v>
      </c>
      <c r="BF300" s="422">
        <f t="shared" si="318"/>
        <v>0</v>
      </c>
      <c r="BG300" s="422">
        <f t="shared" si="318"/>
        <v>0</v>
      </c>
      <c r="BI300" s="422">
        <f>SUM(T300:BG300)</f>
        <v>0</v>
      </c>
      <c r="BM300" s="422">
        <f t="shared" ref="BM300:BV302" si="319">SUMIF($T$8:$BG$8,BM$6,$T300:$BG300)</f>
        <v>0</v>
      </c>
      <c r="BN300" s="422">
        <f t="shared" si="319"/>
        <v>0</v>
      </c>
      <c r="BO300" s="422">
        <f t="shared" si="319"/>
        <v>0</v>
      </c>
      <c r="BP300" s="422">
        <f t="shared" si="319"/>
        <v>0</v>
      </c>
      <c r="BQ300" s="422">
        <f t="shared" si="319"/>
        <v>0</v>
      </c>
      <c r="BR300" s="422">
        <f t="shared" si="319"/>
        <v>0</v>
      </c>
      <c r="BS300" s="422">
        <f t="shared" si="319"/>
        <v>0</v>
      </c>
      <c r="BT300" s="422">
        <f t="shared" si="319"/>
        <v>0</v>
      </c>
      <c r="BU300" s="422">
        <f t="shared" si="319"/>
        <v>0</v>
      </c>
      <c r="BV300" s="422">
        <f t="shared" si="319"/>
        <v>0</v>
      </c>
      <c r="BX300" s="1071" t="s">
        <v>153</v>
      </c>
    </row>
    <row r="301" spans="3:76">
      <c r="C301" s="443" t="s">
        <v>741</v>
      </c>
      <c r="D301" s="443"/>
      <c r="E301" s="443"/>
      <c r="F301" s="443"/>
      <c r="G301" s="443"/>
      <c r="H301" s="443"/>
      <c r="I301" s="443"/>
      <c r="J301" s="443"/>
      <c r="K301" s="443"/>
      <c r="L301" s="443"/>
      <c r="M301" s="443"/>
      <c r="N301" s="443"/>
      <c r="O301" s="418"/>
      <c r="P301" s="418"/>
      <c r="Q301" s="418"/>
      <c r="R301" s="473"/>
      <c r="S301" s="491">
        <f>IF(AND($O$298=1,ROUND(S296,GA!$G$713)&gt;0),MIN(R301+S296,$Q$299-$S$302),R301)</f>
        <v>0</v>
      </c>
      <c r="T301" s="491">
        <f>IF(AND($O$298=1,ROUND(T296,GA!$G$713)&gt;0),MIN(S301+T296,$Q$299-$S$302),S301)</f>
        <v>0</v>
      </c>
      <c r="U301" s="491">
        <f>IF(AND($O$298=1,ROUND(U296,GA!$G$713)&gt;0),MIN(T301+U296,$Q$299-$S$302),T301)</f>
        <v>0</v>
      </c>
      <c r="V301" s="491">
        <f>IF(AND($O$298=1,ROUND(V296,GA!$G$713)&gt;0),MIN(U301+V296,$Q$299-$S$302),U301)</f>
        <v>0</v>
      </c>
      <c r="W301" s="491">
        <f>IF(AND($O$298=1,ROUND(W296,GA!$G$713)&gt;0),MIN(V301+W296,$Q$299-$S$302),V301)</f>
        <v>0</v>
      </c>
      <c r="X301" s="491">
        <f>IF(AND($O$298=1,ROUND(X296,GA!$G$713)&gt;0),MIN(W301+X296,$Q$299-$S$302),W301)</f>
        <v>0</v>
      </c>
      <c r="Y301" s="491">
        <f>IF(AND($O$298=1,ROUND(Y296,GA!$G$713)&gt;0),MIN(X301+Y296,$Q$299-$S$302),X301)</f>
        <v>0</v>
      </c>
      <c r="Z301" s="491">
        <f>IF(AND($O$298=1,ROUND(Z296,GA!$G$713)&gt;0),MIN(Y301+Z296,$Q$299-$S$302),Y301)</f>
        <v>0</v>
      </c>
      <c r="AA301" s="491">
        <f>IF(AND($O$298=1,ROUND(AA296,GA!$G$713)&gt;0),MIN(Z301+AA296,$Q$299-$S$302),Z301)</f>
        <v>0</v>
      </c>
      <c r="AB301" s="491">
        <f>IF(AND($O$298=1,ROUND(AB296,GA!$G$713)&gt;0),MIN(AA301+AB296,$Q$299-$S$302),AA301)</f>
        <v>0</v>
      </c>
      <c r="AC301" s="491">
        <f>IF(AND($O$298=1,ROUND(AC296,GA!$G$713)&gt;0),MIN(AB301+AC296,$Q$299-$S$302),AB301)</f>
        <v>0</v>
      </c>
      <c r="AD301" s="491">
        <f>IF(AND($O$298=1,ROUND(AD296,GA!$G$713)&gt;0),MIN(AC301+AD296,$Q$299-$S$302),AC301)</f>
        <v>0</v>
      </c>
      <c r="AE301" s="491">
        <f>IF(AND($O$298=1,ROUND(AE296,GA!$G$713)&gt;0),MIN(AD301+AE296,$Q$299-$S$302),AD301)</f>
        <v>0</v>
      </c>
      <c r="AF301" s="491">
        <f>IF(AND($O$298=1,ROUND(AF296,GA!$G$713)&gt;0),MIN(AE301+AF296,$Q$299-$S$302),AE301)</f>
        <v>0</v>
      </c>
      <c r="AG301" s="491">
        <f>IF(AND($O$298=1,ROUND(AG296,GA!$G$713)&gt;0),MIN(AF301+AG296,$Q$299-$S$302),AF301)</f>
        <v>0</v>
      </c>
      <c r="AH301" s="491">
        <f>IF(AND($O$298=1,ROUND(AH296,GA!$G$713)&gt;0),MIN(AG301+AH296,$Q$299-$S$302),AG301)</f>
        <v>0</v>
      </c>
      <c r="AI301" s="491">
        <f>IF(AND($O$298=1,ROUND(AI296,GA!$G$713)&gt;0),MIN(AH301+AI296,$Q$299-$S$302),AH301)</f>
        <v>0</v>
      </c>
      <c r="AJ301" s="491">
        <f>IF(AND($O$298=1,ROUND(AJ296,GA!$G$713)&gt;0),MIN(AI301+AJ296,$Q$299-$S$302),AI301)</f>
        <v>0</v>
      </c>
      <c r="AK301" s="491">
        <f>IF(AND($O$298=1,ROUND(AK296,GA!$G$713)&gt;0),MIN(AJ301+AK296,$Q$299-$S$302),AJ301)</f>
        <v>0</v>
      </c>
      <c r="AL301" s="491">
        <f>IF(AND($O$298=1,ROUND(AL296,GA!$G$713)&gt;0),MIN(AK301+AL296,$Q$299-$S$302),AK301)</f>
        <v>0</v>
      </c>
      <c r="AM301" s="491">
        <f>IF(AND($O$298=1,ROUND(AM296,GA!$G$713)&gt;0),MIN(AL301+AM296,$Q$299-$S$302),AL301)</f>
        <v>0</v>
      </c>
      <c r="AN301" s="491">
        <f>IF(AND($O$298=1,ROUND(AN296,GA!$G$713)&gt;0),MIN(AM301+AN296,$Q$299-$S$302),AM301)</f>
        <v>0</v>
      </c>
      <c r="AO301" s="491">
        <f>IF(AND($O$298=1,ROUND(AO296,GA!$G$713)&gt;0),MIN(AN301+AO296,$Q$299-$S$302),AN301)</f>
        <v>0</v>
      </c>
      <c r="AP301" s="491">
        <f>IF(AND($O$298=1,ROUND(AP296,GA!$G$713)&gt;0),MIN(AO301+AP296,$Q$299-$S$302),AO301)</f>
        <v>0</v>
      </c>
      <c r="AQ301" s="491">
        <f>IF(AND($O$298=1,ROUND(AQ296,GA!$G$713)&gt;0),MIN(AP301+AQ296,$Q$299-$S$302),AP301)</f>
        <v>0</v>
      </c>
      <c r="AR301" s="491">
        <f>IF(AND($O$298=1,ROUND(AR296,GA!$G$713)&gt;0),MIN(AQ301+AR296,$Q$299-$S$302),AQ301)</f>
        <v>0</v>
      </c>
      <c r="AS301" s="491">
        <f>IF(AND($O$298=1,ROUND(AS296,GA!$G$713)&gt;0),MIN(AR301+AS296,$Q$299-$S$302),AR301)</f>
        <v>0</v>
      </c>
      <c r="AT301" s="491">
        <f>IF(AND($O$298=1,ROUND(AT296,GA!$G$713)&gt;0),MIN(AS301+AT296,$Q$299-$S$302),AS301)</f>
        <v>0</v>
      </c>
      <c r="AU301" s="491">
        <f>IF(AND($O$298=1,ROUND(AU296,GA!$G$713)&gt;0),MIN(AT301+AU296,$Q$299-$S$302),AT301)</f>
        <v>0</v>
      </c>
      <c r="AV301" s="491">
        <f>IF(AND($O$298=1,ROUND(AV296,GA!$G$713)&gt;0),MIN(AU301+AV296,$Q$299-$S$302),AU301)</f>
        <v>0</v>
      </c>
      <c r="AW301" s="491">
        <f>IF(AND($O$298=1,ROUND(AW296,GA!$G$713)&gt;0),MIN(AV301+AW296,$Q$299-$S$302),AV301)</f>
        <v>0</v>
      </c>
      <c r="AX301" s="491">
        <f>IF(AND($O$298=1,ROUND(AX296,GA!$G$713)&gt;0),MIN(AW301+AX296,$Q$299-$S$302),AW301)</f>
        <v>0</v>
      </c>
      <c r="AY301" s="491">
        <f>IF(AND($O$298=1,ROUND(AY296,GA!$G$713)&gt;0),MIN(AX301+AY296,$Q$299-$S$302),AX301)</f>
        <v>0</v>
      </c>
      <c r="AZ301" s="491">
        <f>IF(AND($O$298=1,ROUND(AZ296,GA!$G$713)&gt;0),MIN(AY301+AZ296,$Q$299-$S$302),AY301)</f>
        <v>0</v>
      </c>
      <c r="BA301" s="491">
        <f>IF(AND($O$298=1,ROUND(BA296,GA!$G$713)&gt;0),MIN(AZ301+BA296,$Q$299-$S$302),AZ301)</f>
        <v>0</v>
      </c>
      <c r="BB301" s="491">
        <f>IF(AND($O$298=1,ROUND(BB296,GA!$G$713)&gt;0),MIN(BA301+BB296,$Q$299-$S$302),BA301)</f>
        <v>0</v>
      </c>
      <c r="BC301" s="491">
        <f>IF(AND($O$298=1,ROUND(BC296,GA!$G$713)&gt;0),MIN(BB301+BC296,$Q$299-$S$302),BB301)</f>
        <v>0</v>
      </c>
      <c r="BD301" s="491">
        <f>IF(AND($O$298=1,ROUND(BD296,GA!$G$713)&gt;0),MIN(BC301+BD296,$Q$299-$S$302),BC301)</f>
        <v>0</v>
      </c>
      <c r="BE301" s="491">
        <f>IF(AND($O$298=1,ROUND(BE296,GA!$G$713)&gt;0),MIN(BD301+BE296,$Q$299-$S$302),BD301)</f>
        <v>0</v>
      </c>
      <c r="BF301" s="491">
        <f>IF(AND($O$298=1,ROUND(BF296,GA!$G$713)&gt;0),MIN(BE301+BF296,$Q$299-$S$302),BE301)</f>
        <v>0</v>
      </c>
      <c r="BG301" s="491">
        <f>IF(AND($O$298=1,ROUND(BG296,GA!$G$713)&gt;0),MIN(BF301+BG296,$Q$299-$S$302),BF301)</f>
        <v>0</v>
      </c>
      <c r="BI301" s="1074" t="s">
        <v>153</v>
      </c>
      <c r="BM301" s="422">
        <f t="shared" si="319"/>
        <v>0</v>
      </c>
      <c r="BN301" s="422">
        <f t="shared" si="319"/>
        <v>0</v>
      </c>
      <c r="BO301" s="422">
        <f t="shared" si="319"/>
        <v>0</v>
      </c>
      <c r="BP301" s="422">
        <f t="shared" si="319"/>
        <v>0</v>
      </c>
      <c r="BQ301" s="422">
        <f t="shared" si="319"/>
        <v>0</v>
      </c>
      <c r="BR301" s="422">
        <f t="shared" si="319"/>
        <v>0</v>
      </c>
      <c r="BS301" s="422">
        <f t="shared" si="319"/>
        <v>0</v>
      </c>
      <c r="BT301" s="422">
        <f t="shared" si="319"/>
        <v>0</v>
      </c>
      <c r="BU301" s="422">
        <f t="shared" si="319"/>
        <v>0</v>
      </c>
      <c r="BV301" s="422">
        <f t="shared" si="319"/>
        <v>0</v>
      </c>
      <c r="BX301" s="1074" t="s">
        <v>153</v>
      </c>
    </row>
    <row r="302" spans="3:76">
      <c r="C302" s="418" t="s">
        <v>683</v>
      </c>
      <c r="D302" s="418"/>
      <c r="E302" s="418"/>
      <c r="F302" s="418"/>
      <c r="G302" s="418"/>
      <c r="H302" s="418"/>
      <c r="I302" s="418"/>
      <c r="J302" s="418"/>
      <c r="K302" s="418"/>
      <c r="L302" s="418"/>
      <c r="M302" s="418"/>
      <c r="N302" s="418"/>
      <c r="O302" s="418"/>
      <c r="P302" s="418"/>
      <c r="Q302" s="418"/>
      <c r="R302" s="473"/>
      <c r="S302" s="422">
        <f>$O$298*IF($P$299&lt;&gt;0,$P$299,$O$299)</f>
        <v>0</v>
      </c>
      <c r="T302" s="422">
        <f t="shared" ref="T302:BG302" si="320">$O$298*-IF(T$27=0,T299,MIN(MAX(-T296,0),T299))</f>
        <v>0</v>
      </c>
      <c r="U302" s="422">
        <f t="shared" si="320"/>
        <v>0</v>
      </c>
      <c r="V302" s="422">
        <f t="shared" si="320"/>
        <v>0</v>
      </c>
      <c r="W302" s="422">
        <f t="shared" si="320"/>
        <v>0</v>
      </c>
      <c r="X302" s="422">
        <f t="shared" si="320"/>
        <v>0</v>
      </c>
      <c r="Y302" s="422">
        <f t="shared" si="320"/>
        <v>0</v>
      </c>
      <c r="Z302" s="422">
        <f t="shared" si="320"/>
        <v>0</v>
      </c>
      <c r="AA302" s="422">
        <f t="shared" si="320"/>
        <v>0</v>
      </c>
      <c r="AB302" s="422">
        <f t="shared" si="320"/>
        <v>0</v>
      </c>
      <c r="AC302" s="422">
        <f t="shared" si="320"/>
        <v>0</v>
      </c>
      <c r="AD302" s="422">
        <f t="shared" si="320"/>
        <v>0</v>
      </c>
      <c r="AE302" s="422">
        <f t="shared" si="320"/>
        <v>0</v>
      </c>
      <c r="AF302" s="422">
        <f t="shared" si="320"/>
        <v>0</v>
      </c>
      <c r="AG302" s="422">
        <f t="shared" si="320"/>
        <v>0</v>
      </c>
      <c r="AH302" s="422">
        <f t="shared" si="320"/>
        <v>0</v>
      </c>
      <c r="AI302" s="422">
        <f t="shared" si="320"/>
        <v>0</v>
      </c>
      <c r="AJ302" s="422">
        <f t="shared" si="320"/>
        <v>0</v>
      </c>
      <c r="AK302" s="422">
        <f t="shared" si="320"/>
        <v>0</v>
      </c>
      <c r="AL302" s="422">
        <f t="shared" si="320"/>
        <v>0</v>
      </c>
      <c r="AM302" s="422">
        <f t="shared" si="320"/>
        <v>0</v>
      </c>
      <c r="AN302" s="422">
        <f t="shared" si="320"/>
        <v>0</v>
      </c>
      <c r="AO302" s="422">
        <f t="shared" si="320"/>
        <v>0</v>
      </c>
      <c r="AP302" s="422">
        <f t="shared" si="320"/>
        <v>0</v>
      </c>
      <c r="AQ302" s="422">
        <f t="shared" si="320"/>
        <v>0</v>
      </c>
      <c r="AR302" s="422">
        <f t="shared" si="320"/>
        <v>0</v>
      </c>
      <c r="AS302" s="422">
        <f t="shared" si="320"/>
        <v>0</v>
      </c>
      <c r="AT302" s="422">
        <f t="shared" si="320"/>
        <v>0</v>
      </c>
      <c r="AU302" s="422">
        <f t="shared" si="320"/>
        <v>0</v>
      </c>
      <c r="AV302" s="422">
        <f t="shared" si="320"/>
        <v>0</v>
      </c>
      <c r="AW302" s="422">
        <f t="shared" si="320"/>
        <v>0</v>
      </c>
      <c r="AX302" s="422">
        <f t="shared" si="320"/>
        <v>0</v>
      </c>
      <c r="AY302" s="422">
        <f t="shared" si="320"/>
        <v>0</v>
      </c>
      <c r="AZ302" s="422">
        <f t="shared" si="320"/>
        <v>0</v>
      </c>
      <c r="BA302" s="422">
        <f t="shared" si="320"/>
        <v>0</v>
      </c>
      <c r="BB302" s="422">
        <f t="shared" si="320"/>
        <v>0</v>
      </c>
      <c r="BC302" s="422">
        <f t="shared" si="320"/>
        <v>0</v>
      </c>
      <c r="BD302" s="422">
        <f t="shared" si="320"/>
        <v>0</v>
      </c>
      <c r="BE302" s="422">
        <f t="shared" si="320"/>
        <v>0</v>
      </c>
      <c r="BF302" s="422">
        <f t="shared" si="320"/>
        <v>0</v>
      </c>
      <c r="BG302" s="422">
        <f t="shared" si="320"/>
        <v>0</v>
      </c>
      <c r="BI302" s="422">
        <f>SUM(T302:BG302)</f>
        <v>0</v>
      </c>
      <c r="BM302" s="422">
        <f t="shared" si="319"/>
        <v>0</v>
      </c>
      <c r="BN302" s="422">
        <f t="shared" si="319"/>
        <v>0</v>
      </c>
      <c r="BO302" s="422">
        <f t="shared" si="319"/>
        <v>0</v>
      </c>
      <c r="BP302" s="422">
        <f t="shared" si="319"/>
        <v>0</v>
      </c>
      <c r="BQ302" s="422">
        <f t="shared" si="319"/>
        <v>0</v>
      </c>
      <c r="BR302" s="422">
        <f t="shared" si="319"/>
        <v>0</v>
      </c>
      <c r="BS302" s="422">
        <f t="shared" si="319"/>
        <v>0</v>
      </c>
      <c r="BT302" s="422">
        <f t="shared" si="319"/>
        <v>0</v>
      </c>
      <c r="BU302" s="422">
        <f t="shared" si="319"/>
        <v>0</v>
      </c>
      <c r="BV302" s="422">
        <f t="shared" si="319"/>
        <v>0</v>
      </c>
      <c r="BX302" s="1071">
        <f>SUM(BM302:BW302)</f>
        <v>0</v>
      </c>
    </row>
    <row r="303" spans="3:76">
      <c r="C303" s="419" t="s">
        <v>684</v>
      </c>
      <c r="D303" s="419"/>
      <c r="E303" s="419"/>
      <c r="F303" s="419"/>
      <c r="G303" s="419"/>
      <c r="H303" s="419"/>
      <c r="I303" s="419"/>
      <c r="J303" s="419"/>
      <c r="K303" s="419"/>
      <c r="L303" s="419"/>
      <c r="M303" s="419"/>
      <c r="N303" s="419"/>
      <c r="O303" s="419"/>
      <c r="P303" s="419"/>
      <c r="Q303" s="419"/>
      <c r="R303" s="474"/>
      <c r="S303" s="424">
        <f>IF(S299+S300+S302&lt;GA!$G$712,0,S299+S300+S302)</f>
        <v>0</v>
      </c>
      <c r="T303" s="424">
        <f>IF(T299+T300+T302&lt;GA!$G$712,0,T299+T300+T302)</f>
        <v>0</v>
      </c>
      <c r="U303" s="424">
        <f>IF(U299+U300+U302&lt;GA!$G$712,0,U299+U300+U302)</f>
        <v>0</v>
      </c>
      <c r="V303" s="424">
        <f>IF(V299+V300+V302&lt;GA!$G$712,0,V299+V300+V302)</f>
        <v>0</v>
      </c>
      <c r="W303" s="424">
        <f>IF(W299+W300+W302&lt;GA!$G$712,0,W299+W300+W302)</f>
        <v>0</v>
      </c>
      <c r="X303" s="424">
        <f>IF(X299+X300+X302&lt;GA!$G$712,0,X299+X300+X302)</f>
        <v>0</v>
      </c>
      <c r="Y303" s="424">
        <f>IF(Y299+Y300+Y302&lt;GA!$G$712,0,Y299+Y300+Y302)</f>
        <v>0</v>
      </c>
      <c r="Z303" s="424">
        <f>IF(Z299+Z300+Z302&lt;GA!$G$712,0,Z299+Z300+Z302)</f>
        <v>0</v>
      </c>
      <c r="AA303" s="424">
        <f>IF(AA299+AA300+AA302&lt;GA!$G$712,0,AA299+AA300+AA302)</f>
        <v>0</v>
      </c>
      <c r="AB303" s="424">
        <f>IF(AB299+AB300+AB302&lt;GA!$G$712,0,AB299+AB300+AB302)</f>
        <v>0</v>
      </c>
      <c r="AC303" s="424">
        <f>IF(AC299+AC300+AC302&lt;GA!$G$712,0,AC299+AC300+AC302)</f>
        <v>0</v>
      </c>
      <c r="AD303" s="424">
        <f>IF(AD299+AD300+AD302&lt;GA!$G$712,0,AD299+AD300+AD302)</f>
        <v>0</v>
      </c>
      <c r="AE303" s="424">
        <f>IF(AE299+AE300+AE302&lt;GA!$G$712,0,AE299+AE300+AE302)</f>
        <v>0</v>
      </c>
      <c r="AF303" s="424">
        <f>IF(AF299+AF300+AF302&lt;GA!$G$712,0,AF299+AF300+AF302)</f>
        <v>0</v>
      </c>
      <c r="AG303" s="424">
        <f>IF(AG299+AG300+AG302&lt;GA!$G$712,0,AG299+AG300+AG302)</f>
        <v>0</v>
      </c>
      <c r="AH303" s="424">
        <f>IF(AH299+AH300+AH302&lt;GA!$G$712,0,AH299+AH300+AH302)</f>
        <v>0</v>
      </c>
      <c r="AI303" s="424">
        <f>IF(AI299+AI300+AI302&lt;GA!$G$712,0,AI299+AI300+AI302)</f>
        <v>0</v>
      </c>
      <c r="AJ303" s="424">
        <f>IF(AJ299+AJ300+AJ302&lt;GA!$G$712,0,AJ299+AJ300+AJ302)</f>
        <v>0</v>
      </c>
      <c r="AK303" s="424">
        <f>IF(AK299+AK300+AK302&lt;GA!$G$712,0,AK299+AK300+AK302)</f>
        <v>0</v>
      </c>
      <c r="AL303" s="424">
        <f>IF(AL299+AL300+AL302&lt;GA!$G$712,0,AL299+AL300+AL302)</f>
        <v>0</v>
      </c>
      <c r="AM303" s="424">
        <f>IF(AM299+AM300+AM302&lt;GA!$G$712,0,AM299+AM300+AM302)</f>
        <v>0</v>
      </c>
      <c r="AN303" s="424">
        <f>IF(AN299+AN300+AN302&lt;GA!$G$712,0,AN299+AN300+AN302)</f>
        <v>0</v>
      </c>
      <c r="AO303" s="424">
        <f>IF(AO299+AO300+AO302&lt;GA!$G$712,0,AO299+AO300+AO302)</f>
        <v>0</v>
      </c>
      <c r="AP303" s="424">
        <f>IF(AP299+AP300+AP302&lt;GA!$G$712,0,AP299+AP300+AP302)</f>
        <v>0</v>
      </c>
      <c r="AQ303" s="424">
        <f>IF(AQ299+AQ300+AQ302&lt;GA!$G$712,0,AQ299+AQ300+AQ302)</f>
        <v>0</v>
      </c>
      <c r="AR303" s="424">
        <f>IF(AR299+AR300+AR302&lt;GA!$G$712,0,AR299+AR300+AR302)</f>
        <v>0</v>
      </c>
      <c r="AS303" s="424">
        <f>IF(AS299+AS300+AS302&lt;GA!$G$712,0,AS299+AS300+AS302)</f>
        <v>0</v>
      </c>
      <c r="AT303" s="424">
        <f>IF(AT299+AT300+AT302&lt;GA!$G$712,0,AT299+AT300+AT302)</f>
        <v>0</v>
      </c>
      <c r="AU303" s="424">
        <f>IF(AU299+AU300+AU302&lt;GA!$G$712,0,AU299+AU300+AU302)</f>
        <v>0</v>
      </c>
      <c r="AV303" s="424">
        <f>IF(AV299+AV300+AV302&lt;GA!$G$712,0,AV299+AV300+AV302)</f>
        <v>0</v>
      </c>
      <c r="AW303" s="424">
        <f>IF(AW299+AW300+AW302&lt;GA!$G$712,0,AW299+AW300+AW302)</f>
        <v>0</v>
      </c>
      <c r="AX303" s="424">
        <f>IF(AX299+AX300+AX302&lt;GA!$G$712,0,AX299+AX300+AX302)</f>
        <v>0</v>
      </c>
      <c r="AY303" s="424">
        <f>IF(AY299+AY300+AY302&lt;GA!$G$712,0,AY299+AY300+AY302)</f>
        <v>0</v>
      </c>
      <c r="AZ303" s="424">
        <f>IF(AZ299+AZ300+AZ302&lt;GA!$G$712,0,AZ299+AZ300+AZ302)</f>
        <v>0</v>
      </c>
      <c r="BA303" s="424">
        <f>IF(BA299+BA300+BA302&lt;GA!$G$712,0,BA299+BA300+BA302)</f>
        <v>0</v>
      </c>
      <c r="BB303" s="424">
        <f>IF(BB299+BB300+BB302&lt;GA!$G$712,0,BB299+BB300+BB302)</f>
        <v>0</v>
      </c>
      <c r="BC303" s="424">
        <f>IF(BC299+BC300+BC302&lt;GA!$G$712,0,BC299+BC300+BC302)</f>
        <v>0</v>
      </c>
      <c r="BD303" s="424">
        <f>IF(BD299+BD300+BD302&lt;GA!$G$712,0,BD299+BD300+BD302)</f>
        <v>0</v>
      </c>
      <c r="BE303" s="424">
        <f>IF(BE299+BE300+BE302&lt;GA!$G$712,0,BE299+BE300+BE302)</f>
        <v>0</v>
      </c>
      <c r="BF303" s="424">
        <f>IF(BF299+BF300+BF302&lt;GA!$G$712,0,BF299+BF300+BF302)</f>
        <v>0</v>
      </c>
      <c r="BG303" s="424">
        <f>IF(BG299+BG300+BG302&lt;GA!$G$712,0,BG299+BG300+BG302)</f>
        <v>0</v>
      </c>
      <c r="BI303" s="1072" t="s">
        <v>153</v>
      </c>
      <c r="BM303" s="424">
        <f t="shared" ref="BM303:BV303" si="321">INDEX($T303:$BG303,MATCH(BM$5,$T$5:$BG$5,0))</f>
        <v>0</v>
      </c>
      <c r="BN303" s="424">
        <f t="shared" si="321"/>
        <v>0</v>
      </c>
      <c r="BO303" s="424">
        <f t="shared" si="321"/>
        <v>0</v>
      </c>
      <c r="BP303" s="424">
        <f t="shared" si="321"/>
        <v>0</v>
      </c>
      <c r="BQ303" s="424">
        <f t="shared" si="321"/>
        <v>0</v>
      </c>
      <c r="BR303" s="424">
        <f t="shared" si="321"/>
        <v>0</v>
      </c>
      <c r="BS303" s="424">
        <f t="shared" si="321"/>
        <v>0</v>
      </c>
      <c r="BT303" s="424">
        <f t="shared" si="321"/>
        <v>0</v>
      </c>
      <c r="BU303" s="424">
        <f t="shared" si="321"/>
        <v>0</v>
      </c>
      <c r="BV303" s="424">
        <f t="shared" si="321"/>
        <v>0</v>
      </c>
      <c r="BX303" s="1072" t="s">
        <v>153</v>
      </c>
    </row>
    <row r="304" spans="3:76">
      <c r="R304" s="444"/>
      <c r="S304" s="444"/>
      <c r="T304" s="444"/>
      <c r="U304" s="444"/>
      <c r="V304" s="444"/>
      <c r="W304" s="444"/>
      <c r="X304" s="444"/>
      <c r="Y304" s="444"/>
      <c r="Z304" s="444"/>
      <c r="AA304" s="444"/>
      <c r="AB304" s="444"/>
      <c r="AC304" s="444"/>
      <c r="AD304" s="444"/>
      <c r="AE304" s="444"/>
      <c r="AF304" s="444"/>
      <c r="AG304" s="444"/>
      <c r="AH304" s="444"/>
      <c r="AI304" s="444"/>
      <c r="AJ304" s="444"/>
      <c r="AK304" s="444"/>
      <c r="AL304" s="444"/>
      <c r="AM304" s="444"/>
      <c r="AN304" s="444"/>
      <c r="AO304" s="444"/>
      <c r="AP304" s="444"/>
      <c r="AQ304" s="444"/>
      <c r="AR304" s="444"/>
      <c r="AS304" s="444"/>
      <c r="AT304" s="444"/>
      <c r="AU304" s="444"/>
      <c r="AV304" s="444"/>
      <c r="AW304" s="444"/>
      <c r="AX304" s="444"/>
      <c r="AY304" s="444"/>
      <c r="AZ304" s="444"/>
      <c r="BA304" s="444"/>
      <c r="BB304" s="444"/>
      <c r="BC304" s="444"/>
      <c r="BD304" s="444"/>
      <c r="BE304" s="444"/>
      <c r="BF304" s="444"/>
      <c r="BG304" s="444"/>
    </row>
    <row r="305" spans="2:76">
      <c r="C305" s="253" t="s">
        <v>860</v>
      </c>
      <c r="D305" s="253"/>
      <c r="E305" s="253"/>
      <c r="F305" s="253"/>
      <c r="G305" s="253"/>
      <c r="H305" s="253"/>
      <c r="I305" s="253"/>
      <c r="J305" s="253"/>
      <c r="K305" s="253"/>
      <c r="L305" s="253"/>
      <c r="M305" s="253"/>
      <c r="N305" s="253"/>
      <c r="O305" s="268"/>
      <c r="P305" s="408"/>
      <c r="Q305" s="367"/>
      <c r="R305" s="254">
        <f>+R296-R302-R300</f>
        <v>-126000</v>
      </c>
      <c r="S305" s="254">
        <f t="shared" ref="S305:BG305" si="322">+S296-S302-S300</f>
        <v>-3090257.241372929</v>
      </c>
      <c r="T305" s="254">
        <f t="shared" si="322"/>
        <v>0</v>
      </c>
      <c r="U305" s="254">
        <f t="shared" si="322"/>
        <v>10302.905500140972</v>
      </c>
      <c r="V305" s="254">
        <f t="shared" si="322"/>
        <v>28500.922636107687</v>
      </c>
      <c r="W305" s="254">
        <f t="shared" si="322"/>
        <v>28732.99374999998</v>
      </c>
      <c r="X305" s="254">
        <f t="shared" si="322"/>
        <v>28604.598875868989</v>
      </c>
      <c r="Y305" s="254">
        <f t="shared" si="322"/>
        <v>28716.691420764699</v>
      </c>
      <c r="Z305" s="254">
        <f t="shared" si="322"/>
        <v>28947.134505287315</v>
      </c>
      <c r="AA305" s="254">
        <f t="shared" si="322"/>
        <v>29176.221796874961</v>
      </c>
      <c r="AB305" s="254">
        <f t="shared" si="322"/>
        <v>29052.128898646402</v>
      </c>
      <c r="AC305" s="254">
        <f t="shared" si="322"/>
        <v>29163.656404910515</v>
      </c>
      <c r="AD305" s="254">
        <f t="shared" si="322"/>
        <v>29391.097956675381</v>
      </c>
      <c r="AE305" s="254">
        <f t="shared" si="322"/>
        <v>1343546.4148678745</v>
      </c>
      <c r="AF305" s="254">
        <f t="shared" si="322"/>
        <v>0</v>
      </c>
      <c r="AG305" s="254">
        <f t="shared" si="322"/>
        <v>0</v>
      </c>
      <c r="AH305" s="254">
        <f t="shared" si="322"/>
        <v>0</v>
      </c>
      <c r="AI305" s="254">
        <f t="shared" si="322"/>
        <v>0</v>
      </c>
      <c r="AJ305" s="254">
        <f t="shared" si="322"/>
        <v>0</v>
      </c>
      <c r="AK305" s="254">
        <f t="shared" si="322"/>
        <v>0</v>
      </c>
      <c r="AL305" s="254">
        <f t="shared" si="322"/>
        <v>0</v>
      </c>
      <c r="AM305" s="254">
        <f t="shared" si="322"/>
        <v>0</v>
      </c>
      <c r="AN305" s="254">
        <f t="shared" si="322"/>
        <v>0</v>
      </c>
      <c r="AO305" s="254">
        <f t="shared" si="322"/>
        <v>0</v>
      </c>
      <c r="AP305" s="254">
        <f t="shared" si="322"/>
        <v>0</v>
      </c>
      <c r="AQ305" s="254">
        <f t="shared" si="322"/>
        <v>0</v>
      </c>
      <c r="AR305" s="254">
        <f t="shared" si="322"/>
        <v>0</v>
      </c>
      <c r="AS305" s="254">
        <f t="shared" si="322"/>
        <v>0</v>
      </c>
      <c r="AT305" s="254">
        <f t="shared" si="322"/>
        <v>0</v>
      </c>
      <c r="AU305" s="254">
        <f t="shared" si="322"/>
        <v>0</v>
      </c>
      <c r="AV305" s="254">
        <f t="shared" si="322"/>
        <v>0</v>
      </c>
      <c r="AW305" s="254">
        <f t="shared" si="322"/>
        <v>0</v>
      </c>
      <c r="AX305" s="254">
        <f t="shared" si="322"/>
        <v>0</v>
      </c>
      <c r="AY305" s="254">
        <f t="shared" si="322"/>
        <v>0</v>
      </c>
      <c r="AZ305" s="254">
        <f t="shared" si="322"/>
        <v>0</v>
      </c>
      <c r="BA305" s="254">
        <f t="shared" si="322"/>
        <v>0</v>
      </c>
      <c r="BB305" s="254">
        <f t="shared" si="322"/>
        <v>0</v>
      </c>
      <c r="BC305" s="254">
        <f t="shared" si="322"/>
        <v>0</v>
      </c>
      <c r="BD305" s="254">
        <f t="shared" si="322"/>
        <v>0</v>
      </c>
      <c r="BE305" s="254">
        <f t="shared" si="322"/>
        <v>0</v>
      </c>
      <c r="BF305" s="254">
        <f t="shared" si="322"/>
        <v>0</v>
      </c>
      <c r="BG305" s="254">
        <f t="shared" si="322"/>
        <v>0</v>
      </c>
      <c r="BI305" s="254">
        <f>SUM(T305:BG305)</f>
        <v>1614134.7666131514</v>
      </c>
      <c r="BM305" s="254">
        <f t="shared" ref="BM305:BV305" si="323">SUMIF($T$8:$BG$8,BM$6,$T305:$BG305)</f>
        <v>67536.821886248639</v>
      </c>
      <c r="BN305" s="254">
        <f t="shared" si="323"/>
        <v>115444.64659879597</v>
      </c>
      <c r="BO305" s="254">
        <f t="shared" si="323"/>
        <v>1431153.2981281069</v>
      </c>
      <c r="BP305" s="254">
        <f t="shared" si="323"/>
        <v>0</v>
      </c>
      <c r="BQ305" s="254">
        <f t="shared" si="323"/>
        <v>0</v>
      </c>
      <c r="BR305" s="254">
        <f t="shared" si="323"/>
        <v>0</v>
      </c>
      <c r="BS305" s="254">
        <f t="shared" si="323"/>
        <v>0</v>
      </c>
      <c r="BT305" s="254">
        <f t="shared" si="323"/>
        <v>0</v>
      </c>
      <c r="BU305" s="254">
        <f t="shared" si="323"/>
        <v>0</v>
      </c>
      <c r="BV305" s="254">
        <f t="shared" si="323"/>
        <v>0</v>
      </c>
      <c r="BX305" s="254">
        <f>SUM(BM305:BV305)</f>
        <v>1614134.7666131514</v>
      </c>
    </row>
    <row r="306" spans="2:76" outlineLevel="1">
      <c r="C306" s="398" t="s">
        <v>686</v>
      </c>
      <c r="D306" s="398"/>
      <c r="E306" s="398"/>
      <c r="F306" s="398"/>
      <c r="G306" s="398"/>
      <c r="H306" s="398"/>
      <c r="I306" s="398"/>
      <c r="J306" s="398"/>
      <c r="K306" s="398"/>
      <c r="L306" s="398"/>
      <c r="M306" s="398"/>
      <c r="N306" s="398"/>
      <c r="O306" s="39"/>
      <c r="P306" s="39"/>
      <c r="Q306" s="39"/>
      <c r="R306" s="404">
        <f>SUM($R$305:R305)</f>
        <v>-126000</v>
      </c>
      <c r="S306" s="404">
        <f>SUM($R$305:S305)</f>
        <v>-3216257.241372929</v>
      </c>
      <c r="T306" s="404">
        <f>SUM($R$305:T305)</f>
        <v>-3216257.241372929</v>
      </c>
      <c r="U306" s="404">
        <f>SUM($R$305:U305)</f>
        <v>-3205954.335872788</v>
      </c>
      <c r="V306" s="404">
        <f>SUM($R$305:V305)</f>
        <v>-3177453.4132366804</v>
      </c>
      <c r="W306" s="404">
        <f>SUM($R$305:W305)</f>
        <v>-3148720.4194866805</v>
      </c>
      <c r="X306" s="404">
        <f>SUM($R$305:X305)</f>
        <v>-3120115.8206108115</v>
      </c>
      <c r="Y306" s="404">
        <f>SUM($R$305:Y305)</f>
        <v>-3091399.1291900468</v>
      </c>
      <c r="Z306" s="404">
        <f>SUM($R$305:Z305)</f>
        <v>-3062451.9946847595</v>
      </c>
      <c r="AA306" s="404">
        <f>SUM($R$305:AA305)</f>
        <v>-3033275.7728878846</v>
      </c>
      <c r="AB306" s="404">
        <f>SUM($R$305:AB305)</f>
        <v>-3004223.6439892384</v>
      </c>
      <c r="AC306" s="404">
        <f>SUM($R$305:AC305)</f>
        <v>-2975059.9875843278</v>
      </c>
      <c r="AD306" s="404">
        <f>SUM($R$305:AD305)</f>
        <v>-2945668.8896276522</v>
      </c>
      <c r="AE306" s="404">
        <f>SUM($R$305:AE305)</f>
        <v>-1602122.4747597778</v>
      </c>
      <c r="AF306" s="404">
        <f>SUM($R$305:AF305)</f>
        <v>-1602122.4747597778</v>
      </c>
      <c r="AG306" s="404">
        <f>SUM($R$305:AG305)</f>
        <v>-1602122.4747597778</v>
      </c>
      <c r="AH306" s="404">
        <f>SUM($R$305:AH305)</f>
        <v>-1602122.4747597778</v>
      </c>
      <c r="AI306" s="404">
        <f>SUM($R$305:AI305)</f>
        <v>-1602122.4747597778</v>
      </c>
      <c r="AJ306" s="404">
        <f>SUM($R$305:AJ305)</f>
        <v>-1602122.4747597778</v>
      </c>
      <c r="AK306" s="404">
        <f>SUM($R$305:AK305)</f>
        <v>-1602122.4747597778</v>
      </c>
      <c r="AL306" s="404">
        <f>SUM($R$305:AL305)</f>
        <v>-1602122.4747597778</v>
      </c>
      <c r="AM306" s="404">
        <f>SUM($R$305:AM305)</f>
        <v>-1602122.4747597778</v>
      </c>
      <c r="AN306" s="404">
        <f>SUM($R$305:AN305)</f>
        <v>-1602122.4747597778</v>
      </c>
      <c r="AO306" s="404">
        <f>SUM($R$305:AO305)</f>
        <v>-1602122.4747597778</v>
      </c>
      <c r="AP306" s="404">
        <f>SUM($R$305:AP305)</f>
        <v>-1602122.4747597778</v>
      </c>
      <c r="AQ306" s="404">
        <f>SUM($R$305:AQ305)</f>
        <v>-1602122.4747597778</v>
      </c>
      <c r="AR306" s="404">
        <f>SUM($R$305:AR305)</f>
        <v>-1602122.4747597778</v>
      </c>
      <c r="AS306" s="404">
        <f>SUM($R$305:AS305)</f>
        <v>-1602122.4747597778</v>
      </c>
      <c r="AT306" s="404">
        <f>SUM($R$305:AT305)</f>
        <v>-1602122.4747597778</v>
      </c>
      <c r="AU306" s="404">
        <f>SUM($R$305:AU305)</f>
        <v>-1602122.4747597778</v>
      </c>
      <c r="AV306" s="404">
        <f>SUM($R$305:AV305)</f>
        <v>-1602122.4747597778</v>
      </c>
      <c r="AW306" s="404">
        <f>SUM($R$305:AW305)</f>
        <v>-1602122.4747597778</v>
      </c>
      <c r="AX306" s="404">
        <f>SUM($R$305:AX305)</f>
        <v>-1602122.4747597778</v>
      </c>
      <c r="AY306" s="404">
        <f>SUM($R$305:AY305)</f>
        <v>-1602122.4747597778</v>
      </c>
      <c r="AZ306" s="404">
        <f>SUM($R$305:AZ305)</f>
        <v>-1602122.4747597778</v>
      </c>
      <c r="BA306" s="404">
        <f>SUM($R$305:BA305)</f>
        <v>-1602122.4747597778</v>
      </c>
      <c r="BB306" s="404">
        <f>SUM($R$305:BB305)</f>
        <v>-1602122.4747597778</v>
      </c>
      <c r="BC306" s="404">
        <f>SUM($R$305:BC305)</f>
        <v>-1602122.4747597778</v>
      </c>
      <c r="BD306" s="404">
        <f>SUM($R$305:BD305)</f>
        <v>-1602122.4747597778</v>
      </c>
      <c r="BE306" s="404">
        <f>SUM($R$305:BE305)</f>
        <v>-1602122.4747597778</v>
      </c>
      <c r="BF306" s="404">
        <f>SUM($R$305:BF305)</f>
        <v>-1602122.4747597778</v>
      </c>
      <c r="BG306" s="404">
        <f>SUM($R$305:BG305)</f>
        <v>-1602122.4747597778</v>
      </c>
    </row>
    <row r="307" spans="2:76" outlineLevel="1">
      <c r="C307" s="398" t="s">
        <v>687</v>
      </c>
      <c r="D307" s="398"/>
      <c r="E307" s="398"/>
      <c r="F307" s="398"/>
      <c r="G307" s="398"/>
      <c r="H307" s="398"/>
      <c r="I307" s="398"/>
      <c r="J307" s="398"/>
      <c r="K307" s="398"/>
      <c r="L307" s="398"/>
      <c r="M307" s="398"/>
      <c r="N307" s="398"/>
      <c r="O307" s="39"/>
      <c r="P307" s="39"/>
      <c r="Q307" s="39"/>
      <c r="S307" s="404">
        <f>S306</f>
        <v>-3216257.241372929</v>
      </c>
      <c r="T307" s="404">
        <f>MIN(-S306,T305)*(S306&lt;0)</f>
        <v>0</v>
      </c>
      <c r="U307" s="404">
        <f t="shared" ref="U307:BG307" si="324">MIN(-T306,U305)*(T306&lt;0)</f>
        <v>10302.905500140972</v>
      </c>
      <c r="V307" s="404">
        <f t="shared" si="324"/>
        <v>28500.922636107687</v>
      </c>
      <c r="W307" s="404">
        <f t="shared" si="324"/>
        <v>28732.99374999998</v>
      </c>
      <c r="X307" s="404">
        <f t="shared" si="324"/>
        <v>28604.598875868989</v>
      </c>
      <c r="Y307" s="404">
        <f t="shared" si="324"/>
        <v>28716.691420764699</v>
      </c>
      <c r="Z307" s="404">
        <f t="shared" si="324"/>
        <v>28947.134505287315</v>
      </c>
      <c r="AA307" s="404">
        <f t="shared" si="324"/>
        <v>29176.221796874961</v>
      </c>
      <c r="AB307" s="404">
        <f t="shared" si="324"/>
        <v>29052.128898646402</v>
      </c>
      <c r="AC307" s="404">
        <f t="shared" si="324"/>
        <v>29163.656404910515</v>
      </c>
      <c r="AD307" s="404">
        <f t="shared" si="324"/>
        <v>29391.097956675381</v>
      </c>
      <c r="AE307" s="404">
        <f t="shared" si="324"/>
        <v>1343546.4148678745</v>
      </c>
      <c r="AF307" s="404">
        <f t="shared" si="324"/>
        <v>0</v>
      </c>
      <c r="AG307" s="404">
        <f t="shared" si="324"/>
        <v>0</v>
      </c>
      <c r="AH307" s="404">
        <f t="shared" si="324"/>
        <v>0</v>
      </c>
      <c r="AI307" s="404">
        <f t="shared" si="324"/>
        <v>0</v>
      </c>
      <c r="AJ307" s="404">
        <f t="shared" si="324"/>
        <v>0</v>
      </c>
      <c r="AK307" s="404">
        <f t="shared" si="324"/>
        <v>0</v>
      </c>
      <c r="AL307" s="404">
        <f t="shared" si="324"/>
        <v>0</v>
      </c>
      <c r="AM307" s="404">
        <f t="shared" si="324"/>
        <v>0</v>
      </c>
      <c r="AN307" s="404">
        <f t="shared" si="324"/>
        <v>0</v>
      </c>
      <c r="AO307" s="404">
        <f t="shared" si="324"/>
        <v>0</v>
      </c>
      <c r="AP307" s="404">
        <f t="shared" si="324"/>
        <v>0</v>
      </c>
      <c r="AQ307" s="404">
        <f t="shared" si="324"/>
        <v>0</v>
      </c>
      <c r="AR307" s="404">
        <f t="shared" si="324"/>
        <v>0</v>
      </c>
      <c r="AS307" s="404">
        <f t="shared" si="324"/>
        <v>0</v>
      </c>
      <c r="AT307" s="404">
        <f t="shared" si="324"/>
        <v>0</v>
      </c>
      <c r="AU307" s="404">
        <f t="shared" si="324"/>
        <v>0</v>
      </c>
      <c r="AV307" s="404">
        <f t="shared" si="324"/>
        <v>0</v>
      </c>
      <c r="AW307" s="404">
        <f t="shared" si="324"/>
        <v>0</v>
      </c>
      <c r="AX307" s="404">
        <f t="shared" si="324"/>
        <v>0</v>
      </c>
      <c r="AY307" s="404">
        <f t="shared" si="324"/>
        <v>0</v>
      </c>
      <c r="AZ307" s="404">
        <f t="shared" si="324"/>
        <v>0</v>
      </c>
      <c r="BA307" s="404">
        <f t="shared" si="324"/>
        <v>0</v>
      </c>
      <c r="BB307" s="404">
        <f t="shared" si="324"/>
        <v>0</v>
      </c>
      <c r="BC307" s="404">
        <f t="shared" si="324"/>
        <v>0</v>
      </c>
      <c r="BD307" s="404">
        <f t="shared" si="324"/>
        <v>0</v>
      </c>
      <c r="BE307" s="404">
        <f t="shared" si="324"/>
        <v>0</v>
      </c>
      <c r="BF307" s="404">
        <f t="shared" si="324"/>
        <v>0</v>
      </c>
      <c r="BG307" s="404">
        <f t="shared" si="324"/>
        <v>0</v>
      </c>
    </row>
    <row r="308" spans="2:76">
      <c r="C308" s="253" t="s">
        <v>864</v>
      </c>
      <c r="D308" s="253"/>
      <c r="E308" s="253"/>
      <c r="F308" s="253"/>
      <c r="G308" s="253"/>
      <c r="H308" s="253"/>
      <c r="I308" s="253"/>
      <c r="J308" s="253"/>
      <c r="K308" s="253"/>
      <c r="L308" s="253"/>
      <c r="M308" s="253"/>
      <c r="N308" s="253"/>
      <c r="O308" s="268"/>
      <c r="P308" s="408"/>
      <c r="Q308" s="367"/>
      <c r="R308" s="254">
        <f t="shared" ref="R308:BG308" si="325">R305+R282</f>
        <v>-126000</v>
      </c>
      <c r="S308" s="254">
        <f t="shared" si="325"/>
        <v>-3090257.241372929</v>
      </c>
      <c r="T308" s="254">
        <f t="shared" si="325"/>
        <v>0</v>
      </c>
      <c r="U308" s="254">
        <f t="shared" si="325"/>
        <v>10302.905500140972</v>
      </c>
      <c r="V308" s="254">
        <f t="shared" si="325"/>
        <v>28500.922636107687</v>
      </c>
      <c r="W308" s="254">
        <f t="shared" si="325"/>
        <v>28732.99374999998</v>
      </c>
      <c r="X308" s="254">
        <f t="shared" si="325"/>
        <v>28604.598875868989</v>
      </c>
      <c r="Y308" s="254">
        <f t="shared" si="325"/>
        <v>28716.691420764699</v>
      </c>
      <c r="Z308" s="254">
        <f t="shared" si="325"/>
        <v>28947.134505287315</v>
      </c>
      <c r="AA308" s="254">
        <f t="shared" si="325"/>
        <v>29176.221796874961</v>
      </c>
      <c r="AB308" s="254">
        <f t="shared" si="325"/>
        <v>29052.128898646402</v>
      </c>
      <c r="AC308" s="254">
        <f t="shared" si="325"/>
        <v>29163.656404910515</v>
      </c>
      <c r="AD308" s="254">
        <f t="shared" si="325"/>
        <v>29391.097956675381</v>
      </c>
      <c r="AE308" s="254">
        <f t="shared" si="325"/>
        <v>1343546.4148678745</v>
      </c>
      <c r="AF308" s="254">
        <f t="shared" si="325"/>
        <v>0</v>
      </c>
      <c r="AG308" s="254">
        <f t="shared" si="325"/>
        <v>0</v>
      </c>
      <c r="AH308" s="254">
        <f t="shared" si="325"/>
        <v>0</v>
      </c>
      <c r="AI308" s="254">
        <f t="shared" si="325"/>
        <v>0</v>
      </c>
      <c r="AJ308" s="254">
        <f t="shared" si="325"/>
        <v>0</v>
      </c>
      <c r="AK308" s="254">
        <f t="shared" si="325"/>
        <v>0</v>
      </c>
      <c r="AL308" s="254">
        <f t="shared" si="325"/>
        <v>0</v>
      </c>
      <c r="AM308" s="254">
        <f t="shared" si="325"/>
        <v>0</v>
      </c>
      <c r="AN308" s="254">
        <f t="shared" si="325"/>
        <v>0</v>
      </c>
      <c r="AO308" s="254">
        <f t="shared" si="325"/>
        <v>0</v>
      </c>
      <c r="AP308" s="254">
        <f t="shared" si="325"/>
        <v>0</v>
      </c>
      <c r="AQ308" s="254">
        <f t="shared" si="325"/>
        <v>0</v>
      </c>
      <c r="AR308" s="254">
        <f t="shared" si="325"/>
        <v>0</v>
      </c>
      <c r="AS308" s="254">
        <f t="shared" si="325"/>
        <v>0</v>
      </c>
      <c r="AT308" s="254">
        <f t="shared" si="325"/>
        <v>0</v>
      </c>
      <c r="AU308" s="254">
        <f t="shared" si="325"/>
        <v>0</v>
      </c>
      <c r="AV308" s="254">
        <f t="shared" si="325"/>
        <v>0</v>
      </c>
      <c r="AW308" s="254">
        <f t="shared" si="325"/>
        <v>0</v>
      </c>
      <c r="AX308" s="254">
        <f t="shared" si="325"/>
        <v>0</v>
      </c>
      <c r="AY308" s="254">
        <f t="shared" si="325"/>
        <v>0</v>
      </c>
      <c r="AZ308" s="254">
        <f t="shared" si="325"/>
        <v>0</v>
      </c>
      <c r="BA308" s="254">
        <f t="shared" si="325"/>
        <v>0</v>
      </c>
      <c r="BB308" s="254">
        <f t="shared" si="325"/>
        <v>0</v>
      </c>
      <c r="BC308" s="254">
        <f t="shared" si="325"/>
        <v>0</v>
      </c>
      <c r="BD308" s="254">
        <f t="shared" si="325"/>
        <v>0</v>
      </c>
      <c r="BE308" s="254">
        <f t="shared" si="325"/>
        <v>0</v>
      </c>
      <c r="BF308" s="254">
        <f t="shared" si="325"/>
        <v>0</v>
      </c>
      <c r="BG308" s="254">
        <f t="shared" si="325"/>
        <v>0</v>
      </c>
      <c r="BI308" s="254">
        <f>SUM(T308:BG308)</f>
        <v>1614134.7666131514</v>
      </c>
      <c r="BM308" s="254">
        <f t="shared" ref="BM308:BV308" si="326">SUMIF($T$8:$BG$8,BM$6,$T308:$BG308)</f>
        <v>67536.821886248639</v>
      </c>
      <c r="BN308" s="254">
        <f t="shared" si="326"/>
        <v>115444.64659879597</v>
      </c>
      <c r="BO308" s="254">
        <f t="shared" si="326"/>
        <v>1431153.2981281069</v>
      </c>
      <c r="BP308" s="254">
        <f t="shared" si="326"/>
        <v>0</v>
      </c>
      <c r="BQ308" s="254">
        <f t="shared" si="326"/>
        <v>0</v>
      </c>
      <c r="BR308" s="254">
        <f t="shared" si="326"/>
        <v>0</v>
      </c>
      <c r="BS308" s="254">
        <f t="shared" si="326"/>
        <v>0</v>
      </c>
      <c r="BT308" s="254">
        <f t="shared" si="326"/>
        <v>0</v>
      </c>
      <c r="BU308" s="254">
        <f t="shared" si="326"/>
        <v>0</v>
      </c>
      <c r="BV308" s="254">
        <f t="shared" si="326"/>
        <v>0</v>
      </c>
      <c r="BX308" s="254">
        <f>SUM(BM308:BV308)</f>
        <v>1614134.7666131514</v>
      </c>
    </row>
    <row r="309" spans="2:76">
      <c r="C309" s="39"/>
      <c r="D309" s="39"/>
      <c r="E309" s="39"/>
      <c r="F309" s="39"/>
      <c r="G309" s="39"/>
      <c r="H309" s="39"/>
      <c r="I309" s="39"/>
      <c r="J309" s="39"/>
      <c r="K309" s="39"/>
      <c r="L309" s="39"/>
      <c r="M309" s="39"/>
      <c r="N309" s="39"/>
      <c r="P309" s="255"/>
      <c r="Q309" s="310"/>
      <c r="R309" s="476"/>
      <c r="S309" s="476"/>
      <c r="T309" s="476"/>
      <c r="U309" s="476"/>
      <c r="V309" s="476"/>
      <c r="W309" s="476"/>
      <c r="X309" s="476"/>
      <c r="Y309" s="476"/>
      <c r="Z309" s="476"/>
      <c r="AA309" s="476"/>
      <c r="AB309" s="476"/>
      <c r="AC309" s="476"/>
      <c r="AD309" s="476"/>
      <c r="AE309" s="476"/>
      <c r="AF309" s="476"/>
      <c r="AG309" s="476"/>
      <c r="AH309" s="476"/>
      <c r="AI309" s="476"/>
      <c r="AJ309" s="476"/>
      <c r="AK309" s="476"/>
      <c r="AL309" s="476"/>
      <c r="AM309" s="476"/>
      <c r="AN309" s="476"/>
      <c r="AO309" s="476"/>
      <c r="AP309" s="476"/>
      <c r="AQ309" s="476"/>
      <c r="AR309" s="476"/>
      <c r="AS309" s="476"/>
      <c r="AT309" s="476"/>
      <c r="AU309" s="476"/>
      <c r="AV309" s="476"/>
      <c r="AW309" s="476"/>
      <c r="AX309" s="476"/>
      <c r="AY309" s="476"/>
      <c r="AZ309" s="476"/>
      <c r="BA309" s="476"/>
      <c r="BB309" s="476"/>
      <c r="BC309" s="476"/>
      <c r="BD309" s="476"/>
      <c r="BE309" s="476"/>
      <c r="BF309" s="476"/>
      <c r="BG309" s="476"/>
    </row>
    <row r="310" spans="2:76">
      <c r="C310" s="39"/>
      <c r="D310" s="39"/>
      <c r="E310" s="39"/>
      <c r="F310" s="39"/>
      <c r="G310" s="39"/>
      <c r="H310" s="39"/>
      <c r="I310" s="39"/>
      <c r="J310" s="39"/>
      <c r="K310" s="39"/>
      <c r="L310" s="39"/>
      <c r="M310" s="39"/>
      <c r="N310" s="39"/>
      <c r="P310" s="255"/>
      <c r="Q310" s="310"/>
      <c r="R310" s="476"/>
      <c r="S310" s="476"/>
      <c r="T310" s="476"/>
      <c r="U310" s="476"/>
      <c r="V310" s="476"/>
      <c r="W310" s="476"/>
      <c r="X310" s="476"/>
      <c r="Y310" s="476"/>
      <c r="Z310" s="476"/>
      <c r="AA310" s="476"/>
      <c r="AB310" s="476"/>
      <c r="AC310" s="476"/>
      <c r="AD310" s="476"/>
      <c r="AE310" s="476"/>
      <c r="AF310" s="476"/>
      <c r="AG310" s="476"/>
      <c r="AH310" s="476"/>
      <c r="AI310" s="476"/>
      <c r="AJ310" s="476"/>
      <c r="AK310" s="476"/>
      <c r="AL310" s="476"/>
      <c r="AM310" s="476"/>
      <c r="AN310" s="476"/>
      <c r="AO310" s="476"/>
      <c r="AP310" s="476"/>
      <c r="AQ310" s="476"/>
      <c r="AR310" s="476"/>
      <c r="AS310" s="476"/>
      <c r="AT310" s="476"/>
      <c r="AU310" s="476"/>
      <c r="AV310" s="476"/>
      <c r="AW310" s="476"/>
      <c r="AX310" s="476"/>
      <c r="AY310" s="476"/>
      <c r="AZ310" s="476"/>
      <c r="BA310" s="476"/>
      <c r="BB310" s="476"/>
      <c r="BC310" s="476"/>
      <c r="BD310" s="476"/>
      <c r="BE310" s="476"/>
      <c r="BF310" s="476"/>
      <c r="BG310" s="476"/>
    </row>
    <row r="311" spans="2:76">
      <c r="C311" s="253" t="s">
        <v>861</v>
      </c>
      <c r="D311" s="253"/>
      <c r="E311" s="253"/>
      <c r="F311" s="253"/>
      <c r="G311" s="253"/>
      <c r="H311" s="253"/>
      <c r="I311" s="253"/>
      <c r="J311" s="253"/>
      <c r="K311" s="253"/>
      <c r="L311" s="253"/>
      <c r="M311" s="253"/>
      <c r="N311" s="253"/>
      <c r="O311" s="268"/>
      <c r="P311" s="493">
        <f>1-GA!$G$689</f>
        <v>1</v>
      </c>
      <c r="Q311" s="367"/>
      <c r="R311" s="254">
        <f t="shared" ref="R311:BG311" si="327">$P$311*R$308-R282</f>
        <v>-126000</v>
      </c>
      <c r="S311" s="254">
        <f t="shared" si="327"/>
        <v>-3090257.241372929</v>
      </c>
      <c r="T311" s="254">
        <f t="shared" si="327"/>
        <v>0</v>
      </c>
      <c r="U311" s="254">
        <f t="shared" si="327"/>
        <v>10302.905500140972</v>
      </c>
      <c r="V311" s="254">
        <f t="shared" si="327"/>
        <v>28500.922636107687</v>
      </c>
      <c r="W311" s="254">
        <f t="shared" si="327"/>
        <v>28732.99374999998</v>
      </c>
      <c r="X311" s="254">
        <f t="shared" si="327"/>
        <v>28604.598875868989</v>
      </c>
      <c r="Y311" s="254">
        <f t="shared" si="327"/>
        <v>28716.691420764699</v>
      </c>
      <c r="Z311" s="254">
        <f t="shared" si="327"/>
        <v>28947.134505287315</v>
      </c>
      <c r="AA311" s="254">
        <f t="shared" si="327"/>
        <v>29176.221796874961</v>
      </c>
      <c r="AB311" s="254">
        <f t="shared" si="327"/>
        <v>29052.128898646402</v>
      </c>
      <c r="AC311" s="254">
        <f t="shared" si="327"/>
        <v>29163.656404910515</v>
      </c>
      <c r="AD311" s="254">
        <f t="shared" si="327"/>
        <v>29391.097956675381</v>
      </c>
      <c r="AE311" s="254">
        <f t="shared" si="327"/>
        <v>1343546.4148678745</v>
      </c>
      <c r="AF311" s="254">
        <f t="shared" si="327"/>
        <v>0</v>
      </c>
      <c r="AG311" s="254">
        <f t="shared" si="327"/>
        <v>0</v>
      </c>
      <c r="AH311" s="254">
        <f t="shared" si="327"/>
        <v>0</v>
      </c>
      <c r="AI311" s="254">
        <f t="shared" si="327"/>
        <v>0</v>
      </c>
      <c r="AJ311" s="254">
        <f t="shared" si="327"/>
        <v>0</v>
      </c>
      <c r="AK311" s="254">
        <f t="shared" si="327"/>
        <v>0</v>
      </c>
      <c r="AL311" s="254">
        <f t="shared" si="327"/>
        <v>0</v>
      </c>
      <c r="AM311" s="254">
        <f t="shared" si="327"/>
        <v>0</v>
      </c>
      <c r="AN311" s="254">
        <f t="shared" si="327"/>
        <v>0</v>
      </c>
      <c r="AO311" s="254">
        <f t="shared" si="327"/>
        <v>0</v>
      </c>
      <c r="AP311" s="254">
        <f t="shared" si="327"/>
        <v>0</v>
      </c>
      <c r="AQ311" s="254">
        <f t="shared" si="327"/>
        <v>0</v>
      </c>
      <c r="AR311" s="254">
        <f t="shared" si="327"/>
        <v>0</v>
      </c>
      <c r="AS311" s="254">
        <f t="shared" si="327"/>
        <v>0</v>
      </c>
      <c r="AT311" s="254">
        <f t="shared" si="327"/>
        <v>0</v>
      </c>
      <c r="AU311" s="254">
        <f t="shared" si="327"/>
        <v>0</v>
      </c>
      <c r="AV311" s="254">
        <f t="shared" si="327"/>
        <v>0</v>
      </c>
      <c r="AW311" s="254">
        <f t="shared" si="327"/>
        <v>0</v>
      </c>
      <c r="AX311" s="254">
        <f t="shared" si="327"/>
        <v>0</v>
      </c>
      <c r="AY311" s="254">
        <f t="shared" si="327"/>
        <v>0</v>
      </c>
      <c r="AZ311" s="254">
        <f t="shared" si="327"/>
        <v>0</v>
      </c>
      <c r="BA311" s="254">
        <f t="shared" si="327"/>
        <v>0</v>
      </c>
      <c r="BB311" s="254">
        <f t="shared" si="327"/>
        <v>0</v>
      </c>
      <c r="BC311" s="254">
        <f t="shared" si="327"/>
        <v>0</v>
      </c>
      <c r="BD311" s="254">
        <f t="shared" si="327"/>
        <v>0</v>
      </c>
      <c r="BE311" s="254">
        <f t="shared" si="327"/>
        <v>0</v>
      </c>
      <c r="BF311" s="254">
        <f t="shared" si="327"/>
        <v>0</v>
      </c>
      <c r="BG311" s="254">
        <f t="shared" si="327"/>
        <v>0</v>
      </c>
      <c r="BI311" s="254">
        <f>SUM(T311:BG311)</f>
        <v>1614134.7666131514</v>
      </c>
      <c r="BM311" s="254">
        <f t="shared" ref="BM311:BV311" si="328">SUMIF($T$8:$BG$8,BM$6,$T311:$BG311)</f>
        <v>67536.821886248639</v>
      </c>
      <c r="BN311" s="254">
        <f t="shared" si="328"/>
        <v>115444.64659879597</v>
      </c>
      <c r="BO311" s="254">
        <f t="shared" si="328"/>
        <v>1431153.2981281069</v>
      </c>
      <c r="BP311" s="254">
        <f t="shared" si="328"/>
        <v>0</v>
      </c>
      <c r="BQ311" s="254">
        <f t="shared" si="328"/>
        <v>0</v>
      </c>
      <c r="BR311" s="254">
        <f t="shared" si="328"/>
        <v>0</v>
      </c>
      <c r="BS311" s="254">
        <f t="shared" si="328"/>
        <v>0</v>
      </c>
      <c r="BT311" s="254">
        <f t="shared" si="328"/>
        <v>0</v>
      </c>
      <c r="BU311" s="254">
        <f t="shared" si="328"/>
        <v>0</v>
      </c>
      <c r="BV311" s="254">
        <f t="shared" si="328"/>
        <v>0</v>
      </c>
      <c r="BX311" s="254">
        <f>SUM(BM311:BV311)</f>
        <v>1614134.7666131514</v>
      </c>
    </row>
    <row r="312" spans="2:76" outlineLevel="1">
      <c r="C312" s="398" t="s">
        <v>686</v>
      </c>
      <c r="D312" s="398"/>
      <c r="E312" s="398"/>
      <c r="F312" s="398"/>
      <c r="G312" s="398"/>
      <c r="H312" s="398"/>
      <c r="I312" s="398"/>
      <c r="J312" s="398"/>
      <c r="K312" s="398"/>
      <c r="L312" s="398"/>
      <c r="M312" s="398"/>
      <c r="N312" s="398"/>
      <c r="O312" s="39"/>
      <c r="P312" s="39"/>
      <c r="Q312" s="39"/>
      <c r="R312" s="404">
        <f>SUM($R$311:R311)</f>
        <v>-126000</v>
      </c>
      <c r="S312" s="404">
        <f>SUM($R$311:S311)</f>
        <v>-3216257.241372929</v>
      </c>
      <c r="T312" s="404">
        <f>SUM($R$311:T311)</f>
        <v>-3216257.241372929</v>
      </c>
      <c r="U312" s="404">
        <f>SUM($R$311:U311)</f>
        <v>-3205954.335872788</v>
      </c>
      <c r="V312" s="404">
        <f>SUM($R$311:V311)</f>
        <v>-3177453.4132366804</v>
      </c>
      <c r="W312" s="404">
        <f>SUM($R$311:W311)</f>
        <v>-3148720.4194866805</v>
      </c>
      <c r="X312" s="404">
        <f>SUM($R$311:X311)</f>
        <v>-3120115.8206108115</v>
      </c>
      <c r="Y312" s="404">
        <f>SUM($R$311:Y311)</f>
        <v>-3091399.1291900468</v>
      </c>
      <c r="Z312" s="404">
        <f>SUM($R$311:Z311)</f>
        <v>-3062451.9946847595</v>
      </c>
      <c r="AA312" s="404">
        <f>SUM($R$311:AA311)</f>
        <v>-3033275.7728878846</v>
      </c>
      <c r="AB312" s="404">
        <f>SUM($R$311:AB311)</f>
        <v>-3004223.6439892384</v>
      </c>
      <c r="AC312" s="404">
        <f>SUM($R$311:AC311)</f>
        <v>-2975059.9875843278</v>
      </c>
      <c r="AD312" s="404">
        <f>SUM($R$311:AD311)</f>
        <v>-2945668.8896276522</v>
      </c>
      <c r="AE312" s="404">
        <f>SUM($R$311:AE311)</f>
        <v>-1602122.4747597778</v>
      </c>
      <c r="AF312" s="404">
        <f>SUM($R$311:AF311)</f>
        <v>-1602122.4747597778</v>
      </c>
      <c r="AG312" s="404">
        <f>SUM($R$311:AG311)</f>
        <v>-1602122.4747597778</v>
      </c>
      <c r="AH312" s="404">
        <f>SUM($R$311:AH311)</f>
        <v>-1602122.4747597778</v>
      </c>
      <c r="AI312" s="404">
        <f>SUM($R$311:AI311)</f>
        <v>-1602122.4747597778</v>
      </c>
      <c r="AJ312" s="404">
        <f>SUM($R$311:AJ311)</f>
        <v>-1602122.4747597778</v>
      </c>
      <c r="AK312" s="404">
        <f>SUM($R$311:AK311)</f>
        <v>-1602122.4747597778</v>
      </c>
      <c r="AL312" s="404">
        <f>SUM($R$311:AL311)</f>
        <v>-1602122.4747597778</v>
      </c>
      <c r="AM312" s="404">
        <f>SUM($R$311:AM311)</f>
        <v>-1602122.4747597778</v>
      </c>
      <c r="AN312" s="404">
        <f>SUM($R$311:AN311)</f>
        <v>-1602122.4747597778</v>
      </c>
      <c r="AO312" s="404">
        <f>SUM($R$311:AO311)</f>
        <v>-1602122.4747597778</v>
      </c>
      <c r="AP312" s="404">
        <f>SUM($R$311:AP311)</f>
        <v>-1602122.4747597778</v>
      </c>
      <c r="AQ312" s="404">
        <f>SUM($R$311:AQ311)</f>
        <v>-1602122.4747597778</v>
      </c>
      <c r="AR312" s="404">
        <f>SUM($R$311:AR311)</f>
        <v>-1602122.4747597778</v>
      </c>
      <c r="AS312" s="404">
        <f>SUM($R$311:AS311)</f>
        <v>-1602122.4747597778</v>
      </c>
      <c r="AT312" s="404">
        <f>SUM($R$311:AT311)</f>
        <v>-1602122.4747597778</v>
      </c>
      <c r="AU312" s="404">
        <f>SUM($R$311:AU311)</f>
        <v>-1602122.4747597778</v>
      </c>
      <c r="AV312" s="404">
        <f>SUM($R$311:AV311)</f>
        <v>-1602122.4747597778</v>
      </c>
      <c r="AW312" s="404">
        <f>SUM($R$311:AW311)</f>
        <v>-1602122.4747597778</v>
      </c>
      <c r="AX312" s="404">
        <f>SUM($R$311:AX311)</f>
        <v>-1602122.4747597778</v>
      </c>
      <c r="AY312" s="404">
        <f>SUM($R$311:AY311)</f>
        <v>-1602122.4747597778</v>
      </c>
      <c r="AZ312" s="404">
        <f>SUM($R$311:AZ311)</f>
        <v>-1602122.4747597778</v>
      </c>
      <c r="BA312" s="404">
        <f>SUM($R$311:BA311)</f>
        <v>-1602122.4747597778</v>
      </c>
      <c r="BB312" s="404">
        <f>SUM($R$311:BB311)</f>
        <v>-1602122.4747597778</v>
      </c>
      <c r="BC312" s="404">
        <f>SUM($R$311:BC311)</f>
        <v>-1602122.4747597778</v>
      </c>
      <c r="BD312" s="404">
        <f>SUM($R$311:BD311)</f>
        <v>-1602122.4747597778</v>
      </c>
      <c r="BE312" s="404">
        <f>SUM($R$311:BE311)</f>
        <v>-1602122.4747597778</v>
      </c>
      <c r="BF312" s="404">
        <f>SUM($R$311:BF311)</f>
        <v>-1602122.4747597778</v>
      </c>
      <c r="BG312" s="404">
        <f>SUM($R$311:BG311)</f>
        <v>-1602122.4747597778</v>
      </c>
    </row>
    <row r="313" spans="2:76" outlineLevel="1">
      <c r="C313" s="398" t="s">
        <v>687</v>
      </c>
      <c r="D313" s="398"/>
      <c r="E313" s="398"/>
      <c r="F313" s="398"/>
      <c r="G313" s="398"/>
      <c r="H313" s="398"/>
      <c r="I313" s="398"/>
      <c r="J313" s="398"/>
      <c r="K313" s="398"/>
      <c r="L313" s="398"/>
      <c r="M313" s="398"/>
      <c r="N313" s="398"/>
      <c r="O313" s="39"/>
      <c r="P313" s="39"/>
      <c r="Q313" s="39"/>
      <c r="S313" s="404">
        <f>S312</f>
        <v>-3216257.241372929</v>
      </c>
      <c r="T313" s="404">
        <f>MIN(-S312,T311)*(S312&lt;0)</f>
        <v>0</v>
      </c>
      <c r="U313" s="404">
        <f t="shared" ref="U313:BG313" si="329">MIN(-T312,U311)*(T312&lt;0)</f>
        <v>10302.905500140972</v>
      </c>
      <c r="V313" s="404">
        <f t="shared" si="329"/>
        <v>28500.922636107687</v>
      </c>
      <c r="W313" s="404">
        <f t="shared" si="329"/>
        <v>28732.99374999998</v>
      </c>
      <c r="X313" s="404">
        <f t="shared" si="329"/>
        <v>28604.598875868989</v>
      </c>
      <c r="Y313" s="404">
        <f t="shared" si="329"/>
        <v>28716.691420764699</v>
      </c>
      <c r="Z313" s="404">
        <f t="shared" si="329"/>
        <v>28947.134505287315</v>
      </c>
      <c r="AA313" s="404">
        <f t="shared" si="329"/>
        <v>29176.221796874961</v>
      </c>
      <c r="AB313" s="404">
        <f t="shared" si="329"/>
        <v>29052.128898646402</v>
      </c>
      <c r="AC313" s="404">
        <f t="shared" si="329"/>
        <v>29163.656404910515</v>
      </c>
      <c r="AD313" s="404">
        <f t="shared" si="329"/>
        <v>29391.097956675381</v>
      </c>
      <c r="AE313" s="404">
        <f t="shared" si="329"/>
        <v>1343546.4148678745</v>
      </c>
      <c r="AF313" s="404">
        <f t="shared" si="329"/>
        <v>0</v>
      </c>
      <c r="AG313" s="404">
        <f t="shared" si="329"/>
        <v>0</v>
      </c>
      <c r="AH313" s="404">
        <f t="shared" si="329"/>
        <v>0</v>
      </c>
      <c r="AI313" s="404">
        <f t="shared" si="329"/>
        <v>0</v>
      </c>
      <c r="AJ313" s="404">
        <f t="shared" si="329"/>
        <v>0</v>
      </c>
      <c r="AK313" s="404">
        <f t="shared" si="329"/>
        <v>0</v>
      </c>
      <c r="AL313" s="404">
        <f t="shared" si="329"/>
        <v>0</v>
      </c>
      <c r="AM313" s="404">
        <f t="shared" si="329"/>
        <v>0</v>
      </c>
      <c r="AN313" s="404">
        <f t="shared" si="329"/>
        <v>0</v>
      </c>
      <c r="AO313" s="404">
        <f t="shared" si="329"/>
        <v>0</v>
      </c>
      <c r="AP313" s="404">
        <f t="shared" si="329"/>
        <v>0</v>
      </c>
      <c r="AQ313" s="404">
        <f t="shared" si="329"/>
        <v>0</v>
      </c>
      <c r="AR313" s="404">
        <f t="shared" si="329"/>
        <v>0</v>
      </c>
      <c r="AS313" s="404">
        <f t="shared" si="329"/>
        <v>0</v>
      </c>
      <c r="AT313" s="404">
        <f t="shared" si="329"/>
        <v>0</v>
      </c>
      <c r="AU313" s="404">
        <f t="shared" si="329"/>
        <v>0</v>
      </c>
      <c r="AV313" s="404">
        <f t="shared" si="329"/>
        <v>0</v>
      </c>
      <c r="AW313" s="404">
        <f t="shared" si="329"/>
        <v>0</v>
      </c>
      <c r="AX313" s="404">
        <f t="shared" si="329"/>
        <v>0</v>
      </c>
      <c r="AY313" s="404">
        <f t="shared" si="329"/>
        <v>0</v>
      </c>
      <c r="AZ313" s="404">
        <f t="shared" si="329"/>
        <v>0</v>
      </c>
      <c r="BA313" s="404">
        <f t="shared" si="329"/>
        <v>0</v>
      </c>
      <c r="BB313" s="404">
        <f t="shared" si="329"/>
        <v>0</v>
      </c>
      <c r="BC313" s="404">
        <f t="shared" si="329"/>
        <v>0</v>
      </c>
      <c r="BD313" s="404">
        <f t="shared" si="329"/>
        <v>0</v>
      </c>
      <c r="BE313" s="404">
        <f t="shared" si="329"/>
        <v>0</v>
      </c>
      <c r="BF313" s="404">
        <f t="shared" si="329"/>
        <v>0</v>
      </c>
      <c r="BG313" s="404">
        <f t="shared" si="329"/>
        <v>0</v>
      </c>
    </row>
    <row r="314" spans="2:76">
      <c r="C314" s="253" t="s">
        <v>863</v>
      </c>
      <c r="D314" s="253"/>
      <c r="E314" s="253"/>
      <c r="F314" s="253"/>
      <c r="G314" s="253"/>
      <c r="H314" s="253"/>
      <c r="I314" s="253"/>
      <c r="J314" s="253"/>
      <c r="K314" s="253"/>
      <c r="L314" s="253"/>
      <c r="M314" s="253"/>
      <c r="N314" s="253"/>
      <c r="O314" s="268"/>
      <c r="P314" s="493">
        <f>GA!$G$689</f>
        <v>0</v>
      </c>
      <c r="Q314" s="367"/>
      <c r="R314" s="254">
        <f>$P$314*R$308</f>
        <v>0</v>
      </c>
      <c r="S314" s="254">
        <f t="shared" ref="S314:BG314" si="330">$P$314*S$308</f>
        <v>0</v>
      </c>
      <c r="T314" s="254">
        <f t="shared" si="330"/>
        <v>0</v>
      </c>
      <c r="U314" s="254">
        <f t="shared" si="330"/>
        <v>0</v>
      </c>
      <c r="V314" s="254">
        <f t="shared" si="330"/>
        <v>0</v>
      </c>
      <c r="W314" s="254">
        <f t="shared" si="330"/>
        <v>0</v>
      </c>
      <c r="X314" s="254">
        <f t="shared" si="330"/>
        <v>0</v>
      </c>
      <c r="Y314" s="254">
        <f t="shared" si="330"/>
        <v>0</v>
      </c>
      <c r="Z314" s="254">
        <f t="shared" si="330"/>
        <v>0</v>
      </c>
      <c r="AA314" s="254">
        <f t="shared" si="330"/>
        <v>0</v>
      </c>
      <c r="AB314" s="254">
        <f t="shared" si="330"/>
        <v>0</v>
      </c>
      <c r="AC314" s="254">
        <f t="shared" si="330"/>
        <v>0</v>
      </c>
      <c r="AD314" s="254">
        <f t="shared" si="330"/>
        <v>0</v>
      </c>
      <c r="AE314" s="254">
        <f t="shared" si="330"/>
        <v>0</v>
      </c>
      <c r="AF314" s="254">
        <f t="shared" si="330"/>
        <v>0</v>
      </c>
      <c r="AG314" s="254">
        <f t="shared" si="330"/>
        <v>0</v>
      </c>
      <c r="AH314" s="254">
        <f t="shared" si="330"/>
        <v>0</v>
      </c>
      <c r="AI314" s="254">
        <f t="shared" si="330"/>
        <v>0</v>
      </c>
      <c r="AJ314" s="254">
        <f t="shared" si="330"/>
        <v>0</v>
      </c>
      <c r="AK314" s="254">
        <f t="shared" si="330"/>
        <v>0</v>
      </c>
      <c r="AL314" s="254">
        <f t="shared" si="330"/>
        <v>0</v>
      </c>
      <c r="AM314" s="254">
        <f t="shared" si="330"/>
        <v>0</v>
      </c>
      <c r="AN314" s="254">
        <f t="shared" si="330"/>
        <v>0</v>
      </c>
      <c r="AO314" s="254">
        <f t="shared" si="330"/>
        <v>0</v>
      </c>
      <c r="AP314" s="254">
        <f t="shared" si="330"/>
        <v>0</v>
      </c>
      <c r="AQ314" s="254">
        <f t="shared" si="330"/>
        <v>0</v>
      </c>
      <c r="AR314" s="254">
        <f t="shared" si="330"/>
        <v>0</v>
      </c>
      <c r="AS314" s="254">
        <f t="shared" si="330"/>
        <v>0</v>
      </c>
      <c r="AT314" s="254">
        <f t="shared" si="330"/>
        <v>0</v>
      </c>
      <c r="AU314" s="254">
        <f t="shared" si="330"/>
        <v>0</v>
      </c>
      <c r="AV314" s="254">
        <f t="shared" si="330"/>
        <v>0</v>
      </c>
      <c r="AW314" s="254">
        <f t="shared" si="330"/>
        <v>0</v>
      </c>
      <c r="AX314" s="254">
        <f t="shared" si="330"/>
        <v>0</v>
      </c>
      <c r="AY314" s="254">
        <f t="shared" si="330"/>
        <v>0</v>
      </c>
      <c r="AZ314" s="254">
        <f t="shared" si="330"/>
        <v>0</v>
      </c>
      <c r="BA314" s="254">
        <f t="shared" si="330"/>
        <v>0</v>
      </c>
      <c r="BB314" s="254">
        <f t="shared" si="330"/>
        <v>0</v>
      </c>
      <c r="BC314" s="254">
        <f t="shared" si="330"/>
        <v>0</v>
      </c>
      <c r="BD314" s="254">
        <f t="shared" si="330"/>
        <v>0</v>
      </c>
      <c r="BE314" s="254">
        <f t="shared" si="330"/>
        <v>0</v>
      </c>
      <c r="BF314" s="254">
        <f t="shared" si="330"/>
        <v>0</v>
      </c>
      <c r="BG314" s="254">
        <f t="shared" si="330"/>
        <v>0</v>
      </c>
      <c r="BI314" s="254">
        <f>SUM(T314:BG314)</f>
        <v>0</v>
      </c>
      <c r="BM314" s="254">
        <f t="shared" ref="BM314:BV314" si="331">SUMIF($T$8:$BG$8,BM$6,$T314:$BG314)</f>
        <v>0</v>
      </c>
      <c r="BN314" s="254">
        <f t="shared" si="331"/>
        <v>0</v>
      </c>
      <c r="BO314" s="254">
        <f t="shared" si="331"/>
        <v>0</v>
      </c>
      <c r="BP314" s="254">
        <f t="shared" si="331"/>
        <v>0</v>
      </c>
      <c r="BQ314" s="254">
        <f t="shared" si="331"/>
        <v>0</v>
      </c>
      <c r="BR314" s="254">
        <f t="shared" si="331"/>
        <v>0</v>
      </c>
      <c r="BS314" s="254">
        <f t="shared" si="331"/>
        <v>0</v>
      </c>
      <c r="BT314" s="254">
        <f t="shared" si="331"/>
        <v>0</v>
      </c>
      <c r="BU314" s="254">
        <f t="shared" si="331"/>
        <v>0</v>
      </c>
      <c r="BV314" s="254">
        <f t="shared" si="331"/>
        <v>0</v>
      </c>
      <c r="BX314" s="254">
        <f>SUM(BM314:BV314)</f>
        <v>0</v>
      </c>
    </row>
    <row r="315" spans="2:76" outlineLevel="1">
      <c r="C315" s="398" t="s">
        <v>686</v>
      </c>
      <c r="D315" s="398"/>
      <c r="E315" s="398"/>
      <c r="F315" s="398"/>
      <c r="G315" s="398"/>
      <c r="H315" s="398"/>
      <c r="I315" s="398"/>
      <c r="J315" s="398"/>
      <c r="K315" s="398"/>
      <c r="L315" s="398"/>
      <c r="M315" s="398"/>
      <c r="N315" s="398"/>
      <c r="O315" s="39"/>
      <c r="P315" s="39"/>
      <c r="Q315" s="39"/>
      <c r="R315" s="404">
        <f>SUM($R$314:R314)</f>
        <v>0</v>
      </c>
      <c r="S315" s="404">
        <f>SUM($R$314:S314)</f>
        <v>0</v>
      </c>
      <c r="T315" s="404">
        <f>SUM($R$314:T314)</f>
        <v>0</v>
      </c>
      <c r="U315" s="404">
        <f>SUM($R$314:U314)</f>
        <v>0</v>
      </c>
      <c r="V315" s="404">
        <f>SUM($R$314:V314)</f>
        <v>0</v>
      </c>
      <c r="W315" s="404">
        <f>SUM($R$314:W314)</f>
        <v>0</v>
      </c>
      <c r="X315" s="404">
        <f>SUM($R$314:X314)</f>
        <v>0</v>
      </c>
      <c r="Y315" s="404">
        <f>SUM($R$314:Y314)</f>
        <v>0</v>
      </c>
      <c r="Z315" s="404">
        <f>SUM($R$314:Z314)</f>
        <v>0</v>
      </c>
      <c r="AA315" s="404">
        <f>SUM($R$314:AA314)</f>
        <v>0</v>
      </c>
      <c r="AB315" s="404">
        <f>SUM($R$314:AB314)</f>
        <v>0</v>
      </c>
      <c r="AC315" s="404">
        <f>SUM($R$314:AC314)</f>
        <v>0</v>
      </c>
      <c r="AD315" s="404">
        <f>SUM($R$314:AD314)</f>
        <v>0</v>
      </c>
      <c r="AE315" s="404">
        <f>SUM($R$314:AE314)</f>
        <v>0</v>
      </c>
      <c r="AF315" s="404">
        <f>SUM($R$314:AF314)</f>
        <v>0</v>
      </c>
      <c r="AG315" s="404">
        <f>SUM($R$314:AG314)</f>
        <v>0</v>
      </c>
      <c r="AH315" s="404">
        <f>SUM($R$314:AH314)</f>
        <v>0</v>
      </c>
      <c r="AI315" s="404">
        <f>SUM($R$314:AI314)</f>
        <v>0</v>
      </c>
      <c r="AJ315" s="404">
        <f>SUM($R$314:AJ314)</f>
        <v>0</v>
      </c>
      <c r="AK315" s="404">
        <f>SUM($R$314:AK314)</f>
        <v>0</v>
      </c>
      <c r="AL315" s="404">
        <f>SUM($R$314:AL314)</f>
        <v>0</v>
      </c>
      <c r="AM315" s="404">
        <f>SUM($R$314:AM314)</f>
        <v>0</v>
      </c>
      <c r="AN315" s="404">
        <f>SUM($R$314:AN314)</f>
        <v>0</v>
      </c>
      <c r="AO315" s="404">
        <f>SUM($R$314:AO314)</f>
        <v>0</v>
      </c>
      <c r="AP315" s="404">
        <f>SUM($R$314:AP314)</f>
        <v>0</v>
      </c>
      <c r="AQ315" s="404">
        <f>SUM($R$314:AQ314)</f>
        <v>0</v>
      </c>
      <c r="AR315" s="404">
        <f>SUM($R$314:AR314)</f>
        <v>0</v>
      </c>
      <c r="AS315" s="404">
        <f>SUM($R$314:AS314)</f>
        <v>0</v>
      </c>
      <c r="AT315" s="404">
        <f>SUM($R$314:AT314)</f>
        <v>0</v>
      </c>
      <c r="AU315" s="404">
        <f>SUM($R$314:AU314)</f>
        <v>0</v>
      </c>
      <c r="AV315" s="404">
        <f>SUM($R$314:AV314)</f>
        <v>0</v>
      </c>
      <c r="AW315" s="404">
        <f>SUM($R$314:AW314)</f>
        <v>0</v>
      </c>
      <c r="AX315" s="404">
        <f>SUM($R$314:AX314)</f>
        <v>0</v>
      </c>
      <c r="AY315" s="404">
        <f>SUM($R$314:AY314)</f>
        <v>0</v>
      </c>
      <c r="AZ315" s="404">
        <f>SUM($R$314:AZ314)</f>
        <v>0</v>
      </c>
      <c r="BA315" s="404">
        <f>SUM($R$314:BA314)</f>
        <v>0</v>
      </c>
      <c r="BB315" s="404">
        <f>SUM($R$314:BB314)</f>
        <v>0</v>
      </c>
      <c r="BC315" s="404">
        <f>SUM($R$314:BC314)</f>
        <v>0</v>
      </c>
      <c r="BD315" s="404">
        <f>SUM($R$314:BD314)</f>
        <v>0</v>
      </c>
      <c r="BE315" s="404">
        <f>SUM($R$314:BE314)</f>
        <v>0</v>
      </c>
      <c r="BF315" s="404">
        <f>SUM($R$314:BF314)</f>
        <v>0</v>
      </c>
      <c r="BG315" s="404">
        <f>SUM($R$314:BG314)</f>
        <v>0</v>
      </c>
    </row>
    <row r="316" spans="2:76" outlineLevel="1">
      <c r="C316" s="398" t="s">
        <v>687</v>
      </c>
      <c r="D316" s="398"/>
      <c r="E316" s="398"/>
      <c r="F316" s="398"/>
      <c r="G316" s="398"/>
      <c r="H316" s="398"/>
      <c r="I316" s="398"/>
      <c r="J316" s="398"/>
      <c r="K316" s="398"/>
      <c r="L316" s="398"/>
      <c r="M316" s="398"/>
      <c r="N316" s="398"/>
      <c r="O316" s="39"/>
      <c r="P316" s="39"/>
      <c r="Q316" s="39"/>
      <c r="S316" s="404">
        <f>S315</f>
        <v>0</v>
      </c>
      <c r="T316" s="404">
        <f>MIN(-S315,T314)*(S315&lt;0)</f>
        <v>0</v>
      </c>
      <c r="U316" s="404">
        <f t="shared" ref="U316:BG316" si="332">MIN(-T315,U314)*(T315&lt;0)</f>
        <v>0</v>
      </c>
      <c r="V316" s="404">
        <f t="shared" si="332"/>
        <v>0</v>
      </c>
      <c r="W316" s="404">
        <f t="shared" si="332"/>
        <v>0</v>
      </c>
      <c r="X316" s="404">
        <f t="shared" si="332"/>
        <v>0</v>
      </c>
      <c r="Y316" s="404">
        <f t="shared" si="332"/>
        <v>0</v>
      </c>
      <c r="Z316" s="404">
        <f t="shared" si="332"/>
        <v>0</v>
      </c>
      <c r="AA316" s="404">
        <f t="shared" si="332"/>
        <v>0</v>
      </c>
      <c r="AB316" s="404">
        <f t="shared" si="332"/>
        <v>0</v>
      </c>
      <c r="AC316" s="404">
        <f t="shared" si="332"/>
        <v>0</v>
      </c>
      <c r="AD316" s="404">
        <f t="shared" si="332"/>
        <v>0</v>
      </c>
      <c r="AE316" s="404">
        <f t="shared" si="332"/>
        <v>0</v>
      </c>
      <c r="AF316" s="404">
        <f t="shared" si="332"/>
        <v>0</v>
      </c>
      <c r="AG316" s="404">
        <f t="shared" si="332"/>
        <v>0</v>
      </c>
      <c r="AH316" s="404">
        <f t="shared" si="332"/>
        <v>0</v>
      </c>
      <c r="AI316" s="404">
        <f t="shared" si="332"/>
        <v>0</v>
      </c>
      <c r="AJ316" s="404">
        <f t="shared" si="332"/>
        <v>0</v>
      </c>
      <c r="AK316" s="404">
        <f t="shared" si="332"/>
        <v>0</v>
      </c>
      <c r="AL316" s="404">
        <f t="shared" si="332"/>
        <v>0</v>
      </c>
      <c r="AM316" s="404">
        <f t="shared" si="332"/>
        <v>0</v>
      </c>
      <c r="AN316" s="404">
        <f t="shared" si="332"/>
        <v>0</v>
      </c>
      <c r="AO316" s="404">
        <f t="shared" si="332"/>
        <v>0</v>
      </c>
      <c r="AP316" s="404">
        <f t="shared" si="332"/>
        <v>0</v>
      </c>
      <c r="AQ316" s="404">
        <f t="shared" si="332"/>
        <v>0</v>
      </c>
      <c r="AR316" s="404">
        <f t="shared" si="332"/>
        <v>0</v>
      </c>
      <c r="AS316" s="404">
        <f t="shared" si="332"/>
        <v>0</v>
      </c>
      <c r="AT316" s="404">
        <f t="shared" si="332"/>
        <v>0</v>
      </c>
      <c r="AU316" s="404">
        <f t="shared" si="332"/>
        <v>0</v>
      </c>
      <c r="AV316" s="404">
        <f t="shared" si="332"/>
        <v>0</v>
      </c>
      <c r="AW316" s="404">
        <f t="shared" si="332"/>
        <v>0</v>
      </c>
      <c r="AX316" s="404">
        <f t="shared" si="332"/>
        <v>0</v>
      </c>
      <c r="AY316" s="404">
        <f t="shared" si="332"/>
        <v>0</v>
      </c>
      <c r="AZ316" s="404">
        <f t="shared" si="332"/>
        <v>0</v>
      </c>
      <c r="BA316" s="404">
        <f t="shared" si="332"/>
        <v>0</v>
      </c>
      <c r="BB316" s="404">
        <f t="shared" si="332"/>
        <v>0</v>
      </c>
      <c r="BC316" s="404">
        <f t="shared" si="332"/>
        <v>0</v>
      </c>
      <c r="BD316" s="404">
        <f t="shared" si="332"/>
        <v>0</v>
      </c>
      <c r="BE316" s="404">
        <f t="shared" si="332"/>
        <v>0</v>
      </c>
      <c r="BF316" s="404">
        <f t="shared" si="332"/>
        <v>0</v>
      </c>
      <c r="BG316" s="404">
        <f t="shared" si="332"/>
        <v>0</v>
      </c>
    </row>
    <row r="317" spans="2:76">
      <c r="R317" s="444"/>
      <c r="S317" s="444"/>
      <c r="T317" s="444"/>
      <c r="U317" s="444"/>
      <c r="V317" s="444"/>
      <c r="W317" s="444"/>
      <c r="X317" s="444"/>
      <c r="Y317" s="444"/>
      <c r="Z317" s="444"/>
      <c r="AA317" s="444"/>
      <c r="AB317" s="444"/>
      <c r="AC317" s="444"/>
      <c r="AD317" s="444"/>
      <c r="AE317" s="444"/>
      <c r="AF317" s="444"/>
      <c r="AG317" s="444"/>
      <c r="AH317" s="444"/>
      <c r="AI317" s="444"/>
      <c r="AJ317" s="444"/>
      <c r="AK317" s="444"/>
      <c r="AL317" s="444"/>
      <c r="AM317" s="444"/>
      <c r="AN317" s="444"/>
      <c r="AO317" s="444"/>
      <c r="AP317" s="444"/>
      <c r="AQ317" s="444"/>
      <c r="AR317" s="444"/>
      <c r="AS317" s="444"/>
      <c r="AT317" s="444"/>
      <c r="AU317" s="444"/>
      <c r="AV317" s="444"/>
      <c r="AW317" s="444"/>
      <c r="AX317" s="444"/>
      <c r="AY317" s="444"/>
      <c r="AZ317" s="444"/>
      <c r="BA317" s="444"/>
      <c r="BB317" s="444"/>
      <c r="BC317" s="444"/>
      <c r="BD317" s="444"/>
      <c r="BE317" s="444"/>
      <c r="BF317" s="444"/>
      <c r="BG317" s="444"/>
    </row>
    <row r="318" spans="2:76" s="90" customFormat="1">
      <c r="B318" s="91">
        <f>MAX($B$1:B317)+1</f>
        <v>3</v>
      </c>
      <c r="C318" s="92" t="s">
        <v>739</v>
      </c>
      <c r="D318" s="92"/>
      <c r="E318" s="92"/>
      <c r="F318" s="92"/>
      <c r="G318" s="92"/>
      <c r="H318" s="92"/>
      <c r="I318" s="92"/>
      <c r="J318" s="92"/>
      <c r="K318" s="92"/>
      <c r="L318" s="92"/>
      <c r="M318" s="92"/>
      <c r="N318" s="92"/>
      <c r="O318" s="92"/>
    </row>
    <row r="320" spans="2:76">
      <c r="C320" s="445" t="s">
        <v>768</v>
      </c>
      <c r="D320" s="459"/>
      <c r="E320" s="459"/>
      <c r="F320" s="459"/>
      <c r="G320" s="459"/>
      <c r="H320" s="459"/>
      <c r="I320" s="459"/>
      <c r="J320" s="459"/>
      <c r="K320" s="459"/>
      <c r="L320" s="459"/>
      <c r="M320" s="459"/>
      <c r="N320" s="459"/>
      <c r="O320" s="446"/>
      <c r="P320" s="447"/>
      <c r="R320" s="445" t="s">
        <v>765</v>
      </c>
      <c r="S320" s="446"/>
      <c r="T320" s="446"/>
      <c r="U320" s="447"/>
      <c r="W320" s="445" t="s">
        <v>766</v>
      </c>
      <c r="X320" s="446"/>
      <c r="Y320" s="447"/>
      <c r="AA320" s="445" t="s">
        <v>796</v>
      </c>
      <c r="AB320" s="446"/>
      <c r="AC320" s="447"/>
      <c r="BK320" s="310"/>
    </row>
    <row r="321" spans="3:63">
      <c r="C321" s="194" t="s">
        <v>743</v>
      </c>
      <c r="D321" s="269"/>
      <c r="E321" s="269"/>
      <c r="F321" s="269"/>
      <c r="G321" s="269"/>
      <c r="H321" s="269"/>
      <c r="I321" s="269"/>
      <c r="J321" s="269"/>
      <c r="K321" s="269"/>
      <c r="L321" s="269"/>
      <c r="M321" s="269"/>
      <c r="N321" s="269"/>
      <c r="O321" s="448"/>
      <c r="P321" s="449">
        <f>SUM(T169:BG169)-SUM(T76:BG76)</f>
        <v>4238576.0951175252</v>
      </c>
      <c r="R321" s="194" t="s">
        <v>743</v>
      </c>
      <c r="S321" s="448"/>
      <c r="T321" s="448"/>
      <c r="U321" s="449">
        <f>SUMIFS($R$245:$BG$245,$R$245:$BG$245,"&gt;0")</f>
        <v>1614134.7666131514</v>
      </c>
      <c r="W321" s="194" t="s">
        <v>743</v>
      </c>
      <c r="X321" s="448"/>
      <c r="Y321" s="449">
        <f>SUMIFS($R$305:$BG$305,$R$305:$BG$305,"&gt;0")</f>
        <v>1614134.7666131514</v>
      </c>
      <c r="AA321" s="194" t="s">
        <v>743</v>
      </c>
      <c r="AB321" s="448"/>
      <c r="AC321" s="449">
        <f>SUM(T285:BG285)</f>
        <v>0</v>
      </c>
      <c r="BK321" s="310"/>
    </row>
    <row r="322" spans="3:63">
      <c r="C322" s="77" t="s">
        <v>744</v>
      </c>
      <c r="O322" s="450"/>
      <c r="P322" s="451">
        <f>SUM(R169:BG169)</f>
        <v>-1415473.9048824757</v>
      </c>
      <c r="R322" s="77" t="s">
        <v>744</v>
      </c>
      <c r="S322" s="450"/>
      <c r="T322" s="450"/>
      <c r="U322" s="451">
        <f>SUM(R245:BG245)</f>
        <v>-1602122.4747597778</v>
      </c>
      <c r="V322" s="345"/>
      <c r="W322" s="77" t="s">
        <v>744</v>
      </c>
      <c r="X322" s="450"/>
      <c r="Y322" s="451">
        <f>SUM(R305:BG305)</f>
        <v>-1602122.4747597778</v>
      </c>
      <c r="Z322" s="345"/>
      <c r="AA322" s="77" t="s">
        <v>744</v>
      </c>
      <c r="AB322" s="450"/>
      <c r="AC322" s="451">
        <f>SUM(R285:BG285)</f>
        <v>0</v>
      </c>
      <c r="BK322" s="310"/>
    </row>
    <row r="323" spans="3:63">
      <c r="C323" s="77" t="s">
        <v>745</v>
      </c>
      <c r="O323" s="452"/>
      <c r="P323" s="1204">
        <f>P322/O339+1</f>
        <v>0.74965309735809282</v>
      </c>
      <c r="R323" s="77" t="s">
        <v>745</v>
      </c>
      <c r="S323" s="452"/>
      <c r="T323" s="452"/>
      <c r="U323" s="1204">
        <f>U322/T339+1</f>
        <v>0.50186743331641059</v>
      </c>
      <c r="V323" s="310"/>
      <c r="W323" s="77" t="s">
        <v>745</v>
      </c>
      <c r="X323" s="452"/>
      <c r="Y323" s="1204">
        <f>Y322/X339+1</f>
        <v>0.50186743331641059</v>
      </c>
      <c r="AA323" s="77" t="s">
        <v>745</v>
      </c>
      <c r="AB323" s="452"/>
      <c r="AC323" s="1204" t="e">
        <f>-AC321/SUM(R285:S285)</f>
        <v>#DIV/0!</v>
      </c>
      <c r="BK323" s="310"/>
    </row>
    <row r="324" spans="3:63">
      <c r="C324" s="77" t="s">
        <v>746</v>
      </c>
      <c r="O324" s="453"/>
      <c r="P324" s="1693">
        <f>XIRR($R$169:$BG$169,$R$4:$BG$4,10%)</f>
        <v>2.9802322387695314E-9</v>
      </c>
      <c r="R324" s="77" t="s">
        <v>746</v>
      </c>
      <c r="S324" s="453"/>
      <c r="T324" s="453"/>
      <c r="U324" s="1693">
        <f>XIRR($R$245:$BG$245,$R$4:$BG$4,10%)</f>
        <v>2.9802322387695314E-9</v>
      </c>
      <c r="W324" s="77" t="s">
        <v>746</v>
      </c>
      <c r="X324" s="453"/>
      <c r="Y324" s="1693">
        <f>XIRR($R$305:$BG$305,$R$4:$BG$4,10%)</f>
        <v>2.9802322387695314E-9</v>
      </c>
      <c r="AA324" s="77" t="s">
        <v>746</v>
      </c>
      <c r="AB324" s="453"/>
      <c r="AC324" s="1693" t="e">
        <f>XIRR($S$285:$BG$285,$S$4:$BG$4,10%)</f>
        <v>#NUM!</v>
      </c>
      <c r="AE324" s="155">
        <f>+(1+P324)^P326</f>
        <v>1.0000000075903133</v>
      </c>
      <c r="AF324" s="155">
        <f>+(1+U324)^U326</f>
        <v>1.000000008295288</v>
      </c>
      <c r="BK324" s="310"/>
    </row>
    <row r="325" spans="3:63" outlineLevel="1">
      <c r="C325" s="77" t="s">
        <v>747</v>
      </c>
      <c r="O325" s="454"/>
      <c r="P325" s="1694">
        <f>SUMPRODUCT(T171:BG171,$T$5:$BG$5)/-SUM(R171:S171)/4</f>
        <v>4.5791961888722268</v>
      </c>
      <c r="R325" s="77" t="s">
        <v>747</v>
      </c>
      <c r="S325" s="454"/>
      <c r="T325" s="454"/>
      <c r="U325" s="1694">
        <f>SUMPRODUCT(T247:BG247,$T$5:$BG$5)/-SUM(R247:S247)/4</f>
        <v>1.3969162635392878</v>
      </c>
      <c r="W325" s="77" t="s">
        <v>747</v>
      </c>
      <c r="X325" s="454"/>
      <c r="Y325" s="1694">
        <f>SUMPRODUCT(T307:BG307,$T$5:$BG$5)/-SUM(R307:S307)/4</f>
        <v>1.3969162635392878</v>
      </c>
      <c r="AA325" s="77" t="s">
        <v>747</v>
      </c>
      <c r="AB325" s="454"/>
      <c r="AC325" s="1694" t="e">
        <f>SUMPRODUCT(T287:BG287,$T$5:$BG$5)/-SUM(R287:S287)/4</f>
        <v>#DIV/0!</v>
      </c>
    </row>
    <row r="326" spans="3:63">
      <c r="C326" s="346" t="s">
        <v>748</v>
      </c>
      <c r="D326" s="17"/>
      <c r="E326" s="17"/>
      <c r="F326" s="17"/>
      <c r="G326" s="17"/>
      <c r="H326" s="17"/>
      <c r="I326" s="17"/>
      <c r="J326" s="17"/>
      <c r="K326" s="17"/>
      <c r="L326" s="17"/>
      <c r="M326" s="17"/>
      <c r="N326" s="17"/>
      <c r="O326" s="455"/>
      <c r="P326" s="1695">
        <f>SUMPRODUCT(T169:BG169,$T$5:$BG$5)/P321/4</f>
        <v>2.54688645933085</v>
      </c>
      <c r="R326" s="346" t="s">
        <v>748</v>
      </c>
      <c r="S326" s="455"/>
      <c r="T326" s="455"/>
      <c r="U326" s="1695">
        <f>SUMPRODUCT(T245:BG245,$T$5:$BG$5)/U321/4</f>
        <v>2.7834367619916445</v>
      </c>
      <c r="W326" s="346" t="s">
        <v>748</v>
      </c>
      <c r="X326" s="455"/>
      <c r="Y326" s="1695">
        <f>SUMPRODUCT(T305:BG305,$T$5:$BG$5)/Y321/4</f>
        <v>2.7834367619916445</v>
      </c>
      <c r="AA326" s="346" t="s">
        <v>748</v>
      </c>
      <c r="AB326" s="455"/>
      <c r="AC326" s="1695" t="e">
        <f>SUMPRODUCT(T285:BG285,$T$5:$BG$5)/AC321/4</f>
        <v>#DIV/0!</v>
      </c>
    </row>
    <row r="328" spans="3:63">
      <c r="C328" s="445" t="s">
        <v>749</v>
      </c>
      <c r="D328" s="459"/>
      <c r="E328" s="459"/>
      <c r="F328" s="459"/>
      <c r="G328" s="459"/>
      <c r="H328" s="459"/>
      <c r="I328" s="459"/>
      <c r="J328" s="459"/>
      <c r="K328" s="459"/>
      <c r="L328" s="459"/>
      <c r="M328" s="459"/>
      <c r="N328" s="459"/>
      <c r="O328" s="446"/>
      <c r="P328" s="447"/>
      <c r="R328" s="445" t="s">
        <v>749</v>
      </c>
      <c r="S328" s="446"/>
      <c r="T328" s="446"/>
      <c r="U328" s="447"/>
      <c r="W328" s="445" t="s">
        <v>749</v>
      </c>
      <c r="X328" s="446"/>
      <c r="Y328" s="447"/>
      <c r="AA328" s="445" t="s">
        <v>866</v>
      </c>
      <c r="AB328" s="446"/>
      <c r="AC328" s="447"/>
    </row>
    <row r="329" spans="3:63">
      <c r="C329" s="77" t="s">
        <v>56</v>
      </c>
      <c r="O329" s="456"/>
      <c r="P329" s="1696">
        <f>-SUM(R71:AF72)</f>
        <v>5000000</v>
      </c>
      <c r="R329" s="77" t="s">
        <v>56</v>
      </c>
      <c r="S329" s="456"/>
      <c r="T329" s="456"/>
      <c r="U329" s="1696">
        <f>P329</f>
        <v>5000000</v>
      </c>
      <c r="W329" s="77" t="s">
        <v>56</v>
      </c>
      <c r="X329" s="456"/>
      <c r="Y329" s="1696">
        <f>U329</f>
        <v>5000000</v>
      </c>
      <c r="AA329" s="194" t="s">
        <v>743</v>
      </c>
      <c r="AB329" s="448"/>
      <c r="AC329" s="449">
        <f>SUM(T311:BG311)</f>
        <v>1614134.7666131514</v>
      </c>
    </row>
    <row r="330" spans="3:63">
      <c r="C330" s="77" t="s">
        <v>114</v>
      </c>
      <c r="O330" s="454"/>
      <c r="P330" s="1697">
        <f>-SUM(R73:S73)</f>
        <v>250000</v>
      </c>
      <c r="R330" s="77" t="s">
        <v>114</v>
      </c>
      <c r="S330" s="454"/>
      <c r="T330" s="454"/>
      <c r="U330" s="1697">
        <f>P330</f>
        <v>250000</v>
      </c>
      <c r="W330" s="77" t="s">
        <v>114</v>
      </c>
      <c r="X330" s="454"/>
      <c r="Y330" s="1697">
        <f>U330</f>
        <v>250000</v>
      </c>
      <c r="AA330" s="77" t="s">
        <v>744</v>
      </c>
      <c r="AB330" s="450"/>
      <c r="AC330" s="451">
        <f>SUM(R311:BG311)</f>
        <v>-1602122.4747597778</v>
      </c>
    </row>
    <row r="331" spans="3:63">
      <c r="C331" s="77" t="s">
        <v>623</v>
      </c>
      <c r="O331" s="454"/>
      <c r="P331" s="1697">
        <f>-SUM(R74:S74)</f>
        <v>404050</v>
      </c>
      <c r="R331" s="77" t="s">
        <v>623</v>
      </c>
      <c r="S331" s="454"/>
      <c r="T331" s="454"/>
      <c r="U331" s="1697">
        <f>P331</f>
        <v>404050</v>
      </c>
      <c r="W331" s="77" t="s">
        <v>623</v>
      </c>
      <c r="X331" s="454"/>
      <c r="Y331" s="1697">
        <f>U331</f>
        <v>404050</v>
      </c>
      <c r="AA331" s="77" t="s">
        <v>745</v>
      </c>
      <c r="AB331" s="452"/>
      <c r="AC331" s="1204">
        <f>-AC329/SUM(R311:S311)</f>
        <v>0.5018674333164107</v>
      </c>
    </row>
    <row r="332" spans="3:63">
      <c r="C332" s="77" t="s">
        <v>750</v>
      </c>
      <c r="O332" s="454"/>
      <c r="P332" s="1697"/>
      <c r="R332" s="77" t="s">
        <v>750</v>
      </c>
      <c r="S332" s="454"/>
      <c r="T332" s="454"/>
      <c r="U332" s="1697">
        <f>-S194-S223</f>
        <v>0</v>
      </c>
      <c r="W332" s="77" t="s">
        <v>750</v>
      </c>
      <c r="X332" s="454"/>
      <c r="Y332" s="1697">
        <f>U332-S276</f>
        <v>0</v>
      </c>
      <c r="AA332" s="77" t="s">
        <v>746</v>
      </c>
      <c r="AB332" s="453"/>
      <c r="AC332" s="1693">
        <f>XIRR($R$311:$BG$311,$R$4:$BG$4,10%)</f>
        <v>2.9802322387695314E-9</v>
      </c>
    </row>
    <row r="333" spans="3:63">
      <c r="C333" s="77" t="s">
        <v>760</v>
      </c>
      <c r="P333" s="1697">
        <f>S166</f>
        <v>0</v>
      </c>
      <c r="R333" s="77" t="s">
        <v>760</v>
      </c>
      <c r="U333" s="1697">
        <f>P333</f>
        <v>0</v>
      </c>
      <c r="W333" s="77" t="s">
        <v>760</v>
      </c>
      <c r="Y333" s="1697">
        <f>U333</f>
        <v>0</v>
      </c>
      <c r="AA333" s="77" t="s">
        <v>747</v>
      </c>
      <c r="AB333" s="454"/>
      <c r="AC333" s="1694">
        <f>SUMPRODUCT(T313:BG313,$T$5:$BG$5)/-SUM(R313:S313)/4</f>
        <v>1.3969162635392878</v>
      </c>
    </row>
    <row r="334" spans="3:63">
      <c r="C334" s="77" t="s">
        <v>729</v>
      </c>
      <c r="P334" s="1697"/>
      <c r="R334" s="77" t="s">
        <v>729</v>
      </c>
      <c r="U334" s="1697">
        <f>-S201-S227</f>
        <v>47000</v>
      </c>
      <c r="W334" s="77" t="s">
        <v>729</v>
      </c>
      <c r="Y334" s="1697">
        <f>U334-S277</f>
        <v>47000</v>
      </c>
      <c r="AA334" s="346" t="s">
        <v>748</v>
      </c>
      <c r="AB334" s="455"/>
      <c r="AC334" s="1695">
        <f>SUMPRODUCT(T311:BG311,$T$5:$BG$5)/AC329/4</f>
        <v>2.7834367619916445</v>
      </c>
    </row>
    <row r="335" spans="3:63">
      <c r="C335" s="77" t="s">
        <v>767</v>
      </c>
      <c r="P335" s="1697"/>
      <c r="R335" s="77" t="s">
        <v>767</v>
      </c>
      <c r="U335" s="1697">
        <f>S238</f>
        <v>811819.03207949619</v>
      </c>
      <c r="W335" s="77" t="s">
        <v>767</v>
      </c>
      <c r="Y335" s="1697">
        <f>S302+U335</f>
        <v>811819.03207949619</v>
      </c>
    </row>
    <row r="336" spans="3:63">
      <c r="C336" s="395" t="s">
        <v>152</v>
      </c>
      <c r="D336" s="253"/>
      <c r="E336" s="253"/>
      <c r="F336" s="253"/>
      <c r="G336" s="253"/>
      <c r="H336" s="253"/>
      <c r="I336" s="253"/>
      <c r="J336" s="253"/>
      <c r="K336" s="253"/>
      <c r="L336" s="253"/>
      <c r="M336" s="253"/>
      <c r="N336" s="253"/>
      <c r="O336" s="457"/>
      <c r="P336" s="458">
        <f>SUM(P329:P335)</f>
        <v>5654050</v>
      </c>
      <c r="R336" s="395" t="s">
        <v>152</v>
      </c>
      <c r="S336" s="457"/>
      <c r="T336" s="457"/>
      <c r="U336" s="458">
        <f>SUM(U329:U335)</f>
        <v>6512869.0320794964</v>
      </c>
      <c r="W336" s="395" t="s">
        <v>152</v>
      </c>
      <c r="X336" s="457"/>
      <c r="Y336" s="458">
        <f>SUM(Y329:Y335)</f>
        <v>6512869.0320794964</v>
      </c>
      <c r="AA336" s="445" t="s">
        <v>865</v>
      </c>
      <c r="AB336" s="446"/>
      <c r="AC336" s="447"/>
    </row>
    <row r="337" spans="2:59">
      <c r="AA337" s="194" t="s">
        <v>743</v>
      </c>
      <c r="AB337" s="448"/>
      <c r="AC337" s="449">
        <f>SUM(T314:BG314)</f>
        <v>0</v>
      </c>
    </row>
    <row r="338" spans="2:59">
      <c r="C338" s="445" t="s">
        <v>751</v>
      </c>
      <c r="D338" s="459"/>
      <c r="E338" s="459"/>
      <c r="F338" s="459"/>
      <c r="G338" s="459"/>
      <c r="H338" s="459"/>
      <c r="I338" s="459"/>
      <c r="J338" s="459"/>
      <c r="K338" s="459"/>
      <c r="L338" s="459"/>
      <c r="M338" s="459"/>
      <c r="N338" s="459"/>
      <c r="O338" s="459" t="s">
        <v>752</v>
      </c>
      <c r="P338" s="460" t="s">
        <v>574</v>
      </c>
      <c r="R338" s="445" t="s">
        <v>751</v>
      </c>
      <c r="S338" s="459"/>
      <c r="T338" s="459" t="s">
        <v>752</v>
      </c>
      <c r="U338" s="460" t="s">
        <v>574</v>
      </c>
      <c r="W338" s="445" t="s">
        <v>751</v>
      </c>
      <c r="X338" s="459" t="s">
        <v>752</v>
      </c>
      <c r="Y338" s="460" t="s">
        <v>574</v>
      </c>
      <c r="AA338" s="77" t="s">
        <v>744</v>
      </c>
      <c r="AB338" s="450"/>
      <c r="AC338" s="451">
        <f>SUM(R314:BG314)</f>
        <v>0</v>
      </c>
    </row>
    <row r="339" spans="2:59">
      <c r="C339" s="194" t="s">
        <v>753</v>
      </c>
      <c r="D339" s="269"/>
      <c r="E339" s="269"/>
      <c r="F339" s="269"/>
      <c r="G339" s="269"/>
      <c r="H339" s="269"/>
      <c r="I339" s="269"/>
      <c r="J339" s="269"/>
      <c r="K339" s="269"/>
      <c r="L339" s="269"/>
      <c r="M339" s="269"/>
      <c r="N339" s="269"/>
      <c r="O339" s="461">
        <f>P336</f>
        <v>5654050</v>
      </c>
      <c r="P339" s="462">
        <v>1</v>
      </c>
      <c r="R339" s="194" t="s">
        <v>753</v>
      </c>
      <c r="S339" s="461"/>
      <c r="T339" s="461">
        <f>-SUM(R241:S241)</f>
        <v>3216257.241372929</v>
      </c>
      <c r="U339" s="462">
        <f>T339/$T$342</f>
        <v>0.56265089298193471</v>
      </c>
      <c r="W339" s="194" t="s">
        <v>753</v>
      </c>
      <c r="X339" s="461">
        <f>-SUM(R305:S305)</f>
        <v>3216257.241372929</v>
      </c>
      <c r="Y339" s="462">
        <f>X339/$X$342</f>
        <v>0.56265089298193471</v>
      </c>
      <c r="AA339" s="77" t="s">
        <v>745</v>
      </c>
      <c r="AB339" s="452"/>
      <c r="AC339" s="1204" t="e">
        <f>-AC337/SUM(R314:S314)</f>
        <v>#DIV/0!</v>
      </c>
    </row>
    <row r="340" spans="2:59">
      <c r="C340" s="77" t="s">
        <v>754</v>
      </c>
      <c r="O340" s="463"/>
      <c r="P340" s="464"/>
      <c r="R340" s="77" t="s">
        <v>754</v>
      </c>
      <c r="S340" s="463"/>
      <c r="T340" s="1698">
        <f>SUM(S181:BG181)+S211</f>
        <v>2500000</v>
      </c>
      <c r="U340" s="466">
        <f>T340/$T$342</f>
        <v>0.43734910701806534</v>
      </c>
      <c r="W340" s="77" t="s">
        <v>754</v>
      </c>
      <c r="X340" s="1698">
        <f>T340</f>
        <v>2500000</v>
      </c>
      <c r="Y340" s="466">
        <f>X340/$X$342</f>
        <v>0.43734910701806534</v>
      </c>
      <c r="AA340" s="77" t="s">
        <v>746</v>
      </c>
      <c r="AB340" s="453"/>
      <c r="AC340" s="1693" t="e">
        <f>XIRR($R$314:$BG$314,$R$4:$BG$4,10%)</f>
        <v>#NUM!</v>
      </c>
    </row>
    <row r="341" spans="2:59">
      <c r="C341" s="346" t="s">
        <v>755</v>
      </c>
      <c r="D341" s="17"/>
      <c r="E341" s="17"/>
      <c r="F341" s="17"/>
      <c r="G341" s="17"/>
      <c r="H341" s="17"/>
      <c r="I341" s="17"/>
      <c r="J341" s="17"/>
      <c r="K341" s="17"/>
      <c r="L341" s="17"/>
      <c r="M341" s="17"/>
      <c r="N341" s="17"/>
      <c r="O341" s="465"/>
      <c r="P341" s="466"/>
      <c r="R341" s="346" t="s">
        <v>755</v>
      </c>
      <c r="S341" s="465"/>
      <c r="T341" s="465"/>
      <c r="U341" s="466"/>
      <c r="W341" s="346" t="s">
        <v>755</v>
      </c>
      <c r="X341" s="1698">
        <f>S256</f>
        <v>0</v>
      </c>
      <c r="Y341" s="492">
        <f>(X341/X342)</f>
        <v>0</v>
      </c>
      <c r="AA341" s="77" t="s">
        <v>747</v>
      </c>
      <c r="AB341" s="454"/>
      <c r="AC341" s="1694" t="e">
        <f>SUMPRODUCT(T316:BG316,$T$5:$BG$5)/-SUM(R316:S316)/4</f>
        <v>#DIV/0!</v>
      </c>
    </row>
    <row r="342" spans="2:59">
      <c r="C342" s="467" t="s">
        <v>152</v>
      </c>
      <c r="D342" s="364"/>
      <c r="E342" s="364"/>
      <c r="F342" s="364"/>
      <c r="G342" s="364"/>
      <c r="H342" s="364"/>
      <c r="I342" s="364"/>
      <c r="J342" s="364"/>
      <c r="K342" s="364"/>
      <c r="L342" s="364"/>
      <c r="M342" s="364"/>
      <c r="N342" s="364"/>
      <c r="O342" s="468">
        <f>SUM(O339)</f>
        <v>5654050</v>
      </c>
      <c r="P342" s="469">
        <f>SUM(P339:P340)</f>
        <v>1</v>
      </c>
      <c r="R342" s="467" t="s">
        <v>152</v>
      </c>
      <c r="S342" s="468"/>
      <c r="T342" s="468">
        <f>SUM(T339:T340)</f>
        <v>5716257.241372929</v>
      </c>
      <c r="U342" s="469">
        <f>SUM(U339:U340)</f>
        <v>1</v>
      </c>
      <c r="W342" s="467" t="s">
        <v>152</v>
      </c>
      <c r="X342" s="468">
        <f>SUM(X339:X341)</f>
        <v>5716257.241372929</v>
      </c>
      <c r="Y342" s="469">
        <f>SUM(Y339:Y341)</f>
        <v>1</v>
      </c>
      <c r="AA342" s="346" t="s">
        <v>748</v>
      </c>
      <c r="AB342" s="455"/>
      <c r="AC342" s="1695" t="e">
        <f>SUMPRODUCT(T314:BG314,$T$5:$BG$5)/AC337/4</f>
        <v>#DIV/0!</v>
      </c>
    </row>
    <row r="345" spans="2:59" s="90" customFormat="1" outlineLevel="1">
      <c r="B345" s="91">
        <f>MAX($B$1:B344)+1</f>
        <v>4</v>
      </c>
      <c r="C345" s="92" t="s">
        <v>801</v>
      </c>
      <c r="D345" s="92"/>
      <c r="E345" s="92"/>
      <c r="F345" s="92"/>
      <c r="G345" s="92"/>
      <c r="H345" s="92"/>
      <c r="I345" s="92"/>
      <c r="J345" s="92"/>
      <c r="K345" s="92"/>
      <c r="L345" s="92"/>
      <c r="M345" s="92"/>
      <c r="N345" s="92"/>
      <c r="O345" s="92"/>
    </row>
    <row r="346" spans="2:59" outlineLevel="1"/>
    <row r="347" spans="2:59" outlineLevel="1">
      <c r="C347" s="391" t="s">
        <v>812</v>
      </c>
      <c r="D347" s="391"/>
      <c r="E347" s="391"/>
      <c r="F347" s="391"/>
      <c r="G347" s="391"/>
      <c r="H347" s="391"/>
      <c r="I347" s="391"/>
      <c r="J347" s="391"/>
      <c r="K347" s="391"/>
      <c r="L347" s="391"/>
      <c r="M347" s="391"/>
      <c r="N347" s="391"/>
      <c r="O347" s="391"/>
      <c r="P347" s="391"/>
      <c r="Q347" s="391"/>
      <c r="R347" s="391"/>
      <c r="S347" s="391"/>
      <c r="T347" s="391"/>
      <c r="U347" s="391"/>
      <c r="V347" s="391"/>
      <c r="W347" s="391"/>
      <c r="X347" s="391"/>
      <c r="Y347" s="391"/>
      <c r="Z347" s="391"/>
      <c r="AA347" s="391"/>
      <c r="AB347" s="391"/>
      <c r="AC347" s="391"/>
      <c r="AD347" s="391"/>
      <c r="AE347" s="391"/>
      <c r="AF347" s="391"/>
      <c r="AG347" s="391"/>
      <c r="AH347" s="391"/>
      <c r="AI347" s="391"/>
      <c r="AJ347" s="391"/>
      <c r="AK347" s="391"/>
      <c r="AL347" s="391"/>
      <c r="AM347" s="391"/>
      <c r="AN347" s="391"/>
      <c r="AO347" s="391"/>
      <c r="AP347" s="391"/>
      <c r="AQ347" s="391"/>
      <c r="AR347" s="391"/>
      <c r="AS347" s="391"/>
      <c r="AT347" s="391"/>
      <c r="AU347" s="391"/>
      <c r="AV347" s="391"/>
      <c r="AW347" s="391"/>
      <c r="AX347" s="391"/>
      <c r="AY347" s="391"/>
      <c r="AZ347" s="391"/>
      <c r="BA347" s="391"/>
      <c r="BB347" s="391"/>
      <c r="BC347" s="391"/>
      <c r="BD347" s="391"/>
      <c r="BE347" s="391"/>
      <c r="BF347" s="391"/>
      <c r="BG347" s="391"/>
    </row>
    <row r="348" spans="2:59" outlineLevel="1">
      <c r="U348" s="259"/>
    </row>
    <row r="349" spans="2:59" outlineLevel="1">
      <c r="C349" s="364" t="s">
        <v>821</v>
      </c>
      <c r="D349" s="364"/>
      <c r="E349" s="364"/>
      <c r="F349" s="364"/>
      <c r="G349" s="364"/>
      <c r="H349" s="364"/>
      <c r="I349" s="364"/>
      <c r="J349" s="364"/>
      <c r="K349" s="364"/>
      <c r="L349" s="364"/>
      <c r="M349" s="364"/>
      <c r="N349" s="364"/>
      <c r="O349" s="17"/>
      <c r="P349" s="17"/>
      <c r="Q349" s="17"/>
      <c r="R349" s="17"/>
      <c r="S349" s="17"/>
      <c r="T349" s="17"/>
      <c r="U349" s="17"/>
    </row>
    <row r="350" spans="2:59" outlineLevel="1">
      <c r="C350" t="s">
        <v>822</v>
      </c>
      <c r="R350" s="310">
        <f t="shared" ref="R350:BG350" si="333">R292</f>
        <v>-126000</v>
      </c>
      <c r="S350" s="310">
        <f t="shared" si="333"/>
        <v>-3090257.241372929</v>
      </c>
      <c r="T350" s="310">
        <f t="shared" si="333"/>
        <v>0</v>
      </c>
      <c r="U350" s="310">
        <f t="shared" si="333"/>
        <v>10302.905500140972</v>
      </c>
      <c r="V350" s="368">
        <f t="shared" si="333"/>
        <v>28500.922636107687</v>
      </c>
      <c r="W350" s="368">
        <f t="shared" si="333"/>
        <v>28732.99374999998</v>
      </c>
      <c r="X350" s="368">
        <f t="shared" si="333"/>
        <v>28604.598875868989</v>
      </c>
      <c r="Y350" s="368">
        <f t="shared" si="333"/>
        <v>28716.691420764699</v>
      </c>
      <c r="Z350" s="368">
        <f t="shared" si="333"/>
        <v>28947.134505287315</v>
      </c>
      <c r="AA350" s="368">
        <f t="shared" si="333"/>
        <v>29176.221796874961</v>
      </c>
      <c r="AB350" s="368">
        <f t="shared" si="333"/>
        <v>29052.128898646402</v>
      </c>
      <c r="AC350" s="368">
        <f t="shared" si="333"/>
        <v>29163.656404910515</v>
      </c>
      <c r="AD350" s="368">
        <f t="shared" si="333"/>
        <v>29391.097956675381</v>
      </c>
      <c r="AE350" s="368">
        <f t="shared" si="333"/>
        <v>1343824.6533783348</v>
      </c>
      <c r="AF350" s="368">
        <f t="shared" si="333"/>
        <v>0</v>
      </c>
      <c r="AG350" s="368">
        <f t="shared" si="333"/>
        <v>0</v>
      </c>
      <c r="AH350" s="368">
        <f t="shared" si="333"/>
        <v>0</v>
      </c>
      <c r="AI350" s="368">
        <f t="shared" si="333"/>
        <v>0</v>
      </c>
      <c r="AJ350" s="368">
        <f t="shared" si="333"/>
        <v>0</v>
      </c>
      <c r="AK350" s="368">
        <f t="shared" si="333"/>
        <v>0</v>
      </c>
      <c r="AL350" s="368">
        <f t="shared" si="333"/>
        <v>0</v>
      </c>
      <c r="AM350" s="368">
        <f t="shared" si="333"/>
        <v>0</v>
      </c>
      <c r="AN350" s="368">
        <f t="shared" si="333"/>
        <v>0</v>
      </c>
      <c r="AO350" s="368">
        <f t="shared" si="333"/>
        <v>0</v>
      </c>
      <c r="AP350" s="368">
        <f t="shared" si="333"/>
        <v>0</v>
      </c>
      <c r="AQ350" s="368">
        <f t="shared" si="333"/>
        <v>0</v>
      </c>
      <c r="AR350" s="368">
        <f t="shared" si="333"/>
        <v>0</v>
      </c>
      <c r="AS350" s="368">
        <f t="shared" si="333"/>
        <v>0</v>
      </c>
      <c r="AT350" s="368">
        <f t="shared" si="333"/>
        <v>0</v>
      </c>
      <c r="AU350" s="368">
        <f t="shared" si="333"/>
        <v>0</v>
      </c>
      <c r="AV350" s="368">
        <f t="shared" si="333"/>
        <v>0</v>
      </c>
      <c r="AW350" s="368">
        <f t="shared" si="333"/>
        <v>0</v>
      </c>
      <c r="AX350" s="368">
        <f t="shared" si="333"/>
        <v>0</v>
      </c>
      <c r="AY350" s="368">
        <f t="shared" si="333"/>
        <v>0</v>
      </c>
      <c r="AZ350" s="368">
        <f t="shared" si="333"/>
        <v>0</v>
      </c>
      <c r="BA350" s="368">
        <f t="shared" si="333"/>
        <v>0</v>
      </c>
      <c r="BB350" s="368">
        <f t="shared" si="333"/>
        <v>0</v>
      </c>
      <c r="BC350" s="368">
        <f t="shared" si="333"/>
        <v>0</v>
      </c>
      <c r="BD350" s="368">
        <f t="shared" si="333"/>
        <v>0</v>
      </c>
      <c r="BE350" s="368">
        <f t="shared" si="333"/>
        <v>0</v>
      </c>
      <c r="BF350" s="368">
        <f t="shared" si="333"/>
        <v>0</v>
      </c>
      <c r="BG350" s="368">
        <f t="shared" si="333"/>
        <v>0</v>
      </c>
    </row>
    <row r="351" spans="2:59" outlineLevel="1"/>
    <row r="352" spans="2:59" outlineLevel="1">
      <c r="C352" s="364" t="s">
        <v>823</v>
      </c>
      <c r="D352" s="364"/>
      <c r="E352" s="364"/>
      <c r="F352" s="364"/>
      <c r="G352" s="364"/>
      <c r="H352" s="364"/>
      <c r="I352" s="364"/>
      <c r="J352" s="364"/>
      <c r="K352" s="364"/>
      <c r="L352" s="364"/>
      <c r="M352" s="364"/>
      <c r="N352" s="364"/>
      <c r="O352" s="17"/>
      <c r="P352" s="17"/>
      <c r="Q352" s="17"/>
      <c r="R352" s="17"/>
      <c r="S352" s="17"/>
      <c r="T352" s="17"/>
      <c r="U352" s="17"/>
    </row>
    <row r="353" spans="3:59" outlineLevel="1">
      <c r="C353" t="s">
        <v>692</v>
      </c>
      <c r="R353" s="392"/>
      <c r="S353" s="392"/>
      <c r="T353" s="310">
        <f>S355</f>
        <v>0</v>
      </c>
      <c r="U353" s="310">
        <f t="shared" ref="U353:BG353" si="334">T355</f>
        <v>0</v>
      </c>
      <c r="V353" s="368">
        <f t="shared" si="334"/>
        <v>0</v>
      </c>
      <c r="W353" s="368">
        <f t="shared" si="334"/>
        <v>0</v>
      </c>
      <c r="X353" s="368">
        <f t="shared" si="334"/>
        <v>0</v>
      </c>
      <c r="Y353" s="368">
        <f t="shared" si="334"/>
        <v>0</v>
      </c>
      <c r="Z353" s="368">
        <f t="shared" si="334"/>
        <v>0</v>
      </c>
      <c r="AA353" s="368">
        <f t="shared" si="334"/>
        <v>0</v>
      </c>
      <c r="AB353" s="368">
        <f t="shared" si="334"/>
        <v>0</v>
      </c>
      <c r="AC353" s="368">
        <f t="shared" si="334"/>
        <v>0</v>
      </c>
      <c r="AD353" s="368">
        <f t="shared" si="334"/>
        <v>0</v>
      </c>
      <c r="AE353" s="368">
        <f t="shared" si="334"/>
        <v>0</v>
      </c>
      <c r="AF353" s="368">
        <f t="shared" si="334"/>
        <v>278.23851046038078</v>
      </c>
      <c r="AG353" s="368">
        <f t="shared" si="334"/>
        <v>278.23851046038078</v>
      </c>
      <c r="AH353" s="368">
        <f t="shared" si="334"/>
        <v>278.23851046038078</v>
      </c>
      <c r="AI353" s="368">
        <f t="shared" si="334"/>
        <v>278.23851046038078</v>
      </c>
      <c r="AJ353" s="368">
        <f t="shared" si="334"/>
        <v>278.23851046038078</v>
      </c>
      <c r="AK353" s="368">
        <f t="shared" si="334"/>
        <v>278.23851046038078</v>
      </c>
      <c r="AL353" s="368">
        <f t="shared" si="334"/>
        <v>278.23851046038078</v>
      </c>
      <c r="AM353" s="368">
        <f t="shared" si="334"/>
        <v>278.23851046038078</v>
      </c>
      <c r="AN353" s="368">
        <f t="shared" si="334"/>
        <v>278.23851046038078</v>
      </c>
      <c r="AO353" s="368">
        <f t="shared" si="334"/>
        <v>278.23851046038078</v>
      </c>
      <c r="AP353" s="368">
        <f t="shared" si="334"/>
        <v>278.23851046038078</v>
      </c>
      <c r="AQ353" s="368">
        <f t="shared" si="334"/>
        <v>278.23851046038078</v>
      </c>
      <c r="AR353" s="368">
        <f t="shared" si="334"/>
        <v>278.23851046038078</v>
      </c>
      <c r="AS353" s="368">
        <f t="shared" si="334"/>
        <v>278.23851046038078</v>
      </c>
      <c r="AT353" s="368">
        <f t="shared" si="334"/>
        <v>278.23851046038078</v>
      </c>
      <c r="AU353" s="368">
        <f t="shared" si="334"/>
        <v>278.23851046038078</v>
      </c>
      <c r="AV353" s="368">
        <f t="shared" si="334"/>
        <v>278.23851046038078</v>
      </c>
      <c r="AW353" s="368">
        <f t="shared" si="334"/>
        <v>278.23851046038078</v>
      </c>
      <c r="AX353" s="368">
        <f t="shared" si="334"/>
        <v>278.23851046038078</v>
      </c>
      <c r="AY353" s="368">
        <f t="shared" si="334"/>
        <v>278.23851046038078</v>
      </c>
      <c r="AZ353" s="368">
        <f t="shared" si="334"/>
        <v>278.23851046038078</v>
      </c>
      <c r="BA353" s="368">
        <f t="shared" si="334"/>
        <v>278.23851046038078</v>
      </c>
      <c r="BB353" s="368">
        <f t="shared" si="334"/>
        <v>278.23851046038078</v>
      </c>
      <c r="BC353" s="368">
        <f t="shared" si="334"/>
        <v>278.23851046038078</v>
      </c>
      <c r="BD353" s="368">
        <f t="shared" si="334"/>
        <v>278.23851046038078</v>
      </c>
      <c r="BE353" s="368">
        <f t="shared" si="334"/>
        <v>278.23851046038078</v>
      </c>
      <c r="BF353" s="368">
        <f t="shared" si="334"/>
        <v>278.23851046038078</v>
      </c>
      <c r="BG353" s="368">
        <f t="shared" si="334"/>
        <v>278.23851046038078</v>
      </c>
    </row>
    <row r="354" spans="3:59" outlineLevel="1">
      <c r="C354" t="s">
        <v>824</v>
      </c>
      <c r="R354" s="392"/>
      <c r="S354" s="392"/>
      <c r="T354" s="310">
        <f>(GA!$G$462&gt;=T$5)*-T159</f>
        <v>0</v>
      </c>
      <c r="U354" s="310">
        <f>(GA!$G$462&gt;=U$5)*-U159</f>
        <v>0</v>
      </c>
      <c r="V354" s="310">
        <f>(GA!$G$462&gt;=V$5)*-V159</f>
        <v>0</v>
      </c>
      <c r="W354" s="310">
        <f>(GA!$G$462&gt;=W$5)*-W159</f>
        <v>0</v>
      </c>
      <c r="X354" s="310">
        <f>(GA!$G$462&gt;=X$5)*-X159</f>
        <v>0</v>
      </c>
      <c r="Y354" s="310">
        <f>(GA!$G$462&gt;=Y$5)*-Y159</f>
        <v>0</v>
      </c>
      <c r="Z354" s="310">
        <f>(GA!$G$462&gt;=Z$5)*-Z159</f>
        <v>0</v>
      </c>
      <c r="AA354" s="310">
        <f>(GA!$G$462&gt;=AA$5)*-AA159</f>
        <v>0</v>
      </c>
      <c r="AB354" s="310">
        <f>(GA!$G$462&gt;=AB$5)*-AB159</f>
        <v>0</v>
      </c>
      <c r="AC354" s="310">
        <f>(GA!$G$462&gt;=AC$5)*-AC159</f>
        <v>0</v>
      </c>
      <c r="AD354" s="310">
        <f>(GA!$G$462&gt;=AD$5)*-AD159</f>
        <v>0</v>
      </c>
      <c r="AE354" s="310">
        <f>(GA!$G$462&gt;=AE$5)*-AE159</f>
        <v>278.23851046038078</v>
      </c>
      <c r="AF354" s="310">
        <f>(GA!$G$462&gt;=AF$5)*-AF159</f>
        <v>0</v>
      </c>
      <c r="AG354" s="310">
        <f>(GA!$G$462&gt;=AG$5)*-AG159</f>
        <v>0</v>
      </c>
      <c r="AH354" s="310">
        <f>(GA!$G$462&gt;=AH$5)*-AH159</f>
        <v>0</v>
      </c>
      <c r="AI354" s="310">
        <f>(GA!$G$462&gt;=AI$5)*-AI159</f>
        <v>0</v>
      </c>
      <c r="AJ354" s="310">
        <f>(GA!$G$462&gt;=AJ$5)*-AJ159</f>
        <v>0</v>
      </c>
      <c r="AK354" s="310">
        <f>(GA!$G$462&gt;=AK$5)*-AK159</f>
        <v>0</v>
      </c>
      <c r="AL354" s="310">
        <f>(GA!$G$462&gt;=AL$5)*-AL159</f>
        <v>0</v>
      </c>
      <c r="AM354" s="310">
        <f>(GA!$G$462&gt;=AM$5)*-AM159</f>
        <v>0</v>
      </c>
      <c r="AN354" s="310">
        <f>(GA!$G$462&gt;=AN$5)*-AN159</f>
        <v>0</v>
      </c>
      <c r="AO354" s="310">
        <f>(GA!$G$462&gt;=AO$5)*-AO159</f>
        <v>0</v>
      </c>
      <c r="AP354" s="310">
        <f>(GA!$G$462&gt;=AP$5)*-AP159</f>
        <v>0</v>
      </c>
      <c r="AQ354" s="310">
        <f>(GA!$G$462&gt;=AQ$5)*-AQ159</f>
        <v>0</v>
      </c>
      <c r="AR354" s="310">
        <f>(GA!$G$462&gt;=AR$5)*-AR159</f>
        <v>0</v>
      </c>
      <c r="AS354" s="310">
        <f>(GA!$G$462&gt;=AS$5)*-AS159</f>
        <v>0</v>
      </c>
      <c r="AT354" s="310">
        <f>(GA!$G$462&gt;=AT$5)*-AT159</f>
        <v>0</v>
      </c>
      <c r="AU354" s="310">
        <f>(GA!$G$462&gt;=AU$5)*-AU159</f>
        <v>0</v>
      </c>
      <c r="AV354" s="310">
        <f>(GA!$G$462&gt;=AV$5)*-AV159</f>
        <v>0</v>
      </c>
      <c r="AW354" s="310">
        <f>(GA!$G$462&gt;=AW$5)*-AW159</f>
        <v>0</v>
      </c>
      <c r="AX354" s="310">
        <f>(GA!$G$462&gt;=AX$5)*-AX159</f>
        <v>0</v>
      </c>
      <c r="AY354" s="310">
        <f>(GA!$G$462&gt;=AY$5)*-AY159</f>
        <v>0</v>
      </c>
      <c r="AZ354" s="310">
        <f>(GA!$G$462&gt;=AZ$5)*-AZ159</f>
        <v>0</v>
      </c>
      <c r="BA354" s="310">
        <f>(GA!$G$462&gt;=BA$5)*-BA159</f>
        <v>0</v>
      </c>
      <c r="BB354" s="310">
        <f>(GA!$G$462&gt;=BB$5)*-BB159</f>
        <v>0</v>
      </c>
      <c r="BC354" s="310">
        <f>(GA!$G$462&gt;=BC$5)*-BC159</f>
        <v>0</v>
      </c>
      <c r="BD354" s="310">
        <f>(GA!$G$462&gt;=BD$5)*-BD159</f>
        <v>0</v>
      </c>
      <c r="BE354" s="310">
        <f>(GA!$G$462&gt;=BE$5)*-BE159</f>
        <v>0</v>
      </c>
      <c r="BF354" s="310">
        <f>(GA!$G$462&gt;=BF$5)*-BF159</f>
        <v>0</v>
      </c>
      <c r="BG354" s="310">
        <f>(GA!$G$462&gt;=BG$5)*-BG159</f>
        <v>0</v>
      </c>
    </row>
    <row r="355" spans="3:59" outlineLevel="1">
      <c r="C355" s="17" t="s">
        <v>684</v>
      </c>
      <c r="D355" s="17"/>
      <c r="E355" s="17"/>
      <c r="F355" s="17"/>
      <c r="G355" s="17"/>
      <c r="H355" s="17"/>
      <c r="I355" s="17"/>
      <c r="J355" s="17"/>
      <c r="K355" s="17"/>
      <c r="L355" s="17"/>
      <c r="M355" s="17"/>
      <c r="N355" s="17"/>
      <c r="O355" s="17"/>
      <c r="P355" s="17"/>
      <c r="Q355" s="17"/>
      <c r="R355" s="416"/>
      <c r="S355" s="416"/>
      <c r="T355" s="369">
        <f>SUM(T353:T354)</f>
        <v>0</v>
      </c>
      <c r="U355" s="369">
        <f t="shared" ref="U355:BG355" si="335">SUM(U353:U354)</f>
        <v>0</v>
      </c>
      <c r="V355" s="369">
        <f t="shared" si="335"/>
        <v>0</v>
      </c>
      <c r="W355" s="369">
        <f t="shared" si="335"/>
        <v>0</v>
      </c>
      <c r="X355" s="369">
        <f t="shared" si="335"/>
        <v>0</v>
      </c>
      <c r="Y355" s="369">
        <f t="shared" si="335"/>
        <v>0</v>
      </c>
      <c r="Z355" s="369">
        <f t="shared" si="335"/>
        <v>0</v>
      </c>
      <c r="AA355" s="369">
        <f t="shared" si="335"/>
        <v>0</v>
      </c>
      <c r="AB355" s="369">
        <f t="shared" si="335"/>
        <v>0</v>
      </c>
      <c r="AC355" s="369">
        <f t="shared" si="335"/>
        <v>0</v>
      </c>
      <c r="AD355" s="369">
        <f t="shared" si="335"/>
        <v>0</v>
      </c>
      <c r="AE355" s="369">
        <f t="shared" si="335"/>
        <v>278.23851046038078</v>
      </c>
      <c r="AF355" s="369">
        <f t="shared" si="335"/>
        <v>278.23851046038078</v>
      </c>
      <c r="AG355" s="369">
        <f t="shared" si="335"/>
        <v>278.23851046038078</v>
      </c>
      <c r="AH355" s="369">
        <f t="shared" si="335"/>
        <v>278.23851046038078</v>
      </c>
      <c r="AI355" s="369">
        <f t="shared" si="335"/>
        <v>278.23851046038078</v>
      </c>
      <c r="AJ355" s="369">
        <f t="shared" si="335"/>
        <v>278.23851046038078</v>
      </c>
      <c r="AK355" s="369">
        <f t="shared" si="335"/>
        <v>278.23851046038078</v>
      </c>
      <c r="AL355" s="369">
        <f t="shared" si="335"/>
        <v>278.23851046038078</v>
      </c>
      <c r="AM355" s="369">
        <f t="shared" si="335"/>
        <v>278.23851046038078</v>
      </c>
      <c r="AN355" s="369">
        <f t="shared" si="335"/>
        <v>278.23851046038078</v>
      </c>
      <c r="AO355" s="369">
        <f t="shared" si="335"/>
        <v>278.23851046038078</v>
      </c>
      <c r="AP355" s="369">
        <f t="shared" si="335"/>
        <v>278.23851046038078</v>
      </c>
      <c r="AQ355" s="369">
        <f t="shared" si="335"/>
        <v>278.23851046038078</v>
      </c>
      <c r="AR355" s="369">
        <f t="shared" si="335"/>
        <v>278.23851046038078</v>
      </c>
      <c r="AS355" s="369">
        <f t="shared" si="335"/>
        <v>278.23851046038078</v>
      </c>
      <c r="AT355" s="369">
        <f t="shared" si="335"/>
        <v>278.23851046038078</v>
      </c>
      <c r="AU355" s="369">
        <f t="shared" si="335"/>
        <v>278.23851046038078</v>
      </c>
      <c r="AV355" s="369">
        <f t="shared" si="335"/>
        <v>278.23851046038078</v>
      </c>
      <c r="AW355" s="369">
        <f t="shared" si="335"/>
        <v>278.23851046038078</v>
      </c>
      <c r="AX355" s="369">
        <f t="shared" si="335"/>
        <v>278.23851046038078</v>
      </c>
      <c r="AY355" s="369">
        <f t="shared" si="335"/>
        <v>278.23851046038078</v>
      </c>
      <c r="AZ355" s="369">
        <f t="shared" si="335"/>
        <v>278.23851046038078</v>
      </c>
      <c r="BA355" s="369">
        <f t="shared" si="335"/>
        <v>278.23851046038078</v>
      </c>
      <c r="BB355" s="369">
        <f t="shared" si="335"/>
        <v>278.23851046038078</v>
      </c>
      <c r="BC355" s="369">
        <f t="shared" si="335"/>
        <v>278.23851046038078</v>
      </c>
      <c r="BD355" s="369">
        <f t="shared" si="335"/>
        <v>278.23851046038078</v>
      </c>
      <c r="BE355" s="369">
        <f t="shared" si="335"/>
        <v>278.23851046038078</v>
      </c>
      <c r="BF355" s="369">
        <f t="shared" si="335"/>
        <v>278.23851046038078</v>
      </c>
      <c r="BG355" s="369">
        <f t="shared" si="335"/>
        <v>278.23851046038078</v>
      </c>
    </row>
    <row r="356" spans="3:59" outlineLevel="1"/>
    <row r="357" spans="3:59" outlineLevel="1">
      <c r="C357" s="253" t="s">
        <v>825</v>
      </c>
      <c r="D357" s="253"/>
      <c r="E357" s="253"/>
      <c r="F357" s="253"/>
      <c r="G357" s="253"/>
      <c r="H357" s="253"/>
      <c r="I357" s="253"/>
      <c r="J357" s="253"/>
      <c r="K357" s="253"/>
      <c r="L357" s="253"/>
      <c r="M357" s="253"/>
      <c r="N357" s="253"/>
      <c r="O357" s="253"/>
      <c r="P357" s="253"/>
      <c r="Q357" s="253"/>
      <c r="R357" s="254">
        <f>R350-R354</f>
        <v>-126000</v>
      </c>
      <c r="S357" s="254">
        <f>S350-S354</f>
        <v>-3090257.241372929</v>
      </c>
      <c r="T357" s="254">
        <f>T350-T354</f>
        <v>0</v>
      </c>
      <c r="U357" s="254">
        <f t="shared" ref="U357:BG357" si="336">U350-U354</f>
        <v>10302.905500140972</v>
      </c>
      <c r="V357" s="254">
        <f t="shared" si="336"/>
        <v>28500.922636107687</v>
      </c>
      <c r="W357" s="254">
        <f t="shared" si="336"/>
        <v>28732.99374999998</v>
      </c>
      <c r="X357" s="254">
        <f t="shared" si="336"/>
        <v>28604.598875868989</v>
      </c>
      <c r="Y357" s="254">
        <f t="shared" si="336"/>
        <v>28716.691420764699</v>
      </c>
      <c r="Z357" s="254">
        <f t="shared" si="336"/>
        <v>28947.134505287315</v>
      </c>
      <c r="AA357" s="254">
        <f t="shared" si="336"/>
        <v>29176.221796874961</v>
      </c>
      <c r="AB357" s="254">
        <f t="shared" si="336"/>
        <v>29052.128898646402</v>
      </c>
      <c r="AC357" s="254">
        <f t="shared" si="336"/>
        <v>29163.656404910515</v>
      </c>
      <c r="AD357" s="254">
        <f t="shared" si="336"/>
        <v>29391.097956675381</v>
      </c>
      <c r="AE357" s="254">
        <f t="shared" si="336"/>
        <v>1343546.4148678745</v>
      </c>
      <c r="AF357" s="254">
        <f t="shared" si="336"/>
        <v>0</v>
      </c>
      <c r="AG357" s="254">
        <f t="shared" si="336"/>
        <v>0</v>
      </c>
      <c r="AH357" s="254">
        <f t="shared" si="336"/>
        <v>0</v>
      </c>
      <c r="AI357" s="254">
        <f t="shared" si="336"/>
        <v>0</v>
      </c>
      <c r="AJ357" s="254">
        <f t="shared" si="336"/>
        <v>0</v>
      </c>
      <c r="AK357" s="254">
        <f t="shared" si="336"/>
        <v>0</v>
      </c>
      <c r="AL357" s="254">
        <f t="shared" si="336"/>
        <v>0</v>
      </c>
      <c r="AM357" s="254">
        <f t="shared" si="336"/>
        <v>0</v>
      </c>
      <c r="AN357" s="254">
        <f t="shared" si="336"/>
        <v>0</v>
      </c>
      <c r="AO357" s="254">
        <f t="shared" si="336"/>
        <v>0</v>
      </c>
      <c r="AP357" s="254">
        <f t="shared" si="336"/>
        <v>0</v>
      </c>
      <c r="AQ357" s="254">
        <f t="shared" si="336"/>
        <v>0</v>
      </c>
      <c r="AR357" s="254">
        <f t="shared" si="336"/>
        <v>0</v>
      </c>
      <c r="AS357" s="254">
        <f t="shared" si="336"/>
        <v>0</v>
      </c>
      <c r="AT357" s="254">
        <f t="shared" si="336"/>
        <v>0</v>
      </c>
      <c r="AU357" s="254">
        <f t="shared" si="336"/>
        <v>0</v>
      </c>
      <c r="AV357" s="254">
        <f t="shared" si="336"/>
        <v>0</v>
      </c>
      <c r="AW357" s="254">
        <f t="shared" si="336"/>
        <v>0</v>
      </c>
      <c r="AX357" s="254">
        <f t="shared" si="336"/>
        <v>0</v>
      </c>
      <c r="AY357" s="254">
        <f t="shared" si="336"/>
        <v>0</v>
      </c>
      <c r="AZ357" s="254">
        <f t="shared" si="336"/>
        <v>0</v>
      </c>
      <c r="BA357" s="254">
        <f t="shared" si="336"/>
        <v>0</v>
      </c>
      <c r="BB357" s="254">
        <f t="shared" si="336"/>
        <v>0</v>
      </c>
      <c r="BC357" s="254">
        <f t="shared" si="336"/>
        <v>0</v>
      </c>
      <c r="BD357" s="254">
        <f t="shared" si="336"/>
        <v>0</v>
      </c>
      <c r="BE357" s="254">
        <f t="shared" si="336"/>
        <v>0</v>
      </c>
      <c r="BF357" s="254">
        <f t="shared" si="336"/>
        <v>0</v>
      </c>
      <c r="BG357" s="254">
        <f t="shared" si="336"/>
        <v>0</v>
      </c>
    </row>
    <row r="358" spans="3:59" outlineLevel="1"/>
    <row r="359" spans="3:59" outlineLevel="1">
      <c r="C359" s="253" t="s">
        <v>826</v>
      </c>
      <c r="D359" s="253"/>
      <c r="E359" s="253"/>
      <c r="F359" s="253"/>
      <c r="G359" s="253"/>
      <c r="H359" s="253"/>
      <c r="I359" s="253"/>
      <c r="J359" s="253"/>
      <c r="K359" s="253"/>
      <c r="L359" s="253"/>
      <c r="M359" s="253"/>
      <c r="N359" s="253"/>
      <c r="O359" s="253"/>
      <c r="P359" s="253"/>
      <c r="Q359" s="253"/>
      <c r="R359" s="254">
        <f t="shared" ref="R359:BG359" si="337">R357+R159</f>
        <v>-126000</v>
      </c>
      <c r="S359" s="254">
        <f t="shared" si="337"/>
        <v>-3090257.241372929</v>
      </c>
      <c r="T359" s="254">
        <f t="shared" si="337"/>
        <v>0</v>
      </c>
      <c r="U359" s="254">
        <f t="shared" si="337"/>
        <v>10302.905500140972</v>
      </c>
      <c r="V359" s="254">
        <f t="shared" si="337"/>
        <v>28500.922636107687</v>
      </c>
      <c r="W359" s="254">
        <f t="shared" si="337"/>
        <v>28732.99374999998</v>
      </c>
      <c r="X359" s="254">
        <f t="shared" si="337"/>
        <v>28604.598875868989</v>
      </c>
      <c r="Y359" s="254">
        <f t="shared" si="337"/>
        <v>28716.691420764699</v>
      </c>
      <c r="Z359" s="254">
        <f t="shared" si="337"/>
        <v>28947.134505287315</v>
      </c>
      <c r="AA359" s="254">
        <f t="shared" si="337"/>
        <v>29176.221796874961</v>
      </c>
      <c r="AB359" s="254">
        <f t="shared" si="337"/>
        <v>29052.128898646402</v>
      </c>
      <c r="AC359" s="254">
        <f t="shared" si="337"/>
        <v>29163.656404910515</v>
      </c>
      <c r="AD359" s="254">
        <f t="shared" si="337"/>
        <v>29391.097956675381</v>
      </c>
      <c r="AE359" s="254">
        <f t="shared" si="337"/>
        <v>1343268.1763574141</v>
      </c>
      <c r="AF359" s="254">
        <f t="shared" si="337"/>
        <v>0</v>
      </c>
      <c r="AG359" s="254">
        <f t="shared" si="337"/>
        <v>0</v>
      </c>
      <c r="AH359" s="254">
        <f t="shared" si="337"/>
        <v>0</v>
      </c>
      <c r="AI359" s="254">
        <f t="shared" si="337"/>
        <v>0</v>
      </c>
      <c r="AJ359" s="254">
        <f t="shared" si="337"/>
        <v>0</v>
      </c>
      <c r="AK359" s="254">
        <f t="shared" si="337"/>
        <v>0</v>
      </c>
      <c r="AL359" s="254">
        <f t="shared" si="337"/>
        <v>0</v>
      </c>
      <c r="AM359" s="254">
        <f t="shared" si="337"/>
        <v>0</v>
      </c>
      <c r="AN359" s="254">
        <f t="shared" si="337"/>
        <v>0</v>
      </c>
      <c r="AO359" s="254">
        <f t="shared" si="337"/>
        <v>0</v>
      </c>
      <c r="AP359" s="254">
        <f t="shared" si="337"/>
        <v>0</v>
      </c>
      <c r="AQ359" s="254">
        <f t="shared" si="337"/>
        <v>0</v>
      </c>
      <c r="AR359" s="254">
        <f t="shared" si="337"/>
        <v>0</v>
      </c>
      <c r="AS359" s="254">
        <f t="shared" si="337"/>
        <v>0</v>
      </c>
      <c r="AT359" s="254">
        <f t="shared" si="337"/>
        <v>0</v>
      </c>
      <c r="AU359" s="254">
        <f t="shared" si="337"/>
        <v>0</v>
      </c>
      <c r="AV359" s="254">
        <f t="shared" si="337"/>
        <v>0</v>
      </c>
      <c r="AW359" s="254">
        <f t="shared" si="337"/>
        <v>0</v>
      </c>
      <c r="AX359" s="254">
        <f t="shared" si="337"/>
        <v>0</v>
      </c>
      <c r="AY359" s="254">
        <f t="shared" si="337"/>
        <v>0</v>
      </c>
      <c r="AZ359" s="254">
        <f t="shared" si="337"/>
        <v>0</v>
      </c>
      <c r="BA359" s="254">
        <f t="shared" si="337"/>
        <v>0</v>
      </c>
      <c r="BB359" s="254">
        <f t="shared" si="337"/>
        <v>0</v>
      </c>
      <c r="BC359" s="254">
        <f t="shared" si="337"/>
        <v>0</v>
      </c>
      <c r="BD359" s="254">
        <f t="shared" si="337"/>
        <v>0</v>
      </c>
      <c r="BE359" s="254">
        <f t="shared" si="337"/>
        <v>0</v>
      </c>
      <c r="BF359" s="254">
        <f t="shared" si="337"/>
        <v>0</v>
      </c>
      <c r="BG359" s="254">
        <f t="shared" si="337"/>
        <v>0</v>
      </c>
    </row>
    <row r="360" spans="3:59" outlineLevel="1">
      <c r="U360" s="259"/>
    </row>
    <row r="361" spans="3:59" outlineLevel="1">
      <c r="C361" s="268" t="s">
        <v>818</v>
      </c>
      <c r="D361" s="268"/>
      <c r="E361" s="268"/>
      <c r="F361" s="268"/>
      <c r="G361" s="268"/>
      <c r="H361" s="268"/>
      <c r="I361" s="268"/>
      <c r="J361" s="268"/>
      <c r="K361" s="268"/>
      <c r="L361" s="268"/>
      <c r="M361" s="268"/>
      <c r="N361" s="268"/>
      <c r="O361" s="268"/>
      <c r="P361" s="268"/>
      <c r="Q361" s="268"/>
      <c r="R361" s="153"/>
      <c r="S361" s="268"/>
      <c r="T361" s="367">
        <f>S365</f>
        <v>0</v>
      </c>
      <c r="U361" s="367">
        <f t="shared" ref="U361:BG361" si="338">T365</f>
        <v>0</v>
      </c>
      <c r="V361" s="367">
        <f t="shared" si="338"/>
        <v>0</v>
      </c>
      <c r="W361" s="367">
        <f t="shared" si="338"/>
        <v>0</v>
      </c>
      <c r="X361" s="367">
        <f t="shared" si="338"/>
        <v>0</v>
      </c>
      <c r="Y361" s="367">
        <f t="shared" si="338"/>
        <v>0</v>
      </c>
      <c r="Z361" s="367">
        <f t="shared" si="338"/>
        <v>0</v>
      </c>
      <c r="AA361" s="367">
        <f t="shared" si="338"/>
        <v>0</v>
      </c>
      <c r="AB361" s="367">
        <f t="shared" si="338"/>
        <v>0</v>
      </c>
      <c r="AC361" s="367">
        <f t="shared" si="338"/>
        <v>0</v>
      </c>
      <c r="AD361" s="367">
        <f t="shared" si="338"/>
        <v>0</v>
      </c>
      <c r="AE361" s="367">
        <f t="shared" si="338"/>
        <v>0</v>
      </c>
      <c r="AF361" s="367">
        <f t="shared" si="338"/>
        <v>0</v>
      </c>
      <c r="AG361" s="367">
        <f t="shared" si="338"/>
        <v>0</v>
      </c>
      <c r="AH361" s="367">
        <f t="shared" si="338"/>
        <v>0</v>
      </c>
      <c r="AI361" s="367">
        <f t="shared" si="338"/>
        <v>0</v>
      </c>
      <c r="AJ361" s="367">
        <f t="shared" si="338"/>
        <v>0</v>
      </c>
      <c r="AK361" s="367">
        <f t="shared" si="338"/>
        <v>0</v>
      </c>
      <c r="AL361" s="367">
        <f t="shared" si="338"/>
        <v>0</v>
      </c>
      <c r="AM361" s="367">
        <f t="shared" si="338"/>
        <v>0</v>
      </c>
      <c r="AN361" s="367">
        <f t="shared" si="338"/>
        <v>0</v>
      </c>
      <c r="AO361" s="367">
        <f t="shared" si="338"/>
        <v>0</v>
      </c>
      <c r="AP361" s="367">
        <f t="shared" si="338"/>
        <v>0</v>
      </c>
      <c r="AQ361" s="367">
        <f t="shared" si="338"/>
        <v>0</v>
      </c>
      <c r="AR361" s="367">
        <f t="shared" si="338"/>
        <v>0</v>
      </c>
      <c r="AS361" s="367">
        <f t="shared" si="338"/>
        <v>0</v>
      </c>
      <c r="AT361" s="367">
        <f t="shared" si="338"/>
        <v>0</v>
      </c>
      <c r="AU361" s="367">
        <f t="shared" si="338"/>
        <v>0</v>
      </c>
      <c r="AV361" s="367">
        <f t="shared" si="338"/>
        <v>0</v>
      </c>
      <c r="AW361" s="367">
        <f t="shared" si="338"/>
        <v>0</v>
      </c>
      <c r="AX361" s="367">
        <f t="shared" si="338"/>
        <v>0</v>
      </c>
      <c r="AY361" s="367">
        <f t="shared" si="338"/>
        <v>0</v>
      </c>
      <c r="AZ361" s="367">
        <f t="shared" si="338"/>
        <v>0</v>
      </c>
      <c r="BA361" s="367">
        <f t="shared" si="338"/>
        <v>0</v>
      </c>
      <c r="BB361" s="367">
        <f t="shared" si="338"/>
        <v>0</v>
      </c>
      <c r="BC361" s="367">
        <f t="shared" si="338"/>
        <v>0</v>
      </c>
      <c r="BD361" s="367">
        <f t="shared" si="338"/>
        <v>0</v>
      </c>
      <c r="BE361" s="367">
        <f t="shared" si="338"/>
        <v>0</v>
      </c>
      <c r="BF361" s="367">
        <f t="shared" si="338"/>
        <v>0</v>
      </c>
      <c r="BG361" s="367">
        <f t="shared" si="338"/>
        <v>0</v>
      </c>
    </row>
    <row r="362" spans="3:59" outlineLevel="1">
      <c r="C362" t="s">
        <v>683</v>
      </c>
      <c r="R362" s="392"/>
      <c r="S362" s="403">
        <f>GA!$G$458*IF(S$5=GA!$G$461,GA!$G$460,0)</f>
        <v>0</v>
      </c>
      <c r="T362" s="403">
        <f>GA!$G$458*IF(T$5=GA!$G$461,GA!$G$460,0)</f>
        <v>0</v>
      </c>
      <c r="U362" s="403">
        <f>GA!$G$458*IF(U$5=GA!$G$461,GA!$G$460,0)</f>
        <v>0</v>
      </c>
      <c r="V362" s="403">
        <f>GA!$G$458*IF(V$5=GA!$G$461,GA!$G$460,0)</f>
        <v>0</v>
      </c>
      <c r="W362" s="403">
        <f>GA!$G$458*IF(W$5=GA!$G$461,GA!$G$460,0)</f>
        <v>0</v>
      </c>
      <c r="X362" s="403">
        <f>GA!$G$458*IF(X$5=GA!$G$461,GA!$G$460,0)</f>
        <v>0</v>
      </c>
      <c r="Y362" s="403">
        <f>GA!$G$458*IF(Y$5=GA!$G$461,GA!$G$460,0)</f>
        <v>0</v>
      </c>
      <c r="Z362" s="403">
        <f>GA!$G$458*IF(Z$5=GA!$G$461,GA!$G$460,0)</f>
        <v>0</v>
      </c>
      <c r="AA362" s="403">
        <f>GA!$G$458*IF(AA$5=GA!$G$461,GA!$G$460,0)</f>
        <v>0</v>
      </c>
      <c r="AB362" s="403">
        <f>GA!$G$458*IF(AB$5=GA!$G$461,GA!$G$460,0)</f>
        <v>0</v>
      </c>
      <c r="AC362" s="403">
        <f>GA!$G$458*IF(AC$5=GA!$G$461,GA!$G$460,0)</f>
        <v>0</v>
      </c>
      <c r="AD362" s="403">
        <f>GA!$G$458*IF(AD$5=GA!$G$461,GA!$G$460,0)</f>
        <v>0</v>
      </c>
      <c r="AE362" s="403">
        <f>GA!$G$458*IF(AE$5=GA!$G$461,GA!$G$460,0)</f>
        <v>0</v>
      </c>
      <c r="AF362" s="403">
        <f>GA!$G$458*IF(AF$5=GA!$G$461,GA!$G$460,0)</f>
        <v>0</v>
      </c>
      <c r="AG362" s="403">
        <f>GA!$G$458*IF(AG$5=GA!$G$461,GA!$G$460,0)</f>
        <v>0</v>
      </c>
      <c r="AH362" s="403">
        <f>GA!$G$458*IF(AH$5=GA!$G$461,GA!$G$460,0)</f>
        <v>0</v>
      </c>
      <c r="AI362" s="403">
        <f>GA!$G$458*IF(AI$5=GA!$G$461,GA!$G$460,0)</f>
        <v>0</v>
      </c>
      <c r="AJ362" s="403">
        <f>GA!$G$458*IF(AJ$5=GA!$G$461,GA!$G$460,0)</f>
        <v>0</v>
      </c>
      <c r="AK362" s="403">
        <f>GA!$G$458*IF(AK$5=GA!$G$461,GA!$G$460,0)</f>
        <v>0</v>
      </c>
      <c r="AL362" s="403">
        <f>GA!$G$458*IF(AL$5=GA!$G$461,GA!$G$460,0)</f>
        <v>0</v>
      </c>
      <c r="AM362" s="403">
        <f>GA!$G$458*IF(AM$5=GA!$G$461,GA!$G$460,0)</f>
        <v>0</v>
      </c>
      <c r="AN362" s="403">
        <f>GA!$G$458*IF(AN$5=GA!$G$461,GA!$G$460,0)</f>
        <v>0</v>
      </c>
      <c r="AO362" s="403">
        <f>GA!$G$458*IF(AO$5=GA!$G$461,GA!$G$460,0)</f>
        <v>0</v>
      </c>
      <c r="AP362" s="403">
        <f>GA!$G$458*IF(AP$5=GA!$G$461,GA!$G$460,0)</f>
        <v>0</v>
      </c>
      <c r="AQ362" s="403">
        <f>GA!$G$458*IF(AQ$5=GA!$G$461,GA!$G$460,0)</f>
        <v>0</v>
      </c>
      <c r="AR362" s="403">
        <f>GA!$G$458*IF(AR$5=GA!$G$461,GA!$G$460,0)</f>
        <v>0</v>
      </c>
      <c r="AS362" s="403">
        <f>GA!$G$458*IF(AS$5=GA!$G$461,GA!$G$460,0)</f>
        <v>0</v>
      </c>
      <c r="AT362" s="403">
        <f>GA!$G$458*IF(AT$5=GA!$G$461,GA!$G$460,0)</f>
        <v>0</v>
      </c>
      <c r="AU362" s="403">
        <f>GA!$G$458*IF(AU$5=GA!$G$461,GA!$G$460,0)</f>
        <v>0</v>
      </c>
      <c r="AV362" s="403">
        <f>GA!$G$458*IF(AV$5=GA!$G$461,GA!$G$460,0)</f>
        <v>0</v>
      </c>
      <c r="AW362" s="403">
        <f>GA!$G$458*IF(AW$5=GA!$G$461,GA!$G$460,0)</f>
        <v>0</v>
      </c>
      <c r="AX362" s="403">
        <f>GA!$G$458*IF(AX$5=GA!$G$461,GA!$G$460,0)</f>
        <v>0</v>
      </c>
      <c r="AY362" s="403">
        <f>GA!$G$458*IF(AY$5=GA!$G$461,GA!$G$460,0)</f>
        <v>0</v>
      </c>
      <c r="AZ362" s="403">
        <f>GA!$G$458*IF(AZ$5=GA!$G$461,GA!$G$460,0)</f>
        <v>0</v>
      </c>
      <c r="BA362" s="403">
        <f>GA!$G$458*IF(BA$5=GA!$G$461,GA!$G$460,0)</f>
        <v>0</v>
      </c>
      <c r="BB362" s="403">
        <f>GA!$G$458*IF(BB$5=GA!$G$461,GA!$G$460,0)</f>
        <v>0</v>
      </c>
      <c r="BC362" s="403">
        <f>GA!$G$458*IF(BC$5=GA!$G$461,GA!$G$460,0)</f>
        <v>0</v>
      </c>
      <c r="BD362" s="403">
        <f>GA!$G$458*IF(BD$5=GA!$G$461,GA!$G$460,0)</f>
        <v>0</v>
      </c>
      <c r="BE362" s="403">
        <f>GA!$G$458*IF(BE$5=GA!$G$461,GA!$G$460,0)</f>
        <v>0</v>
      </c>
      <c r="BF362" s="403">
        <f>GA!$G$458*IF(BF$5=GA!$G$461,GA!$G$460,0)</f>
        <v>0</v>
      </c>
      <c r="BG362" s="403">
        <f>GA!$G$458*IF(BG$5=GA!$G$461,GA!$G$460,0)</f>
        <v>0</v>
      </c>
    </row>
    <row r="363" spans="3:59" outlineLevel="1">
      <c r="C363" t="s">
        <v>819</v>
      </c>
      <c r="O363" s="410">
        <f>GA!$G$464</f>
        <v>0.05</v>
      </c>
      <c r="R363" s="392"/>
      <c r="S363" s="392"/>
      <c r="T363" s="310">
        <f>$O$363/4*T361</f>
        <v>0</v>
      </c>
      <c r="U363" s="310">
        <f t="shared" ref="U363:BG363" si="339">$O$363/4*U361</f>
        <v>0</v>
      </c>
      <c r="V363" s="310">
        <f t="shared" si="339"/>
        <v>0</v>
      </c>
      <c r="W363" s="310">
        <f t="shared" si="339"/>
        <v>0</v>
      </c>
      <c r="X363" s="310">
        <f t="shared" si="339"/>
        <v>0</v>
      </c>
      <c r="Y363" s="310">
        <f t="shared" si="339"/>
        <v>0</v>
      </c>
      <c r="Z363" s="310">
        <f t="shared" si="339"/>
        <v>0</v>
      </c>
      <c r="AA363" s="310">
        <f t="shared" si="339"/>
        <v>0</v>
      </c>
      <c r="AB363" s="310">
        <f t="shared" si="339"/>
        <v>0</v>
      </c>
      <c r="AC363" s="310">
        <f t="shared" si="339"/>
        <v>0</v>
      </c>
      <c r="AD363" s="310">
        <f t="shared" si="339"/>
        <v>0</v>
      </c>
      <c r="AE363" s="310">
        <f t="shared" si="339"/>
        <v>0</v>
      </c>
      <c r="AF363" s="310">
        <f t="shared" si="339"/>
        <v>0</v>
      </c>
      <c r="AG363" s="310">
        <f t="shared" si="339"/>
        <v>0</v>
      </c>
      <c r="AH363" s="310">
        <f t="shared" si="339"/>
        <v>0</v>
      </c>
      <c r="AI363" s="310">
        <f t="shared" si="339"/>
        <v>0</v>
      </c>
      <c r="AJ363" s="310">
        <f t="shared" si="339"/>
        <v>0</v>
      </c>
      <c r="AK363" s="310">
        <f t="shared" si="339"/>
        <v>0</v>
      </c>
      <c r="AL363" s="310">
        <f t="shared" si="339"/>
        <v>0</v>
      </c>
      <c r="AM363" s="310">
        <f t="shared" si="339"/>
        <v>0</v>
      </c>
      <c r="AN363" s="310">
        <f t="shared" si="339"/>
        <v>0</v>
      </c>
      <c r="AO363" s="310">
        <f t="shared" si="339"/>
        <v>0</v>
      </c>
      <c r="AP363" s="310">
        <f t="shared" si="339"/>
        <v>0</v>
      </c>
      <c r="AQ363" s="310">
        <f t="shared" si="339"/>
        <v>0</v>
      </c>
      <c r="AR363" s="310">
        <f t="shared" si="339"/>
        <v>0</v>
      </c>
      <c r="AS363" s="310">
        <f t="shared" si="339"/>
        <v>0</v>
      </c>
      <c r="AT363" s="310">
        <f t="shared" si="339"/>
        <v>0</v>
      </c>
      <c r="AU363" s="310">
        <f t="shared" si="339"/>
        <v>0</v>
      </c>
      <c r="AV363" s="310">
        <f t="shared" si="339"/>
        <v>0</v>
      </c>
      <c r="AW363" s="310">
        <f t="shared" si="339"/>
        <v>0</v>
      </c>
      <c r="AX363" s="310">
        <f t="shared" si="339"/>
        <v>0</v>
      </c>
      <c r="AY363" s="310">
        <f t="shared" si="339"/>
        <v>0</v>
      </c>
      <c r="AZ363" s="310">
        <f t="shared" si="339"/>
        <v>0</v>
      </c>
      <c r="BA363" s="310">
        <f t="shared" si="339"/>
        <v>0</v>
      </c>
      <c r="BB363" s="310">
        <f t="shared" si="339"/>
        <v>0</v>
      </c>
      <c r="BC363" s="310">
        <f t="shared" si="339"/>
        <v>0</v>
      </c>
      <c r="BD363" s="310">
        <f t="shared" si="339"/>
        <v>0</v>
      </c>
      <c r="BE363" s="310">
        <f t="shared" si="339"/>
        <v>0</v>
      </c>
      <c r="BF363" s="310">
        <f t="shared" si="339"/>
        <v>0</v>
      </c>
      <c r="BG363" s="310">
        <f t="shared" si="339"/>
        <v>0</v>
      </c>
    </row>
    <row r="364" spans="3:59" outlineLevel="1">
      <c r="C364" t="s">
        <v>820</v>
      </c>
      <c r="R364" s="392"/>
      <c r="S364" s="392"/>
      <c r="T364" s="403">
        <f>GA!$G$458*-MIN(MAX(T357,0),SUM(T361:T362,T363))</f>
        <v>0</v>
      </c>
      <c r="U364" s="403">
        <f>GA!$G$458*-MIN(MAX(U357,0),SUM(U361:U362,U363))</f>
        <v>0</v>
      </c>
      <c r="V364" s="403">
        <f>GA!$G$458*-MIN(MAX(V357,0),SUM(V361:V362,V363))</f>
        <v>0</v>
      </c>
      <c r="W364" s="403">
        <f>GA!$G$458*-MIN(MAX(W357,0),SUM(W361:W362,W363))</f>
        <v>0</v>
      </c>
      <c r="X364" s="403">
        <f>GA!$G$458*-MIN(MAX(X357,0),SUM(X361:X362,X363))</f>
        <v>0</v>
      </c>
      <c r="Y364" s="403">
        <f>GA!$G$458*-MIN(MAX(Y357,0),SUM(Y361:Y362,Y363))</f>
        <v>0</v>
      </c>
      <c r="Z364" s="403">
        <f>GA!$G$458*-MIN(MAX(Z357,0),SUM(Z361:Z362,Z363))</f>
        <v>0</v>
      </c>
      <c r="AA364" s="403">
        <f>GA!$G$458*-MIN(MAX(AA357,0),SUM(AA361:AA362,AA363))</f>
        <v>0</v>
      </c>
      <c r="AB364" s="403">
        <f>GA!$G$458*-MIN(MAX(AB357,0),SUM(AB361:AB362,AB363))</f>
        <v>0</v>
      </c>
      <c r="AC364" s="403">
        <f>GA!$G$458*-MIN(MAX(AC357,0),SUM(AC361:AC362,AC363))</f>
        <v>0</v>
      </c>
      <c r="AD364" s="403">
        <f>GA!$G$458*-MIN(MAX(AD357,0),SUM(AD361:AD362,AD363))</f>
        <v>0</v>
      </c>
      <c r="AE364" s="403">
        <f>GA!$G$458*-MIN(MAX(AE357,0),SUM(AE361:AE362,AE363))</f>
        <v>0</v>
      </c>
      <c r="AF364" s="403">
        <f>GA!$G$458*-MIN(MAX(AF357,0),SUM(AF361:AF362,AF363))</f>
        <v>0</v>
      </c>
      <c r="AG364" s="403">
        <f>GA!$G$458*-MIN(MAX(AG357,0),SUM(AG361:AG362,AG363))</f>
        <v>0</v>
      </c>
      <c r="AH364" s="403">
        <f>GA!$G$458*-MIN(MAX(AH357,0),SUM(AH361:AH362,AH363))</f>
        <v>0</v>
      </c>
      <c r="AI364" s="403">
        <f>GA!$G$458*-MIN(MAX(AI357,0),SUM(AI361:AI362,AI363))</f>
        <v>0</v>
      </c>
      <c r="AJ364" s="403">
        <f>GA!$G$458*-MIN(MAX(AJ357,0),SUM(AJ361:AJ362,AJ363))</f>
        <v>0</v>
      </c>
      <c r="AK364" s="403">
        <f>GA!$G$458*-MIN(MAX(AK357,0),SUM(AK361:AK362,AK363))</f>
        <v>0</v>
      </c>
      <c r="AL364" s="403">
        <f>GA!$G$458*-MIN(MAX(AL357,0),SUM(AL361:AL362,AL363))</f>
        <v>0</v>
      </c>
      <c r="AM364" s="403">
        <f>GA!$G$458*-MIN(MAX(AM357,0),SUM(AM361:AM362,AM363))</f>
        <v>0</v>
      </c>
      <c r="AN364" s="403">
        <f>GA!$G$458*-MIN(MAX(AN357,0),SUM(AN361:AN362,AN363))</f>
        <v>0</v>
      </c>
      <c r="AO364" s="403">
        <f>GA!$G$458*-MIN(MAX(AO357,0),SUM(AO361:AO362,AO363))</f>
        <v>0</v>
      </c>
      <c r="AP364" s="403">
        <f>GA!$G$458*-MIN(MAX(AP357,0),SUM(AP361:AP362,AP363))</f>
        <v>0</v>
      </c>
      <c r="AQ364" s="403">
        <f>GA!$G$458*-MIN(MAX(AQ357,0),SUM(AQ361:AQ362,AQ363))</f>
        <v>0</v>
      </c>
      <c r="AR364" s="403">
        <f>GA!$G$458*-MIN(MAX(AR357,0),SUM(AR361:AR362,AR363))</f>
        <v>0</v>
      </c>
      <c r="AS364" s="403">
        <f>GA!$G$458*-MIN(MAX(AS357,0),SUM(AS361:AS362,AS363))</f>
        <v>0</v>
      </c>
      <c r="AT364" s="403">
        <f>GA!$G$458*-MIN(MAX(AT357,0),SUM(AT361:AT362,AT363))</f>
        <v>0</v>
      </c>
      <c r="AU364" s="403">
        <f>GA!$G$458*-MIN(MAX(AU357,0),SUM(AU361:AU362,AU363))</f>
        <v>0</v>
      </c>
      <c r="AV364" s="403">
        <f>GA!$G$458*-MIN(MAX(AV357,0),SUM(AV361:AV362,AV363))</f>
        <v>0</v>
      </c>
      <c r="AW364" s="403">
        <f>GA!$G$458*-MIN(MAX(AW357,0),SUM(AW361:AW362,AW363))</f>
        <v>0</v>
      </c>
      <c r="AX364" s="403">
        <f>GA!$G$458*-MIN(MAX(AX357,0),SUM(AX361:AX362,AX363))</f>
        <v>0</v>
      </c>
      <c r="AY364" s="403">
        <f>GA!$G$458*-MIN(MAX(AY357,0),SUM(AY361:AY362,AY363))</f>
        <v>0</v>
      </c>
      <c r="AZ364" s="403">
        <f>GA!$G$458*-MIN(MAX(AZ357,0),SUM(AZ361:AZ362,AZ363))</f>
        <v>0</v>
      </c>
      <c r="BA364" s="403">
        <f>GA!$G$458*-MIN(MAX(BA357,0),SUM(BA361:BA362,BA363))</f>
        <v>0</v>
      </c>
      <c r="BB364" s="403">
        <f>GA!$G$458*-MIN(MAX(BB357,0),SUM(BB361:BB362,BB363))</f>
        <v>0</v>
      </c>
      <c r="BC364" s="403">
        <f>GA!$G$458*-MIN(MAX(BC357,0),SUM(BC361:BC362,BC363))</f>
        <v>0</v>
      </c>
      <c r="BD364" s="403">
        <f>GA!$G$458*-MIN(MAX(BD357,0),SUM(BD361:BD362,BD363))</f>
        <v>0</v>
      </c>
      <c r="BE364" s="403">
        <f>GA!$G$458*-MIN(MAX(BE357,0),SUM(BE361:BE362,BE363))</f>
        <v>0</v>
      </c>
      <c r="BF364" s="403">
        <f>GA!$G$458*-MIN(MAX(BF357,0),SUM(BF361:BF362,BF363))</f>
        <v>0</v>
      </c>
      <c r="BG364" s="403">
        <f>GA!$G$458*-MIN(MAX(BG357,0),SUM(BG361:BG362,BG363))</f>
        <v>0</v>
      </c>
    </row>
    <row r="365" spans="3:59" outlineLevel="1">
      <c r="C365" s="268" t="s">
        <v>684</v>
      </c>
      <c r="D365" s="268"/>
      <c r="E365" s="268"/>
      <c r="F365" s="268"/>
      <c r="G365" s="268"/>
      <c r="H365" s="268"/>
      <c r="I365" s="268"/>
      <c r="J365" s="268"/>
      <c r="K365" s="268"/>
      <c r="L365" s="268"/>
      <c r="M365" s="268"/>
      <c r="N365" s="268"/>
      <c r="O365" s="268"/>
      <c r="P365" s="268"/>
      <c r="Q365" s="268"/>
      <c r="R365" s="268"/>
      <c r="S365" s="367">
        <f>SUM(S361:S364)</f>
        <v>0</v>
      </c>
      <c r="T365" s="367">
        <f t="shared" ref="T365:BG365" si="340">SUM(T361:T364)</f>
        <v>0</v>
      </c>
      <c r="U365" s="367">
        <f t="shared" si="340"/>
        <v>0</v>
      </c>
      <c r="V365" s="367">
        <f t="shared" si="340"/>
        <v>0</v>
      </c>
      <c r="W365" s="367">
        <f t="shared" si="340"/>
        <v>0</v>
      </c>
      <c r="X365" s="367">
        <f t="shared" si="340"/>
        <v>0</v>
      </c>
      <c r="Y365" s="367">
        <f t="shared" si="340"/>
        <v>0</v>
      </c>
      <c r="Z365" s="367">
        <f t="shared" si="340"/>
        <v>0</v>
      </c>
      <c r="AA365" s="367">
        <f t="shared" si="340"/>
        <v>0</v>
      </c>
      <c r="AB365" s="367">
        <f t="shared" si="340"/>
        <v>0</v>
      </c>
      <c r="AC365" s="367">
        <f t="shared" si="340"/>
        <v>0</v>
      </c>
      <c r="AD365" s="367">
        <f t="shared" si="340"/>
        <v>0</v>
      </c>
      <c r="AE365" s="367">
        <f t="shared" si="340"/>
        <v>0</v>
      </c>
      <c r="AF365" s="367">
        <f t="shared" si="340"/>
        <v>0</v>
      </c>
      <c r="AG365" s="367">
        <f t="shared" si="340"/>
        <v>0</v>
      </c>
      <c r="AH365" s="367">
        <f t="shared" si="340"/>
        <v>0</v>
      </c>
      <c r="AI365" s="367">
        <f t="shared" si="340"/>
        <v>0</v>
      </c>
      <c r="AJ365" s="367">
        <f t="shared" si="340"/>
        <v>0</v>
      </c>
      <c r="AK365" s="367">
        <f t="shared" si="340"/>
        <v>0</v>
      </c>
      <c r="AL365" s="367">
        <f t="shared" si="340"/>
        <v>0</v>
      </c>
      <c r="AM365" s="367">
        <f t="shared" si="340"/>
        <v>0</v>
      </c>
      <c r="AN365" s="367">
        <f t="shared" si="340"/>
        <v>0</v>
      </c>
      <c r="AO365" s="367">
        <f t="shared" si="340"/>
        <v>0</v>
      </c>
      <c r="AP365" s="367">
        <f t="shared" si="340"/>
        <v>0</v>
      </c>
      <c r="AQ365" s="367">
        <f t="shared" si="340"/>
        <v>0</v>
      </c>
      <c r="AR365" s="367">
        <f t="shared" si="340"/>
        <v>0</v>
      </c>
      <c r="AS365" s="367">
        <f t="shared" si="340"/>
        <v>0</v>
      </c>
      <c r="AT365" s="367">
        <f t="shared" si="340"/>
        <v>0</v>
      </c>
      <c r="AU365" s="367">
        <f t="shared" si="340"/>
        <v>0</v>
      </c>
      <c r="AV365" s="367">
        <f t="shared" si="340"/>
        <v>0</v>
      </c>
      <c r="AW365" s="367">
        <f t="shared" si="340"/>
        <v>0</v>
      </c>
      <c r="AX365" s="367">
        <f t="shared" si="340"/>
        <v>0</v>
      </c>
      <c r="AY365" s="367">
        <f t="shared" si="340"/>
        <v>0</v>
      </c>
      <c r="AZ365" s="367">
        <f t="shared" si="340"/>
        <v>0</v>
      </c>
      <c r="BA365" s="367">
        <f t="shared" si="340"/>
        <v>0</v>
      </c>
      <c r="BB365" s="367">
        <f t="shared" si="340"/>
        <v>0</v>
      </c>
      <c r="BC365" s="367">
        <f t="shared" si="340"/>
        <v>0</v>
      </c>
      <c r="BD365" s="367">
        <f t="shared" si="340"/>
        <v>0</v>
      </c>
      <c r="BE365" s="367">
        <f t="shared" si="340"/>
        <v>0</v>
      </c>
      <c r="BF365" s="367">
        <f t="shared" si="340"/>
        <v>0</v>
      </c>
      <c r="BG365" s="367">
        <f t="shared" si="340"/>
        <v>0</v>
      </c>
    </row>
    <row r="366" spans="3:59" outlineLevel="1"/>
    <row r="367" spans="3:59" outlineLevel="1">
      <c r="C367" s="391" t="s">
        <v>827</v>
      </c>
      <c r="D367" s="391"/>
      <c r="E367" s="391"/>
      <c r="F367" s="391"/>
      <c r="G367" s="391"/>
      <c r="H367" s="391"/>
      <c r="I367" s="391"/>
      <c r="J367" s="391"/>
      <c r="K367" s="391"/>
      <c r="L367" s="391"/>
      <c r="M367" s="391"/>
      <c r="N367" s="391"/>
      <c r="O367" s="391"/>
      <c r="P367" s="391"/>
      <c r="Q367" s="391"/>
      <c r="R367" s="391"/>
      <c r="S367" s="391"/>
      <c r="T367" s="391"/>
      <c r="U367" s="391"/>
      <c r="V367" s="391"/>
      <c r="W367" s="391"/>
      <c r="X367" s="391"/>
      <c r="Y367" s="391"/>
      <c r="Z367" s="391"/>
      <c r="AA367" s="391"/>
      <c r="AB367" s="391"/>
      <c r="AC367" s="391"/>
      <c r="AD367" s="391"/>
      <c r="AE367" s="391"/>
      <c r="AF367" s="391"/>
      <c r="AG367" s="391"/>
      <c r="AH367" s="391"/>
      <c r="AI367" s="391"/>
      <c r="AJ367" s="391"/>
      <c r="AK367" s="391"/>
      <c r="AL367" s="391"/>
      <c r="AM367" s="391"/>
      <c r="AN367" s="391"/>
      <c r="AO367" s="391"/>
      <c r="AP367" s="391"/>
      <c r="AQ367" s="391"/>
      <c r="AR367" s="391"/>
      <c r="AS367" s="391"/>
      <c r="AT367" s="391"/>
      <c r="AU367" s="391"/>
      <c r="AV367" s="391"/>
      <c r="AW367" s="391"/>
      <c r="AX367" s="391"/>
      <c r="AY367" s="391"/>
      <c r="AZ367" s="391"/>
      <c r="BA367" s="391"/>
      <c r="BB367" s="391"/>
      <c r="BC367" s="391"/>
      <c r="BD367" s="391"/>
      <c r="BE367" s="391"/>
      <c r="BF367" s="391"/>
      <c r="BG367" s="391"/>
    </row>
    <row r="368" spans="3:59" outlineLevel="1"/>
    <row r="369" spans="3:59" outlineLevel="1">
      <c r="C369" s="253" t="s">
        <v>829</v>
      </c>
      <c r="D369" s="253"/>
      <c r="E369" s="253"/>
      <c r="F369" s="253"/>
      <c r="G369" s="253"/>
      <c r="H369" s="253"/>
      <c r="I369" s="253"/>
      <c r="J369" s="253"/>
      <c r="K369" s="253"/>
      <c r="L369" s="253"/>
      <c r="M369" s="253"/>
      <c r="N369" s="253"/>
      <c r="O369" s="268"/>
      <c r="P369" s="268"/>
      <c r="Q369" s="268"/>
      <c r="R369" s="153"/>
      <c r="S369" s="153"/>
      <c r="T369" s="367">
        <f t="shared" ref="T369:BG369" si="341">T107</f>
        <v>25046.743737887322</v>
      </c>
      <c r="U369" s="367">
        <f t="shared" si="341"/>
        <v>50187.149749711825</v>
      </c>
      <c r="V369" s="367">
        <f t="shared" si="341"/>
        <v>75421.480722960478</v>
      </c>
      <c r="W369" s="367">
        <f t="shared" si="341"/>
        <v>75562.499999999985</v>
      </c>
      <c r="X369" s="367">
        <f t="shared" si="341"/>
        <v>75703.782947764412</v>
      </c>
      <c r="Y369" s="367">
        <f t="shared" si="341"/>
        <v>75845.330059251981</v>
      </c>
      <c r="Z369" s="367">
        <f t="shared" si="341"/>
        <v>75987.14182838265</v>
      </c>
      <c r="AA369" s="367">
        <f t="shared" si="341"/>
        <v>76129.218749999971</v>
      </c>
      <c r="AB369" s="367">
        <f t="shared" si="341"/>
        <v>76271.561319872635</v>
      </c>
      <c r="AC369" s="367">
        <f t="shared" si="341"/>
        <v>76414.170034696348</v>
      </c>
      <c r="AD369" s="367">
        <f t="shared" si="341"/>
        <v>76557.045392095504</v>
      </c>
      <c r="AE369" s="367">
        <f t="shared" si="341"/>
        <v>76700.187890624933</v>
      </c>
      <c r="AF369" s="367">
        <f t="shared" si="341"/>
        <v>0</v>
      </c>
      <c r="AG369" s="367">
        <f t="shared" si="341"/>
        <v>0</v>
      </c>
      <c r="AH369" s="367">
        <f t="shared" si="341"/>
        <v>0</v>
      </c>
      <c r="AI369" s="367">
        <f t="shared" si="341"/>
        <v>0</v>
      </c>
      <c r="AJ369" s="367">
        <f t="shared" si="341"/>
        <v>0</v>
      </c>
      <c r="AK369" s="367">
        <f t="shared" si="341"/>
        <v>0</v>
      </c>
      <c r="AL369" s="367">
        <f t="shared" si="341"/>
        <v>0</v>
      </c>
      <c r="AM369" s="367">
        <f t="shared" si="341"/>
        <v>0</v>
      </c>
      <c r="AN369" s="367">
        <f t="shared" si="341"/>
        <v>0</v>
      </c>
      <c r="AO369" s="367">
        <f t="shared" si="341"/>
        <v>0</v>
      </c>
      <c r="AP369" s="367">
        <f t="shared" si="341"/>
        <v>0</v>
      </c>
      <c r="AQ369" s="367">
        <f t="shared" si="341"/>
        <v>0</v>
      </c>
      <c r="AR369" s="367">
        <f t="shared" si="341"/>
        <v>0</v>
      </c>
      <c r="AS369" s="367">
        <f t="shared" si="341"/>
        <v>0</v>
      </c>
      <c r="AT369" s="367">
        <f t="shared" si="341"/>
        <v>0</v>
      </c>
      <c r="AU369" s="367">
        <f t="shared" si="341"/>
        <v>0</v>
      </c>
      <c r="AV369" s="367">
        <f t="shared" si="341"/>
        <v>0</v>
      </c>
      <c r="AW369" s="367">
        <f t="shared" si="341"/>
        <v>0</v>
      </c>
      <c r="AX369" s="367">
        <f t="shared" si="341"/>
        <v>0</v>
      </c>
      <c r="AY369" s="367">
        <f t="shared" si="341"/>
        <v>0</v>
      </c>
      <c r="AZ369" s="367">
        <f t="shared" si="341"/>
        <v>0</v>
      </c>
      <c r="BA369" s="367">
        <f t="shared" si="341"/>
        <v>0</v>
      </c>
      <c r="BB369" s="367">
        <f t="shared" si="341"/>
        <v>0</v>
      </c>
      <c r="BC369" s="367">
        <f t="shared" si="341"/>
        <v>0</v>
      </c>
      <c r="BD369" s="367">
        <f t="shared" si="341"/>
        <v>0</v>
      </c>
      <c r="BE369" s="367">
        <f t="shared" si="341"/>
        <v>0</v>
      </c>
      <c r="BF369" s="367">
        <f t="shared" si="341"/>
        <v>0</v>
      </c>
      <c r="BG369" s="367">
        <f t="shared" si="341"/>
        <v>0</v>
      </c>
    </row>
    <row r="370" spans="3:59" outlineLevel="1"/>
    <row r="371" spans="3:59" outlineLevel="1">
      <c r="C371" s="39" t="s">
        <v>641</v>
      </c>
      <c r="D371" s="39"/>
      <c r="E371" s="39"/>
      <c r="F371" s="39"/>
      <c r="G371" s="39"/>
      <c r="H371" s="39"/>
      <c r="I371" s="39"/>
      <c r="J371" s="39"/>
      <c r="K371" s="39"/>
      <c r="L371" s="39"/>
      <c r="M371" s="39"/>
      <c r="N371" s="39"/>
    </row>
    <row r="372" spans="3:59" outlineLevel="1">
      <c r="C372" s="269" t="str">
        <f t="shared" ref="C372:C377" si="342">C110</f>
        <v>Void Costs</v>
      </c>
      <c r="D372" s="269"/>
      <c r="E372" s="269"/>
      <c r="F372" s="269"/>
      <c r="G372" s="269"/>
      <c r="H372" s="269"/>
      <c r="I372" s="269"/>
      <c r="J372" s="269"/>
      <c r="K372" s="269"/>
      <c r="L372" s="269"/>
      <c r="M372" s="269"/>
      <c r="N372" s="269"/>
      <c r="O372" s="269"/>
      <c r="P372" s="269"/>
      <c r="Q372" s="269"/>
      <c r="R372" s="248"/>
      <c r="S372" s="248"/>
      <c r="T372" s="368">
        <f t="shared" ref="T372:BG372" si="343">T110</f>
        <v>0</v>
      </c>
      <c r="U372" s="368">
        <f t="shared" si="343"/>
        <v>0</v>
      </c>
      <c r="V372" s="368">
        <f t="shared" si="343"/>
        <v>0</v>
      </c>
      <c r="W372" s="368">
        <f t="shared" si="343"/>
        <v>0</v>
      </c>
      <c r="X372" s="368">
        <f t="shared" si="343"/>
        <v>0</v>
      </c>
      <c r="Y372" s="368">
        <f t="shared" si="343"/>
        <v>0</v>
      </c>
      <c r="Z372" s="368">
        <f t="shared" si="343"/>
        <v>0</v>
      </c>
      <c r="AA372" s="368">
        <f t="shared" si="343"/>
        <v>0</v>
      </c>
      <c r="AB372" s="368">
        <f t="shared" si="343"/>
        <v>0</v>
      </c>
      <c r="AC372" s="368">
        <f t="shared" si="343"/>
        <v>0</v>
      </c>
      <c r="AD372" s="368">
        <f t="shared" si="343"/>
        <v>0</v>
      </c>
      <c r="AE372" s="368">
        <f t="shared" si="343"/>
        <v>0</v>
      </c>
      <c r="AF372" s="368">
        <f t="shared" si="343"/>
        <v>0</v>
      </c>
      <c r="AG372" s="368">
        <f t="shared" si="343"/>
        <v>0</v>
      </c>
      <c r="AH372" s="368">
        <f t="shared" si="343"/>
        <v>0</v>
      </c>
      <c r="AI372" s="368">
        <f t="shared" si="343"/>
        <v>0</v>
      </c>
      <c r="AJ372" s="368">
        <f t="shared" si="343"/>
        <v>0</v>
      </c>
      <c r="AK372" s="368">
        <f t="shared" si="343"/>
        <v>0</v>
      </c>
      <c r="AL372" s="368">
        <f t="shared" si="343"/>
        <v>0</v>
      </c>
      <c r="AM372" s="368">
        <f t="shared" si="343"/>
        <v>0</v>
      </c>
      <c r="AN372" s="368">
        <f t="shared" si="343"/>
        <v>0</v>
      </c>
      <c r="AO372" s="368">
        <f t="shared" si="343"/>
        <v>0</v>
      </c>
      <c r="AP372" s="368">
        <f t="shared" si="343"/>
        <v>0</v>
      </c>
      <c r="AQ372" s="368">
        <f t="shared" si="343"/>
        <v>0</v>
      </c>
      <c r="AR372" s="368">
        <f t="shared" si="343"/>
        <v>0</v>
      </c>
      <c r="AS372" s="368">
        <f t="shared" si="343"/>
        <v>0</v>
      </c>
      <c r="AT372" s="368">
        <f t="shared" si="343"/>
        <v>0</v>
      </c>
      <c r="AU372" s="368">
        <f t="shared" si="343"/>
        <v>0</v>
      </c>
      <c r="AV372" s="368">
        <f t="shared" si="343"/>
        <v>0</v>
      </c>
      <c r="AW372" s="368">
        <f t="shared" si="343"/>
        <v>0</v>
      </c>
      <c r="AX372" s="368">
        <f t="shared" si="343"/>
        <v>0</v>
      </c>
      <c r="AY372" s="368">
        <f t="shared" si="343"/>
        <v>0</v>
      </c>
      <c r="AZ372" s="368">
        <f t="shared" si="343"/>
        <v>0</v>
      </c>
      <c r="BA372" s="368">
        <f t="shared" si="343"/>
        <v>0</v>
      </c>
      <c r="BB372" s="368">
        <f t="shared" si="343"/>
        <v>0</v>
      </c>
      <c r="BC372" s="368">
        <f t="shared" si="343"/>
        <v>0</v>
      </c>
      <c r="BD372" s="368">
        <f t="shared" si="343"/>
        <v>0</v>
      </c>
      <c r="BE372" s="368">
        <f t="shared" si="343"/>
        <v>0</v>
      </c>
      <c r="BF372" s="368">
        <f t="shared" si="343"/>
        <v>0</v>
      </c>
      <c r="BG372" s="368">
        <f t="shared" si="343"/>
        <v>0</v>
      </c>
    </row>
    <row r="373" spans="3:59" outlineLevel="1">
      <c r="C373" t="str">
        <f t="shared" si="342"/>
        <v>Non-recoverable OpEx</v>
      </c>
      <c r="R373" s="392"/>
      <c r="S373" s="392"/>
      <c r="T373" s="310">
        <f t="shared" ref="T373:BG373" si="344">T111</f>
        <v>-300.56092485464785</v>
      </c>
      <c r="U373" s="310">
        <f t="shared" si="344"/>
        <v>-1304.8658934925074</v>
      </c>
      <c r="V373" s="310">
        <f t="shared" si="344"/>
        <v>-2375.7766427732549</v>
      </c>
      <c r="W373" s="310">
        <f t="shared" si="344"/>
        <v>-2380.21875</v>
      </c>
      <c r="X373" s="310">
        <f t="shared" si="344"/>
        <v>-2384.6691628545796</v>
      </c>
      <c r="Y373" s="310">
        <f t="shared" si="344"/>
        <v>-2389.1278968664374</v>
      </c>
      <c r="Z373" s="310">
        <f t="shared" si="344"/>
        <v>-2393.5949675940537</v>
      </c>
      <c r="AA373" s="310">
        <f t="shared" si="344"/>
        <v>-2398.0703906249992</v>
      </c>
      <c r="AB373" s="310">
        <f t="shared" si="344"/>
        <v>-2402.554181575988</v>
      </c>
      <c r="AC373" s="310">
        <f t="shared" si="344"/>
        <v>-2407.0463560929347</v>
      </c>
      <c r="AD373" s="310">
        <f t="shared" si="344"/>
        <v>-2411.5469298510088</v>
      </c>
      <c r="AE373" s="310">
        <f t="shared" si="344"/>
        <v>-2416.0559185546854</v>
      </c>
      <c r="AF373" s="310">
        <f t="shared" si="344"/>
        <v>0</v>
      </c>
      <c r="AG373" s="310">
        <f t="shared" si="344"/>
        <v>0</v>
      </c>
      <c r="AH373" s="310">
        <f t="shared" si="344"/>
        <v>0</v>
      </c>
      <c r="AI373" s="310">
        <f t="shared" si="344"/>
        <v>0</v>
      </c>
      <c r="AJ373" s="310">
        <f t="shared" si="344"/>
        <v>0</v>
      </c>
      <c r="AK373" s="310">
        <f t="shared" si="344"/>
        <v>0</v>
      </c>
      <c r="AL373" s="310">
        <f t="shared" si="344"/>
        <v>0</v>
      </c>
      <c r="AM373" s="310">
        <f t="shared" si="344"/>
        <v>0</v>
      </c>
      <c r="AN373" s="310">
        <f t="shared" si="344"/>
        <v>0</v>
      </c>
      <c r="AO373" s="310">
        <f t="shared" si="344"/>
        <v>0</v>
      </c>
      <c r="AP373" s="310">
        <f t="shared" si="344"/>
        <v>0</v>
      </c>
      <c r="AQ373" s="310">
        <f t="shared" si="344"/>
        <v>0</v>
      </c>
      <c r="AR373" s="310">
        <f t="shared" si="344"/>
        <v>0</v>
      </c>
      <c r="AS373" s="310">
        <f t="shared" si="344"/>
        <v>0</v>
      </c>
      <c r="AT373" s="310">
        <f t="shared" si="344"/>
        <v>0</v>
      </c>
      <c r="AU373" s="310">
        <f t="shared" si="344"/>
        <v>0</v>
      </c>
      <c r="AV373" s="310">
        <f t="shared" si="344"/>
        <v>0</v>
      </c>
      <c r="AW373" s="310">
        <f t="shared" si="344"/>
        <v>0</v>
      </c>
      <c r="AX373" s="310">
        <f t="shared" si="344"/>
        <v>0</v>
      </c>
      <c r="AY373" s="310">
        <f t="shared" si="344"/>
        <v>0</v>
      </c>
      <c r="AZ373" s="310">
        <f t="shared" si="344"/>
        <v>0</v>
      </c>
      <c r="BA373" s="310">
        <f t="shared" si="344"/>
        <v>0</v>
      </c>
      <c r="BB373" s="310">
        <f t="shared" si="344"/>
        <v>0</v>
      </c>
      <c r="BC373" s="310">
        <f t="shared" si="344"/>
        <v>0</v>
      </c>
      <c r="BD373" s="310">
        <f t="shared" si="344"/>
        <v>0</v>
      </c>
      <c r="BE373" s="310">
        <f t="shared" si="344"/>
        <v>0</v>
      </c>
      <c r="BF373" s="310">
        <f t="shared" si="344"/>
        <v>0</v>
      </c>
      <c r="BG373" s="310">
        <f t="shared" si="344"/>
        <v>0</v>
      </c>
    </row>
    <row r="374" spans="3:59" outlineLevel="1">
      <c r="C374" t="str">
        <f t="shared" si="342"/>
        <v>Repairs &amp; Maintenance</v>
      </c>
      <c r="R374" s="392"/>
      <c r="S374" s="392"/>
      <c r="T374" s="310">
        <f t="shared" ref="T374:BG374" si="345">T112</f>
        <v>-1306.451811045165</v>
      </c>
      <c r="U374" s="310">
        <f t="shared" si="345"/>
        <v>-2474.3787098987095</v>
      </c>
      <c r="V374" s="310">
        <f t="shared" si="345"/>
        <v>-3057.5754622011896</v>
      </c>
      <c r="W374" s="310">
        <f t="shared" si="345"/>
        <v>-3072.7500000000005</v>
      </c>
      <c r="X374" s="310">
        <f t="shared" si="345"/>
        <v>-3087.9998479915625</v>
      </c>
      <c r="Y374" s="310">
        <f t="shared" si="345"/>
        <v>-3103.3253799352087</v>
      </c>
      <c r="Z374" s="310">
        <f t="shared" si="345"/>
        <v>-3118.7269714452145</v>
      </c>
      <c r="AA374" s="310">
        <f t="shared" si="345"/>
        <v>-3134.2050000000027</v>
      </c>
      <c r="AB374" s="310">
        <f t="shared" si="345"/>
        <v>-3149.7598449513957</v>
      </c>
      <c r="AC374" s="310">
        <f t="shared" si="345"/>
        <v>-3165.3918875339141</v>
      </c>
      <c r="AD374" s="310">
        <f t="shared" si="345"/>
        <v>-3181.1015108741194</v>
      </c>
      <c r="AE374" s="310">
        <f t="shared" si="345"/>
        <v>-3196.8891000000035</v>
      </c>
      <c r="AF374" s="310">
        <f t="shared" si="345"/>
        <v>0</v>
      </c>
      <c r="AG374" s="310">
        <f t="shared" si="345"/>
        <v>0</v>
      </c>
      <c r="AH374" s="310">
        <f t="shared" si="345"/>
        <v>0</v>
      </c>
      <c r="AI374" s="310">
        <f t="shared" si="345"/>
        <v>0</v>
      </c>
      <c r="AJ374" s="310">
        <f t="shared" si="345"/>
        <v>0</v>
      </c>
      <c r="AK374" s="310">
        <f t="shared" si="345"/>
        <v>0</v>
      </c>
      <c r="AL374" s="310">
        <f t="shared" si="345"/>
        <v>0</v>
      </c>
      <c r="AM374" s="310">
        <f t="shared" si="345"/>
        <v>0</v>
      </c>
      <c r="AN374" s="310">
        <f t="shared" si="345"/>
        <v>0</v>
      </c>
      <c r="AO374" s="310">
        <f t="shared" si="345"/>
        <v>0</v>
      </c>
      <c r="AP374" s="310">
        <f t="shared" si="345"/>
        <v>0</v>
      </c>
      <c r="AQ374" s="310">
        <f t="shared" si="345"/>
        <v>0</v>
      </c>
      <c r="AR374" s="310">
        <f t="shared" si="345"/>
        <v>0</v>
      </c>
      <c r="AS374" s="310">
        <f t="shared" si="345"/>
        <v>0</v>
      </c>
      <c r="AT374" s="310">
        <f t="shared" si="345"/>
        <v>0</v>
      </c>
      <c r="AU374" s="310">
        <f t="shared" si="345"/>
        <v>0</v>
      </c>
      <c r="AV374" s="310">
        <f t="shared" si="345"/>
        <v>0</v>
      </c>
      <c r="AW374" s="310">
        <f t="shared" si="345"/>
        <v>0</v>
      </c>
      <c r="AX374" s="310">
        <f t="shared" si="345"/>
        <v>0</v>
      </c>
      <c r="AY374" s="310">
        <f t="shared" si="345"/>
        <v>0</v>
      </c>
      <c r="AZ374" s="310">
        <f t="shared" si="345"/>
        <v>0</v>
      </c>
      <c r="BA374" s="310">
        <f t="shared" si="345"/>
        <v>0</v>
      </c>
      <c r="BB374" s="310">
        <f t="shared" si="345"/>
        <v>0</v>
      </c>
      <c r="BC374" s="310">
        <f t="shared" si="345"/>
        <v>0</v>
      </c>
      <c r="BD374" s="310">
        <f t="shared" si="345"/>
        <v>0</v>
      </c>
      <c r="BE374" s="310">
        <f t="shared" si="345"/>
        <v>0</v>
      </c>
      <c r="BF374" s="310">
        <f t="shared" si="345"/>
        <v>0</v>
      </c>
      <c r="BG374" s="310">
        <f t="shared" si="345"/>
        <v>0</v>
      </c>
    </row>
    <row r="375" spans="3:59" outlineLevel="1">
      <c r="C375" t="str">
        <f t="shared" si="342"/>
        <v>Property Management Fees</v>
      </c>
      <c r="R375" s="392"/>
      <c r="S375" s="392"/>
      <c r="T375" s="310">
        <f t="shared" ref="T375:BG375" si="346">T113</f>
        <v>-300.56092485464785</v>
      </c>
      <c r="U375" s="310">
        <f t="shared" si="346"/>
        <v>-602.24579699654191</v>
      </c>
      <c r="V375" s="310">
        <f t="shared" si="346"/>
        <v>-1055.9007301214467</v>
      </c>
      <c r="W375" s="310">
        <f t="shared" si="346"/>
        <v>-1057.8749999999998</v>
      </c>
      <c r="X375" s="310">
        <f t="shared" si="346"/>
        <v>-1059.8529612687018</v>
      </c>
      <c r="Y375" s="310">
        <f t="shared" si="346"/>
        <v>-1061.8346208295277</v>
      </c>
      <c r="Z375" s="310">
        <f t="shared" si="346"/>
        <v>-1063.8199855973571</v>
      </c>
      <c r="AA375" s="310">
        <f t="shared" si="346"/>
        <v>-1065.8090624999995</v>
      </c>
      <c r="AB375" s="310">
        <f t="shared" si="346"/>
        <v>-1067.8018584782167</v>
      </c>
      <c r="AC375" s="310">
        <f t="shared" si="346"/>
        <v>-1069.7983804857488</v>
      </c>
      <c r="AD375" s="310">
        <f t="shared" si="346"/>
        <v>-1071.7986354893369</v>
      </c>
      <c r="AE375" s="310">
        <f t="shared" si="346"/>
        <v>-1073.8026304687492</v>
      </c>
      <c r="AF375" s="310">
        <f t="shared" si="346"/>
        <v>0</v>
      </c>
      <c r="AG375" s="310">
        <f t="shared" si="346"/>
        <v>0</v>
      </c>
      <c r="AH375" s="310">
        <f t="shared" si="346"/>
        <v>0</v>
      </c>
      <c r="AI375" s="310">
        <f t="shared" si="346"/>
        <v>0</v>
      </c>
      <c r="AJ375" s="310">
        <f t="shared" si="346"/>
        <v>0</v>
      </c>
      <c r="AK375" s="310">
        <f t="shared" si="346"/>
        <v>0</v>
      </c>
      <c r="AL375" s="310">
        <f t="shared" si="346"/>
        <v>0</v>
      </c>
      <c r="AM375" s="310">
        <f t="shared" si="346"/>
        <v>0</v>
      </c>
      <c r="AN375" s="310">
        <f t="shared" si="346"/>
        <v>0</v>
      </c>
      <c r="AO375" s="310">
        <f t="shared" si="346"/>
        <v>0</v>
      </c>
      <c r="AP375" s="310">
        <f t="shared" si="346"/>
        <v>0</v>
      </c>
      <c r="AQ375" s="310">
        <f t="shared" si="346"/>
        <v>0</v>
      </c>
      <c r="AR375" s="310">
        <f t="shared" si="346"/>
        <v>0</v>
      </c>
      <c r="AS375" s="310">
        <f t="shared" si="346"/>
        <v>0</v>
      </c>
      <c r="AT375" s="310">
        <f t="shared" si="346"/>
        <v>0</v>
      </c>
      <c r="AU375" s="310">
        <f t="shared" si="346"/>
        <v>0</v>
      </c>
      <c r="AV375" s="310">
        <f t="shared" si="346"/>
        <v>0</v>
      </c>
      <c r="AW375" s="310">
        <f t="shared" si="346"/>
        <v>0</v>
      </c>
      <c r="AX375" s="310">
        <f t="shared" si="346"/>
        <v>0</v>
      </c>
      <c r="AY375" s="310">
        <f t="shared" si="346"/>
        <v>0</v>
      </c>
      <c r="AZ375" s="310">
        <f t="shared" si="346"/>
        <v>0</v>
      </c>
      <c r="BA375" s="310">
        <f t="shared" si="346"/>
        <v>0</v>
      </c>
      <c r="BB375" s="310">
        <f t="shared" si="346"/>
        <v>0</v>
      </c>
      <c r="BC375" s="310">
        <f t="shared" si="346"/>
        <v>0</v>
      </c>
      <c r="BD375" s="310">
        <f t="shared" si="346"/>
        <v>0</v>
      </c>
      <c r="BE375" s="310">
        <f t="shared" si="346"/>
        <v>0</v>
      </c>
      <c r="BF375" s="310">
        <f t="shared" si="346"/>
        <v>0</v>
      </c>
      <c r="BG375" s="310">
        <f t="shared" si="346"/>
        <v>0</v>
      </c>
    </row>
    <row r="376" spans="3:59" outlineLevel="1">
      <c r="C376" t="str">
        <f t="shared" si="342"/>
        <v>Headrent</v>
      </c>
      <c r="R376" s="392"/>
      <c r="S376" s="392"/>
      <c r="T376" s="310">
        <f t="shared" ref="T376:BG376" si="347">T114</f>
        <v>0</v>
      </c>
      <c r="U376" s="310">
        <f t="shared" si="347"/>
        <v>0</v>
      </c>
      <c r="V376" s="310">
        <f t="shared" si="347"/>
        <v>0</v>
      </c>
      <c r="W376" s="310">
        <f t="shared" si="347"/>
        <v>0</v>
      </c>
      <c r="X376" s="310">
        <f t="shared" si="347"/>
        <v>0</v>
      </c>
      <c r="Y376" s="310">
        <f t="shared" si="347"/>
        <v>0</v>
      </c>
      <c r="Z376" s="310">
        <f t="shared" si="347"/>
        <v>0</v>
      </c>
      <c r="AA376" s="310">
        <f t="shared" si="347"/>
        <v>0</v>
      </c>
      <c r="AB376" s="310">
        <f t="shared" si="347"/>
        <v>0</v>
      </c>
      <c r="AC376" s="310">
        <f t="shared" si="347"/>
        <v>0</v>
      </c>
      <c r="AD376" s="310">
        <f t="shared" si="347"/>
        <v>0</v>
      </c>
      <c r="AE376" s="310">
        <f t="shared" si="347"/>
        <v>0</v>
      </c>
      <c r="AF376" s="310">
        <f t="shared" si="347"/>
        <v>0</v>
      </c>
      <c r="AG376" s="310">
        <f t="shared" si="347"/>
        <v>0</v>
      </c>
      <c r="AH376" s="310">
        <f t="shared" si="347"/>
        <v>0</v>
      </c>
      <c r="AI376" s="310">
        <f t="shared" si="347"/>
        <v>0</v>
      </c>
      <c r="AJ376" s="310">
        <f t="shared" si="347"/>
        <v>0</v>
      </c>
      <c r="AK376" s="310">
        <f t="shared" si="347"/>
        <v>0</v>
      </c>
      <c r="AL376" s="310">
        <f t="shared" si="347"/>
        <v>0</v>
      </c>
      <c r="AM376" s="310">
        <f t="shared" si="347"/>
        <v>0</v>
      </c>
      <c r="AN376" s="310">
        <f t="shared" si="347"/>
        <v>0</v>
      </c>
      <c r="AO376" s="310">
        <f t="shared" si="347"/>
        <v>0</v>
      </c>
      <c r="AP376" s="310">
        <f t="shared" si="347"/>
        <v>0</v>
      </c>
      <c r="AQ376" s="310">
        <f t="shared" si="347"/>
        <v>0</v>
      </c>
      <c r="AR376" s="310">
        <f t="shared" si="347"/>
        <v>0</v>
      </c>
      <c r="AS376" s="310">
        <f t="shared" si="347"/>
        <v>0</v>
      </c>
      <c r="AT376" s="310">
        <f t="shared" si="347"/>
        <v>0</v>
      </c>
      <c r="AU376" s="310">
        <f t="shared" si="347"/>
        <v>0</v>
      </c>
      <c r="AV376" s="310">
        <f t="shared" si="347"/>
        <v>0</v>
      </c>
      <c r="AW376" s="310">
        <f t="shared" si="347"/>
        <v>0</v>
      </c>
      <c r="AX376" s="310">
        <f t="shared" si="347"/>
        <v>0</v>
      </c>
      <c r="AY376" s="310">
        <f t="shared" si="347"/>
        <v>0</v>
      </c>
      <c r="AZ376" s="310">
        <f t="shared" si="347"/>
        <v>0</v>
      </c>
      <c r="BA376" s="310">
        <f t="shared" si="347"/>
        <v>0</v>
      </c>
      <c r="BB376" s="310">
        <f t="shared" si="347"/>
        <v>0</v>
      </c>
      <c r="BC376" s="310">
        <f t="shared" si="347"/>
        <v>0</v>
      </c>
      <c r="BD376" s="310">
        <f t="shared" si="347"/>
        <v>0</v>
      </c>
      <c r="BE376" s="310">
        <f t="shared" si="347"/>
        <v>0</v>
      </c>
      <c r="BF376" s="310">
        <f t="shared" si="347"/>
        <v>0</v>
      </c>
      <c r="BG376" s="310">
        <f t="shared" si="347"/>
        <v>0</v>
      </c>
    </row>
    <row r="377" spans="3:59" outlineLevel="1">
      <c r="C377" s="253" t="str">
        <f t="shared" si="342"/>
        <v>Total OpEx</v>
      </c>
      <c r="D377" s="253"/>
      <c r="E377" s="253"/>
      <c r="F377" s="253"/>
      <c r="G377" s="253"/>
      <c r="H377" s="253"/>
      <c r="I377" s="253"/>
      <c r="J377" s="253"/>
      <c r="K377" s="253"/>
      <c r="L377" s="253"/>
      <c r="M377" s="253"/>
      <c r="N377" s="253"/>
      <c r="O377" s="253"/>
      <c r="P377" s="253"/>
      <c r="Q377" s="253"/>
      <c r="R377" s="401"/>
      <c r="S377" s="401"/>
      <c r="T377" s="254">
        <f>SUM(T372:T376)</f>
        <v>-1907.5736607544609</v>
      </c>
      <c r="U377" s="254">
        <f t="shared" ref="U377:BG377" si="348">SUM(U372:U376)</f>
        <v>-4381.4904003877591</v>
      </c>
      <c r="V377" s="254">
        <f t="shared" si="348"/>
        <v>-6489.2528350958919</v>
      </c>
      <c r="W377" s="254">
        <f t="shared" si="348"/>
        <v>-6510.84375</v>
      </c>
      <c r="X377" s="254">
        <f t="shared" si="348"/>
        <v>-6532.5219721148442</v>
      </c>
      <c r="Y377" s="254">
        <f t="shared" si="348"/>
        <v>-6554.287897631174</v>
      </c>
      <c r="Z377" s="254">
        <f t="shared" si="348"/>
        <v>-6576.1419246366249</v>
      </c>
      <c r="AA377" s="254">
        <f t="shared" si="348"/>
        <v>-6598.0844531250013</v>
      </c>
      <c r="AB377" s="254">
        <f t="shared" si="348"/>
        <v>-6620.1158850055999</v>
      </c>
      <c r="AC377" s="254">
        <f t="shared" si="348"/>
        <v>-6642.2366241125974</v>
      </c>
      <c r="AD377" s="254">
        <f t="shared" si="348"/>
        <v>-6664.4470762144647</v>
      </c>
      <c r="AE377" s="254">
        <f t="shared" si="348"/>
        <v>-6686.7476490234376</v>
      </c>
      <c r="AF377" s="254">
        <f t="shared" si="348"/>
        <v>0</v>
      </c>
      <c r="AG377" s="254">
        <f t="shared" si="348"/>
        <v>0</v>
      </c>
      <c r="AH377" s="254">
        <f t="shared" si="348"/>
        <v>0</v>
      </c>
      <c r="AI377" s="254">
        <f t="shared" si="348"/>
        <v>0</v>
      </c>
      <c r="AJ377" s="254">
        <f t="shared" si="348"/>
        <v>0</v>
      </c>
      <c r="AK377" s="254">
        <f t="shared" si="348"/>
        <v>0</v>
      </c>
      <c r="AL377" s="254">
        <f t="shared" si="348"/>
        <v>0</v>
      </c>
      <c r="AM377" s="254">
        <f t="shared" si="348"/>
        <v>0</v>
      </c>
      <c r="AN377" s="254">
        <f t="shared" si="348"/>
        <v>0</v>
      </c>
      <c r="AO377" s="254">
        <f t="shared" si="348"/>
        <v>0</v>
      </c>
      <c r="AP377" s="254">
        <f t="shared" si="348"/>
        <v>0</v>
      </c>
      <c r="AQ377" s="254">
        <f t="shared" si="348"/>
        <v>0</v>
      </c>
      <c r="AR377" s="254">
        <f t="shared" si="348"/>
        <v>0</v>
      </c>
      <c r="AS377" s="254">
        <f t="shared" si="348"/>
        <v>0</v>
      </c>
      <c r="AT377" s="254">
        <f t="shared" si="348"/>
        <v>0</v>
      </c>
      <c r="AU377" s="254">
        <f t="shared" si="348"/>
        <v>0</v>
      </c>
      <c r="AV377" s="254">
        <f t="shared" si="348"/>
        <v>0</v>
      </c>
      <c r="AW377" s="254">
        <f t="shared" si="348"/>
        <v>0</v>
      </c>
      <c r="AX377" s="254">
        <f t="shared" si="348"/>
        <v>0</v>
      </c>
      <c r="AY377" s="254">
        <f t="shared" si="348"/>
        <v>0</v>
      </c>
      <c r="AZ377" s="254">
        <f t="shared" si="348"/>
        <v>0</v>
      </c>
      <c r="BA377" s="254">
        <f t="shared" si="348"/>
        <v>0</v>
      </c>
      <c r="BB377" s="254">
        <f t="shared" si="348"/>
        <v>0</v>
      </c>
      <c r="BC377" s="254">
        <f t="shared" si="348"/>
        <v>0</v>
      </c>
      <c r="BD377" s="254">
        <f t="shared" si="348"/>
        <v>0</v>
      </c>
      <c r="BE377" s="254">
        <f t="shared" si="348"/>
        <v>0</v>
      </c>
      <c r="BF377" s="254">
        <f t="shared" si="348"/>
        <v>0</v>
      </c>
      <c r="BG377" s="254">
        <f t="shared" si="348"/>
        <v>0</v>
      </c>
    </row>
    <row r="378" spans="3:59" outlineLevel="1"/>
    <row r="379" spans="3:59" outlineLevel="1">
      <c r="C379" s="364" t="s">
        <v>650</v>
      </c>
      <c r="D379" s="364"/>
      <c r="E379" s="364"/>
      <c r="F379" s="364"/>
      <c r="G379" s="364"/>
      <c r="H379" s="364"/>
      <c r="I379" s="364"/>
      <c r="J379" s="364"/>
      <c r="K379" s="364"/>
      <c r="L379" s="364"/>
      <c r="M379" s="364"/>
      <c r="N379" s="364"/>
      <c r="O379" s="17"/>
      <c r="P379" s="17"/>
      <c r="Q379" s="17"/>
      <c r="R379" s="17"/>
      <c r="S379" s="17"/>
      <c r="U379" s="17"/>
    </row>
    <row r="380" spans="3:59" outlineLevel="1">
      <c r="C380" t="str">
        <f>C123</f>
        <v>Third Party AM Fee</v>
      </c>
      <c r="R380" s="392"/>
      <c r="S380" s="392"/>
      <c r="T380" s="368">
        <f t="shared" ref="T380:BG380" si="349">T123</f>
        <v>0</v>
      </c>
      <c r="U380" s="368">
        <f t="shared" si="349"/>
        <v>0</v>
      </c>
      <c r="V380" s="368">
        <f t="shared" si="349"/>
        <v>0</v>
      </c>
      <c r="W380" s="368">
        <f t="shared" si="349"/>
        <v>0</v>
      </c>
      <c r="X380" s="368">
        <f t="shared" si="349"/>
        <v>0</v>
      </c>
      <c r="Y380" s="368">
        <f t="shared" si="349"/>
        <v>0</v>
      </c>
      <c r="Z380" s="368">
        <f t="shared" si="349"/>
        <v>0</v>
      </c>
      <c r="AA380" s="368">
        <f t="shared" si="349"/>
        <v>0</v>
      </c>
      <c r="AB380" s="368">
        <f t="shared" si="349"/>
        <v>0</v>
      </c>
      <c r="AC380" s="368">
        <f t="shared" si="349"/>
        <v>0</v>
      </c>
      <c r="AD380" s="368">
        <f t="shared" si="349"/>
        <v>0</v>
      </c>
      <c r="AE380" s="368">
        <f t="shared" si="349"/>
        <v>0</v>
      </c>
      <c r="AF380" s="368">
        <f t="shared" si="349"/>
        <v>0</v>
      </c>
      <c r="AG380" s="368">
        <f t="shared" si="349"/>
        <v>0</v>
      </c>
      <c r="AH380" s="368">
        <f t="shared" si="349"/>
        <v>0</v>
      </c>
      <c r="AI380" s="368">
        <f t="shared" si="349"/>
        <v>0</v>
      </c>
      <c r="AJ380" s="368">
        <f t="shared" si="349"/>
        <v>0</v>
      </c>
      <c r="AK380" s="368">
        <f t="shared" si="349"/>
        <v>0</v>
      </c>
      <c r="AL380" s="368">
        <f t="shared" si="349"/>
        <v>0</v>
      </c>
      <c r="AM380" s="368">
        <f t="shared" si="349"/>
        <v>0</v>
      </c>
      <c r="AN380" s="368">
        <f t="shared" si="349"/>
        <v>0</v>
      </c>
      <c r="AO380" s="368">
        <f t="shared" si="349"/>
        <v>0</v>
      </c>
      <c r="AP380" s="368">
        <f t="shared" si="349"/>
        <v>0</v>
      </c>
      <c r="AQ380" s="368">
        <f t="shared" si="349"/>
        <v>0</v>
      </c>
      <c r="AR380" s="368">
        <f t="shared" si="349"/>
        <v>0</v>
      </c>
      <c r="AS380" s="368">
        <f t="shared" si="349"/>
        <v>0</v>
      </c>
      <c r="AT380" s="368">
        <f t="shared" si="349"/>
        <v>0</v>
      </c>
      <c r="AU380" s="368">
        <f t="shared" si="349"/>
        <v>0</v>
      </c>
      <c r="AV380" s="368">
        <f t="shared" si="349"/>
        <v>0</v>
      </c>
      <c r="AW380" s="368">
        <f t="shared" si="349"/>
        <v>0</v>
      </c>
      <c r="AX380" s="368">
        <f t="shared" si="349"/>
        <v>0</v>
      </c>
      <c r="AY380" s="368">
        <f t="shared" si="349"/>
        <v>0</v>
      </c>
      <c r="AZ380" s="368">
        <f t="shared" si="349"/>
        <v>0</v>
      </c>
      <c r="BA380" s="368">
        <f t="shared" si="349"/>
        <v>0</v>
      </c>
      <c r="BB380" s="368">
        <f t="shared" si="349"/>
        <v>0</v>
      </c>
      <c r="BC380" s="368">
        <f t="shared" si="349"/>
        <v>0</v>
      </c>
      <c r="BD380" s="368">
        <f t="shared" si="349"/>
        <v>0</v>
      </c>
      <c r="BE380" s="368">
        <f t="shared" si="349"/>
        <v>0</v>
      </c>
      <c r="BF380" s="368">
        <f t="shared" si="349"/>
        <v>0</v>
      </c>
      <c r="BG380" s="368">
        <f t="shared" si="349"/>
        <v>0</v>
      </c>
    </row>
    <row r="381" spans="3:59" outlineLevel="1">
      <c r="C381" t="str">
        <f>C124</f>
        <v>Platform Costs and SCP AM Fees</v>
      </c>
      <c r="R381" s="392"/>
      <c r="S381" s="392"/>
      <c r="T381" s="310">
        <f t="shared" ref="T381:BG381" si="350">T124</f>
        <v>-1444.0970276188536</v>
      </c>
      <c r="U381" s="310">
        <f t="shared" si="350"/>
        <v>-2853.67432670578</v>
      </c>
      <c r="V381" s="310">
        <f t="shared" si="350"/>
        <v>-4240.5374999999995</v>
      </c>
      <c r="W381" s="310">
        <f t="shared" si="350"/>
        <v>-4240.5374999999995</v>
      </c>
      <c r="X381" s="310">
        <f t="shared" si="350"/>
        <v>-4240.5374999999995</v>
      </c>
      <c r="Y381" s="310">
        <f t="shared" si="350"/>
        <v>-4240.5374999999995</v>
      </c>
      <c r="Z381" s="310">
        <f t="shared" si="350"/>
        <v>-4240.5374999999995</v>
      </c>
      <c r="AA381" s="310">
        <f t="shared" si="350"/>
        <v>-4240.5374999999995</v>
      </c>
      <c r="AB381" s="310">
        <f t="shared" si="350"/>
        <v>-4240.5374999999995</v>
      </c>
      <c r="AC381" s="310">
        <f t="shared" si="350"/>
        <v>-4240.5374999999995</v>
      </c>
      <c r="AD381" s="310">
        <f t="shared" si="350"/>
        <v>-4240.5374999999995</v>
      </c>
      <c r="AE381" s="310">
        <f t="shared" si="350"/>
        <v>-4240.5374999999995</v>
      </c>
      <c r="AF381" s="310">
        <f t="shared" si="350"/>
        <v>0</v>
      </c>
      <c r="AG381" s="310">
        <f t="shared" si="350"/>
        <v>0</v>
      </c>
      <c r="AH381" s="310">
        <f t="shared" si="350"/>
        <v>0</v>
      </c>
      <c r="AI381" s="310">
        <f t="shared" si="350"/>
        <v>0</v>
      </c>
      <c r="AJ381" s="310">
        <f t="shared" si="350"/>
        <v>0</v>
      </c>
      <c r="AK381" s="310">
        <f t="shared" si="350"/>
        <v>0</v>
      </c>
      <c r="AL381" s="310">
        <f t="shared" si="350"/>
        <v>0</v>
      </c>
      <c r="AM381" s="310">
        <f t="shared" si="350"/>
        <v>0</v>
      </c>
      <c r="AN381" s="310">
        <f t="shared" si="350"/>
        <v>0</v>
      </c>
      <c r="AO381" s="310">
        <f t="shared" si="350"/>
        <v>0</v>
      </c>
      <c r="AP381" s="310">
        <f t="shared" si="350"/>
        <v>0</v>
      </c>
      <c r="AQ381" s="310">
        <f t="shared" si="350"/>
        <v>0</v>
      </c>
      <c r="AR381" s="310">
        <f t="shared" si="350"/>
        <v>0</v>
      </c>
      <c r="AS381" s="310">
        <f t="shared" si="350"/>
        <v>0</v>
      </c>
      <c r="AT381" s="310">
        <f t="shared" si="350"/>
        <v>0</v>
      </c>
      <c r="AU381" s="310">
        <f t="shared" si="350"/>
        <v>0</v>
      </c>
      <c r="AV381" s="310">
        <f t="shared" si="350"/>
        <v>0</v>
      </c>
      <c r="AW381" s="310">
        <f t="shared" si="350"/>
        <v>0</v>
      </c>
      <c r="AX381" s="310">
        <f t="shared" si="350"/>
        <v>0</v>
      </c>
      <c r="AY381" s="310">
        <f t="shared" si="350"/>
        <v>0</v>
      </c>
      <c r="AZ381" s="310">
        <f t="shared" si="350"/>
        <v>0</v>
      </c>
      <c r="BA381" s="310">
        <f t="shared" si="350"/>
        <v>0</v>
      </c>
      <c r="BB381" s="310">
        <f t="shared" si="350"/>
        <v>0</v>
      </c>
      <c r="BC381" s="310">
        <f t="shared" si="350"/>
        <v>0</v>
      </c>
      <c r="BD381" s="310">
        <f t="shared" si="350"/>
        <v>0</v>
      </c>
      <c r="BE381" s="310">
        <f t="shared" si="350"/>
        <v>0</v>
      </c>
      <c r="BF381" s="310">
        <f t="shared" si="350"/>
        <v>0</v>
      </c>
      <c r="BG381" s="310">
        <f t="shared" si="350"/>
        <v>0</v>
      </c>
    </row>
    <row r="382" spans="3:59" outlineLevel="1">
      <c r="C382" t="str">
        <f>C125</f>
        <v>Structure Costs</v>
      </c>
      <c r="R382" s="392"/>
      <c r="S382" s="392"/>
      <c r="T382" s="369">
        <f t="shared" ref="T382:BG382" si="351">T125</f>
        <v>-12562.036644665048</v>
      </c>
      <c r="U382" s="369">
        <f t="shared" si="351"/>
        <v>-12624.381172952601</v>
      </c>
      <c r="V382" s="369">
        <f t="shared" si="351"/>
        <v>-12687.035112868007</v>
      </c>
      <c r="W382" s="369">
        <f t="shared" si="351"/>
        <v>-12750.000000000004</v>
      </c>
      <c r="X382" s="369">
        <f t="shared" si="351"/>
        <v>-12813.277377558352</v>
      </c>
      <c r="Y382" s="369">
        <f t="shared" si="351"/>
        <v>-12876.868796411656</v>
      </c>
      <c r="Z382" s="369">
        <f t="shared" si="351"/>
        <v>-12940.775815125371</v>
      </c>
      <c r="AA382" s="369">
        <f t="shared" si="351"/>
        <v>-13005.000000000011</v>
      </c>
      <c r="AB382" s="369">
        <f t="shared" si="351"/>
        <v>-13069.542925109527</v>
      </c>
      <c r="AC382" s="369">
        <f t="shared" si="351"/>
        <v>-13134.406172339894</v>
      </c>
      <c r="AD382" s="369">
        <f t="shared" si="351"/>
        <v>-13199.591331427882</v>
      </c>
      <c r="AE382" s="369">
        <f t="shared" si="351"/>
        <v>-13265.100000000013</v>
      </c>
      <c r="AF382" s="369">
        <f t="shared" si="351"/>
        <v>0</v>
      </c>
      <c r="AG382" s="369">
        <f t="shared" si="351"/>
        <v>0</v>
      </c>
      <c r="AH382" s="369">
        <f t="shared" si="351"/>
        <v>0</v>
      </c>
      <c r="AI382" s="369">
        <f t="shared" si="351"/>
        <v>0</v>
      </c>
      <c r="AJ382" s="369">
        <f t="shared" si="351"/>
        <v>0</v>
      </c>
      <c r="AK382" s="369">
        <f t="shared" si="351"/>
        <v>0</v>
      </c>
      <c r="AL382" s="369">
        <f t="shared" si="351"/>
        <v>0</v>
      </c>
      <c r="AM382" s="369">
        <f t="shared" si="351"/>
        <v>0</v>
      </c>
      <c r="AN382" s="369">
        <f t="shared" si="351"/>
        <v>0</v>
      </c>
      <c r="AO382" s="369">
        <f t="shared" si="351"/>
        <v>0</v>
      </c>
      <c r="AP382" s="369">
        <f t="shared" si="351"/>
        <v>0</v>
      </c>
      <c r="AQ382" s="369">
        <f t="shared" si="351"/>
        <v>0</v>
      </c>
      <c r="AR382" s="369">
        <f t="shared" si="351"/>
        <v>0</v>
      </c>
      <c r="AS382" s="369">
        <f t="shared" si="351"/>
        <v>0</v>
      </c>
      <c r="AT382" s="369">
        <f t="shared" si="351"/>
        <v>0</v>
      </c>
      <c r="AU382" s="369">
        <f t="shared" si="351"/>
        <v>0</v>
      </c>
      <c r="AV382" s="369">
        <f t="shared" si="351"/>
        <v>0</v>
      </c>
      <c r="AW382" s="369">
        <f t="shared" si="351"/>
        <v>0</v>
      </c>
      <c r="AX382" s="369">
        <f t="shared" si="351"/>
        <v>0</v>
      </c>
      <c r="AY382" s="369">
        <f t="shared" si="351"/>
        <v>0</v>
      </c>
      <c r="AZ382" s="369">
        <f t="shared" si="351"/>
        <v>0</v>
      </c>
      <c r="BA382" s="369">
        <f t="shared" si="351"/>
        <v>0</v>
      </c>
      <c r="BB382" s="369">
        <f t="shared" si="351"/>
        <v>0</v>
      </c>
      <c r="BC382" s="369">
        <f t="shared" si="351"/>
        <v>0</v>
      </c>
      <c r="BD382" s="369">
        <f t="shared" si="351"/>
        <v>0</v>
      </c>
      <c r="BE382" s="369">
        <f t="shared" si="351"/>
        <v>0</v>
      </c>
      <c r="BF382" s="369">
        <f t="shared" si="351"/>
        <v>0</v>
      </c>
      <c r="BG382" s="369">
        <f t="shared" si="351"/>
        <v>0</v>
      </c>
    </row>
    <row r="383" spans="3:59" outlineLevel="1">
      <c r="C383" s="253" t="str">
        <f>C126</f>
        <v>Total Other Recurring Expenses</v>
      </c>
      <c r="D383" s="253"/>
      <c r="E383" s="253"/>
      <c r="F383" s="253"/>
      <c r="G383" s="253"/>
      <c r="H383" s="253"/>
      <c r="I383" s="253"/>
      <c r="J383" s="253"/>
      <c r="K383" s="253"/>
      <c r="L383" s="253"/>
      <c r="M383" s="253"/>
      <c r="N383" s="253"/>
      <c r="O383" s="268"/>
      <c r="P383" s="268"/>
      <c r="Q383" s="268"/>
      <c r="R383" s="153"/>
      <c r="S383" s="153"/>
      <c r="T383" s="369">
        <f>SUM(T380:T382)</f>
        <v>-14006.133672283901</v>
      </c>
      <c r="U383" s="369">
        <f t="shared" ref="U383:BG383" si="352">SUM(U380:U382)</f>
        <v>-15478.055499658381</v>
      </c>
      <c r="V383" s="369">
        <f t="shared" si="352"/>
        <v>-16927.572612868007</v>
      </c>
      <c r="W383" s="369">
        <f t="shared" si="352"/>
        <v>-16990.537500000002</v>
      </c>
      <c r="X383" s="369">
        <f t="shared" si="352"/>
        <v>-17053.81487755835</v>
      </c>
      <c r="Y383" s="369">
        <f t="shared" si="352"/>
        <v>-17117.406296411657</v>
      </c>
      <c r="Z383" s="369">
        <f t="shared" si="352"/>
        <v>-17181.313315125371</v>
      </c>
      <c r="AA383" s="369">
        <f t="shared" si="352"/>
        <v>-17245.537500000009</v>
      </c>
      <c r="AB383" s="369">
        <f t="shared" si="352"/>
        <v>-17310.080425109525</v>
      </c>
      <c r="AC383" s="369">
        <f t="shared" si="352"/>
        <v>-17374.943672339894</v>
      </c>
      <c r="AD383" s="369">
        <f t="shared" si="352"/>
        <v>-17440.128831427883</v>
      </c>
      <c r="AE383" s="369">
        <f t="shared" si="352"/>
        <v>-17505.637500000012</v>
      </c>
      <c r="AF383" s="369">
        <f t="shared" si="352"/>
        <v>0</v>
      </c>
      <c r="AG383" s="369">
        <f t="shared" si="352"/>
        <v>0</v>
      </c>
      <c r="AH383" s="369">
        <f t="shared" si="352"/>
        <v>0</v>
      </c>
      <c r="AI383" s="369">
        <f t="shared" si="352"/>
        <v>0</v>
      </c>
      <c r="AJ383" s="369">
        <f t="shared" si="352"/>
        <v>0</v>
      </c>
      <c r="AK383" s="369">
        <f t="shared" si="352"/>
        <v>0</v>
      </c>
      <c r="AL383" s="369">
        <f t="shared" si="352"/>
        <v>0</v>
      </c>
      <c r="AM383" s="369">
        <f t="shared" si="352"/>
        <v>0</v>
      </c>
      <c r="AN383" s="369">
        <f t="shared" si="352"/>
        <v>0</v>
      </c>
      <c r="AO383" s="369">
        <f t="shared" si="352"/>
        <v>0</v>
      </c>
      <c r="AP383" s="369">
        <f t="shared" si="352"/>
        <v>0</v>
      </c>
      <c r="AQ383" s="369">
        <f t="shared" si="352"/>
        <v>0</v>
      </c>
      <c r="AR383" s="369">
        <f t="shared" si="352"/>
        <v>0</v>
      </c>
      <c r="AS383" s="369">
        <f t="shared" si="352"/>
        <v>0</v>
      </c>
      <c r="AT383" s="369">
        <f t="shared" si="352"/>
        <v>0</v>
      </c>
      <c r="AU383" s="369">
        <f t="shared" si="352"/>
        <v>0</v>
      </c>
      <c r="AV383" s="369">
        <f t="shared" si="352"/>
        <v>0</v>
      </c>
      <c r="AW383" s="369">
        <f t="shared" si="352"/>
        <v>0</v>
      </c>
      <c r="AX383" s="369">
        <f t="shared" si="352"/>
        <v>0</v>
      </c>
      <c r="AY383" s="369">
        <f t="shared" si="352"/>
        <v>0</v>
      </c>
      <c r="AZ383" s="369">
        <f t="shared" si="352"/>
        <v>0</v>
      </c>
      <c r="BA383" s="369">
        <f t="shared" si="352"/>
        <v>0</v>
      </c>
      <c r="BB383" s="369">
        <f t="shared" si="352"/>
        <v>0</v>
      </c>
      <c r="BC383" s="369">
        <f t="shared" si="352"/>
        <v>0</v>
      </c>
      <c r="BD383" s="369">
        <f t="shared" si="352"/>
        <v>0</v>
      </c>
      <c r="BE383" s="369">
        <f t="shared" si="352"/>
        <v>0</v>
      </c>
      <c r="BF383" s="369">
        <f t="shared" si="352"/>
        <v>0</v>
      </c>
      <c r="BG383" s="369">
        <f t="shared" si="352"/>
        <v>0</v>
      </c>
    </row>
    <row r="384" spans="3:59" outlineLevel="1"/>
    <row r="385" spans="3:59" outlineLevel="1">
      <c r="C385" s="188" t="s">
        <v>828</v>
      </c>
      <c r="D385" s="188"/>
      <c r="E385" s="188"/>
      <c r="F385" s="188"/>
      <c r="G385" s="188"/>
      <c r="H385" s="188"/>
      <c r="I385" s="188"/>
      <c r="J385" s="188"/>
      <c r="K385" s="188"/>
      <c r="L385" s="188"/>
      <c r="M385" s="188"/>
      <c r="N385" s="188"/>
      <c r="O385" s="188"/>
      <c r="P385" s="188"/>
      <c r="Q385" s="188"/>
      <c r="R385" s="188"/>
      <c r="S385" s="188"/>
      <c r="T385" s="487">
        <f>T369+T377+T383</f>
        <v>9133.036404848961</v>
      </c>
      <c r="U385" s="487">
        <f t="shared" ref="U385:BG385" si="353">U369+U377+U383</f>
        <v>30327.603849665684</v>
      </c>
      <c r="V385" s="487">
        <f t="shared" si="353"/>
        <v>52004.655274996578</v>
      </c>
      <c r="W385" s="487">
        <f t="shared" si="353"/>
        <v>52061.11874999998</v>
      </c>
      <c r="X385" s="487">
        <f t="shared" si="353"/>
        <v>52117.446098091212</v>
      </c>
      <c r="Y385" s="487">
        <f t="shared" si="353"/>
        <v>52173.635865209144</v>
      </c>
      <c r="Z385" s="487">
        <f t="shared" si="353"/>
        <v>52229.686588620651</v>
      </c>
      <c r="AA385" s="487">
        <f t="shared" si="353"/>
        <v>52285.596796874961</v>
      </c>
      <c r="AB385" s="487">
        <f t="shared" si="353"/>
        <v>52341.365009757516</v>
      </c>
      <c r="AC385" s="487">
        <f t="shared" si="353"/>
        <v>52396.98973824385</v>
      </c>
      <c r="AD385" s="487">
        <f t="shared" si="353"/>
        <v>52452.469484453162</v>
      </c>
      <c r="AE385" s="487">
        <f t="shared" si="353"/>
        <v>52507.802741601481</v>
      </c>
      <c r="AF385" s="487">
        <f t="shared" si="353"/>
        <v>0</v>
      </c>
      <c r="AG385" s="487">
        <f t="shared" si="353"/>
        <v>0</v>
      </c>
      <c r="AH385" s="487">
        <f t="shared" si="353"/>
        <v>0</v>
      </c>
      <c r="AI385" s="487">
        <f t="shared" si="353"/>
        <v>0</v>
      </c>
      <c r="AJ385" s="487">
        <f t="shared" si="353"/>
        <v>0</v>
      </c>
      <c r="AK385" s="487">
        <f t="shared" si="353"/>
        <v>0</v>
      </c>
      <c r="AL385" s="487">
        <f t="shared" si="353"/>
        <v>0</v>
      </c>
      <c r="AM385" s="487">
        <f t="shared" si="353"/>
        <v>0</v>
      </c>
      <c r="AN385" s="487">
        <f t="shared" si="353"/>
        <v>0</v>
      </c>
      <c r="AO385" s="487">
        <f t="shared" si="353"/>
        <v>0</v>
      </c>
      <c r="AP385" s="487">
        <f t="shared" si="353"/>
        <v>0</v>
      </c>
      <c r="AQ385" s="487">
        <f t="shared" si="353"/>
        <v>0</v>
      </c>
      <c r="AR385" s="487">
        <f t="shared" si="353"/>
        <v>0</v>
      </c>
      <c r="AS385" s="487">
        <f t="shared" si="353"/>
        <v>0</v>
      </c>
      <c r="AT385" s="487">
        <f t="shared" si="353"/>
        <v>0</v>
      </c>
      <c r="AU385" s="487">
        <f t="shared" si="353"/>
        <v>0</v>
      </c>
      <c r="AV385" s="487">
        <f t="shared" si="353"/>
        <v>0</v>
      </c>
      <c r="AW385" s="487">
        <f t="shared" si="353"/>
        <v>0</v>
      </c>
      <c r="AX385" s="487">
        <f t="shared" si="353"/>
        <v>0</v>
      </c>
      <c r="AY385" s="487">
        <f t="shared" si="353"/>
        <v>0</v>
      </c>
      <c r="AZ385" s="487">
        <f t="shared" si="353"/>
        <v>0</v>
      </c>
      <c r="BA385" s="487">
        <f t="shared" si="353"/>
        <v>0</v>
      </c>
      <c r="BB385" s="487">
        <f t="shared" si="353"/>
        <v>0</v>
      </c>
      <c r="BC385" s="487">
        <f t="shared" si="353"/>
        <v>0</v>
      </c>
      <c r="BD385" s="487">
        <f t="shared" si="353"/>
        <v>0</v>
      </c>
      <c r="BE385" s="487">
        <f t="shared" si="353"/>
        <v>0</v>
      </c>
      <c r="BF385" s="487">
        <f t="shared" si="353"/>
        <v>0</v>
      </c>
      <c r="BG385" s="487">
        <f t="shared" si="353"/>
        <v>0</v>
      </c>
    </row>
    <row r="386" spans="3:59" outlineLevel="1"/>
    <row r="387" spans="3:59" outlineLevel="1">
      <c r="C387" s="364" t="s">
        <v>831</v>
      </c>
      <c r="D387" s="364"/>
      <c r="E387" s="364"/>
      <c r="F387" s="364"/>
      <c r="G387" s="364"/>
      <c r="H387" s="364"/>
      <c r="I387" s="364"/>
      <c r="J387" s="364"/>
      <c r="K387" s="364"/>
      <c r="L387" s="364"/>
      <c r="M387" s="364"/>
      <c r="N387" s="364"/>
      <c r="O387" s="486" t="s">
        <v>830</v>
      </c>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row>
    <row r="388" spans="3:59" outlineLevel="1">
      <c r="C388" t="str">
        <f>C132</f>
        <v>CapEx Backlog</v>
      </c>
      <c r="R388" s="392"/>
      <c r="S388" s="392"/>
      <c r="T388" s="310">
        <f>T$132*(1-GA!$G$439)</f>
        <v>0</v>
      </c>
      <c r="U388" s="310">
        <f>U$132*(1-GA!$G$439)</f>
        <v>0</v>
      </c>
      <c r="V388" s="310">
        <f>V$132*(1-GA!$G$439)</f>
        <v>0</v>
      </c>
      <c r="W388" s="310">
        <f>W$132*(1-GA!$G$439)</f>
        <v>0</v>
      </c>
      <c r="X388" s="310">
        <f>X$132*(1-GA!$G$439)</f>
        <v>0</v>
      </c>
      <c r="Y388" s="310">
        <f>Y$132*(1-GA!$G$439)</f>
        <v>0</v>
      </c>
      <c r="Z388" s="310">
        <f>Z$132*(1-GA!$G$439)</f>
        <v>0</v>
      </c>
      <c r="AA388" s="310">
        <f>AA$132*(1-GA!$G$439)</f>
        <v>0</v>
      </c>
      <c r="AB388" s="310">
        <f>AB$132*(1-GA!$G$439)</f>
        <v>0</v>
      </c>
      <c r="AC388" s="310">
        <f>AC$132*(1-GA!$G$439)</f>
        <v>0</v>
      </c>
      <c r="AD388" s="310">
        <f>AD$132*(1-GA!$G$439)</f>
        <v>0</v>
      </c>
      <c r="AE388" s="310">
        <f>AE$132*(1-GA!$G$439)</f>
        <v>0</v>
      </c>
      <c r="AF388" s="310">
        <f>AF$132*(1-GA!$G$439)</f>
        <v>0</v>
      </c>
      <c r="AG388" s="310">
        <f>AG$132*(1-GA!$G$439)</f>
        <v>0</v>
      </c>
      <c r="AH388" s="310">
        <f>AH$132*(1-GA!$G$439)</f>
        <v>0</v>
      </c>
      <c r="AI388" s="310">
        <f>AI$132*(1-GA!$G$439)</f>
        <v>0</v>
      </c>
      <c r="AJ388" s="310">
        <f>AJ$132*(1-GA!$G$439)</f>
        <v>0</v>
      </c>
      <c r="AK388" s="310">
        <f>AK$132*(1-GA!$G$439)</f>
        <v>0</v>
      </c>
      <c r="AL388" s="310">
        <f>AL$132*(1-GA!$G$439)</f>
        <v>0</v>
      </c>
      <c r="AM388" s="310">
        <f>AM$132*(1-GA!$G$439)</f>
        <v>0</v>
      </c>
      <c r="AN388" s="310">
        <f>AN$132*(1-GA!$G$439)</f>
        <v>0</v>
      </c>
      <c r="AO388" s="310">
        <f>AO$132*(1-GA!$G$439)</f>
        <v>0</v>
      </c>
      <c r="AP388" s="310">
        <f>AP$132*(1-GA!$G$439)</f>
        <v>0</v>
      </c>
      <c r="AQ388" s="310">
        <f>AQ$132*(1-GA!$G$439)</f>
        <v>0</v>
      </c>
      <c r="AR388" s="310">
        <f>AR$132*(1-GA!$G$439)</f>
        <v>0</v>
      </c>
      <c r="AS388" s="310">
        <f>AS$132*(1-GA!$G$439)</f>
        <v>0</v>
      </c>
      <c r="AT388" s="310">
        <f>AT$132*(1-GA!$G$439)</f>
        <v>0</v>
      </c>
      <c r="AU388" s="310">
        <f>AU$132*(1-GA!$G$439)</f>
        <v>0</v>
      </c>
      <c r="AV388" s="310">
        <f>AV$132*(1-GA!$G$439)</f>
        <v>0</v>
      </c>
      <c r="AW388" s="310">
        <f>AW$132*(1-GA!$G$439)</f>
        <v>0</v>
      </c>
      <c r="AX388" s="310">
        <f>AX$132*(1-GA!$G$439)</f>
        <v>0</v>
      </c>
      <c r="AY388" s="310">
        <f>AY$132*(1-GA!$G$439)</f>
        <v>0</v>
      </c>
      <c r="AZ388" s="310">
        <f>AZ$132*(1-GA!$G$439)</f>
        <v>0</v>
      </c>
      <c r="BA388" s="310">
        <f>BA$132*(1-GA!$G$439)</f>
        <v>0</v>
      </c>
      <c r="BB388" s="310">
        <f>BB$132*(1-GA!$G$439)</f>
        <v>0</v>
      </c>
      <c r="BC388" s="310">
        <f>BC$132*(1-GA!$G$439)</f>
        <v>0</v>
      </c>
      <c r="BD388" s="310">
        <f>BD$132*(1-GA!$G$439)</f>
        <v>0</v>
      </c>
      <c r="BE388" s="310">
        <f>BE$132*(1-GA!$G$439)</f>
        <v>0</v>
      </c>
      <c r="BF388" s="310">
        <f>BF$132*(1-GA!$G$439)</f>
        <v>0</v>
      </c>
      <c r="BG388" s="310">
        <f>BG$132*(1-GA!$G$439)</f>
        <v>0</v>
      </c>
    </row>
    <row r="389" spans="3:59" outlineLevel="1">
      <c r="C389" t="str">
        <f>C133</f>
        <v>Loss from Rent-free Periods</v>
      </c>
      <c r="R389" s="392"/>
      <c r="S389" s="392"/>
      <c r="T389" s="310">
        <f t="shared" ref="T389:BG389" si="354">T133</f>
        <v>0</v>
      </c>
      <c r="U389" s="310">
        <f t="shared" si="354"/>
        <v>0</v>
      </c>
      <c r="V389" s="310">
        <f t="shared" si="354"/>
        <v>0</v>
      </c>
      <c r="W389" s="310">
        <f t="shared" si="354"/>
        <v>0</v>
      </c>
      <c r="X389" s="310">
        <f t="shared" si="354"/>
        <v>0</v>
      </c>
      <c r="Y389" s="310">
        <f t="shared" si="354"/>
        <v>0</v>
      </c>
      <c r="Z389" s="310">
        <f t="shared" si="354"/>
        <v>0</v>
      </c>
      <c r="AA389" s="310">
        <f t="shared" si="354"/>
        <v>0</v>
      </c>
      <c r="AB389" s="310">
        <f t="shared" si="354"/>
        <v>0</v>
      </c>
      <c r="AC389" s="310">
        <f t="shared" si="354"/>
        <v>0</v>
      </c>
      <c r="AD389" s="310">
        <f t="shared" si="354"/>
        <v>0</v>
      </c>
      <c r="AE389" s="310">
        <f t="shared" si="354"/>
        <v>0</v>
      </c>
      <c r="AF389" s="310">
        <f t="shared" si="354"/>
        <v>0</v>
      </c>
      <c r="AG389" s="310">
        <f t="shared" si="354"/>
        <v>0</v>
      </c>
      <c r="AH389" s="310">
        <f t="shared" si="354"/>
        <v>0</v>
      </c>
      <c r="AI389" s="310">
        <f t="shared" si="354"/>
        <v>0</v>
      </c>
      <c r="AJ389" s="310">
        <f t="shared" si="354"/>
        <v>0</v>
      </c>
      <c r="AK389" s="310">
        <f t="shared" si="354"/>
        <v>0</v>
      </c>
      <c r="AL389" s="310">
        <f t="shared" si="354"/>
        <v>0</v>
      </c>
      <c r="AM389" s="310">
        <f t="shared" si="354"/>
        <v>0</v>
      </c>
      <c r="AN389" s="310">
        <f t="shared" si="354"/>
        <v>0</v>
      </c>
      <c r="AO389" s="310">
        <f t="shared" si="354"/>
        <v>0</v>
      </c>
      <c r="AP389" s="310">
        <f t="shared" si="354"/>
        <v>0</v>
      </c>
      <c r="AQ389" s="310">
        <f t="shared" si="354"/>
        <v>0</v>
      </c>
      <c r="AR389" s="310">
        <f t="shared" si="354"/>
        <v>0</v>
      </c>
      <c r="AS389" s="310">
        <f t="shared" si="354"/>
        <v>0</v>
      </c>
      <c r="AT389" s="310">
        <f t="shared" si="354"/>
        <v>0</v>
      </c>
      <c r="AU389" s="310">
        <f t="shared" si="354"/>
        <v>0</v>
      </c>
      <c r="AV389" s="310">
        <f t="shared" si="354"/>
        <v>0</v>
      </c>
      <c r="AW389" s="310">
        <f t="shared" si="354"/>
        <v>0</v>
      </c>
      <c r="AX389" s="310">
        <f t="shared" si="354"/>
        <v>0</v>
      </c>
      <c r="AY389" s="310">
        <f t="shared" si="354"/>
        <v>0</v>
      </c>
      <c r="AZ389" s="310">
        <f t="shared" si="354"/>
        <v>0</v>
      </c>
      <c r="BA389" s="310">
        <f t="shared" si="354"/>
        <v>0</v>
      </c>
      <c r="BB389" s="310">
        <f t="shared" si="354"/>
        <v>0</v>
      </c>
      <c r="BC389" s="310">
        <f t="shared" si="354"/>
        <v>0</v>
      </c>
      <c r="BD389" s="310">
        <f t="shared" si="354"/>
        <v>0</v>
      </c>
      <c r="BE389" s="310">
        <f t="shared" si="354"/>
        <v>0</v>
      </c>
      <c r="BF389" s="310">
        <f t="shared" si="354"/>
        <v>0</v>
      </c>
      <c r="BG389" s="310">
        <f t="shared" si="354"/>
        <v>0</v>
      </c>
    </row>
    <row r="390" spans="3:59" outlineLevel="1">
      <c r="C390" t="str">
        <f>C134</f>
        <v>Tenant Incentives</v>
      </c>
      <c r="R390" s="392"/>
      <c r="S390" s="392"/>
      <c r="T390" s="310">
        <f>T134*(1-GA!$G$438)</f>
        <v>0</v>
      </c>
      <c r="U390" s="310">
        <f>U134*(1-GA!$G$438)</f>
        <v>0</v>
      </c>
      <c r="V390" s="310">
        <f>V134*(1-GA!$G$438)</f>
        <v>0</v>
      </c>
      <c r="W390" s="310">
        <f>W134*(1-GA!$G$438)</f>
        <v>0</v>
      </c>
      <c r="X390" s="310">
        <f>X134*(1-GA!$G$438)</f>
        <v>0</v>
      </c>
      <c r="Y390" s="310">
        <f>Y134*(1-GA!$G$438)</f>
        <v>0</v>
      </c>
      <c r="Z390" s="310">
        <f>Z134*(1-GA!$G$438)</f>
        <v>0</v>
      </c>
      <c r="AA390" s="310">
        <f>AA134*(1-GA!$G$438)</f>
        <v>0</v>
      </c>
      <c r="AB390" s="310">
        <f>AB134*(1-GA!$G$438)</f>
        <v>0</v>
      </c>
      <c r="AC390" s="310">
        <f>AC134*(1-GA!$G$438)</f>
        <v>0</v>
      </c>
      <c r="AD390" s="310">
        <f>AD134*(1-GA!$G$438)</f>
        <v>0</v>
      </c>
      <c r="AE390" s="310">
        <f>AE134*(1-GA!$G$438)</f>
        <v>0</v>
      </c>
      <c r="AF390" s="310">
        <f>AF134*(1-GA!$G$438)</f>
        <v>0</v>
      </c>
      <c r="AG390" s="310">
        <f>AG134*(1-GA!$G$438)</f>
        <v>0</v>
      </c>
      <c r="AH390" s="310">
        <f>AH134*(1-GA!$G$438)</f>
        <v>0</v>
      </c>
      <c r="AI390" s="310">
        <f>AI134*(1-GA!$G$438)</f>
        <v>0</v>
      </c>
      <c r="AJ390" s="310">
        <f>AJ134*(1-GA!$G$438)</f>
        <v>0</v>
      </c>
      <c r="AK390" s="310">
        <f>AK134*(1-GA!$G$438)</f>
        <v>0</v>
      </c>
      <c r="AL390" s="310">
        <f>AL134*(1-GA!$G$438)</f>
        <v>0</v>
      </c>
      <c r="AM390" s="310">
        <f>AM134*(1-GA!$G$438)</f>
        <v>0</v>
      </c>
      <c r="AN390" s="310">
        <f>AN134*(1-GA!$G$438)</f>
        <v>0</v>
      </c>
      <c r="AO390" s="310">
        <f>AO134*(1-GA!$G$438)</f>
        <v>0</v>
      </c>
      <c r="AP390" s="310">
        <f>AP134*(1-GA!$G$438)</f>
        <v>0</v>
      </c>
      <c r="AQ390" s="310">
        <f>AQ134*(1-GA!$G$438)</f>
        <v>0</v>
      </c>
      <c r="AR390" s="310">
        <f>AR134*(1-GA!$G$438)</f>
        <v>0</v>
      </c>
      <c r="AS390" s="310">
        <f>AS134*(1-GA!$G$438)</f>
        <v>0</v>
      </c>
      <c r="AT390" s="310">
        <f>AT134*(1-GA!$G$438)</f>
        <v>0</v>
      </c>
      <c r="AU390" s="310">
        <f>AU134*(1-GA!$G$438)</f>
        <v>0</v>
      </c>
      <c r="AV390" s="310">
        <f>AV134*(1-GA!$G$438)</f>
        <v>0</v>
      </c>
      <c r="AW390" s="310">
        <f>AW134*(1-GA!$G$438)</f>
        <v>0</v>
      </c>
      <c r="AX390" s="310">
        <f>AX134*(1-GA!$G$438)</f>
        <v>0</v>
      </c>
      <c r="AY390" s="310">
        <f>AY134*(1-GA!$G$438)</f>
        <v>0</v>
      </c>
      <c r="AZ390" s="310">
        <f>AZ134*(1-GA!$G$438)</f>
        <v>0</v>
      </c>
      <c r="BA390" s="310">
        <f>BA134*(1-GA!$G$438)</f>
        <v>0</v>
      </c>
      <c r="BB390" s="310">
        <f>BB134*(1-GA!$G$438)</f>
        <v>0</v>
      </c>
      <c r="BC390" s="310">
        <f>BC134*(1-GA!$G$438)</f>
        <v>0</v>
      </c>
      <c r="BD390" s="310">
        <f>BD134*(1-GA!$G$438)</f>
        <v>0</v>
      </c>
      <c r="BE390" s="310">
        <f>BE134*(1-GA!$G$438)</f>
        <v>0</v>
      </c>
      <c r="BF390" s="310">
        <f>BF134*(1-GA!$G$438)</f>
        <v>0</v>
      </c>
      <c r="BG390" s="310">
        <f>BG134*(1-GA!$G$438)</f>
        <v>0</v>
      </c>
    </row>
    <row r="391" spans="3:59" outlineLevel="1">
      <c r="C391" t="str">
        <f>C135</f>
        <v>Expansion Investment</v>
      </c>
      <c r="R391" s="392"/>
      <c r="S391" s="392"/>
      <c r="T391" s="310">
        <f>T135*(1-GA!$G$440)</f>
        <v>0</v>
      </c>
      <c r="U391" s="310">
        <f>U135*(1-GA!$G$440)</f>
        <v>0</v>
      </c>
      <c r="V391" s="310">
        <f>V135*(1-GA!$G$440)</f>
        <v>0</v>
      </c>
      <c r="W391" s="310">
        <f>W135*(1-GA!$G$440)</f>
        <v>0</v>
      </c>
      <c r="X391" s="310">
        <f>X135*(1-GA!$G$440)</f>
        <v>0</v>
      </c>
      <c r="Y391" s="310">
        <f>Y135*(1-GA!$G$440)</f>
        <v>0</v>
      </c>
      <c r="Z391" s="310">
        <f>Z135*(1-GA!$G$440)</f>
        <v>0</v>
      </c>
      <c r="AA391" s="310">
        <f>AA135*(1-GA!$G$440)</f>
        <v>0</v>
      </c>
      <c r="AB391" s="310">
        <f>AB135*(1-GA!$G$440)</f>
        <v>0</v>
      </c>
      <c r="AC391" s="310">
        <f>AC135*(1-GA!$G$440)</f>
        <v>0</v>
      </c>
      <c r="AD391" s="310">
        <f>AD135*(1-GA!$G$440)</f>
        <v>0</v>
      </c>
      <c r="AE391" s="310">
        <f>AE135*(1-GA!$G$440)</f>
        <v>0</v>
      </c>
      <c r="AF391" s="310">
        <f>AF135*(1-GA!$G$440)</f>
        <v>0</v>
      </c>
      <c r="AG391" s="310">
        <f>AG135*(1-GA!$G$440)</f>
        <v>0</v>
      </c>
      <c r="AH391" s="310">
        <f>AH135*(1-GA!$G$440)</f>
        <v>0</v>
      </c>
      <c r="AI391" s="310">
        <f>AI135*(1-GA!$G$440)</f>
        <v>0</v>
      </c>
      <c r="AJ391" s="310">
        <f>AJ135*(1-GA!$G$440)</f>
        <v>0</v>
      </c>
      <c r="AK391" s="310">
        <f>AK135*(1-GA!$G$440)</f>
        <v>0</v>
      </c>
      <c r="AL391" s="310">
        <f>AL135*(1-GA!$G$440)</f>
        <v>0</v>
      </c>
      <c r="AM391" s="310">
        <f>AM135*(1-GA!$G$440)</f>
        <v>0</v>
      </c>
      <c r="AN391" s="310">
        <f>AN135*(1-GA!$G$440)</f>
        <v>0</v>
      </c>
      <c r="AO391" s="310">
        <f>AO135*(1-GA!$G$440)</f>
        <v>0</v>
      </c>
      <c r="AP391" s="310">
        <f>AP135*(1-GA!$G$440)</f>
        <v>0</v>
      </c>
      <c r="AQ391" s="310">
        <f>AQ135*(1-GA!$G$440)</f>
        <v>0</v>
      </c>
      <c r="AR391" s="310">
        <f>AR135*(1-GA!$G$440)</f>
        <v>0</v>
      </c>
      <c r="AS391" s="310">
        <f>AS135*(1-GA!$G$440)</f>
        <v>0</v>
      </c>
      <c r="AT391" s="310">
        <f>AT135*(1-GA!$G$440)</f>
        <v>0</v>
      </c>
      <c r="AU391" s="310">
        <f>AU135*(1-GA!$G$440)</f>
        <v>0</v>
      </c>
      <c r="AV391" s="310">
        <f>AV135*(1-GA!$G$440)</f>
        <v>0</v>
      </c>
      <c r="AW391" s="310">
        <f>AW135*(1-GA!$G$440)</f>
        <v>0</v>
      </c>
      <c r="AX391" s="310">
        <f>AX135*(1-GA!$G$440)</f>
        <v>0</v>
      </c>
      <c r="AY391" s="310">
        <f>AY135*(1-GA!$G$440)</f>
        <v>0</v>
      </c>
      <c r="AZ391" s="310">
        <f>AZ135*(1-GA!$G$440)</f>
        <v>0</v>
      </c>
      <c r="BA391" s="310">
        <f>BA135*(1-GA!$G$440)</f>
        <v>0</v>
      </c>
      <c r="BB391" s="310">
        <f>BB135*(1-GA!$G$440)</f>
        <v>0</v>
      </c>
      <c r="BC391" s="310">
        <f>BC135*(1-GA!$G$440)</f>
        <v>0</v>
      </c>
      <c r="BD391" s="310">
        <f>BD135*(1-GA!$G$440)</f>
        <v>0</v>
      </c>
      <c r="BE391" s="310">
        <f>BE135*(1-GA!$G$440)</f>
        <v>0</v>
      </c>
      <c r="BF391" s="310">
        <f>BF135*(1-GA!$G$440)</f>
        <v>0</v>
      </c>
      <c r="BG391" s="310">
        <f>BG135*(1-GA!$G$440)</f>
        <v>0</v>
      </c>
    </row>
    <row r="392" spans="3:59" outlineLevel="1">
      <c r="C392" t="s">
        <v>1157</v>
      </c>
      <c r="R392" s="392"/>
      <c r="S392" s="392"/>
      <c r="T392" s="310">
        <f t="shared" ref="T392:BG392" si="355">T136</f>
        <v>0</v>
      </c>
      <c r="U392" s="310">
        <f t="shared" si="355"/>
        <v>0</v>
      </c>
      <c r="V392" s="310">
        <f t="shared" si="355"/>
        <v>0</v>
      </c>
      <c r="W392" s="310">
        <f t="shared" si="355"/>
        <v>0</v>
      </c>
      <c r="X392" s="310">
        <f t="shared" si="355"/>
        <v>0</v>
      </c>
      <c r="Y392" s="310">
        <f t="shared" si="355"/>
        <v>0</v>
      </c>
      <c r="Z392" s="310">
        <f t="shared" si="355"/>
        <v>0</v>
      </c>
      <c r="AA392" s="310">
        <f t="shared" si="355"/>
        <v>0</v>
      </c>
      <c r="AB392" s="310">
        <f t="shared" si="355"/>
        <v>0</v>
      </c>
      <c r="AC392" s="310">
        <f t="shared" si="355"/>
        <v>0</v>
      </c>
      <c r="AD392" s="310">
        <f t="shared" si="355"/>
        <v>0</v>
      </c>
      <c r="AE392" s="310">
        <f t="shared" si="355"/>
        <v>0</v>
      </c>
      <c r="AF392" s="310">
        <f t="shared" si="355"/>
        <v>0</v>
      </c>
      <c r="AG392" s="310">
        <f t="shared" si="355"/>
        <v>0</v>
      </c>
      <c r="AH392" s="310">
        <f t="shared" si="355"/>
        <v>0</v>
      </c>
      <c r="AI392" s="310">
        <f t="shared" si="355"/>
        <v>0</v>
      </c>
      <c r="AJ392" s="310">
        <f t="shared" si="355"/>
        <v>0</v>
      </c>
      <c r="AK392" s="310">
        <f t="shared" si="355"/>
        <v>0</v>
      </c>
      <c r="AL392" s="310">
        <f t="shared" si="355"/>
        <v>0</v>
      </c>
      <c r="AM392" s="310">
        <f t="shared" si="355"/>
        <v>0</v>
      </c>
      <c r="AN392" s="310">
        <f t="shared" si="355"/>
        <v>0</v>
      </c>
      <c r="AO392" s="310">
        <f t="shared" si="355"/>
        <v>0</v>
      </c>
      <c r="AP392" s="310">
        <f t="shared" si="355"/>
        <v>0</v>
      </c>
      <c r="AQ392" s="310">
        <f t="shared" si="355"/>
        <v>0</v>
      </c>
      <c r="AR392" s="310">
        <f t="shared" si="355"/>
        <v>0</v>
      </c>
      <c r="AS392" s="310">
        <f t="shared" si="355"/>
        <v>0</v>
      </c>
      <c r="AT392" s="310">
        <f t="shared" si="355"/>
        <v>0</v>
      </c>
      <c r="AU392" s="310">
        <f t="shared" si="355"/>
        <v>0</v>
      </c>
      <c r="AV392" s="310">
        <f t="shared" si="355"/>
        <v>0</v>
      </c>
      <c r="AW392" s="310">
        <f t="shared" si="355"/>
        <v>0</v>
      </c>
      <c r="AX392" s="310">
        <f t="shared" si="355"/>
        <v>0</v>
      </c>
      <c r="AY392" s="310">
        <f t="shared" si="355"/>
        <v>0</v>
      </c>
      <c r="AZ392" s="310">
        <f t="shared" si="355"/>
        <v>0</v>
      </c>
      <c r="BA392" s="310">
        <f t="shared" si="355"/>
        <v>0</v>
      </c>
      <c r="BB392" s="310">
        <f t="shared" si="355"/>
        <v>0</v>
      </c>
      <c r="BC392" s="310">
        <f t="shared" si="355"/>
        <v>0</v>
      </c>
      <c r="BD392" s="310">
        <f t="shared" si="355"/>
        <v>0</v>
      </c>
      <c r="BE392" s="310">
        <f t="shared" si="355"/>
        <v>0</v>
      </c>
      <c r="BF392" s="310">
        <f t="shared" si="355"/>
        <v>0</v>
      </c>
      <c r="BG392" s="310">
        <f t="shared" si="355"/>
        <v>0</v>
      </c>
    </row>
    <row r="393" spans="3:59" outlineLevel="1">
      <c r="C393" t="str">
        <f>C137</f>
        <v>Leasing Commissions</v>
      </c>
      <c r="R393" s="392"/>
      <c r="S393" s="392"/>
      <c r="T393" s="369">
        <f t="shared" ref="T393:BG393" si="356">T137</f>
        <v>0</v>
      </c>
      <c r="U393" s="369">
        <f t="shared" si="356"/>
        <v>0</v>
      </c>
      <c r="V393" s="369">
        <f t="shared" si="356"/>
        <v>0</v>
      </c>
      <c r="W393" s="369">
        <f t="shared" si="356"/>
        <v>0</v>
      </c>
      <c r="X393" s="369">
        <f t="shared" si="356"/>
        <v>0</v>
      </c>
      <c r="Y393" s="369">
        <f t="shared" si="356"/>
        <v>0</v>
      </c>
      <c r="Z393" s="369">
        <f t="shared" si="356"/>
        <v>0</v>
      </c>
      <c r="AA393" s="369">
        <f t="shared" si="356"/>
        <v>0</v>
      </c>
      <c r="AB393" s="369">
        <f t="shared" si="356"/>
        <v>0</v>
      </c>
      <c r="AC393" s="369">
        <f t="shared" si="356"/>
        <v>0</v>
      </c>
      <c r="AD393" s="369">
        <f t="shared" si="356"/>
        <v>0</v>
      </c>
      <c r="AE393" s="369">
        <f t="shared" si="356"/>
        <v>0</v>
      </c>
      <c r="AF393" s="369">
        <f t="shared" si="356"/>
        <v>0</v>
      </c>
      <c r="AG393" s="369">
        <f t="shared" si="356"/>
        <v>0</v>
      </c>
      <c r="AH393" s="369">
        <f t="shared" si="356"/>
        <v>0</v>
      </c>
      <c r="AI393" s="369">
        <f t="shared" si="356"/>
        <v>0</v>
      </c>
      <c r="AJ393" s="369">
        <f t="shared" si="356"/>
        <v>0</v>
      </c>
      <c r="AK393" s="369">
        <f t="shared" si="356"/>
        <v>0</v>
      </c>
      <c r="AL393" s="369">
        <f t="shared" si="356"/>
        <v>0</v>
      </c>
      <c r="AM393" s="369">
        <f t="shared" si="356"/>
        <v>0</v>
      </c>
      <c r="AN393" s="369">
        <f t="shared" si="356"/>
        <v>0</v>
      </c>
      <c r="AO393" s="369">
        <f t="shared" si="356"/>
        <v>0</v>
      </c>
      <c r="AP393" s="369">
        <f t="shared" si="356"/>
        <v>0</v>
      </c>
      <c r="AQ393" s="369">
        <f t="shared" si="356"/>
        <v>0</v>
      </c>
      <c r="AR393" s="369">
        <f t="shared" si="356"/>
        <v>0</v>
      </c>
      <c r="AS393" s="369">
        <f t="shared" si="356"/>
        <v>0</v>
      </c>
      <c r="AT393" s="369">
        <f t="shared" si="356"/>
        <v>0</v>
      </c>
      <c r="AU393" s="369">
        <f t="shared" si="356"/>
        <v>0</v>
      </c>
      <c r="AV393" s="369">
        <f t="shared" si="356"/>
        <v>0</v>
      </c>
      <c r="AW393" s="369">
        <f t="shared" si="356"/>
        <v>0</v>
      </c>
      <c r="AX393" s="369">
        <f t="shared" si="356"/>
        <v>0</v>
      </c>
      <c r="AY393" s="369">
        <f t="shared" si="356"/>
        <v>0</v>
      </c>
      <c r="AZ393" s="369">
        <f t="shared" si="356"/>
        <v>0</v>
      </c>
      <c r="BA393" s="369">
        <f t="shared" si="356"/>
        <v>0</v>
      </c>
      <c r="BB393" s="369">
        <f t="shared" si="356"/>
        <v>0</v>
      </c>
      <c r="BC393" s="369">
        <f t="shared" si="356"/>
        <v>0</v>
      </c>
      <c r="BD393" s="369">
        <f t="shared" si="356"/>
        <v>0</v>
      </c>
      <c r="BE393" s="369">
        <f t="shared" si="356"/>
        <v>0</v>
      </c>
      <c r="BF393" s="369">
        <f t="shared" si="356"/>
        <v>0</v>
      </c>
      <c r="BG393" s="369">
        <f t="shared" si="356"/>
        <v>0</v>
      </c>
    </row>
    <row r="394" spans="3:59" outlineLevel="1">
      <c r="C394" s="253" t="str">
        <f>C138</f>
        <v>Total Non-Recurring Expenses</v>
      </c>
      <c r="D394" s="253"/>
      <c r="E394" s="253"/>
      <c r="F394" s="253"/>
      <c r="G394" s="253"/>
      <c r="H394" s="253"/>
      <c r="I394" s="253"/>
      <c r="J394" s="253"/>
      <c r="K394" s="253"/>
      <c r="L394" s="253"/>
      <c r="M394" s="253"/>
      <c r="N394" s="253"/>
      <c r="O394" s="268"/>
      <c r="P394" s="268"/>
      <c r="Q394" s="268"/>
      <c r="R394" s="153"/>
      <c r="S394" s="153"/>
      <c r="T394" s="369">
        <f>SUM(T388:T393)</f>
        <v>0</v>
      </c>
      <c r="U394" s="369">
        <f t="shared" ref="U394:BG394" si="357">SUM(U388:U393)</f>
        <v>0</v>
      </c>
      <c r="V394" s="369">
        <f t="shared" si="357"/>
        <v>0</v>
      </c>
      <c r="W394" s="369">
        <f t="shared" si="357"/>
        <v>0</v>
      </c>
      <c r="X394" s="369">
        <f t="shared" si="357"/>
        <v>0</v>
      </c>
      <c r="Y394" s="369">
        <f t="shared" si="357"/>
        <v>0</v>
      </c>
      <c r="Z394" s="369">
        <f t="shared" si="357"/>
        <v>0</v>
      </c>
      <c r="AA394" s="369">
        <f t="shared" si="357"/>
        <v>0</v>
      </c>
      <c r="AB394" s="369">
        <f t="shared" si="357"/>
        <v>0</v>
      </c>
      <c r="AC394" s="369">
        <f t="shared" si="357"/>
        <v>0</v>
      </c>
      <c r="AD394" s="369">
        <f t="shared" si="357"/>
        <v>0</v>
      </c>
      <c r="AE394" s="369">
        <f t="shared" si="357"/>
        <v>0</v>
      </c>
      <c r="AF394" s="369">
        <f t="shared" si="357"/>
        <v>0</v>
      </c>
      <c r="AG394" s="369">
        <f t="shared" si="357"/>
        <v>0</v>
      </c>
      <c r="AH394" s="369">
        <f t="shared" si="357"/>
        <v>0</v>
      </c>
      <c r="AI394" s="369">
        <f t="shared" si="357"/>
        <v>0</v>
      </c>
      <c r="AJ394" s="369">
        <f t="shared" si="357"/>
        <v>0</v>
      </c>
      <c r="AK394" s="369">
        <f t="shared" si="357"/>
        <v>0</v>
      </c>
      <c r="AL394" s="369">
        <f t="shared" si="357"/>
        <v>0</v>
      </c>
      <c r="AM394" s="369">
        <f t="shared" si="357"/>
        <v>0</v>
      </c>
      <c r="AN394" s="369">
        <f t="shared" si="357"/>
        <v>0</v>
      </c>
      <c r="AO394" s="369">
        <f t="shared" si="357"/>
        <v>0</v>
      </c>
      <c r="AP394" s="369">
        <f t="shared" si="357"/>
        <v>0</v>
      </c>
      <c r="AQ394" s="369">
        <f t="shared" si="357"/>
        <v>0</v>
      </c>
      <c r="AR394" s="369">
        <f t="shared" si="357"/>
        <v>0</v>
      </c>
      <c r="AS394" s="369">
        <f t="shared" si="357"/>
        <v>0</v>
      </c>
      <c r="AT394" s="369">
        <f t="shared" si="357"/>
        <v>0</v>
      </c>
      <c r="AU394" s="369">
        <f t="shared" si="357"/>
        <v>0</v>
      </c>
      <c r="AV394" s="369">
        <f t="shared" si="357"/>
        <v>0</v>
      </c>
      <c r="AW394" s="369">
        <f t="shared" si="357"/>
        <v>0</v>
      </c>
      <c r="AX394" s="369">
        <f t="shared" si="357"/>
        <v>0</v>
      </c>
      <c r="AY394" s="369">
        <f t="shared" si="357"/>
        <v>0</v>
      </c>
      <c r="AZ394" s="369">
        <f t="shared" si="357"/>
        <v>0</v>
      </c>
      <c r="BA394" s="369">
        <f t="shared" si="357"/>
        <v>0</v>
      </c>
      <c r="BB394" s="369">
        <f t="shared" si="357"/>
        <v>0</v>
      </c>
      <c r="BC394" s="369">
        <f t="shared" si="357"/>
        <v>0</v>
      </c>
      <c r="BD394" s="369">
        <f t="shared" si="357"/>
        <v>0</v>
      </c>
      <c r="BE394" s="369">
        <f t="shared" si="357"/>
        <v>0</v>
      </c>
      <c r="BF394" s="369">
        <f t="shared" si="357"/>
        <v>0</v>
      </c>
      <c r="BG394" s="369">
        <f t="shared" si="357"/>
        <v>0</v>
      </c>
    </row>
    <row r="395" spans="3:59" outlineLevel="1"/>
    <row r="396" spans="3:59" outlineLevel="1">
      <c r="C396" s="364" t="s">
        <v>832</v>
      </c>
      <c r="D396" s="364"/>
      <c r="E396" s="364"/>
      <c r="F396" s="364"/>
      <c r="G396" s="364"/>
      <c r="H396" s="364"/>
      <c r="I396" s="364"/>
      <c r="J396" s="364"/>
      <c r="K396" s="364"/>
      <c r="L396" s="364"/>
      <c r="M396" s="364"/>
      <c r="N396" s="364"/>
      <c r="O396" s="486" t="s">
        <v>830</v>
      </c>
    </row>
    <row r="397" spans="3:59" outlineLevel="1">
      <c r="C397" t="s">
        <v>833</v>
      </c>
      <c r="P397" s="269"/>
      <c r="Q397" s="269"/>
      <c r="R397" s="248"/>
      <c r="S397" s="368">
        <f t="shared" ref="S397:BG397" si="358">S201</f>
        <v>-47000</v>
      </c>
      <c r="T397" s="368">
        <f t="shared" si="358"/>
        <v>0</v>
      </c>
      <c r="U397" s="368">
        <f t="shared" si="358"/>
        <v>0</v>
      </c>
      <c r="V397" s="368">
        <f t="shared" si="358"/>
        <v>0</v>
      </c>
      <c r="W397" s="368">
        <f t="shared" si="358"/>
        <v>0</v>
      </c>
      <c r="X397" s="368">
        <f t="shared" si="358"/>
        <v>0</v>
      </c>
      <c r="Y397" s="368">
        <f t="shared" si="358"/>
        <v>0</v>
      </c>
      <c r="Z397" s="368">
        <f t="shared" si="358"/>
        <v>0</v>
      </c>
      <c r="AA397" s="368">
        <f t="shared" si="358"/>
        <v>0</v>
      </c>
      <c r="AB397" s="368">
        <f t="shared" si="358"/>
        <v>0</v>
      </c>
      <c r="AC397" s="368">
        <f t="shared" si="358"/>
        <v>0</v>
      </c>
      <c r="AD397" s="368">
        <f t="shared" si="358"/>
        <v>0</v>
      </c>
      <c r="AE397" s="368">
        <f t="shared" si="358"/>
        <v>0</v>
      </c>
      <c r="AF397" s="368">
        <f t="shared" si="358"/>
        <v>0</v>
      </c>
      <c r="AG397" s="368">
        <f t="shared" si="358"/>
        <v>0</v>
      </c>
      <c r="AH397" s="368">
        <f t="shared" si="358"/>
        <v>0</v>
      </c>
      <c r="AI397" s="368">
        <f t="shared" si="358"/>
        <v>0</v>
      </c>
      <c r="AJ397" s="368">
        <f t="shared" si="358"/>
        <v>0</v>
      </c>
      <c r="AK397" s="368">
        <f t="shared" si="358"/>
        <v>0</v>
      </c>
      <c r="AL397" s="368">
        <f t="shared" si="358"/>
        <v>0</v>
      </c>
      <c r="AM397" s="368">
        <f t="shared" si="358"/>
        <v>0</v>
      </c>
      <c r="AN397" s="368">
        <f t="shared" si="358"/>
        <v>0</v>
      </c>
      <c r="AO397" s="368">
        <f t="shared" si="358"/>
        <v>0</v>
      </c>
      <c r="AP397" s="368">
        <f t="shared" si="358"/>
        <v>0</v>
      </c>
      <c r="AQ397" s="368">
        <f t="shared" si="358"/>
        <v>0</v>
      </c>
      <c r="AR397" s="368">
        <f t="shared" si="358"/>
        <v>0</v>
      </c>
      <c r="AS397" s="368">
        <f t="shared" si="358"/>
        <v>0</v>
      </c>
      <c r="AT397" s="368">
        <f t="shared" si="358"/>
        <v>0</v>
      </c>
      <c r="AU397" s="368">
        <f t="shared" si="358"/>
        <v>0</v>
      </c>
      <c r="AV397" s="368">
        <f t="shared" si="358"/>
        <v>0</v>
      </c>
      <c r="AW397" s="368">
        <f t="shared" si="358"/>
        <v>0</v>
      </c>
      <c r="AX397" s="368">
        <f t="shared" si="358"/>
        <v>0</v>
      </c>
      <c r="AY397" s="368">
        <f t="shared" si="358"/>
        <v>0</v>
      </c>
      <c r="AZ397" s="368">
        <f t="shared" si="358"/>
        <v>0</v>
      </c>
      <c r="BA397" s="368">
        <f t="shared" si="358"/>
        <v>0</v>
      </c>
      <c r="BB397" s="368">
        <f t="shared" si="358"/>
        <v>0</v>
      </c>
      <c r="BC397" s="368">
        <f t="shared" si="358"/>
        <v>0</v>
      </c>
      <c r="BD397" s="368">
        <f t="shared" si="358"/>
        <v>0</v>
      </c>
      <c r="BE397" s="368">
        <f t="shared" si="358"/>
        <v>0</v>
      </c>
      <c r="BF397" s="368">
        <f t="shared" si="358"/>
        <v>0</v>
      </c>
      <c r="BG397" s="368">
        <f t="shared" si="358"/>
        <v>0</v>
      </c>
    </row>
    <row r="398" spans="3:59" outlineLevel="1">
      <c r="C398" t="s">
        <v>834</v>
      </c>
      <c r="R398" s="392"/>
      <c r="S398" s="310">
        <f t="shared" ref="S398:BG398" si="359">S227</f>
        <v>0</v>
      </c>
      <c r="T398" s="310">
        <f t="shared" si="359"/>
        <v>0</v>
      </c>
      <c r="U398" s="310">
        <f t="shared" si="359"/>
        <v>0</v>
      </c>
      <c r="V398" s="310">
        <f t="shared" si="359"/>
        <v>0</v>
      </c>
      <c r="W398" s="310">
        <f t="shared" si="359"/>
        <v>0</v>
      </c>
      <c r="X398" s="310">
        <f t="shared" si="359"/>
        <v>0</v>
      </c>
      <c r="Y398" s="310">
        <f t="shared" si="359"/>
        <v>0</v>
      </c>
      <c r="Z398" s="310">
        <f t="shared" si="359"/>
        <v>0</v>
      </c>
      <c r="AA398" s="310">
        <f t="shared" si="359"/>
        <v>0</v>
      </c>
      <c r="AB398" s="310">
        <f t="shared" si="359"/>
        <v>0</v>
      </c>
      <c r="AC398" s="310">
        <f t="shared" si="359"/>
        <v>0</v>
      </c>
      <c r="AD398" s="310">
        <f t="shared" si="359"/>
        <v>0</v>
      </c>
      <c r="AE398" s="310">
        <f t="shared" si="359"/>
        <v>0</v>
      </c>
      <c r="AF398" s="310">
        <f t="shared" si="359"/>
        <v>0</v>
      </c>
      <c r="AG398" s="310">
        <f t="shared" si="359"/>
        <v>0</v>
      </c>
      <c r="AH398" s="310">
        <f t="shared" si="359"/>
        <v>0</v>
      </c>
      <c r="AI398" s="310">
        <f t="shared" si="359"/>
        <v>0</v>
      </c>
      <c r="AJ398" s="310">
        <f t="shared" si="359"/>
        <v>0</v>
      </c>
      <c r="AK398" s="310">
        <f t="shared" si="359"/>
        <v>0</v>
      </c>
      <c r="AL398" s="310">
        <f t="shared" si="359"/>
        <v>0</v>
      </c>
      <c r="AM398" s="310">
        <f t="shared" si="359"/>
        <v>0</v>
      </c>
      <c r="AN398" s="310">
        <f t="shared" si="359"/>
        <v>0</v>
      </c>
      <c r="AO398" s="310">
        <f t="shared" si="359"/>
        <v>0</v>
      </c>
      <c r="AP398" s="310">
        <f t="shared" si="359"/>
        <v>0</v>
      </c>
      <c r="AQ398" s="310">
        <f t="shared" si="359"/>
        <v>0</v>
      </c>
      <c r="AR398" s="310">
        <f t="shared" si="359"/>
        <v>0</v>
      </c>
      <c r="AS398" s="310">
        <f t="shared" si="359"/>
        <v>0</v>
      </c>
      <c r="AT398" s="310">
        <f t="shared" si="359"/>
        <v>0</v>
      </c>
      <c r="AU398" s="310">
        <f t="shared" si="359"/>
        <v>0</v>
      </c>
      <c r="AV398" s="310">
        <f t="shared" si="359"/>
        <v>0</v>
      </c>
      <c r="AW398" s="310">
        <f t="shared" si="359"/>
        <v>0</v>
      </c>
      <c r="AX398" s="310">
        <f t="shared" si="359"/>
        <v>0</v>
      </c>
      <c r="AY398" s="310">
        <f t="shared" si="359"/>
        <v>0</v>
      </c>
      <c r="AZ398" s="310">
        <f t="shared" si="359"/>
        <v>0</v>
      </c>
      <c r="BA398" s="310">
        <f t="shared" si="359"/>
        <v>0</v>
      </c>
      <c r="BB398" s="310">
        <f t="shared" si="359"/>
        <v>0</v>
      </c>
      <c r="BC398" s="310">
        <f t="shared" si="359"/>
        <v>0</v>
      </c>
      <c r="BD398" s="310">
        <f t="shared" si="359"/>
        <v>0</v>
      </c>
      <c r="BE398" s="310">
        <f t="shared" si="359"/>
        <v>0</v>
      </c>
      <c r="BF398" s="310">
        <f t="shared" si="359"/>
        <v>0</v>
      </c>
      <c r="BG398" s="310">
        <f t="shared" si="359"/>
        <v>0</v>
      </c>
    </row>
    <row r="399" spans="3:59" outlineLevel="1">
      <c r="C399" t="s">
        <v>836</v>
      </c>
      <c r="R399" s="392"/>
      <c r="S399" s="310">
        <f t="shared" ref="S399:BG399" si="360">S277</f>
        <v>0</v>
      </c>
      <c r="T399" s="310">
        <f t="shared" si="360"/>
        <v>0</v>
      </c>
      <c r="U399" s="310">
        <f t="shared" si="360"/>
        <v>0</v>
      </c>
      <c r="V399" s="310">
        <f t="shared" si="360"/>
        <v>0</v>
      </c>
      <c r="W399" s="310">
        <f t="shared" si="360"/>
        <v>0</v>
      </c>
      <c r="X399" s="310">
        <f t="shared" si="360"/>
        <v>0</v>
      </c>
      <c r="Y399" s="310">
        <f t="shared" si="360"/>
        <v>0</v>
      </c>
      <c r="Z399" s="310">
        <f t="shared" si="360"/>
        <v>0</v>
      </c>
      <c r="AA399" s="310">
        <f t="shared" si="360"/>
        <v>0</v>
      </c>
      <c r="AB399" s="310">
        <f t="shared" si="360"/>
        <v>0</v>
      </c>
      <c r="AC399" s="310">
        <f t="shared" si="360"/>
        <v>0</v>
      </c>
      <c r="AD399" s="310">
        <f t="shared" si="360"/>
        <v>0</v>
      </c>
      <c r="AE399" s="310">
        <f t="shared" si="360"/>
        <v>0</v>
      </c>
      <c r="AF399" s="310">
        <f t="shared" si="360"/>
        <v>0</v>
      </c>
      <c r="AG399" s="310">
        <f t="shared" si="360"/>
        <v>0</v>
      </c>
      <c r="AH399" s="310">
        <f t="shared" si="360"/>
        <v>0</v>
      </c>
      <c r="AI399" s="310">
        <f t="shared" si="360"/>
        <v>0</v>
      </c>
      <c r="AJ399" s="310">
        <f t="shared" si="360"/>
        <v>0</v>
      </c>
      <c r="AK399" s="310">
        <f t="shared" si="360"/>
        <v>0</v>
      </c>
      <c r="AL399" s="310">
        <f t="shared" si="360"/>
        <v>0</v>
      </c>
      <c r="AM399" s="310">
        <f t="shared" si="360"/>
        <v>0</v>
      </c>
      <c r="AN399" s="310">
        <f t="shared" si="360"/>
        <v>0</v>
      </c>
      <c r="AO399" s="310">
        <f t="shared" si="360"/>
        <v>0</v>
      </c>
      <c r="AP399" s="310">
        <f t="shared" si="360"/>
        <v>0</v>
      </c>
      <c r="AQ399" s="310">
        <f t="shared" si="360"/>
        <v>0</v>
      </c>
      <c r="AR399" s="310">
        <f t="shared" si="360"/>
        <v>0</v>
      </c>
      <c r="AS399" s="310">
        <f t="shared" si="360"/>
        <v>0</v>
      </c>
      <c r="AT399" s="310">
        <f t="shared" si="360"/>
        <v>0</v>
      </c>
      <c r="AU399" s="310">
        <f t="shared" si="360"/>
        <v>0</v>
      </c>
      <c r="AV399" s="310">
        <f t="shared" si="360"/>
        <v>0</v>
      </c>
      <c r="AW399" s="310">
        <f t="shared" si="360"/>
        <v>0</v>
      </c>
      <c r="AX399" s="310">
        <f t="shared" si="360"/>
        <v>0</v>
      </c>
      <c r="AY399" s="310">
        <f t="shared" si="360"/>
        <v>0</v>
      </c>
      <c r="AZ399" s="310">
        <f t="shared" si="360"/>
        <v>0</v>
      </c>
      <c r="BA399" s="310">
        <f t="shared" si="360"/>
        <v>0</v>
      </c>
      <c r="BB399" s="310">
        <f t="shared" si="360"/>
        <v>0</v>
      </c>
      <c r="BC399" s="310">
        <f t="shared" si="360"/>
        <v>0</v>
      </c>
      <c r="BD399" s="310">
        <f t="shared" si="360"/>
        <v>0</v>
      </c>
      <c r="BE399" s="310">
        <f t="shared" si="360"/>
        <v>0</v>
      </c>
      <c r="BF399" s="310">
        <f t="shared" si="360"/>
        <v>0</v>
      </c>
      <c r="BG399" s="310">
        <f t="shared" si="360"/>
        <v>0</v>
      </c>
    </row>
    <row r="400" spans="3:59" outlineLevel="1">
      <c r="C400" t="s">
        <v>835</v>
      </c>
      <c r="P400" s="17"/>
      <c r="Q400" s="17"/>
      <c r="R400" s="416"/>
      <c r="S400" s="416"/>
      <c r="T400" s="416"/>
      <c r="U400" s="416"/>
      <c r="V400" s="416"/>
      <c r="W400" s="416"/>
      <c r="X400" s="416"/>
      <c r="Y400" s="416"/>
      <c r="Z400" s="416"/>
      <c r="AA400" s="416"/>
      <c r="AB400" s="416"/>
      <c r="AC400" s="416"/>
      <c r="AD400" s="416"/>
      <c r="AE400" s="416"/>
      <c r="AF400" s="416"/>
      <c r="AG400" s="416"/>
      <c r="AH400" s="416"/>
      <c r="AI400" s="416"/>
      <c r="AJ400" s="416"/>
      <c r="AK400" s="416"/>
      <c r="AL400" s="416"/>
      <c r="AM400" s="416"/>
      <c r="AN400" s="416"/>
      <c r="AO400" s="416"/>
      <c r="AP400" s="416"/>
      <c r="AQ400" s="416"/>
      <c r="AR400" s="416"/>
      <c r="AS400" s="416"/>
      <c r="AT400" s="416"/>
      <c r="AU400" s="416"/>
      <c r="AV400" s="416"/>
      <c r="AW400" s="416"/>
      <c r="AX400" s="416"/>
      <c r="AY400" s="416"/>
      <c r="AZ400" s="416"/>
      <c r="BA400" s="416"/>
      <c r="BB400" s="416"/>
      <c r="BC400" s="416"/>
      <c r="BD400" s="416"/>
      <c r="BE400" s="416"/>
      <c r="BF400" s="416"/>
      <c r="BG400" s="416"/>
    </row>
    <row r="401" spans="3:59" outlineLevel="1">
      <c r="C401" s="253" t="s">
        <v>152</v>
      </c>
      <c r="D401" s="253"/>
      <c r="E401" s="253"/>
      <c r="F401" s="253"/>
      <c r="G401" s="253"/>
      <c r="H401" s="253"/>
      <c r="I401" s="253"/>
      <c r="J401" s="253"/>
      <c r="K401" s="253"/>
      <c r="L401" s="253"/>
      <c r="M401" s="253"/>
      <c r="N401" s="253"/>
      <c r="O401" s="253"/>
      <c r="P401" s="253"/>
      <c r="Q401" s="253"/>
      <c r="R401" s="401"/>
      <c r="S401" s="254">
        <f>SUM(S397:S400)</f>
        <v>-47000</v>
      </c>
      <c r="T401" s="254">
        <f t="shared" ref="T401:BG401" si="361">SUM(T397:T400)</f>
        <v>0</v>
      </c>
      <c r="U401" s="254">
        <f t="shared" si="361"/>
        <v>0</v>
      </c>
      <c r="V401" s="254">
        <f t="shared" si="361"/>
        <v>0</v>
      </c>
      <c r="W401" s="254">
        <f t="shared" si="361"/>
        <v>0</v>
      </c>
      <c r="X401" s="254">
        <f t="shared" si="361"/>
        <v>0</v>
      </c>
      <c r="Y401" s="254">
        <f t="shared" si="361"/>
        <v>0</v>
      </c>
      <c r="Z401" s="254">
        <f t="shared" si="361"/>
        <v>0</v>
      </c>
      <c r="AA401" s="254">
        <f t="shared" si="361"/>
        <v>0</v>
      </c>
      <c r="AB401" s="254">
        <f t="shared" si="361"/>
        <v>0</v>
      </c>
      <c r="AC401" s="254">
        <f t="shared" si="361"/>
        <v>0</v>
      </c>
      <c r="AD401" s="254">
        <f t="shared" si="361"/>
        <v>0</v>
      </c>
      <c r="AE401" s="254">
        <f t="shared" si="361"/>
        <v>0</v>
      </c>
      <c r="AF401" s="254">
        <f t="shared" si="361"/>
        <v>0</v>
      </c>
      <c r="AG401" s="254">
        <f t="shared" si="361"/>
        <v>0</v>
      </c>
      <c r="AH401" s="254">
        <f t="shared" si="361"/>
        <v>0</v>
      </c>
      <c r="AI401" s="254">
        <f t="shared" si="361"/>
        <v>0</v>
      </c>
      <c r="AJ401" s="254">
        <f t="shared" si="361"/>
        <v>0</v>
      </c>
      <c r="AK401" s="254">
        <f t="shared" si="361"/>
        <v>0</v>
      </c>
      <c r="AL401" s="254">
        <f t="shared" si="361"/>
        <v>0</v>
      </c>
      <c r="AM401" s="254">
        <f t="shared" si="361"/>
        <v>0</v>
      </c>
      <c r="AN401" s="254">
        <f t="shared" si="361"/>
        <v>0</v>
      </c>
      <c r="AO401" s="254">
        <f t="shared" si="361"/>
        <v>0</v>
      </c>
      <c r="AP401" s="254">
        <f t="shared" si="361"/>
        <v>0</v>
      </c>
      <c r="AQ401" s="254">
        <f t="shared" si="361"/>
        <v>0</v>
      </c>
      <c r="AR401" s="254">
        <f t="shared" si="361"/>
        <v>0</v>
      </c>
      <c r="AS401" s="254">
        <f t="shared" si="361"/>
        <v>0</v>
      </c>
      <c r="AT401" s="254">
        <f t="shared" si="361"/>
        <v>0</v>
      </c>
      <c r="AU401" s="254">
        <f t="shared" si="361"/>
        <v>0</v>
      </c>
      <c r="AV401" s="254">
        <f t="shared" si="361"/>
        <v>0</v>
      </c>
      <c r="AW401" s="254">
        <f t="shared" si="361"/>
        <v>0</v>
      </c>
      <c r="AX401" s="254">
        <f t="shared" si="361"/>
        <v>0</v>
      </c>
      <c r="AY401" s="254">
        <f t="shared" si="361"/>
        <v>0</v>
      </c>
      <c r="AZ401" s="254">
        <f t="shared" si="361"/>
        <v>0</v>
      </c>
      <c r="BA401" s="254">
        <f t="shared" si="361"/>
        <v>0</v>
      </c>
      <c r="BB401" s="254">
        <f t="shared" si="361"/>
        <v>0</v>
      </c>
      <c r="BC401" s="254">
        <f t="shared" si="361"/>
        <v>0</v>
      </c>
      <c r="BD401" s="254">
        <f t="shared" si="361"/>
        <v>0</v>
      </c>
      <c r="BE401" s="254">
        <f t="shared" si="361"/>
        <v>0</v>
      </c>
      <c r="BF401" s="254">
        <f t="shared" si="361"/>
        <v>0</v>
      </c>
      <c r="BG401" s="254">
        <f t="shared" si="361"/>
        <v>0</v>
      </c>
    </row>
    <row r="402" spans="3:59" outlineLevel="1"/>
    <row r="403" spans="3:59" outlineLevel="1">
      <c r="C403" s="364" t="s">
        <v>837</v>
      </c>
      <c r="D403" s="364"/>
      <c r="E403" s="364"/>
      <c r="F403" s="364"/>
      <c r="G403" s="364"/>
      <c r="H403" s="364"/>
      <c r="I403" s="364"/>
      <c r="J403" s="364"/>
      <c r="K403" s="364"/>
      <c r="L403" s="364"/>
      <c r="M403" s="364"/>
      <c r="N403" s="364"/>
      <c r="O403" s="486"/>
      <c r="P403" s="17"/>
      <c r="Q403" s="17"/>
      <c r="R403" s="17"/>
      <c r="S403" s="17"/>
    </row>
    <row r="404" spans="3:59" outlineLevel="1">
      <c r="C404" t="s">
        <v>838</v>
      </c>
      <c r="R404" s="392"/>
      <c r="S404" s="392"/>
      <c r="T404" s="368">
        <f t="shared" ref="T404:BG404" si="362">T150</f>
        <v>0</v>
      </c>
      <c r="U404" s="368">
        <f t="shared" si="362"/>
        <v>0</v>
      </c>
      <c r="V404" s="368">
        <f t="shared" si="362"/>
        <v>0</v>
      </c>
      <c r="W404" s="368">
        <f t="shared" si="362"/>
        <v>0</v>
      </c>
      <c r="X404" s="368">
        <f t="shared" si="362"/>
        <v>0</v>
      </c>
      <c r="Y404" s="368">
        <f t="shared" si="362"/>
        <v>0</v>
      </c>
      <c r="Z404" s="368">
        <f t="shared" si="362"/>
        <v>0</v>
      </c>
      <c r="AA404" s="368">
        <f t="shared" si="362"/>
        <v>0</v>
      </c>
      <c r="AB404" s="368">
        <f t="shared" si="362"/>
        <v>0</v>
      </c>
      <c r="AC404" s="368">
        <f t="shared" si="362"/>
        <v>0</v>
      </c>
      <c r="AD404" s="368">
        <f t="shared" si="362"/>
        <v>0</v>
      </c>
      <c r="AE404" s="368">
        <f t="shared" si="362"/>
        <v>3676822.9270256222</v>
      </c>
      <c r="AF404" s="368">
        <f t="shared" si="362"/>
        <v>0</v>
      </c>
      <c r="AG404" s="368">
        <f t="shared" si="362"/>
        <v>0</v>
      </c>
      <c r="AH404" s="368">
        <f t="shared" si="362"/>
        <v>0</v>
      </c>
      <c r="AI404" s="368">
        <f t="shared" si="362"/>
        <v>0</v>
      </c>
      <c r="AJ404" s="368">
        <f t="shared" si="362"/>
        <v>0</v>
      </c>
      <c r="AK404" s="368">
        <f t="shared" si="362"/>
        <v>0</v>
      </c>
      <c r="AL404" s="368">
        <f t="shared" si="362"/>
        <v>0</v>
      </c>
      <c r="AM404" s="368">
        <f t="shared" si="362"/>
        <v>0</v>
      </c>
      <c r="AN404" s="368">
        <f t="shared" si="362"/>
        <v>0</v>
      </c>
      <c r="AO404" s="368">
        <f t="shared" si="362"/>
        <v>0</v>
      </c>
      <c r="AP404" s="368">
        <f t="shared" si="362"/>
        <v>0</v>
      </c>
      <c r="AQ404" s="368">
        <f t="shared" si="362"/>
        <v>0</v>
      </c>
      <c r="AR404" s="368">
        <f t="shared" si="362"/>
        <v>0</v>
      </c>
      <c r="AS404" s="368">
        <f t="shared" si="362"/>
        <v>0</v>
      </c>
      <c r="AT404" s="368">
        <f t="shared" si="362"/>
        <v>0</v>
      </c>
      <c r="AU404" s="368">
        <f t="shared" si="362"/>
        <v>0</v>
      </c>
      <c r="AV404" s="368">
        <f t="shared" si="362"/>
        <v>0</v>
      </c>
      <c r="AW404" s="368">
        <f t="shared" si="362"/>
        <v>0</v>
      </c>
      <c r="AX404" s="368">
        <f t="shared" si="362"/>
        <v>0</v>
      </c>
      <c r="AY404" s="368">
        <f t="shared" si="362"/>
        <v>0</v>
      </c>
      <c r="AZ404" s="368">
        <f t="shared" si="362"/>
        <v>0</v>
      </c>
      <c r="BA404" s="368">
        <f t="shared" si="362"/>
        <v>0</v>
      </c>
      <c r="BB404" s="368">
        <f t="shared" si="362"/>
        <v>0</v>
      </c>
      <c r="BC404" s="368">
        <f t="shared" si="362"/>
        <v>0</v>
      </c>
      <c r="BD404" s="368">
        <f t="shared" si="362"/>
        <v>0</v>
      </c>
      <c r="BE404" s="368">
        <f t="shared" si="362"/>
        <v>0</v>
      </c>
      <c r="BF404" s="368">
        <f t="shared" si="362"/>
        <v>0</v>
      </c>
      <c r="BG404" s="368">
        <f t="shared" si="362"/>
        <v>0</v>
      </c>
    </row>
    <row r="405" spans="3:59" outlineLevel="1">
      <c r="C405" t="s">
        <v>600</v>
      </c>
      <c r="R405" s="392"/>
      <c r="S405" s="392"/>
      <c r="T405" s="403">
        <f>-TDCF!T180</f>
        <v>0</v>
      </c>
      <c r="U405" s="403">
        <f>-TDCF!U180</f>
        <v>0</v>
      </c>
      <c r="V405" s="403">
        <f>-TDCF!V180</f>
        <v>0</v>
      </c>
      <c r="W405" s="403">
        <f>-TDCF!W180</f>
        <v>0</v>
      </c>
      <c r="X405" s="403">
        <f>-TDCF!X180</f>
        <v>0</v>
      </c>
      <c r="Y405" s="403">
        <f>-TDCF!Y180</f>
        <v>0</v>
      </c>
      <c r="Z405" s="403">
        <f>-TDCF!Z180</f>
        <v>0</v>
      </c>
      <c r="AA405" s="403">
        <f>-TDCF!AA180</f>
        <v>0</v>
      </c>
      <c r="AB405" s="403">
        <f>-TDCF!AB180</f>
        <v>0</v>
      </c>
      <c r="AC405" s="403">
        <f>-TDCF!AC180</f>
        <v>0</v>
      </c>
      <c r="AD405" s="403">
        <f>-TDCF!AD180</f>
        <v>0</v>
      </c>
      <c r="AE405" s="403">
        <f>-TDCF!AE180</f>
        <v>-5280424.8291654028</v>
      </c>
      <c r="AF405" s="403">
        <f>-TDCF!AF180</f>
        <v>0</v>
      </c>
      <c r="AG405" s="403">
        <f>-TDCF!AG180</f>
        <v>0</v>
      </c>
      <c r="AH405" s="403">
        <f>-TDCF!AH180</f>
        <v>0</v>
      </c>
      <c r="AI405" s="403">
        <f>-TDCF!AI180</f>
        <v>0</v>
      </c>
      <c r="AJ405" s="403">
        <f>-TDCF!AJ180</f>
        <v>0</v>
      </c>
      <c r="AK405" s="403">
        <f>-TDCF!AK180</f>
        <v>0</v>
      </c>
      <c r="AL405" s="403">
        <f>-TDCF!AL180</f>
        <v>0</v>
      </c>
      <c r="AM405" s="403">
        <f>-TDCF!AM180</f>
        <v>0</v>
      </c>
      <c r="AN405" s="403">
        <f>-TDCF!AN180</f>
        <v>0</v>
      </c>
      <c r="AO405" s="403">
        <f>-TDCF!AO180</f>
        <v>0</v>
      </c>
      <c r="AP405" s="403">
        <f>-TDCF!AP180</f>
        <v>0</v>
      </c>
      <c r="AQ405" s="403">
        <f>-TDCF!AQ180</f>
        <v>0</v>
      </c>
      <c r="AR405" s="403">
        <f>-TDCF!AR180</f>
        <v>0</v>
      </c>
      <c r="AS405" s="403">
        <f>-TDCF!AS180</f>
        <v>0</v>
      </c>
      <c r="AT405" s="403">
        <f>-TDCF!AT180</f>
        <v>0</v>
      </c>
      <c r="AU405" s="403">
        <f>-TDCF!AU180</f>
        <v>0</v>
      </c>
      <c r="AV405" s="403">
        <f>-TDCF!AV180</f>
        <v>0</v>
      </c>
      <c r="AW405" s="403">
        <f>-TDCF!AW180</f>
        <v>0</v>
      </c>
      <c r="AX405" s="403">
        <f>-TDCF!AX180</f>
        <v>0</v>
      </c>
      <c r="AY405" s="403">
        <f>-TDCF!AY180</f>
        <v>0</v>
      </c>
      <c r="AZ405" s="403">
        <f>-TDCF!AZ180</f>
        <v>0</v>
      </c>
      <c r="BA405" s="403">
        <f>-TDCF!BA180</f>
        <v>0</v>
      </c>
      <c r="BB405" s="403">
        <f>-TDCF!BB180</f>
        <v>0</v>
      </c>
      <c r="BC405" s="403">
        <f>-TDCF!BC180</f>
        <v>0</v>
      </c>
      <c r="BD405" s="403">
        <f>-TDCF!BD180</f>
        <v>0</v>
      </c>
      <c r="BE405" s="403">
        <f>-TDCF!BE180</f>
        <v>0</v>
      </c>
      <c r="BF405" s="403">
        <f>-TDCF!BF180</f>
        <v>0</v>
      </c>
      <c r="BG405" s="403">
        <f>-TDCF!BG180</f>
        <v>0</v>
      </c>
    </row>
    <row r="406" spans="3:59" outlineLevel="1">
      <c r="C406" s="253" t="s">
        <v>555</v>
      </c>
      <c r="D406" s="253"/>
      <c r="E406" s="253"/>
      <c r="F406" s="253"/>
      <c r="G406" s="253"/>
      <c r="H406" s="253"/>
      <c r="I406" s="253"/>
      <c r="J406" s="253"/>
      <c r="K406" s="253"/>
      <c r="L406" s="253"/>
      <c r="M406" s="253"/>
      <c r="N406" s="253"/>
      <c r="O406" s="490" t="s">
        <v>858</v>
      </c>
      <c r="P406" s="268"/>
      <c r="Q406" s="268"/>
      <c r="R406" s="153"/>
      <c r="S406" s="153"/>
      <c r="T406" s="1356">
        <f>SUM(T404:T405)*IF(T21=1,GA!$G$468,1)</f>
        <v>0</v>
      </c>
      <c r="U406" s="1356">
        <f>SUM(U404:U405)*IF(U21=1,GA!$G$468,1)</f>
        <v>0</v>
      </c>
      <c r="V406" s="1356">
        <f>SUM(V404:V405)*IF(V21=1,GA!$G$468,1)</f>
        <v>0</v>
      </c>
      <c r="W406" s="1356">
        <f>SUM(W404:W405)*IF(W21=1,GA!$G$468,1)</f>
        <v>0</v>
      </c>
      <c r="X406" s="1356">
        <f>SUM(X404:X405)*IF(X21=1,GA!$G$468,1)</f>
        <v>0</v>
      </c>
      <c r="Y406" s="1356">
        <f>SUM(Y404:Y405)*IF(Y21=1,GA!$G$468,1)</f>
        <v>0</v>
      </c>
      <c r="Z406" s="1356">
        <f>SUM(Z404:Z405)*IF(Z21=1,GA!$G$468,1)</f>
        <v>0</v>
      </c>
      <c r="AA406" s="1356">
        <f>SUM(AA404:AA405)*IF(AA21=1,GA!$G$468,1)</f>
        <v>0</v>
      </c>
      <c r="AB406" s="1356">
        <f>SUM(AB404:AB405)*IF(AB21=1,GA!$G$468,1)</f>
        <v>0</v>
      </c>
      <c r="AC406" s="1356">
        <f>SUM(AC404:AC405)*IF(AC21=1,GA!$G$468,1)</f>
        <v>0</v>
      </c>
      <c r="AD406" s="1356">
        <f>SUM(AD404:AD405)*IF(AD21=1,GA!$G$468,1)</f>
        <v>0</v>
      </c>
      <c r="AE406" s="1356">
        <f>SUM(AE404:AE405)*IF(AE21=1,GA!$G$468,1)</f>
        <v>0</v>
      </c>
      <c r="AF406" s="1356">
        <f>SUM(AF404:AF405)*IF(AF21=1,GA!$G$468,1)</f>
        <v>0</v>
      </c>
      <c r="AG406" s="1356">
        <f>SUM(AG404:AG405)*IF(AG21=1,GA!$G$468,1)</f>
        <v>0</v>
      </c>
      <c r="AH406" s="1356">
        <f>SUM(AH404:AH405)*IF(AH21=1,GA!$G$468,1)</f>
        <v>0</v>
      </c>
      <c r="AI406" s="1356">
        <f>SUM(AI404:AI405)*IF(AI21=1,GA!$G$468,1)</f>
        <v>0</v>
      </c>
      <c r="AJ406" s="1356">
        <f>SUM(AJ404:AJ405)*IF(AJ21=1,GA!$G$468,1)</f>
        <v>0</v>
      </c>
      <c r="AK406" s="1356">
        <f>SUM(AK404:AK405)*IF(AK21=1,GA!$G$468,1)</f>
        <v>0</v>
      </c>
      <c r="AL406" s="1356">
        <f>SUM(AL404:AL405)*IF(AL21=1,GA!$G$468,1)</f>
        <v>0</v>
      </c>
      <c r="AM406" s="1356">
        <f>SUM(AM404:AM405)*IF(AM21=1,GA!$G$468,1)</f>
        <v>0</v>
      </c>
      <c r="AN406" s="1356">
        <f>SUM(AN404:AN405)*IF(AN21=1,GA!$G$468,1)</f>
        <v>0</v>
      </c>
      <c r="AO406" s="1356">
        <f>SUM(AO404:AO405)*IF(AO21=1,GA!$G$468,1)</f>
        <v>0</v>
      </c>
      <c r="AP406" s="1356">
        <f>SUM(AP404:AP405)*IF(AP21=1,GA!$G$468,1)</f>
        <v>0</v>
      </c>
      <c r="AQ406" s="1356">
        <f>SUM(AQ404:AQ405)*IF(AQ21=1,GA!$G$468,1)</f>
        <v>0</v>
      </c>
      <c r="AR406" s="1356">
        <f>SUM(AR404:AR405)*IF(AR21=1,GA!$G$468,1)</f>
        <v>0</v>
      </c>
      <c r="AS406" s="1356">
        <f>SUM(AS404:AS405)*IF(AS21=1,GA!$G$468,1)</f>
        <v>0</v>
      </c>
      <c r="AT406" s="1356">
        <f>SUM(AT404:AT405)*IF(AT21=1,GA!$G$468,1)</f>
        <v>0</v>
      </c>
      <c r="AU406" s="1356">
        <f>SUM(AU404:AU405)*IF(AU21=1,GA!$G$468,1)</f>
        <v>0</v>
      </c>
      <c r="AV406" s="1356">
        <f>SUM(AV404:AV405)*IF(AV21=1,GA!$G$468,1)</f>
        <v>0</v>
      </c>
      <c r="AW406" s="1356">
        <f>SUM(AW404:AW405)*IF(AW21=1,GA!$G$468,1)</f>
        <v>0</v>
      </c>
      <c r="AX406" s="1356">
        <f>SUM(AX404:AX405)*IF(AX21=1,GA!$G$468,1)</f>
        <v>0</v>
      </c>
      <c r="AY406" s="1356">
        <f>SUM(AY404:AY405)*IF(AY21=1,GA!$G$468,1)</f>
        <v>0</v>
      </c>
      <c r="AZ406" s="1356">
        <f>SUM(AZ404:AZ405)*IF(AZ21=1,GA!$G$468,1)</f>
        <v>0</v>
      </c>
      <c r="BA406" s="1356">
        <f>SUM(BA404:BA405)*IF(BA21=1,GA!$G$468,1)</f>
        <v>0</v>
      </c>
      <c r="BB406" s="1356">
        <f>SUM(BB404:BB405)*IF(BB21=1,GA!$G$468,1)</f>
        <v>0</v>
      </c>
      <c r="BC406" s="1356">
        <f>SUM(BC404:BC405)*IF(BC21=1,GA!$G$468,1)</f>
        <v>0</v>
      </c>
      <c r="BD406" s="1356">
        <f>SUM(BD404:BD405)*IF(BD21=1,GA!$G$468,1)</f>
        <v>0</v>
      </c>
      <c r="BE406" s="1356">
        <f>SUM(BE404:BE405)*IF(BE21=1,GA!$G$468,1)</f>
        <v>0</v>
      </c>
      <c r="BF406" s="1356">
        <f>SUM(BF404:BF405)*IF(BF21=1,GA!$G$468,1)</f>
        <v>0</v>
      </c>
      <c r="BG406" s="1356">
        <f>SUM(BG404:BG405)*IF(BG21=1,GA!$G$468,1)</f>
        <v>0</v>
      </c>
    </row>
    <row r="407" spans="3:59" outlineLevel="1"/>
    <row r="408" spans="3:59" outlineLevel="1">
      <c r="C408" s="188" t="s">
        <v>522</v>
      </c>
      <c r="D408" s="188"/>
      <c r="E408" s="188"/>
      <c r="F408" s="188"/>
      <c r="G408" s="188"/>
      <c r="H408" s="188"/>
      <c r="I408" s="188"/>
      <c r="J408" s="188"/>
      <c r="K408" s="188"/>
      <c r="L408" s="188"/>
      <c r="M408" s="188"/>
      <c r="N408" s="188"/>
      <c r="O408" s="188"/>
      <c r="P408" s="188"/>
      <c r="Q408" s="188"/>
      <c r="R408" s="487">
        <f>R406+R401+R394+R385</f>
        <v>0</v>
      </c>
      <c r="S408" s="487">
        <f t="shared" ref="S408:BG408" si="363">S406+S401+S394+S385</f>
        <v>-47000</v>
      </c>
      <c r="T408" s="487">
        <f t="shared" si="363"/>
        <v>9133.036404848961</v>
      </c>
      <c r="U408" s="487">
        <f t="shared" si="363"/>
        <v>30327.603849665684</v>
      </c>
      <c r="V408" s="487">
        <f t="shared" si="363"/>
        <v>52004.655274996578</v>
      </c>
      <c r="W408" s="487">
        <f t="shared" si="363"/>
        <v>52061.11874999998</v>
      </c>
      <c r="X408" s="487">
        <f t="shared" si="363"/>
        <v>52117.446098091212</v>
      </c>
      <c r="Y408" s="487">
        <f t="shared" si="363"/>
        <v>52173.635865209144</v>
      </c>
      <c r="Z408" s="487">
        <f t="shared" si="363"/>
        <v>52229.686588620651</v>
      </c>
      <c r="AA408" s="487">
        <f t="shared" si="363"/>
        <v>52285.596796874961</v>
      </c>
      <c r="AB408" s="487">
        <f t="shared" si="363"/>
        <v>52341.365009757516</v>
      </c>
      <c r="AC408" s="487">
        <f t="shared" si="363"/>
        <v>52396.98973824385</v>
      </c>
      <c r="AD408" s="487">
        <f t="shared" si="363"/>
        <v>52452.469484453162</v>
      </c>
      <c r="AE408" s="487">
        <f t="shared" si="363"/>
        <v>52507.802741601481</v>
      </c>
      <c r="AF408" s="487">
        <f t="shared" si="363"/>
        <v>0</v>
      </c>
      <c r="AG408" s="487">
        <f t="shared" si="363"/>
        <v>0</v>
      </c>
      <c r="AH408" s="487">
        <f t="shared" si="363"/>
        <v>0</v>
      </c>
      <c r="AI408" s="487">
        <f t="shared" si="363"/>
        <v>0</v>
      </c>
      <c r="AJ408" s="487">
        <f t="shared" si="363"/>
        <v>0</v>
      </c>
      <c r="AK408" s="487">
        <f t="shared" si="363"/>
        <v>0</v>
      </c>
      <c r="AL408" s="487">
        <f t="shared" si="363"/>
        <v>0</v>
      </c>
      <c r="AM408" s="487">
        <f t="shared" si="363"/>
        <v>0</v>
      </c>
      <c r="AN408" s="487">
        <f t="shared" si="363"/>
        <v>0</v>
      </c>
      <c r="AO408" s="487">
        <f t="shared" si="363"/>
        <v>0</v>
      </c>
      <c r="AP408" s="487">
        <f t="shared" si="363"/>
        <v>0</v>
      </c>
      <c r="AQ408" s="487">
        <f t="shared" si="363"/>
        <v>0</v>
      </c>
      <c r="AR408" s="487">
        <f t="shared" si="363"/>
        <v>0</v>
      </c>
      <c r="AS408" s="487">
        <f t="shared" si="363"/>
        <v>0</v>
      </c>
      <c r="AT408" s="487">
        <f t="shared" si="363"/>
        <v>0</v>
      </c>
      <c r="AU408" s="487">
        <f t="shared" si="363"/>
        <v>0</v>
      </c>
      <c r="AV408" s="487">
        <f t="shared" si="363"/>
        <v>0</v>
      </c>
      <c r="AW408" s="487">
        <f t="shared" si="363"/>
        <v>0</v>
      </c>
      <c r="AX408" s="487">
        <f t="shared" si="363"/>
        <v>0</v>
      </c>
      <c r="AY408" s="487">
        <f t="shared" si="363"/>
        <v>0</v>
      </c>
      <c r="AZ408" s="487">
        <f t="shared" si="363"/>
        <v>0</v>
      </c>
      <c r="BA408" s="487">
        <f t="shared" si="363"/>
        <v>0</v>
      </c>
      <c r="BB408" s="487">
        <f t="shared" si="363"/>
        <v>0</v>
      </c>
      <c r="BC408" s="487">
        <f t="shared" si="363"/>
        <v>0</v>
      </c>
      <c r="BD408" s="487">
        <f t="shared" si="363"/>
        <v>0</v>
      </c>
      <c r="BE408" s="487">
        <f t="shared" si="363"/>
        <v>0</v>
      </c>
      <c r="BF408" s="487">
        <f t="shared" si="363"/>
        <v>0</v>
      </c>
      <c r="BG408" s="487">
        <f t="shared" si="363"/>
        <v>0</v>
      </c>
    </row>
    <row r="409" spans="3:59" outlineLevel="1"/>
    <row r="410" spans="3:59" outlineLevel="1">
      <c r="C410" s="364" t="s">
        <v>839</v>
      </c>
      <c r="D410" s="364"/>
      <c r="E410" s="364"/>
      <c r="F410" s="364"/>
      <c r="G410" s="364"/>
      <c r="H410" s="364"/>
      <c r="I410" s="364"/>
      <c r="J410" s="364"/>
      <c r="K410" s="364"/>
      <c r="L410" s="364"/>
      <c r="M410" s="364"/>
      <c r="N410" s="364"/>
      <c r="O410" s="488">
        <f>GA!$G$450</f>
        <v>1</v>
      </c>
      <c r="P410" s="17"/>
      <c r="Q410" s="17"/>
    </row>
    <row r="411" spans="3:59" outlineLevel="1">
      <c r="C411" t="s">
        <v>840</v>
      </c>
      <c r="R411" s="368">
        <f t="shared" ref="R411:BG411" si="364">R191+R199+R225+R220+R273+R276+R278-R363</f>
        <v>0</v>
      </c>
      <c r="S411" s="368">
        <f t="shared" si="364"/>
        <v>0</v>
      </c>
      <c r="T411" s="368">
        <f t="shared" si="364"/>
        <v>-24340.277777777777</v>
      </c>
      <c r="U411" s="368">
        <f t="shared" si="364"/>
        <v>-7524.6983495247878</v>
      </c>
      <c r="V411" s="368">
        <f t="shared" si="364"/>
        <v>-11003.732638888891</v>
      </c>
      <c r="W411" s="368">
        <f t="shared" si="364"/>
        <v>-10828.125000000002</v>
      </c>
      <c r="X411" s="368">
        <f t="shared" si="364"/>
        <v>-11012.847222222223</v>
      </c>
      <c r="Y411" s="368">
        <f t="shared" si="364"/>
        <v>-10956.944444444445</v>
      </c>
      <c r="Z411" s="368">
        <f t="shared" si="364"/>
        <v>-10782.552083333334</v>
      </c>
      <c r="AA411" s="368">
        <f t="shared" si="364"/>
        <v>-10609.375000000002</v>
      </c>
      <c r="AB411" s="368">
        <f t="shared" si="364"/>
        <v>-10789.236111111113</v>
      </c>
      <c r="AC411" s="368">
        <f t="shared" si="364"/>
        <v>-10733.333333333334</v>
      </c>
      <c r="AD411" s="368">
        <f t="shared" si="364"/>
        <v>-10561.371527777779</v>
      </c>
      <c r="AE411" s="368">
        <f t="shared" si="364"/>
        <v>-10506.076388888891</v>
      </c>
      <c r="AF411" s="368">
        <f t="shared" si="364"/>
        <v>0</v>
      </c>
      <c r="AG411" s="368">
        <f t="shared" si="364"/>
        <v>0</v>
      </c>
      <c r="AH411" s="368">
        <f t="shared" si="364"/>
        <v>0</v>
      </c>
      <c r="AI411" s="368">
        <f t="shared" si="364"/>
        <v>0</v>
      </c>
      <c r="AJ411" s="368">
        <f t="shared" si="364"/>
        <v>0</v>
      </c>
      <c r="AK411" s="368">
        <f t="shared" si="364"/>
        <v>0</v>
      </c>
      <c r="AL411" s="368">
        <f t="shared" si="364"/>
        <v>0</v>
      </c>
      <c r="AM411" s="368">
        <f t="shared" si="364"/>
        <v>0</v>
      </c>
      <c r="AN411" s="368">
        <f t="shared" si="364"/>
        <v>0</v>
      </c>
      <c r="AO411" s="368">
        <f t="shared" si="364"/>
        <v>0</v>
      </c>
      <c r="AP411" s="368">
        <f t="shared" si="364"/>
        <v>0</v>
      </c>
      <c r="AQ411" s="368">
        <f t="shared" si="364"/>
        <v>0</v>
      </c>
      <c r="AR411" s="368">
        <f t="shared" si="364"/>
        <v>0</v>
      </c>
      <c r="AS411" s="368">
        <f t="shared" si="364"/>
        <v>0</v>
      </c>
      <c r="AT411" s="368">
        <f t="shared" si="364"/>
        <v>0</v>
      </c>
      <c r="AU411" s="368">
        <f t="shared" si="364"/>
        <v>0</v>
      </c>
      <c r="AV411" s="368">
        <f t="shared" si="364"/>
        <v>0</v>
      </c>
      <c r="AW411" s="368">
        <f t="shared" si="364"/>
        <v>0</v>
      </c>
      <c r="AX411" s="368">
        <f t="shared" si="364"/>
        <v>0</v>
      </c>
      <c r="AY411" s="368">
        <f t="shared" si="364"/>
        <v>0</v>
      </c>
      <c r="AZ411" s="368">
        <f t="shared" si="364"/>
        <v>0</v>
      </c>
      <c r="BA411" s="368">
        <f t="shared" si="364"/>
        <v>0</v>
      </c>
      <c r="BB411" s="368">
        <f t="shared" si="364"/>
        <v>0</v>
      </c>
      <c r="BC411" s="368">
        <f t="shared" si="364"/>
        <v>0</v>
      </c>
      <c r="BD411" s="368">
        <f t="shared" si="364"/>
        <v>0</v>
      </c>
      <c r="BE411" s="368">
        <f t="shared" si="364"/>
        <v>0</v>
      </c>
      <c r="BF411" s="368">
        <f t="shared" si="364"/>
        <v>0</v>
      </c>
      <c r="BG411" s="368">
        <f t="shared" si="364"/>
        <v>0</v>
      </c>
    </row>
    <row r="412" spans="3:59" outlineLevel="1">
      <c r="C412" s="17" t="s">
        <v>841</v>
      </c>
      <c r="D412" s="17"/>
      <c r="E412" s="17"/>
      <c r="F412" s="17"/>
      <c r="G412" s="17"/>
      <c r="H412" s="17"/>
      <c r="I412" s="17"/>
      <c r="J412" s="17"/>
      <c r="K412" s="17"/>
      <c r="L412" s="17"/>
      <c r="M412" s="17"/>
      <c r="N412" s="17"/>
      <c r="O412" s="17"/>
      <c r="P412" s="17"/>
      <c r="Q412" s="17"/>
      <c r="R412" s="416"/>
      <c r="S412" s="416"/>
      <c r="T412" s="369">
        <f t="shared" ref="T412:BG412" si="365">SUMIFS(Q411:T411,Q8:T8,T8)*(T26&gt;0)</f>
        <v>-24340.277777777777</v>
      </c>
      <c r="U412" s="369">
        <f t="shared" si="365"/>
        <v>-31864.976127302565</v>
      </c>
      <c r="V412" s="369">
        <f t="shared" si="365"/>
        <v>-42868.708766191456</v>
      </c>
      <c r="W412" s="369">
        <f t="shared" si="365"/>
        <v>-53696.833766191456</v>
      </c>
      <c r="X412" s="369">
        <f t="shared" si="365"/>
        <v>-11012.847222222223</v>
      </c>
      <c r="Y412" s="369">
        <f t="shared" si="365"/>
        <v>-21969.791666666668</v>
      </c>
      <c r="Z412" s="369">
        <f t="shared" si="365"/>
        <v>-32752.34375</v>
      </c>
      <c r="AA412" s="369">
        <f t="shared" si="365"/>
        <v>-43361.71875</v>
      </c>
      <c r="AB412" s="369">
        <f t="shared" si="365"/>
        <v>-10789.236111111113</v>
      </c>
      <c r="AC412" s="369">
        <f t="shared" si="365"/>
        <v>-21522.569444444445</v>
      </c>
      <c r="AD412" s="369">
        <f t="shared" si="365"/>
        <v>-32083.940972222226</v>
      </c>
      <c r="AE412" s="369">
        <f t="shared" si="365"/>
        <v>-42590.017361111117</v>
      </c>
      <c r="AF412" s="369">
        <f t="shared" si="365"/>
        <v>0</v>
      </c>
      <c r="AG412" s="369">
        <f t="shared" si="365"/>
        <v>0</v>
      </c>
      <c r="AH412" s="369">
        <f t="shared" si="365"/>
        <v>0</v>
      </c>
      <c r="AI412" s="369">
        <f t="shared" si="365"/>
        <v>0</v>
      </c>
      <c r="AJ412" s="369">
        <f t="shared" si="365"/>
        <v>0</v>
      </c>
      <c r="AK412" s="369">
        <f t="shared" si="365"/>
        <v>0</v>
      </c>
      <c r="AL412" s="369">
        <f t="shared" si="365"/>
        <v>0</v>
      </c>
      <c r="AM412" s="369">
        <f t="shared" si="365"/>
        <v>0</v>
      </c>
      <c r="AN412" s="369">
        <f t="shared" si="365"/>
        <v>0</v>
      </c>
      <c r="AO412" s="369">
        <f t="shared" si="365"/>
        <v>0</v>
      </c>
      <c r="AP412" s="369">
        <f t="shared" si="365"/>
        <v>0</v>
      </c>
      <c r="AQ412" s="369">
        <f t="shared" si="365"/>
        <v>0</v>
      </c>
      <c r="AR412" s="369">
        <f t="shared" si="365"/>
        <v>0</v>
      </c>
      <c r="AS412" s="369">
        <f t="shared" si="365"/>
        <v>0</v>
      </c>
      <c r="AT412" s="369">
        <f t="shared" si="365"/>
        <v>0</v>
      </c>
      <c r="AU412" s="369">
        <f t="shared" si="365"/>
        <v>0</v>
      </c>
      <c r="AV412" s="369">
        <f t="shared" si="365"/>
        <v>0</v>
      </c>
      <c r="AW412" s="369">
        <f t="shared" si="365"/>
        <v>0</v>
      </c>
      <c r="AX412" s="369">
        <f t="shared" si="365"/>
        <v>0</v>
      </c>
      <c r="AY412" s="369">
        <f t="shared" si="365"/>
        <v>0</v>
      </c>
      <c r="AZ412" s="369">
        <f t="shared" si="365"/>
        <v>0</v>
      </c>
      <c r="BA412" s="369">
        <f t="shared" si="365"/>
        <v>0</v>
      </c>
      <c r="BB412" s="369">
        <f t="shared" si="365"/>
        <v>0</v>
      </c>
      <c r="BC412" s="369">
        <f t="shared" si="365"/>
        <v>0</v>
      </c>
      <c r="BD412" s="369">
        <f t="shared" si="365"/>
        <v>0</v>
      </c>
      <c r="BE412" s="369">
        <f t="shared" si="365"/>
        <v>0</v>
      </c>
      <c r="BF412" s="369">
        <f t="shared" si="365"/>
        <v>0</v>
      </c>
      <c r="BG412" s="369">
        <f t="shared" si="365"/>
        <v>0</v>
      </c>
    </row>
    <row r="413" spans="3:59" outlineLevel="1">
      <c r="C413" t="s">
        <v>842</v>
      </c>
      <c r="R413" s="1351">
        <f>IF(GA!$G$450=1,IF(-R412&gt;=GA!$G$452,MAX(MIN(-GA!$G$451*R$408,0),R411),R411),R411)</f>
        <v>0</v>
      </c>
      <c r="S413" s="1351">
        <f>IF(GA!$G$450=1,IF(-S412&gt;=GA!$G$452,MAX(MIN(-GA!$G$451*S$408,0),S411),S411),S411)</f>
        <v>0</v>
      </c>
      <c r="T413" s="1351">
        <f>IF(GA!$G$450=1,IF(-T412&gt;=GA!$G$452,MAX(MIN(-GA!$G$451*T$408,0),T411),T411),T411)</f>
        <v>-24340.277777777777</v>
      </c>
      <c r="U413" s="1351">
        <f>IF(GA!$G$450=1,IF(-U412&gt;=GA!$G$452,MAX(MIN(-GA!$G$451*U$408,0),U411),U411),U411)</f>
        <v>-7524.6983495247878</v>
      </c>
      <c r="V413" s="1351">
        <f>IF(GA!$G$450=1,IF(-V412&gt;=GA!$G$452,MAX(MIN(-GA!$G$451*V$408,0),V411),V411),V411)</f>
        <v>-11003.732638888891</v>
      </c>
      <c r="W413" s="1351">
        <f>IF(GA!$G$450=1,IF(-W412&gt;=GA!$G$452,MAX(MIN(-GA!$G$451*W$408,0),W411),W411),W411)</f>
        <v>-10828.125000000002</v>
      </c>
      <c r="X413" s="1351">
        <f>IF(GA!$G$450=1,IF(-X412&gt;=GA!$G$452,MAX(MIN(-GA!$G$451*X$408,0),X411),X411),X411)</f>
        <v>-11012.847222222223</v>
      </c>
      <c r="Y413" s="1351">
        <f>IF(GA!$G$450=1,IF(-Y412&gt;=GA!$G$452,MAX(MIN(-GA!$G$451*Y$408,0),Y411),Y411),Y411)</f>
        <v>-10956.944444444445</v>
      </c>
      <c r="Z413" s="1351">
        <f>IF(GA!$G$450=1,IF(-Z412&gt;=GA!$G$452,MAX(MIN(-GA!$G$451*Z$408,0),Z411),Z411),Z411)</f>
        <v>-10782.552083333334</v>
      </c>
      <c r="AA413" s="1351">
        <f>IF(GA!$G$450=1,IF(-AA412&gt;=GA!$G$452,MAX(MIN(-GA!$G$451*AA$408,0),AA411),AA411),AA411)</f>
        <v>-10609.375000000002</v>
      </c>
      <c r="AB413" s="1351">
        <f>IF(GA!$G$450=1,IF(-AB412&gt;=GA!$G$452,MAX(MIN(-GA!$G$451*AB$408,0),AB411),AB411),AB411)</f>
        <v>-10789.236111111113</v>
      </c>
      <c r="AC413" s="1351">
        <f>IF(GA!$G$450=1,IF(-AC412&gt;=GA!$G$452,MAX(MIN(-GA!$G$451*AC$408,0),AC411),AC411),AC411)</f>
        <v>-10733.333333333334</v>
      </c>
      <c r="AD413" s="1351">
        <f>IF(GA!$G$450=1,IF(-AD412&gt;=GA!$G$452,MAX(MIN(-GA!$G$451*AD$408,0),AD411),AD411),AD411)</f>
        <v>-10561.371527777779</v>
      </c>
      <c r="AE413" s="1351">
        <f>IF(GA!$G$450=1,IF(-AE412&gt;=GA!$G$452,MAX(MIN(-GA!$G$451*AE$408,0),AE411),AE411),AE411)</f>
        <v>-10506.076388888891</v>
      </c>
      <c r="AF413" s="1351">
        <f>IF(GA!$G$450=1,IF(-AF412&gt;=GA!$G$452,MAX(MIN(-GA!$G$451*AF$408,0),AF411),AF411),AF411)</f>
        <v>0</v>
      </c>
      <c r="AG413" s="1351">
        <f>IF(GA!$G$450=1,IF(-AG412&gt;=GA!$G$452,MAX(MIN(-GA!$G$451*AG$408,0),AG411),AG411),AG411)</f>
        <v>0</v>
      </c>
      <c r="AH413" s="1351">
        <f>IF(GA!$G$450=1,IF(-AH412&gt;=GA!$G$452,MAX(MIN(-GA!$G$451*AH$408,0),AH411),AH411),AH411)</f>
        <v>0</v>
      </c>
      <c r="AI413" s="1351">
        <f>IF(GA!$G$450=1,IF(-AI412&gt;=GA!$G$452,MAX(MIN(-GA!$G$451*AI$408,0),AI411),AI411),AI411)</f>
        <v>0</v>
      </c>
      <c r="AJ413" s="1351">
        <f>IF(GA!$G$450=1,IF(-AJ412&gt;=GA!$G$452,MAX(MIN(-GA!$G$451*AJ$408,0),AJ411),AJ411),AJ411)</f>
        <v>0</v>
      </c>
      <c r="AK413" s="1351">
        <f>IF(GA!$G$450=1,IF(-AK412&gt;=GA!$G$452,MAX(MIN(-GA!$G$451*AK$408,0),AK411),AK411),AK411)</f>
        <v>0</v>
      </c>
      <c r="AL413" s="1351">
        <f>IF(GA!$G$450=1,IF(-AL412&gt;=GA!$G$452,MAX(MIN(-GA!$G$451*AL$408,0),AL411),AL411),AL411)</f>
        <v>0</v>
      </c>
      <c r="AM413" s="1351">
        <f>IF(GA!$G$450=1,IF(-AM412&gt;=GA!$G$452,MAX(MIN(-GA!$G$451*AM$408,0),AM411),AM411),AM411)</f>
        <v>0</v>
      </c>
      <c r="AN413" s="1351">
        <f>IF(GA!$G$450=1,IF(-AN412&gt;=GA!$G$452,MAX(MIN(-GA!$G$451*AN$408,0),AN411),AN411),AN411)</f>
        <v>0</v>
      </c>
      <c r="AO413" s="1351">
        <f>IF(GA!$G$450=1,IF(-AO412&gt;=GA!$G$452,MAX(MIN(-GA!$G$451*AO$408,0),AO411),AO411),AO411)</f>
        <v>0</v>
      </c>
      <c r="AP413" s="1351">
        <f>IF(GA!$G$450=1,IF(-AP412&gt;=GA!$G$452,MAX(MIN(-GA!$G$451*AP$408,0),AP411),AP411),AP411)</f>
        <v>0</v>
      </c>
      <c r="AQ413" s="1351">
        <f>IF(GA!$G$450=1,IF(-AQ412&gt;=GA!$G$452,MAX(MIN(-GA!$G$451*AQ$408,0),AQ411),AQ411),AQ411)</f>
        <v>0</v>
      </c>
      <c r="AR413" s="1351">
        <f>IF(GA!$G$450=1,IF(-AR412&gt;=GA!$G$452,MAX(MIN(-GA!$G$451*AR$408,0),AR411),AR411),AR411)</f>
        <v>0</v>
      </c>
      <c r="AS413" s="1351">
        <f>IF(GA!$G$450=1,IF(-AS412&gt;=GA!$G$452,MAX(MIN(-GA!$G$451*AS$408,0),AS411),AS411),AS411)</f>
        <v>0</v>
      </c>
      <c r="AT413" s="1351">
        <f>IF(GA!$G$450=1,IF(-AT412&gt;=GA!$G$452,MAX(MIN(-GA!$G$451*AT$408,0),AT411),AT411),AT411)</f>
        <v>0</v>
      </c>
      <c r="AU413" s="1351">
        <f>IF(GA!$G$450=1,IF(-AU412&gt;=GA!$G$452,MAX(MIN(-GA!$G$451*AU$408,0),AU411),AU411),AU411)</f>
        <v>0</v>
      </c>
      <c r="AV413" s="1351">
        <f>IF(GA!$G$450=1,IF(-AV412&gt;=GA!$G$452,MAX(MIN(-GA!$G$451*AV$408,0),AV411),AV411),AV411)</f>
        <v>0</v>
      </c>
      <c r="AW413" s="1351">
        <f>IF(GA!$G$450=1,IF(-AW412&gt;=GA!$G$452,MAX(MIN(-GA!$G$451*AW$408,0),AW411),AW411),AW411)</f>
        <v>0</v>
      </c>
      <c r="AX413" s="1351">
        <f>IF(GA!$G$450=1,IF(-AX412&gt;=GA!$G$452,MAX(MIN(-GA!$G$451*AX$408,0),AX411),AX411),AX411)</f>
        <v>0</v>
      </c>
      <c r="AY413" s="1351">
        <f>IF(GA!$G$450=1,IF(-AY412&gt;=GA!$G$452,MAX(MIN(-GA!$G$451*AY$408,0),AY411),AY411),AY411)</f>
        <v>0</v>
      </c>
      <c r="AZ413" s="1351">
        <f>IF(GA!$G$450=1,IF(-AZ412&gt;=GA!$G$452,MAX(MIN(-GA!$G$451*AZ$408,0),AZ411),AZ411),AZ411)</f>
        <v>0</v>
      </c>
      <c r="BA413" s="1351">
        <f>IF(GA!$G$450=1,IF(-BA412&gt;=GA!$G$452,MAX(MIN(-GA!$G$451*BA$408,0),BA411),BA411),BA411)</f>
        <v>0</v>
      </c>
      <c r="BB413" s="1351">
        <f>IF(GA!$G$450=1,IF(-BB412&gt;=GA!$G$452,MAX(MIN(-GA!$G$451*BB$408,0),BB411),BB411),BB411)</f>
        <v>0</v>
      </c>
      <c r="BC413" s="1351">
        <f>IF(GA!$G$450=1,IF(-BC412&gt;=GA!$G$452,MAX(MIN(-GA!$G$451*BC$408,0),BC411),BC411),BC411)</f>
        <v>0</v>
      </c>
      <c r="BD413" s="1351">
        <f>IF(GA!$G$450=1,IF(-BD412&gt;=GA!$G$452,MAX(MIN(-GA!$G$451*BD$408,0),BD411),BD411),BD411)</f>
        <v>0</v>
      </c>
      <c r="BE413" s="1351">
        <f>IF(GA!$G$450=1,IF(-BE412&gt;=GA!$G$452,MAX(MIN(-GA!$G$451*BE$408,0),BE411),BE411),BE411)</f>
        <v>0</v>
      </c>
      <c r="BF413" s="1351">
        <f>IF(GA!$G$450=1,IF(-BF412&gt;=GA!$G$452,MAX(MIN(-GA!$G$451*BF$408,0),BF411),BF411),BF411)</f>
        <v>0</v>
      </c>
      <c r="BG413" s="1351">
        <f>IF(GA!$G$450=1,IF(-BG412&gt;=GA!$G$452,MAX(MIN(-GA!$G$451*BG$408,0),BG411),BG411),BG411)</f>
        <v>0</v>
      </c>
    </row>
    <row r="414" spans="3:59" outlineLevel="1"/>
    <row r="415" spans="3:59" outlineLevel="1">
      <c r="C415" s="364" t="s">
        <v>843</v>
      </c>
      <c r="D415" s="364"/>
      <c r="E415" s="364"/>
      <c r="F415" s="364"/>
      <c r="G415" s="364"/>
      <c r="H415" s="364"/>
      <c r="I415" s="364"/>
      <c r="J415" s="364"/>
      <c r="K415" s="364"/>
      <c r="L415" s="364"/>
      <c r="M415" s="364"/>
      <c r="N415" s="364"/>
      <c r="O415" s="488">
        <f>GA!$G$450</f>
        <v>1</v>
      </c>
      <c r="P415" s="17"/>
      <c r="Q415" s="17"/>
      <c r="R415" s="17"/>
      <c r="S415" s="17"/>
      <c r="T415" s="17"/>
      <c r="U415" s="17"/>
    </row>
    <row r="416" spans="3:59" outlineLevel="1">
      <c r="C416" t="s">
        <v>844</v>
      </c>
      <c r="R416" s="392"/>
      <c r="S416" s="392"/>
      <c r="T416" s="368">
        <f>S419</f>
        <v>0</v>
      </c>
      <c r="U416" s="368">
        <f t="shared" ref="U416:BG416" si="366">T419</f>
        <v>0</v>
      </c>
      <c r="V416" s="368">
        <f t="shared" si="366"/>
        <v>0</v>
      </c>
      <c r="W416" s="368">
        <f t="shared" si="366"/>
        <v>0</v>
      </c>
      <c r="X416" s="368">
        <f t="shared" si="366"/>
        <v>0</v>
      </c>
      <c r="Y416" s="368">
        <f t="shared" si="366"/>
        <v>0</v>
      </c>
      <c r="Z416" s="368">
        <f t="shared" si="366"/>
        <v>0</v>
      </c>
      <c r="AA416" s="368">
        <f t="shared" si="366"/>
        <v>0</v>
      </c>
      <c r="AB416" s="368">
        <f t="shared" si="366"/>
        <v>0</v>
      </c>
      <c r="AC416" s="368">
        <f t="shared" si="366"/>
        <v>0</v>
      </c>
      <c r="AD416" s="368">
        <f t="shared" si="366"/>
        <v>0</v>
      </c>
      <c r="AE416" s="368">
        <f t="shared" si="366"/>
        <v>0</v>
      </c>
      <c r="AF416" s="368">
        <f t="shared" si="366"/>
        <v>0</v>
      </c>
      <c r="AG416" s="368">
        <f t="shared" si="366"/>
        <v>0</v>
      </c>
      <c r="AH416" s="368">
        <f t="shared" si="366"/>
        <v>0</v>
      </c>
      <c r="AI416" s="368">
        <f t="shared" si="366"/>
        <v>0</v>
      </c>
      <c r="AJ416" s="368">
        <f t="shared" si="366"/>
        <v>0</v>
      </c>
      <c r="AK416" s="368">
        <f t="shared" si="366"/>
        <v>0</v>
      </c>
      <c r="AL416" s="368">
        <f t="shared" si="366"/>
        <v>0</v>
      </c>
      <c r="AM416" s="368">
        <f t="shared" si="366"/>
        <v>0</v>
      </c>
      <c r="AN416" s="368">
        <f t="shared" si="366"/>
        <v>0</v>
      </c>
      <c r="AO416" s="368">
        <f t="shared" si="366"/>
        <v>0</v>
      </c>
      <c r="AP416" s="368">
        <f t="shared" si="366"/>
        <v>0</v>
      </c>
      <c r="AQ416" s="368">
        <f t="shared" si="366"/>
        <v>0</v>
      </c>
      <c r="AR416" s="368">
        <f t="shared" si="366"/>
        <v>0</v>
      </c>
      <c r="AS416" s="368">
        <f t="shared" si="366"/>
        <v>0</v>
      </c>
      <c r="AT416" s="368">
        <f t="shared" si="366"/>
        <v>0</v>
      </c>
      <c r="AU416" s="368">
        <f t="shared" si="366"/>
        <v>0</v>
      </c>
      <c r="AV416" s="368">
        <f t="shared" si="366"/>
        <v>0</v>
      </c>
      <c r="AW416" s="368">
        <f t="shared" si="366"/>
        <v>0</v>
      </c>
      <c r="AX416" s="368">
        <f t="shared" si="366"/>
        <v>0</v>
      </c>
      <c r="AY416" s="368">
        <f t="shared" si="366"/>
        <v>0</v>
      </c>
      <c r="AZ416" s="368">
        <f t="shared" si="366"/>
        <v>0</v>
      </c>
      <c r="BA416" s="368">
        <f t="shared" si="366"/>
        <v>0</v>
      </c>
      <c r="BB416" s="368">
        <f t="shared" si="366"/>
        <v>0</v>
      </c>
      <c r="BC416" s="368">
        <f t="shared" si="366"/>
        <v>0</v>
      </c>
      <c r="BD416" s="368">
        <f t="shared" si="366"/>
        <v>0</v>
      </c>
      <c r="BE416" s="368">
        <f t="shared" si="366"/>
        <v>0</v>
      </c>
      <c r="BF416" s="368">
        <f t="shared" si="366"/>
        <v>0</v>
      </c>
      <c r="BG416" s="368">
        <f t="shared" si="366"/>
        <v>0</v>
      </c>
    </row>
    <row r="417" spans="3:59" outlineLevel="1">
      <c r="C417" t="s">
        <v>622</v>
      </c>
      <c r="R417" s="392"/>
      <c r="S417" s="392"/>
      <c r="T417" s="310">
        <f>+T413-T411</f>
        <v>0</v>
      </c>
      <c r="U417" s="310">
        <f t="shared" ref="U417:BG417" si="367">+U413-U411</f>
        <v>0</v>
      </c>
      <c r="V417" s="310">
        <f t="shared" si="367"/>
        <v>0</v>
      </c>
      <c r="W417" s="310">
        <f t="shared" si="367"/>
        <v>0</v>
      </c>
      <c r="X417" s="310">
        <f t="shared" si="367"/>
        <v>0</v>
      </c>
      <c r="Y417" s="310">
        <f t="shared" si="367"/>
        <v>0</v>
      </c>
      <c r="Z417" s="310">
        <f t="shared" si="367"/>
        <v>0</v>
      </c>
      <c r="AA417" s="310">
        <f t="shared" si="367"/>
        <v>0</v>
      </c>
      <c r="AB417" s="310">
        <f t="shared" si="367"/>
        <v>0</v>
      </c>
      <c r="AC417" s="310">
        <f t="shared" si="367"/>
        <v>0</v>
      </c>
      <c r="AD417" s="310">
        <f t="shared" si="367"/>
        <v>0</v>
      </c>
      <c r="AE417" s="310">
        <f t="shared" si="367"/>
        <v>0</v>
      </c>
      <c r="AF417" s="310">
        <f t="shared" si="367"/>
        <v>0</v>
      </c>
      <c r="AG417" s="310">
        <f t="shared" si="367"/>
        <v>0</v>
      </c>
      <c r="AH417" s="310">
        <f t="shared" si="367"/>
        <v>0</v>
      </c>
      <c r="AI417" s="310">
        <f t="shared" si="367"/>
        <v>0</v>
      </c>
      <c r="AJ417" s="310">
        <f t="shared" si="367"/>
        <v>0</v>
      </c>
      <c r="AK417" s="310">
        <f t="shared" si="367"/>
        <v>0</v>
      </c>
      <c r="AL417" s="310">
        <f t="shared" si="367"/>
        <v>0</v>
      </c>
      <c r="AM417" s="310">
        <f t="shared" si="367"/>
        <v>0</v>
      </c>
      <c r="AN417" s="310">
        <f t="shared" si="367"/>
        <v>0</v>
      </c>
      <c r="AO417" s="310">
        <f t="shared" si="367"/>
        <v>0</v>
      </c>
      <c r="AP417" s="310">
        <f t="shared" si="367"/>
        <v>0</v>
      </c>
      <c r="AQ417" s="310">
        <f t="shared" si="367"/>
        <v>0</v>
      </c>
      <c r="AR417" s="310">
        <f t="shared" si="367"/>
        <v>0</v>
      </c>
      <c r="AS417" s="310">
        <f t="shared" si="367"/>
        <v>0</v>
      </c>
      <c r="AT417" s="310">
        <f t="shared" si="367"/>
        <v>0</v>
      </c>
      <c r="AU417" s="310">
        <f t="shared" si="367"/>
        <v>0</v>
      </c>
      <c r="AV417" s="310">
        <f t="shared" si="367"/>
        <v>0</v>
      </c>
      <c r="AW417" s="310">
        <f t="shared" si="367"/>
        <v>0</v>
      </c>
      <c r="AX417" s="310">
        <f t="shared" si="367"/>
        <v>0</v>
      </c>
      <c r="AY417" s="310">
        <f t="shared" si="367"/>
        <v>0</v>
      </c>
      <c r="AZ417" s="310">
        <f t="shared" si="367"/>
        <v>0</v>
      </c>
      <c r="BA417" s="310">
        <f t="shared" si="367"/>
        <v>0</v>
      </c>
      <c r="BB417" s="310">
        <f t="shared" si="367"/>
        <v>0</v>
      </c>
      <c r="BC417" s="310">
        <f t="shared" si="367"/>
        <v>0</v>
      </c>
      <c r="BD417" s="310">
        <f t="shared" si="367"/>
        <v>0</v>
      </c>
      <c r="BE417" s="310">
        <f t="shared" si="367"/>
        <v>0</v>
      </c>
      <c r="BF417" s="310">
        <f t="shared" si="367"/>
        <v>0</v>
      </c>
      <c r="BG417" s="310">
        <f t="shared" si="367"/>
        <v>0</v>
      </c>
    </row>
    <row r="418" spans="3:59" outlineLevel="1">
      <c r="C418" t="s">
        <v>845</v>
      </c>
      <c r="R418" s="392"/>
      <c r="S418" s="392"/>
      <c r="T418" s="373">
        <f>-MIN(MAX(MAX(-T408*GA!$G$451,0)+T411,0),SUM(T416:T417))</f>
        <v>0</v>
      </c>
      <c r="U418" s="373">
        <f>-MIN(MAX(MAX(-U408*GA!$G$451,0)+U411,0),SUM(U416:U417))</f>
        <v>0</v>
      </c>
      <c r="V418" s="373">
        <f>-MIN(MAX(MAX(-V408*GA!$G$451,0)+V411,0),SUM(V416:V417))</f>
        <v>0</v>
      </c>
      <c r="W418" s="373">
        <f>-MIN(MAX(MAX(-W408*GA!$G$451,0)+W411,0),SUM(W416:W417))</f>
        <v>0</v>
      </c>
      <c r="X418" s="373">
        <f>-MIN(MAX(MAX(-X408*GA!$G$451,0)+X411,0),SUM(X416:X417))</f>
        <v>0</v>
      </c>
      <c r="Y418" s="373">
        <f>-MIN(MAX(MAX(-Y408*GA!$G$451,0)+Y411,0),SUM(Y416:Y417))</f>
        <v>0</v>
      </c>
      <c r="Z418" s="373">
        <f>-MIN(MAX(MAX(-Z408*GA!$G$451,0)+Z411,0),SUM(Z416:Z417))</f>
        <v>0</v>
      </c>
      <c r="AA418" s="373">
        <f>-MIN(MAX(MAX(-AA408*GA!$G$451,0)+AA411,0),SUM(AA416:AA417))</f>
        <v>0</v>
      </c>
      <c r="AB418" s="373">
        <f>-MIN(MAX(MAX(-AB408*GA!$G$451,0)+AB411,0),SUM(AB416:AB417))</f>
        <v>0</v>
      </c>
      <c r="AC418" s="373">
        <f>-MIN(MAX(MAX(-AC408*GA!$G$451,0)+AC411,0),SUM(AC416:AC417))</f>
        <v>0</v>
      </c>
      <c r="AD418" s="373">
        <f>-MIN(MAX(MAX(-AD408*GA!$G$451,0)+AD411,0),SUM(AD416:AD417))</f>
        <v>0</v>
      </c>
      <c r="AE418" s="373">
        <f>-MIN(MAX(MAX(-AE408*GA!$G$451,0)+AE411,0),SUM(AE416:AE417))</f>
        <v>0</v>
      </c>
      <c r="AF418" s="373">
        <f>-MIN(MAX(MAX(-AF408*GA!$G$451,0)+AF411,0),SUM(AF416:AF417))</f>
        <v>0</v>
      </c>
      <c r="AG418" s="373">
        <f>-MIN(MAX(MAX(-AG408*GA!$G$451,0)+AG411,0),SUM(AG416:AG417))</f>
        <v>0</v>
      </c>
      <c r="AH418" s="373">
        <f>-MIN(MAX(MAX(-AH408*GA!$G$451,0)+AH411,0),SUM(AH416:AH417))</f>
        <v>0</v>
      </c>
      <c r="AI418" s="373">
        <f>-MIN(MAX(MAX(-AI408*GA!$G$451,0)+AI411,0),SUM(AI416:AI417))</f>
        <v>0</v>
      </c>
      <c r="AJ418" s="373">
        <f>-MIN(MAX(MAX(-AJ408*GA!$G$451,0)+AJ411,0),SUM(AJ416:AJ417))</f>
        <v>0</v>
      </c>
      <c r="AK418" s="373">
        <f>-MIN(MAX(MAX(-AK408*GA!$G$451,0)+AK411,0),SUM(AK416:AK417))</f>
        <v>0</v>
      </c>
      <c r="AL418" s="373">
        <f>-MIN(MAX(MAX(-AL408*GA!$G$451,0)+AL411,0),SUM(AL416:AL417))</f>
        <v>0</v>
      </c>
      <c r="AM418" s="373">
        <f>-MIN(MAX(MAX(-AM408*GA!$G$451,0)+AM411,0),SUM(AM416:AM417))</f>
        <v>0</v>
      </c>
      <c r="AN418" s="373">
        <f>-MIN(MAX(MAX(-AN408*GA!$G$451,0)+AN411,0),SUM(AN416:AN417))</f>
        <v>0</v>
      </c>
      <c r="AO418" s="373">
        <f>-MIN(MAX(MAX(-AO408*GA!$G$451,0)+AO411,0),SUM(AO416:AO417))</f>
        <v>0</v>
      </c>
      <c r="AP418" s="373">
        <f>-MIN(MAX(MAX(-AP408*GA!$G$451,0)+AP411,0),SUM(AP416:AP417))</f>
        <v>0</v>
      </c>
      <c r="AQ418" s="373">
        <f>-MIN(MAX(MAX(-AQ408*GA!$G$451,0)+AQ411,0),SUM(AQ416:AQ417))</f>
        <v>0</v>
      </c>
      <c r="AR418" s="373">
        <f>-MIN(MAX(MAX(-AR408*GA!$G$451,0)+AR411,0),SUM(AR416:AR417))</f>
        <v>0</v>
      </c>
      <c r="AS418" s="373">
        <f>-MIN(MAX(MAX(-AS408*GA!$G$451,0)+AS411,0),SUM(AS416:AS417))</f>
        <v>0</v>
      </c>
      <c r="AT418" s="373">
        <f>-MIN(MAX(MAX(-AT408*GA!$G$451,0)+AT411,0),SUM(AT416:AT417))</f>
        <v>0</v>
      </c>
      <c r="AU418" s="373">
        <f>-MIN(MAX(MAX(-AU408*GA!$G$451,0)+AU411,0),SUM(AU416:AU417))</f>
        <v>0</v>
      </c>
      <c r="AV418" s="373">
        <f>-MIN(MAX(MAX(-AV408*GA!$G$451,0)+AV411,0),SUM(AV416:AV417))</f>
        <v>0</v>
      </c>
      <c r="AW418" s="373">
        <f>-MIN(MAX(MAX(-AW408*GA!$G$451,0)+AW411,0),SUM(AW416:AW417))</f>
        <v>0</v>
      </c>
      <c r="AX418" s="373">
        <f>-MIN(MAX(MAX(-AX408*GA!$G$451,0)+AX411,0),SUM(AX416:AX417))</f>
        <v>0</v>
      </c>
      <c r="AY418" s="373">
        <f>-MIN(MAX(MAX(-AY408*GA!$G$451,0)+AY411,0),SUM(AY416:AY417))</f>
        <v>0</v>
      </c>
      <c r="AZ418" s="373">
        <f>-MIN(MAX(MAX(-AZ408*GA!$G$451,0)+AZ411,0),SUM(AZ416:AZ417))</f>
        <v>0</v>
      </c>
      <c r="BA418" s="373">
        <f>-MIN(MAX(MAX(-BA408*GA!$G$451,0)+BA411,0),SUM(BA416:BA417))</f>
        <v>0</v>
      </c>
      <c r="BB418" s="373">
        <f>-MIN(MAX(MAX(-BB408*GA!$G$451,0)+BB411,0),SUM(BB416:BB417))</f>
        <v>0</v>
      </c>
      <c r="BC418" s="373">
        <f>-MIN(MAX(MAX(-BC408*GA!$G$451,0)+BC411,0),SUM(BC416:BC417))</f>
        <v>0</v>
      </c>
      <c r="BD418" s="373">
        <f>-MIN(MAX(MAX(-BD408*GA!$G$451,0)+BD411,0),SUM(BD416:BD417))</f>
        <v>0</v>
      </c>
      <c r="BE418" s="373">
        <f>-MIN(MAX(MAX(-BE408*GA!$G$451,0)+BE411,0),SUM(BE416:BE417))</f>
        <v>0</v>
      </c>
      <c r="BF418" s="373">
        <f>-MIN(MAX(MAX(-BF408*GA!$G$451,0)+BF411,0),SUM(BF416:BF417))</f>
        <v>0</v>
      </c>
      <c r="BG418" s="373">
        <f>-MIN(MAX(MAX(-BG408*GA!$G$451,0)+BG411,0),SUM(BG416:BG417))</f>
        <v>0</v>
      </c>
    </row>
    <row r="419" spans="3:59" outlineLevel="1">
      <c r="C419" s="17" t="s">
        <v>846</v>
      </c>
      <c r="D419" s="17"/>
      <c r="E419" s="17"/>
      <c r="F419" s="17"/>
      <c r="G419" s="17"/>
      <c r="H419" s="17"/>
      <c r="I419" s="17"/>
      <c r="J419" s="17"/>
      <c r="K419" s="17"/>
      <c r="L419" s="17"/>
      <c r="M419" s="17"/>
      <c r="N419" s="17"/>
      <c r="O419" s="17"/>
      <c r="P419" s="17"/>
      <c r="Q419" s="17"/>
      <c r="R419" s="416"/>
      <c r="S419" s="416"/>
      <c r="T419" s="369">
        <f>SUM(T416:T418)</f>
        <v>0</v>
      </c>
      <c r="U419" s="369">
        <f t="shared" ref="U419:BG419" si="368">SUM(U416:U418)</f>
        <v>0</v>
      </c>
      <c r="V419" s="369">
        <f t="shared" si="368"/>
        <v>0</v>
      </c>
      <c r="W419" s="369">
        <f t="shared" si="368"/>
        <v>0</v>
      </c>
      <c r="X419" s="369">
        <f t="shared" si="368"/>
        <v>0</v>
      </c>
      <c r="Y419" s="369">
        <f t="shared" si="368"/>
        <v>0</v>
      </c>
      <c r="Z419" s="369">
        <f t="shared" si="368"/>
        <v>0</v>
      </c>
      <c r="AA419" s="369">
        <f t="shared" si="368"/>
        <v>0</v>
      </c>
      <c r="AB419" s="369">
        <f t="shared" si="368"/>
        <v>0</v>
      </c>
      <c r="AC419" s="369">
        <f t="shared" si="368"/>
        <v>0</v>
      </c>
      <c r="AD419" s="369">
        <f t="shared" si="368"/>
        <v>0</v>
      </c>
      <c r="AE419" s="369">
        <f t="shared" si="368"/>
        <v>0</v>
      </c>
      <c r="AF419" s="369">
        <f t="shared" si="368"/>
        <v>0</v>
      </c>
      <c r="AG419" s="369">
        <f t="shared" si="368"/>
        <v>0</v>
      </c>
      <c r="AH419" s="369">
        <f t="shared" si="368"/>
        <v>0</v>
      </c>
      <c r="AI419" s="369">
        <f t="shared" si="368"/>
        <v>0</v>
      </c>
      <c r="AJ419" s="369">
        <f t="shared" si="368"/>
        <v>0</v>
      </c>
      <c r="AK419" s="369">
        <f t="shared" si="368"/>
        <v>0</v>
      </c>
      <c r="AL419" s="369">
        <f t="shared" si="368"/>
        <v>0</v>
      </c>
      <c r="AM419" s="369">
        <f t="shared" si="368"/>
        <v>0</v>
      </c>
      <c r="AN419" s="369">
        <f t="shared" si="368"/>
        <v>0</v>
      </c>
      <c r="AO419" s="369">
        <f t="shared" si="368"/>
        <v>0</v>
      </c>
      <c r="AP419" s="369">
        <f t="shared" si="368"/>
        <v>0</v>
      </c>
      <c r="AQ419" s="369">
        <f t="shared" si="368"/>
        <v>0</v>
      </c>
      <c r="AR419" s="369">
        <f t="shared" si="368"/>
        <v>0</v>
      </c>
      <c r="AS419" s="369">
        <f t="shared" si="368"/>
        <v>0</v>
      </c>
      <c r="AT419" s="369">
        <f t="shared" si="368"/>
        <v>0</v>
      </c>
      <c r="AU419" s="369">
        <f t="shared" si="368"/>
        <v>0</v>
      </c>
      <c r="AV419" s="369">
        <f t="shared" si="368"/>
        <v>0</v>
      </c>
      <c r="AW419" s="369">
        <f t="shared" si="368"/>
        <v>0</v>
      </c>
      <c r="AX419" s="369">
        <f t="shared" si="368"/>
        <v>0</v>
      </c>
      <c r="AY419" s="369">
        <f t="shared" si="368"/>
        <v>0</v>
      </c>
      <c r="AZ419" s="369">
        <f t="shared" si="368"/>
        <v>0</v>
      </c>
      <c r="BA419" s="369">
        <f t="shared" si="368"/>
        <v>0</v>
      </c>
      <c r="BB419" s="369">
        <f t="shared" si="368"/>
        <v>0</v>
      </c>
      <c r="BC419" s="369">
        <f t="shared" si="368"/>
        <v>0</v>
      </c>
      <c r="BD419" s="369">
        <f t="shared" si="368"/>
        <v>0</v>
      </c>
      <c r="BE419" s="369">
        <f t="shared" si="368"/>
        <v>0</v>
      </c>
      <c r="BF419" s="369">
        <f t="shared" si="368"/>
        <v>0</v>
      </c>
      <c r="BG419" s="369">
        <f t="shared" si="368"/>
        <v>0</v>
      </c>
    </row>
    <row r="420" spans="3:59" outlineLevel="1"/>
    <row r="421" spans="3:59" outlineLevel="1">
      <c r="C421" s="364" t="s">
        <v>847</v>
      </c>
      <c r="D421" s="364"/>
      <c r="E421" s="364"/>
      <c r="F421" s="364"/>
      <c r="G421" s="364"/>
      <c r="H421" s="364"/>
      <c r="I421" s="364"/>
      <c r="J421" s="364"/>
      <c r="K421" s="364"/>
      <c r="L421" s="364"/>
      <c r="M421" s="364"/>
      <c r="N421" s="364"/>
      <c r="O421" s="17"/>
      <c r="P421" s="17"/>
      <c r="Q421" s="17"/>
      <c r="R421" s="17"/>
      <c r="S421" s="17"/>
    </row>
    <row r="422" spans="3:59" outlineLevel="1">
      <c r="C422" t="s">
        <v>848</v>
      </c>
      <c r="R422" s="368">
        <f>+R418+R413</f>
        <v>0</v>
      </c>
      <c r="S422" s="368">
        <f t="shared" ref="S422:T422" si="369">+S418+S413</f>
        <v>0</v>
      </c>
      <c r="T422" s="368">
        <f t="shared" si="369"/>
        <v>-24340.277777777777</v>
      </c>
      <c r="U422" s="368">
        <f t="shared" ref="U422:BG422" si="370">+U418+U413</f>
        <v>-7524.6983495247878</v>
      </c>
      <c r="V422" s="368">
        <f t="shared" si="370"/>
        <v>-11003.732638888891</v>
      </c>
      <c r="W422" s="368">
        <f t="shared" si="370"/>
        <v>-10828.125000000002</v>
      </c>
      <c r="X422" s="368">
        <f t="shared" si="370"/>
        <v>-11012.847222222223</v>
      </c>
      <c r="Y422" s="368">
        <f t="shared" si="370"/>
        <v>-10956.944444444445</v>
      </c>
      <c r="Z422" s="368">
        <f t="shared" si="370"/>
        <v>-10782.552083333334</v>
      </c>
      <c r="AA422" s="368">
        <f t="shared" si="370"/>
        <v>-10609.375000000002</v>
      </c>
      <c r="AB422" s="368">
        <f t="shared" si="370"/>
        <v>-10789.236111111113</v>
      </c>
      <c r="AC422" s="368">
        <f t="shared" si="370"/>
        <v>-10733.333333333334</v>
      </c>
      <c r="AD422" s="368">
        <f t="shared" si="370"/>
        <v>-10561.371527777779</v>
      </c>
      <c r="AE422" s="368">
        <f t="shared" si="370"/>
        <v>-10506.076388888891</v>
      </c>
      <c r="AF422" s="368">
        <f t="shared" si="370"/>
        <v>0</v>
      </c>
      <c r="AG422" s="368">
        <f t="shared" si="370"/>
        <v>0</v>
      </c>
      <c r="AH422" s="368">
        <f t="shared" si="370"/>
        <v>0</v>
      </c>
      <c r="AI422" s="368">
        <f t="shared" si="370"/>
        <v>0</v>
      </c>
      <c r="AJ422" s="368">
        <f t="shared" si="370"/>
        <v>0</v>
      </c>
      <c r="AK422" s="368">
        <f t="shared" si="370"/>
        <v>0</v>
      </c>
      <c r="AL422" s="368">
        <f t="shared" si="370"/>
        <v>0</v>
      </c>
      <c r="AM422" s="368">
        <f t="shared" si="370"/>
        <v>0</v>
      </c>
      <c r="AN422" s="368">
        <f t="shared" si="370"/>
        <v>0</v>
      </c>
      <c r="AO422" s="368">
        <f t="shared" si="370"/>
        <v>0</v>
      </c>
      <c r="AP422" s="368">
        <f t="shared" si="370"/>
        <v>0</v>
      </c>
      <c r="AQ422" s="368">
        <f t="shared" si="370"/>
        <v>0</v>
      </c>
      <c r="AR422" s="368">
        <f t="shared" si="370"/>
        <v>0</v>
      </c>
      <c r="AS422" s="368">
        <f t="shared" si="370"/>
        <v>0</v>
      </c>
      <c r="AT422" s="368">
        <f t="shared" si="370"/>
        <v>0</v>
      </c>
      <c r="AU422" s="368">
        <f t="shared" si="370"/>
        <v>0</v>
      </c>
      <c r="AV422" s="368">
        <f t="shared" si="370"/>
        <v>0</v>
      </c>
      <c r="AW422" s="368">
        <f t="shared" si="370"/>
        <v>0</v>
      </c>
      <c r="AX422" s="368">
        <f t="shared" si="370"/>
        <v>0</v>
      </c>
      <c r="AY422" s="368">
        <f t="shared" si="370"/>
        <v>0</v>
      </c>
      <c r="AZ422" s="368">
        <f t="shared" si="370"/>
        <v>0</v>
      </c>
      <c r="BA422" s="368">
        <f t="shared" si="370"/>
        <v>0</v>
      </c>
      <c r="BB422" s="368">
        <f t="shared" si="370"/>
        <v>0</v>
      </c>
      <c r="BC422" s="368">
        <f t="shared" si="370"/>
        <v>0</v>
      </c>
      <c r="BD422" s="368">
        <f t="shared" si="370"/>
        <v>0</v>
      </c>
      <c r="BE422" s="368">
        <f t="shared" si="370"/>
        <v>0</v>
      </c>
      <c r="BF422" s="368">
        <f t="shared" si="370"/>
        <v>0</v>
      </c>
      <c r="BG422" s="368">
        <f t="shared" si="370"/>
        <v>0</v>
      </c>
    </row>
    <row r="423" spans="3:59" outlineLevel="1">
      <c r="C423" t="s">
        <v>540</v>
      </c>
      <c r="R423" s="392"/>
      <c r="S423" s="392"/>
      <c r="T423" s="403">
        <f>TDCF!T183</f>
        <v>-11552.776220950829</v>
      </c>
      <c r="U423" s="403">
        <f>TDCF!U183</f>
        <v>-22829.39461364624</v>
      </c>
      <c r="V423" s="403">
        <f>TDCF!V183</f>
        <v>-33924.299999999996</v>
      </c>
      <c r="W423" s="403">
        <f>TDCF!W183</f>
        <v>-33924.299999999996</v>
      </c>
      <c r="X423" s="403">
        <f>TDCF!X183</f>
        <v>-33924.299999999996</v>
      </c>
      <c r="Y423" s="403">
        <f>TDCF!Y183</f>
        <v>-33924.299999999996</v>
      </c>
      <c r="Z423" s="403">
        <f>TDCF!Z183</f>
        <v>-33924.299999999996</v>
      </c>
      <c r="AA423" s="403">
        <f>TDCF!AA183</f>
        <v>-33924.299999999996</v>
      </c>
      <c r="AB423" s="403">
        <f>TDCF!AB183</f>
        <v>-33924.299999999996</v>
      </c>
      <c r="AC423" s="403">
        <f>TDCF!AC183</f>
        <v>-33924.299999999996</v>
      </c>
      <c r="AD423" s="403">
        <f>TDCF!AD183</f>
        <v>-33924.299999999996</v>
      </c>
      <c r="AE423" s="403">
        <f>TDCF!AE183</f>
        <v>-33924.299999999996</v>
      </c>
      <c r="AF423" s="403">
        <f>TDCF!AF183</f>
        <v>0</v>
      </c>
      <c r="AG423" s="403">
        <f>TDCF!AG183</f>
        <v>0</v>
      </c>
      <c r="AH423" s="403">
        <f>TDCF!AH183</f>
        <v>0</v>
      </c>
      <c r="AI423" s="403">
        <f>TDCF!AI183</f>
        <v>0</v>
      </c>
      <c r="AJ423" s="403">
        <f>TDCF!AJ183</f>
        <v>0</v>
      </c>
      <c r="AK423" s="403">
        <f>TDCF!AK183</f>
        <v>0</v>
      </c>
      <c r="AL423" s="403">
        <f>TDCF!AL183</f>
        <v>0</v>
      </c>
      <c r="AM423" s="403">
        <f>TDCF!AM183</f>
        <v>0</v>
      </c>
      <c r="AN423" s="403">
        <f>TDCF!AN183</f>
        <v>0</v>
      </c>
      <c r="AO423" s="403">
        <f>TDCF!AO183</f>
        <v>0</v>
      </c>
      <c r="AP423" s="403">
        <f>TDCF!AP183</f>
        <v>0</v>
      </c>
      <c r="AQ423" s="403">
        <f>TDCF!AQ183</f>
        <v>0</v>
      </c>
      <c r="AR423" s="403">
        <f>TDCF!AR183</f>
        <v>0</v>
      </c>
      <c r="AS423" s="403">
        <f>TDCF!AS183</f>
        <v>0</v>
      </c>
      <c r="AT423" s="403">
        <f>TDCF!AT183</f>
        <v>0</v>
      </c>
      <c r="AU423" s="403">
        <f>TDCF!AU183</f>
        <v>0</v>
      </c>
      <c r="AV423" s="403">
        <f>TDCF!AV183</f>
        <v>0</v>
      </c>
      <c r="AW423" s="403">
        <f>TDCF!AW183</f>
        <v>0</v>
      </c>
      <c r="AX423" s="403">
        <f>TDCF!AX183</f>
        <v>0</v>
      </c>
      <c r="AY423" s="403">
        <f>TDCF!AY183</f>
        <v>0</v>
      </c>
      <c r="AZ423" s="403">
        <f>TDCF!AZ183</f>
        <v>0</v>
      </c>
      <c r="BA423" s="403">
        <f>TDCF!BA183</f>
        <v>0</v>
      </c>
      <c r="BB423" s="403">
        <f>TDCF!BB183</f>
        <v>0</v>
      </c>
      <c r="BC423" s="403">
        <f>TDCF!BC183</f>
        <v>0</v>
      </c>
      <c r="BD423" s="403">
        <f>TDCF!BD183</f>
        <v>0</v>
      </c>
      <c r="BE423" s="403">
        <f>TDCF!BE183</f>
        <v>0</v>
      </c>
      <c r="BF423" s="403">
        <f>TDCF!BF183</f>
        <v>0</v>
      </c>
      <c r="BG423" s="403">
        <f>TDCF!BG183</f>
        <v>0</v>
      </c>
    </row>
    <row r="424" spans="3:59" outlineLevel="1">
      <c r="C424" s="188" t="s">
        <v>847</v>
      </c>
      <c r="D424" s="188"/>
      <c r="E424" s="188"/>
      <c r="F424" s="188"/>
      <c r="G424" s="188"/>
      <c r="H424" s="188"/>
      <c r="I424" s="188"/>
      <c r="J424" s="188"/>
      <c r="K424" s="188"/>
      <c r="L424" s="188"/>
      <c r="M424" s="188"/>
      <c r="N424" s="188"/>
      <c r="O424" s="188"/>
      <c r="P424" s="188"/>
      <c r="Q424" s="188"/>
      <c r="R424" s="487">
        <f>R408+SUM(R422:R423)</f>
        <v>0</v>
      </c>
      <c r="S424" s="487">
        <f t="shared" ref="S424:T424" si="371">S408+SUM(S422:S423)</f>
        <v>-47000</v>
      </c>
      <c r="T424" s="487">
        <f t="shared" si="371"/>
        <v>-26760.017593879642</v>
      </c>
      <c r="U424" s="487">
        <f t="shared" ref="U424" si="372">U408+SUM(U422:U423)</f>
        <v>-26.489113505343994</v>
      </c>
      <c r="V424" s="487">
        <f t="shared" ref="V424" si="373">V408+SUM(V422:V423)</f>
        <v>7076.6226361076915</v>
      </c>
      <c r="W424" s="487">
        <f t="shared" ref="W424" si="374">W408+SUM(W422:W423)</f>
        <v>7308.693749999984</v>
      </c>
      <c r="X424" s="487">
        <f t="shared" ref="X424" si="375">X408+SUM(X422:X423)</f>
        <v>7180.2988758689899</v>
      </c>
      <c r="Y424" s="487">
        <f t="shared" ref="Y424" si="376">Y408+SUM(Y422:Y423)</f>
        <v>7292.3914207647031</v>
      </c>
      <c r="Z424" s="487">
        <f t="shared" ref="Z424" si="377">Z408+SUM(Z422:Z423)</f>
        <v>7522.8345052873192</v>
      </c>
      <c r="AA424" s="487">
        <f t="shared" ref="AA424" si="378">AA408+SUM(AA422:AA423)</f>
        <v>7751.9217968749654</v>
      </c>
      <c r="AB424" s="487">
        <f t="shared" ref="AB424" si="379">AB408+SUM(AB422:AB423)</f>
        <v>7627.8288986464031</v>
      </c>
      <c r="AC424" s="487">
        <f t="shared" ref="AC424" si="380">AC408+SUM(AC422:AC423)</f>
        <v>7739.3564049105189</v>
      </c>
      <c r="AD424" s="487">
        <f t="shared" ref="AD424" si="381">AD408+SUM(AD422:AD423)</f>
        <v>7966.7979566753856</v>
      </c>
      <c r="AE424" s="487">
        <f t="shared" ref="AE424" si="382">AE408+SUM(AE422:AE423)</f>
        <v>8077.426352712595</v>
      </c>
      <c r="AF424" s="487">
        <f t="shared" ref="AF424" si="383">AF408+SUM(AF422:AF423)</f>
        <v>0</v>
      </c>
      <c r="AG424" s="487">
        <f t="shared" ref="AG424" si="384">AG408+SUM(AG422:AG423)</f>
        <v>0</v>
      </c>
      <c r="AH424" s="487">
        <f t="shared" ref="AH424" si="385">AH408+SUM(AH422:AH423)</f>
        <v>0</v>
      </c>
      <c r="AI424" s="487">
        <f t="shared" ref="AI424" si="386">AI408+SUM(AI422:AI423)</f>
        <v>0</v>
      </c>
      <c r="AJ424" s="487">
        <f t="shared" ref="AJ424" si="387">AJ408+SUM(AJ422:AJ423)</f>
        <v>0</v>
      </c>
      <c r="AK424" s="487">
        <f t="shared" ref="AK424" si="388">AK408+SUM(AK422:AK423)</f>
        <v>0</v>
      </c>
      <c r="AL424" s="487">
        <f t="shared" ref="AL424" si="389">AL408+SUM(AL422:AL423)</f>
        <v>0</v>
      </c>
      <c r="AM424" s="487">
        <f t="shared" ref="AM424" si="390">AM408+SUM(AM422:AM423)</f>
        <v>0</v>
      </c>
      <c r="AN424" s="487">
        <f t="shared" ref="AN424" si="391">AN408+SUM(AN422:AN423)</f>
        <v>0</v>
      </c>
      <c r="AO424" s="487">
        <f t="shared" ref="AO424" si="392">AO408+SUM(AO422:AO423)</f>
        <v>0</v>
      </c>
      <c r="AP424" s="487">
        <f t="shared" ref="AP424" si="393">AP408+SUM(AP422:AP423)</f>
        <v>0</v>
      </c>
      <c r="AQ424" s="487">
        <f t="shared" ref="AQ424" si="394">AQ408+SUM(AQ422:AQ423)</f>
        <v>0</v>
      </c>
      <c r="AR424" s="487">
        <f t="shared" ref="AR424" si="395">AR408+SUM(AR422:AR423)</f>
        <v>0</v>
      </c>
      <c r="AS424" s="487">
        <f t="shared" ref="AS424" si="396">AS408+SUM(AS422:AS423)</f>
        <v>0</v>
      </c>
      <c r="AT424" s="487">
        <f t="shared" ref="AT424" si="397">AT408+SUM(AT422:AT423)</f>
        <v>0</v>
      </c>
      <c r="AU424" s="487">
        <f t="shared" ref="AU424" si="398">AU408+SUM(AU422:AU423)</f>
        <v>0</v>
      </c>
      <c r="AV424" s="487">
        <f t="shared" ref="AV424" si="399">AV408+SUM(AV422:AV423)</f>
        <v>0</v>
      </c>
      <c r="AW424" s="487">
        <f t="shared" ref="AW424" si="400">AW408+SUM(AW422:AW423)</f>
        <v>0</v>
      </c>
      <c r="AX424" s="487">
        <f t="shared" ref="AX424" si="401">AX408+SUM(AX422:AX423)</f>
        <v>0</v>
      </c>
      <c r="AY424" s="487">
        <f t="shared" ref="AY424" si="402">AY408+SUM(AY422:AY423)</f>
        <v>0</v>
      </c>
      <c r="AZ424" s="487">
        <f t="shared" ref="AZ424" si="403">AZ408+SUM(AZ422:AZ423)</f>
        <v>0</v>
      </c>
      <c r="BA424" s="487">
        <f t="shared" ref="BA424" si="404">BA408+SUM(BA422:BA423)</f>
        <v>0</v>
      </c>
      <c r="BB424" s="487">
        <f t="shared" ref="BB424" si="405">BB408+SUM(BB422:BB423)</f>
        <v>0</v>
      </c>
      <c r="BC424" s="487">
        <f t="shared" ref="BC424" si="406">BC408+SUM(BC422:BC423)</f>
        <v>0</v>
      </c>
      <c r="BD424" s="487">
        <f t="shared" ref="BD424" si="407">BD408+SUM(BD422:BD423)</f>
        <v>0</v>
      </c>
      <c r="BE424" s="487">
        <f t="shared" ref="BE424" si="408">BE408+SUM(BE422:BE423)</f>
        <v>0</v>
      </c>
      <c r="BF424" s="487">
        <f t="shared" ref="BF424" si="409">BF408+SUM(BF422:BF423)</f>
        <v>0</v>
      </c>
      <c r="BG424" s="487">
        <f t="shared" ref="BG424" si="410">BG408+SUM(BG422:BG423)</f>
        <v>0</v>
      </c>
    </row>
    <row r="425" spans="3:59" outlineLevel="1"/>
    <row r="426" spans="3:59" outlineLevel="1">
      <c r="C426" s="364" t="s">
        <v>849</v>
      </c>
      <c r="D426" s="364"/>
      <c r="E426" s="364"/>
      <c r="F426" s="364"/>
      <c r="G426" s="364"/>
      <c r="H426" s="364"/>
      <c r="I426" s="364"/>
      <c r="J426" s="364"/>
      <c r="K426" s="364"/>
      <c r="L426" s="364"/>
      <c r="M426" s="364"/>
      <c r="N426" s="364"/>
      <c r="O426" s="488">
        <f>GA!$G$444</f>
        <v>1</v>
      </c>
      <c r="P426" s="17"/>
      <c r="Q426" s="17"/>
      <c r="R426" s="17"/>
      <c r="S426" s="17"/>
      <c r="T426" s="17"/>
      <c r="U426" s="17"/>
      <c r="V426" s="17"/>
      <c r="W426" s="17"/>
    </row>
    <row r="427" spans="3:59" outlineLevel="1">
      <c r="C427" t="s">
        <v>682</v>
      </c>
      <c r="R427" s="368">
        <f t="shared" ref="R427:BG427" si="411">$O$426*IF(Q8&lt;&gt;R8,0,Q430)</f>
        <v>0</v>
      </c>
      <c r="S427" s="368">
        <f t="shared" si="411"/>
        <v>0</v>
      </c>
      <c r="T427" s="368">
        <f t="shared" si="411"/>
        <v>0</v>
      </c>
      <c r="U427" s="368">
        <f t="shared" si="411"/>
        <v>26760.017593879642</v>
      </c>
      <c r="V427" s="368">
        <f t="shared" si="411"/>
        <v>26786.506707384986</v>
      </c>
      <c r="W427" s="368">
        <f t="shared" si="411"/>
        <v>19709.884071277294</v>
      </c>
      <c r="X427" s="368">
        <f t="shared" si="411"/>
        <v>0</v>
      </c>
      <c r="Y427" s="368">
        <f t="shared" si="411"/>
        <v>0</v>
      </c>
      <c r="Z427" s="368">
        <f t="shared" si="411"/>
        <v>0</v>
      </c>
      <c r="AA427" s="368">
        <f t="shared" si="411"/>
        <v>0</v>
      </c>
      <c r="AB427" s="368">
        <f t="shared" si="411"/>
        <v>0</v>
      </c>
      <c r="AC427" s="368">
        <f t="shared" si="411"/>
        <v>0</v>
      </c>
      <c r="AD427" s="368">
        <f t="shared" si="411"/>
        <v>0</v>
      </c>
      <c r="AE427" s="368">
        <f t="shared" si="411"/>
        <v>0</v>
      </c>
      <c r="AF427" s="368">
        <f t="shared" si="411"/>
        <v>0</v>
      </c>
      <c r="AG427" s="368">
        <f t="shared" si="411"/>
        <v>0</v>
      </c>
      <c r="AH427" s="368">
        <f t="shared" si="411"/>
        <v>0</v>
      </c>
      <c r="AI427" s="368">
        <f t="shared" si="411"/>
        <v>0</v>
      </c>
      <c r="AJ427" s="368">
        <f t="shared" si="411"/>
        <v>0</v>
      </c>
      <c r="AK427" s="368">
        <f t="shared" si="411"/>
        <v>0</v>
      </c>
      <c r="AL427" s="368">
        <f t="shared" si="411"/>
        <v>0</v>
      </c>
      <c r="AM427" s="368">
        <f t="shared" si="411"/>
        <v>0</v>
      </c>
      <c r="AN427" s="368">
        <f t="shared" si="411"/>
        <v>0</v>
      </c>
      <c r="AO427" s="368">
        <f t="shared" si="411"/>
        <v>0</v>
      </c>
      <c r="AP427" s="368">
        <f t="shared" si="411"/>
        <v>0</v>
      </c>
      <c r="AQ427" s="368">
        <f t="shared" si="411"/>
        <v>0</v>
      </c>
      <c r="AR427" s="368">
        <f t="shared" si="411"/>
        <v>0</v>
      </c>
      <c r="AS427" s="368">
        <f t="shared" si="411"/>
        <v>0</v>
      </c>
      <c r="AT427" s="368">
        <f t="shared" si="411"/>
        <v>0</v>
      </c>
      <c r="AU427" s="368">
        <f t="shared" si="411"/>
        <v>0</v>
      </c>
      <c r="AV427" s="368">
        <f t="shared" si="411"/>
        <v>0</v>
      </c>
      <c r="AW427" s="368">
        <f t="shared" si="411"/>
        <v>0</v>
      </c>
      <c r="AX427" s="368">
        <f t="shared" si="411"/>
        <v>0</v>
      </c>
      <c r="AY427" s="368">
        <f t="shared" si="411"/>
        <v>0</v>
      </c>
      <c r="AZ427" s="368">
        <f t="shared" si="411"/>
        <v>0</v>
      </c>
      <c r="BA427" s="368">
        <f t="shared" si="411"/>
        <v>0</v>
      </c>
      <c r="BB427" s="368">
        <f t="shared" si="411"/>
        <v>0</v>
      </c>
      <c r="BC427" s="368">
        <f t="shared" si="411"/>
        <v>0</v>
      </c>
      <c r="BD427" s="368">
        <f t="shared" si="411"/>
        <v>0</v>
      </c>
      <c r="BE427" s="368">
        <f t="shared" si="411"/>
        <v>0</v>
      </c>
      <c r="BF427" s="368">
        <f t="shared" si="411"/>
        <v>0</v>
      </c>
      <c r="BG427" s="368">
        <f t="shared" si="411"/>
        <v>0</v>
      </c>
    </row>
    <row r="428" spans="3:59" outlineLevel="1">
      <c r="C428" t="s">
        <v>850</v>
      </c>
      <c r="R428" s="310">
        <f>$O$426*-MIN(R424,0)</f>
        <v>0</v>
      </c>
      <c r="S428" s="310">
        <f>$O$426*-MIN(S424,0)</f>
        <v>47000</v>
      </c>
      <c r="T428" s="310">
        <f>$O$426*-MIN(T424,0)</f>
        <v>26760.017593879642</v>
      </c>
      <c r="U428" s="310">
        <f t="shared" ref="U428:BG428" si="412">$O$426*-MIN(U424,0)</f>
        <v>26.489113505343994</v>
      </c>
      <c r="V428" s="310">
        <f t="shared" si="412"/>
        <v>0</v>
      </c>
      <c r="W428" s="310">
        <f t="shared" si="412"/>
        <v>0</v>
      </c>
      <c r="X428" s="310">
        <f t="shared" si="412"/>
        <v>0</v>
      </c>
      <c r="Y428" s="310">
        <f t="shared" si="412"/>
        <v>0</v>
      </c>
      <c r="Z428" s="310">
        <f t="shared" si="412"/>
        <v>0</v>
      </c>
      <c r="AA428" s="310">
        <f t="shared" si="412"/>
        <v>0</v>
      </c>
      <c r="AB428" s="310">
        <f t="shared" si="412"/>
        <v>0</v>
      </c>
      <c r="AC428" s="310">
        <f t="shared" si="412"/>
        <v>0</v>
      </c>
      <c r="AD428" s="310">
        <f t="shared" si="412"/>
        <v>0</v>
      </c>
      <c r="AE428" s="310">
        <f t="shared" si="412"/>
        <v>0</v>
      </c>
      <c r="AF428" s="310">
        <f t="shared" si="412"/>
        <v>0</v>
      </c>
      <c r="AG428" s="310">
        <f t="shared" si="412"/>
        <v>0</v>
      </c>
      <c r="AH428" s="310">
        <f t="shared" si="412"/>
        <v>0</v>
      </c>
      <c r="AI428" s="310">
        <f t="shared" si="412"/>
        <v>0</v>
      </c>
      <c r="AJ428" s="310">
        <f t="shared" si="412"/>
        <v>0</v>
      </c>
      <c r="AK428" s="310">
        <f t="shared" si="412"/>
        <v>0</v>
      </c>
      <c r="AL428" s="310">
        <f t="shared" si="412"/>
        <v>0</v>
      </c>
      <c r="AM428" s="310">
        <f t="shared" si="412"/>
        <v>0</v>
      </c>
      <c r="AN428" s="310">
        <f t="shared" si="412"/>
        <v>0</v>
      </c>
      <c r="AO428" s="310">
        <f t="shared" si="412"/>
        <v>0</v>
      </c>
      <c r="AP428" s="310">
        <f t="shared" si="412"/>
        <v>0</v>
      </c>
      <c r="AQ428" s="310">
        <f t="shared" si="412"/>
        <v>0</v>
      </c>
      <c r="AR428" s="310">
        <f t="shared" si="412"/>
        <v>0</v>
      </c>
      <c r="AS428" s="310">
        <f t="shared" si="412"/>
        <v>0</v>
      </c>
      <c r="AT428" s="310">
        <f t="shared" si="412"/>
        <v>0</v>
      </c>
      <c r="AU428" s="310">
        <f t="shared" si="412"/>
        <v>0</v>
      </c>
      <c r="AV428" s="310">
        <f t="shared" si="412"/>
        <v>0</v>
      </c>
      <c r="AW428" s="310">
        <f t="shared" si="412"/>
        <v>0</v>
      </c>
      <c r="AX428" s="310">
        <f t="shared" si="412"/>
        <v>0</v>
      </c>
      <c r="AY428" s="310">
        <f t="shared" si="412"/>
        <v>0</v>
      </c>
      <c r="AZ428" s="310">
        <f t="shared" si="412"/>
        <v>0</v>
      </c>
      <c r="BA428" s="310">
        <f t="shared" si="412"/>
        <v>0</v>
      </c>
      <c r="BB428" s="310">
        <f t="shared" si="412"/>
        <v>0</v>
      </c>
      <c r="BC428" s="310">
        <f t="shared" si="412"/>
        <v>0</v>
      </c>
      <c r="BD428" s="310">
        <f t="shared" si="412"/>
        <v>0</v>
      </c>
      <c r="BE428" s="310">
        <f t="shared" si="412"/>
        <v>0</v>
      </c>
      <c r="BF428" s="310">
        <f t="shared" si="412"/>
        <v>0</v>
      </c>
      <c r="BG428" s="310">
        <f t="shared" si="412"/>
        <v>0</v>
      </c>
    </row>
    <row r="429" spans="3:59" outlineLevel="1">
      <c r="C429" t="s">
        <v>851</v>
      </c>
      <c r="R429" s="310">
        <f>$O$426*-MIN(R427,MAX(R424,0))</f>
        <v>0</v>
      </c>
      <c r="S429" s="310">
        <f t="shared" ref="S429:T429" si="413">$O$426*-MIN(S427,MAX(S424,0))</f>
        <v>0</v>
      </c>
      <c r="T429" s="310">
        <f t="shared" si="413"/>
        <v>0</v>
      </c>
      <c r="U429" s="310">
        <f t="shared" ref="U429:BG429" si="414">$O$426*-MIN(U427,MAX(U424,0))</f>
        <v>0</v>
      </c>
      <c r="V429" s="310">
        <f t="shared" si="414"/>
        <v>-7076.6226361076915</v>
      </c>
      <c r="W429" s="310">
        <f t="shared" si="414"/>
        <v>-7308.693749999984</v>
      </c>
      <c r="X429" s="310">
        <f t="shared" si="414"/>
        <v>0</v>
      </c>
      <c r="Y429" s="310">
        <f t="shared" si="414"/>
        <v>0</v>
      </c>
      <c r="Z429" s="310">
        <f t="shared" si="414"/>
        <v>0</v>
      </c>
      <c r="AA429" s="310">
        <f t="shared" si="414"/>
        <v>0</v>
      </c>
      <c r="AB429" s="310">
        <f t="shared" si="414"/>
        <v>0</v>
      </c>
      <c r="AC429" s="310">
        <f t="shared" si="414"/>
        <v>0</v>
      </c>
      <c r="AD429" s="310">
        <f t="shared" si="414"/>
        <v>0</v>
      </c>
      <c r="AE429" s="310">
        <f t="shared" si="414"/>
        <v>0</v>
      </c>
      <c r="AF429" s="310">
        <f t="shared" si="414"/>
        <v>0</v>
      </c>
      <c r="AG429" s="310">
        <f t="shared" si="414"/>
        <v>0</v>
      </c>
      <c r="AH429" s="310">
        <f t="shared" si="414"/>
        <v>0</v>
      </c>
      <c r="AI429" s="310">
        <f t="shared" si="414"/>
        <v>0</v>
      </c>
      <c r="AJ429" s="310">
        <f t="shared" si="414"/>
        <v>0</v>
      </c>
      <c r="AK429" s="310">
        <f t="shared" si="414"/>
        <v>0</v>
      </c>
      <c r="AL429" s="310">
        <f t="shared" si="414"/>
        <v>0</v>
      </c>
      <c r="AM429" s="310">
        <f t="shared" si="414"/>
        <v>0</v>
      </c>
      <c r="AN429" s="310">
        <f t="shared" si="414"/>
        <v>0</v>
      </c>
      <c r="AO429" s="310">
        <f t="shared" si="414"/>
        <v>0</v>
      </c>
      <c r="AP429" s="310">
        <f t="shared" si="414"/>
        <v>0</v>
      </c>
      <c r="AQ429" s="310">
        <f t="shared" si="414"/>
        <v>0</v>
      </c>
      <c r="AR429" s="310">
        <f t="shared" si="414"/>
        <v>0</v>
      </c>
      <c r="AS429" s="310">
        <f t="shared" si="414"/>
        <v>0</v>
      </c>
      <c r="AT429" s="310">
        <f t="shared" si="414"/>
        <v>0</v>
      </c>
      <c r="AU429" s="310">
        <f t="shared" si="414"/>
        <v>0</v>
      </c>
      <c r="AV429" s="310">
        <f t="shared" si="414"/>
        <v>0</v>
      </c>
      <c r="AW429" s="310">
        <f t="shared" si="414"/>
        <v>0</v>
      </c>
      <c r="AX429" s="310">
        <f t="shared" si="414"/>
        <v>0</v>
      </c>
      <c r="AY429" s="310">
        <f t="shared" si="414"/>
        <v>0</v>
      </c>
      <c r="AZ429" s="310">
        <f t="shared" si="414"/>
        <v>0</v>
      </c>
      <c r="BA429" s="310">
        <f t="shared" si="414"/>
        <v>0</v>
      </c>
      <c r="BB429" s="310">
        <f t="shared" si="414"/>
        <v>0</v>
      </c>
      <c r="BC429" s="310">
        <f t="shared" si="414"/>
        <v>0</v>
      </c>
      <c r="BD429" s="310">
        <f t="shared" si="414"/>
        <v>0</v>
      </c>
      <c r="BE429" s="310">
        <f t="shared" si="414"/>
        <v>0</v>
      </c>
      <c r="BF429" s="310">
        <f t="shared" si="414"/>
        <v>0</v>
      </c>
      <c r="BG429" s="310">
        <f t="shared" si="414"/>
        <v>0</v>
      </c>
    </row>
    <row r="430" spans="3:59" outlineLevel="1">
      <c r="C430" s="17" t="s">
        <v>684</v>
      </c>
      <c r="D430" s="17"/>
      <c r="E430" s="17"/>
      <c r="F430" s="17"/>
      <c r="G430" s="17"/>
      <c r="H430" s="17"/>
      <c r="I430" s="17"/>
      <c r="J430" s="17"/>
      <c r="K430" s="17"/>
      <c r="L430" s="17"/>
      <c r="M430" s="17"/>
      <c r="N430" s="17"/>
      <c r="O430" s="17"/>
      <c r="P430" s="17"/>
      <c r="Q430" s="17"/>
      <c r="R430" s="369">
        <f>SUM(R427:R429)</f>
        <v>0</v>
      </c>
      <c r="S430" s="369">
        <f t="shared" ref="S430:T430" si="415">SUM(S427:S429)</f>
        <v>47000</v>
      </c>
      <c r="T430" s="369">
        <f t="shared" si="415"/>
        <v>26760.017593879642</v>
      </c>
      <c r="U430" s="369">
        <f t="shared" ref="U430" si="416">SUM(U427:U429)</f>
        <v>26786.506707384986</v>
      </c>
      <c r="V430" s="369">
        <f t="shared" ref="V430" si="417">SUM(V427:V429)</f>
        <v>19709.884071277294</v>
      </c>
      <c r="W430" s="369">
        <f t="shared" ref="W430" si="418">SUM(W427:W429)</f>
        <v>12401.19032127731</v>
      </c>
      <c r="X430" s="369">
        <f t="shared" ref="X430" si="419">SUM(X427:X429)</f>
        <v>0</v>
      </c>
      <c r="Y430" s="369">
        <f t="shared" ref="Y430" si="420">SUM(Y427:Y429)</f>
        <v>0</v>
      </c>
      <c r="Z430" s="369">
        <f t="shared" ref="Z430" si="421">SUM(Z427:Z429)</f>
        <v>0</v>
      </c>
      <c r="AA430" s="369">
        <f t="shared" ref="AA430" si="422">SUM(AA427:AA429)</f>
        <v>0</v>
      </c>
      <c r="AB430" s="369">
        <f t="shared" ref="AB430" si="423">SUM(AB427:AB429)</f>
        <v>0</v>
      </c>
      <c r="AC430" s="369">
        <f t="shared" ref="AC430" si="424">SUM(AC427:AC429)</f>
        <v>0</v>
      </c>
      <c r="AD430" s="369">
        <f t="shared" ref="AD430" si="425">SUM(AD427:AD429)</f>
        <v>0</v>
      </c>
      <c r="AE430" s="369">
        <f t="shared" ref="AE430" si="426">SUM(AE427:AE429)</f>
        <v>0</v>
      </c>
      <c r="AF430" s="369">
        <f t="shared" ref="AF430" si="427">SUM(AF427:AF429)</f>
        <v>0</v>
      </c>
      <c r="AG430" s="369">
        <f t="shared" ref="AG430" si="428">SUM(AG427:AG429)</f>
        <v>0</v>
      </c>
      <c r="AH430" s="369">
        <f t="shared" ref="AH430" si="429">SUM(AH427:AH429)</f>
        <v>0</v>
      </c>
      <c r="AI430" s="369">
        <f t="shared" ref="AI430" si="430">SUM(AI427:AI429)</f>
        <v>0</v>
      </c>
      <c r="AJ430" s="369">
        <f t="shared" ref="AJ430" si="431">SUM(AJ427:AJ429)</f>
        <v>0</v>
      </c>
      <c r="AK430" s="369">
        <f t="shared" ref="AK430" si="432">SUM(AK427:AK429)</f>
        <v>0</v>
      </c>
      <c r="AL430" s="369">
        <f t="shared" ref="AL430" si="433">SUM(AL427:AL429)</f>
        <v>0</v>
      </c>
      <c r="AM430" s="369">
        <f t="shared" ref="AM430" si="434">SUM(AM427:AM429)</f>
        <v>0</v>
      </c>
      <c r="AN430" s="369">
        <f t="shared" ref="AN430" si="435">SUM(AN427:AN429)</f>
        <v>0</v>
      </c>
      <c r="AO430" s="369">
        <f t="shared" ref="AO430" si="436">SUM(AO427:AO429)</f>
        <v>0</v>
      </c>
      <c r="AP430" s="369">
        <f t="shared" ref="AP430" si="437">SUM(AP427:AP429)</f>
        <v>0</v>
      </c>
      <c r="AQ430" s="369">
        <f t="shared" ref="AQ430" si="438">SUM(AQ427:AQ429)</f>
        <v>0</v>
      </c>
      <c r="AR430" s="369">
        <f t="shared" ref="AR430" si="439">SUM(AR427:AR429)</f>
        <v>0</v>
      </c>
      <c r="AS430" s="369">
        <f t="shared" ref="AS430" si="440">SUM(AS427:AS429)</f>
        <v>0</v>
      </c>
      <c r="AT430" s="369">
        <f t="shared" ref="AT430" si="441">SUM(AT427:AT429)</f>
        <v>0</v>
      </c>
      <c r="AU430" s="369">
        <f t="shared" ref="AU430" si="442">SUM(AU427:AU429)</f>
        <v>0</v>
      </c>
      <c r="AV430" s="369">
        <f t="shared" ref="AV430" si="443">SUM(AV427:AV429)</f>
        <v>0</v>
      </c>
      <c r="AW430" s="369">
        <f t="shared" ref="AW430" si="444">SUM(AW427:AW429)</f>
        <v>0</v>
      </c>
      <c r="AX430" s="369">
        <f t="shared" ref="AX430" si="445">SUM(AX427:AX429)</f>
        <v>0</v>
      </c>
      <c r="AY430" s="369">
        <f t="shared" ref="AY430" si="446">SUM(AY427:AY429)</f>
        <v>0</v>
      </c>
      <c r="AZ430" s="369">
        <f t="shared" ref="AZ430" si="447">SUM(AZ427:AZ429)</f>
        <v>0</v>
      </c>
      <c r="BA430" s="369">
        <f t="shared" ref="BA430" si="448">SUM(BA427:BA429)</f>
        <v>0</v>
      </c>
      <c r="BB430" s="369">
        <f t="shared" ref="BB430" si="449">SUM(BB427:BB429)</f>
        <v>0</v>
      </c>
      <c r="BC430" s="369">
        <f t="shared" ref="BC430" si="450">SUM(BC427:BC429)</f>
        <v>0</v>
      </c>
      <c r="BD430" s="369">
        <f t="shared" ref="BD430" si="451">SUM(BD427:BD429)</f>
        <v>0</v>
      </c>
      <c r="BE430" s="369">
        <f t="shared" ref="BE430" si="452">SUM(BE427:BE429)</f>
        <v>0</v>
      </c>
      <c r="BF430" s="369">
        <f t="shared" ref="BF430" si="453">SUM(BF427:BF429)</f>
        <v>0</v>
      </c>
      <c r="BG430" s="369">
        <f t="shared" ref="BG430" si="454">SUM(BG427:BG429)</f>
        <v>0</v>
      </c>
    </row>
    <row r="431" spans="3:59" outlineLevel="1"/>
    <row r="432" spans="3:59" outlineLevel="1">
      <c r="C432" s="39" t="s">
        <v>852</v>
      </c>
      <c r="D432" s="39"/>
      <c r="E432" s="39"/>
      <c r="F432" s="39"/>
      <c r="G432" s="39"/>
      <c r="H432" s="39"/>
      <c r="I432" s="39"/>
      <c r="J432" s="39"/>
      <c r="K432" s="39"/>
      <c r="L432" s="39"/>
      <c r="M432" s="39"/>
      <c r="N432" s="39"/>
      <c r="O432" s="489">
        <f>GA!$G$444</f>
        <v>1</v>
      </c>
    </row>
    <row r="433" spans="2:59" outlineLevel="1">
      <c r="C433" s="269" t="s">
        <v>682</v>
      </c>
      <c r="D433" s="269"/>
      <c r="E433" s="269"/>
      <c r="F433" s="269"/>
      <c r="G433" s="269"/>
      <c r="H433" s="269"/>
      <c r="I433" s="269"/>
      <c r="J433" s="269"/>
      <c r="K433" s="269"/>
      <c r="L433" s="269"/>
      <c r="M433" s="269"/>
      <c r="N433" s="269"/>
      <c r="O433" s="269"/>
      <c r="P433" s="269"/>
      <c r="Q433" s="269"/>
      <c r="R433" s="368">
        <f>Q438</f>
        <v>0</v>
      </c>
      <c r="S433" s="368">
        <f>R438</f>
        <v>0</v>
      </c>
      <c r="T433" s="368">
        <f t="shared" ref="T433:BG433" si="455">S438</f>
        <v>47000</v>
      </c>
      <c r="U433" s="368">
        <f t="shared" si="455"/>
        <v>73760.017593879646</v>
      </c>
      <c r="V433" s="368">
        <f t="shared" si="455"/>
        <v>73786.506707384993</v>
      </c>
      <c r="W433" s="368">
        <f t="shared" si="455"/>
        <v>66709.884071277309</v>
      </c>
      <c r="X433" s="368">
        <f t="shared" si="455"/>
        <v>59401.190321277325</v>
      </c>
      <c r="Y433" s="368">
        <f t="shared" si="455"/>
        <v>52220.891445408335</v>
      </c>
      <c r="Z433" s="368">
        <f t="shared" si="455"/>
        <v>44928.500024643632</v>
      </c>
      <c r="AA433" s="368">
        <f t="shared" si="455"/>
        <v>37405.665519356313</v>
      </c>
      <c r="AB433" s="368">
        <f t="shared" si="455"/>
        <v>29653.743722481348</v>
      </c>
      <c r="AC433" s="368">
        <f t="shared" si="455"/>
        <v>22025.914823834944</v>
      </c>
      <c r="AD433" s="368">
        <f t="shared" si="455"/>
        <v>14286.558418924425</v>
      </c>
      <c r="AE433" s="368">
        <f t="shared" si="455"/>
        <v>6319.7604622490398</v>
      </c>
      <c r="AF433" s="368">
        <f t="shared" si="455"/>
        <v>0</v>
      </c>
      <c r="AG433" s="368">
        <f t="shared" si="455"/>
        <v>0</v>
      </c>
      <c r="AH433" s="368">
        <f t="shared" si="455"/>
        <v>0</v>
      </c>
      <c r="AI433" s="368">
        <f t="shared" si="455"/>
        <v>0</v>
      </c>
      <c r="AJ433" s="368">
        <f t="shared" si="455"/>
        <v>0</v>
      </c>
      <c r="AK433" s="368">
        <f t="shared" si="455"/>
        <v>0</v>
      </c>
      <c r="AL433" s="368">
        <f t="shared" si="455"/>
        <v>0</v>
      </c>
      <c r="AM433" s="368">
        <f t="shared" si="455"/>
        <v>0</v>
      </c>
      <c r="AN433" s="368">
        <f t="shared" si="455"/>
        <v>0</v>
      </c>
      <c r="AO433" s="368">
        <f t="shared" si="455"/>
        <v>0</v>
      </c>
      <c r="AP433" s="368">
        <f t="shared" si="455"/>
        <v>0</v>
      </c>
      <c r="AQ433" s="368">
        <f t="shared" si="455"/>
        <v>0</v>
      </c>
      <c r="AR433" s="368">
        <f t="shared" si="455"/>
        <v>0</v>
      </c>
      <c r="AS433" s="368">
        <f t="shared" si="455"/>
        <v>0</v>
      </c>
      <c r="AT433" s="368">
        <f t="shared" si="455"/>
        <v>0</v>
      </c>
      <c r="AU433" s="368">
        <f t="shared" si="455"/>
        <v>0</v>
      </c>
      <c r="AV433" s="368">
        <f t="shared" si="455"/>
        <v>0</v>
      </c>
      <c r="AW433" s="368">
        <f t="shared" si="455"/>
        <v>0</v>
      </c>
      <c r="AX433" s="368">
        <f t="shared" si="455"/>
        <v>0</v>
      </c>
      <c r="AY433" s="368">
        <f t="shared" si="455"/>
        <v>0</v>
      </c>
      <c r="AZ433" s="368">
        <f t="shared" si="455"/>
        <v>0</v>
      </c>
      <c r="BA433" s="368">
        <f t="shared" si="455"/>
        <v>0</v>
      </c>
      <c r="BB433" s="368">
        <f t="shared" si="455"/>
        <v>0</v>
      </c>
      <c r="BC433" s="368">
        <f t="shared" si="455"/>
        <v>0</v>
      </c>
      <c r="BD433" s="368">
        <f t="shared" si="455"/>
        <v>0</v>
      </c>
      <c r="BE433" s="368">
        <f t="shared" si="455"/>
        <v>0</v>
      </c>
      <c r="BF433" s="368">
        <f t="shared" si="455"/>
        <v>0</v>
      </c>
      <c r="BG433" s="368">
        <f t="shared" si="455"/>
        <v>0</v>
      </c>
    </row>
    <row r="434" spans="2:59" outlineLevel="1">
      <c r="C434" t="s">
        <v>850</v>
      </c>
      <c r="R434" s="310">
        <f>$O$432*-MIN(R424,0)</f>
        <v>0</v>
      </c>
      <c r="S434" s="310">
        <f t="shared" ref="S434" si="456">$O$432*-MIN(S424,0)</f>
        <v>47000</v>
      </c>
      <c r="T434" s="310">
        <f t="shared" ref="T434:BG434" si="457">$O$432*-MIN(T424,0)</f>
        <v>26760.017593879642</v>
      </c>
      <c r="U434" s="310">
        <f t="shared" si="457"/>
        <v>26.489113505343994</v>
      </c>
      <c r="V434" s="310">
        <f t="shared" si="457"/>
        <v>0</v>
      </c>
      <c r="W434" s="310">
        <f t="shared" si="457"/>
        <v>0</v>
      </c>
      <c r="X434" s="310">
        <f t="shared" si="457"/>
        <v>0</v>
      </c>
      <c r="Y434" s="310">
        <f t="shared" si="457"/>
        <v>0</v>
      </c>
      <c r="Z434" s="310">
        <f t="shared" si="457"/>
        <v>0</v>
      </c>
      <c r="AA434" s="310">
        <f t="shared" si="457"/>
        <v>0</v>
      </c>
      <c r="AB434" s="310">
        <f t="shared" si="457"/>
        <v>0</v>
      </c>
      <c r="AC434" s="310">
        <f t="shared" si="457"/>
        <v>0</v>
      </c>
      <c r="AD434" s="310">
        <f t="shared" si="457"/>
        <v>0</v>
      </c>
      <c r="AE434" s="310">
        <f t="shared" si="457"/>
        <v>0</v>
      </c>
      <c r="AF434" s="310">
        <f t="shared" si="457"/>
        <v>0</v>
      </c>
      <c r="AG434" s="310">
        <f t="shared" si="457"/>
        <v>0</v>
      </c>
      <c r="AH434" s="310">
        <f t="shared" si="457"/>
        <v>0</v>
      </c>
      <c r="AI434" s="310">
        <f t="shared" si="457"/>
        <v>0</v>
      </c>
      <c r="AJ434" s="310">
        <f t="shared" si="457"/>
        <v>0</v>
      </c>
      <c r="AK434" s="310">
        <f t="shared" si="457"/>
        <v>0</v>
      </c>
      <c r="AL434" s="310">
        <f t="shared" si="457"/>
        <v>0</v>
      </c>
      <c r="AM434" s="310">
        <f t="shared" si="457"/>
        <v>0</v>
      </c>
      <c r="AN434" s="310">
        <f t="shared" si="457"/>
        <v>0</v>
      </c>
      <c r="AO434" s="310">
        <f t="shared" si="457"/>
        <v>0</v>
      </c>
      <c r="AP434" s="310">
        <f t="shared" si="457"/>
        <v>0</v>
      </c>
      <c r="AQ434" s="310">
        <f t="shared" si="457"/>
        <v>0</v>
      </c>
      <c r="AR434" s="310">
        <f t="shared" si="457"/>
        <v>0</v>
      </c>
      <c r="AS434" s="310">
        <f t="shared" si="457"/>
        <v>0</v>
      </c>
      <c r="AT434" s="310">
        <f t="shared" si="457"/>
        <v>0</v>
      </c>
      <c r="AU434" s="310">
        <f t="shared" si="457"/>
        <v>0</v>
      </c>
      <c r="AV434" s="310">
        <f t="shared" si="457"/>
        <v>0</v>
      </c>
      <c r="AW434" s="310">
        <f t="shared" si="457"/>
        <v>0</v>
      </c>
      <c r="AX434" s="310">
        <f t="shared" si="457"/>
        <v>0</v>
      </c>
      <c r="AY434" s="310">
        <f t="shared" si="457"/>
        <v>0</v>
      </c>
      <c r="AZ434" s="310">
        <f t="shared" si="457"/>
        <v>0</v>
      </c>
      <c r="BA434" s="310">
        <f t="shared" si="457"/>
        <v>0</v>
      </c>
      <c r="BB434" s="310">
        <f t="shared" si="457"/>
        <v>0</v>
      </c>
      <c r="BC434" s="310">
        <f t="shared" si="457"/>
        <v>0</v>
      </c>
      <c r="BD434" s="310">
        <f t="shared" si="457"/>
        <v>0</v>
      </c>
      <c r="BE434" s="310">
        <f t="shared" si="457"/>
        <v>0</v>
      </c>
      <c r="BF434" s="310">
        <f t="shared" si="457"/>
        <v>0</v>
      </c>
      <c r="BG434" s="310">
        <f t="shared" si="457"/>
        <v>0</v>
      </c>
    </row>
    <row r="435" spans="2:59" outlineLevel="1">
      <c r="C435" t="s">
        <v>853</v>
      </c>
      <c r="R435" s="310">
        <f>R429</f>
        <v>0</v>
      </c>
      <c r="S435" s="310">
        <f t="shared" ref="S435" si="458">S429</f>
        <v>0</v>
      </c>
      <c r="T435" s="310">
        <f t="shared" ref="T435:BG435" si="459">T429</f>
        <v>0</v>
      </c>
      <c r="U435" s="310">
        <f t="shared" si="459"/>
        <v>0</v>
      </c>
      <c r="V435" s="310">
        <f t="shared" si="459"/>
        <v>-7076.6226361076915</v>
      </c>
      <c r="W435" s="310">
        <f t="shared" si="459"/>
        <v>-7308.693749999984</v>
      </c>
      <c r="X435" s="310">
        <f t="shared" si="459"/>
        <v>0</v>
      </c>
      <c r="Y435" s="310">
        <f t="shared" si="459"/>
        <v>0</v>
      </c>
      <c r="Z435" s="310">
        <f t="shared" si="459"/>
        <v>0</v>
      </c>
      <c r="AA435" s="310">
        <f t="shared" si="459"/>
        <v>0</v>
      </c>
      <c r="AB435" s="310">
        <f t="shared" si="459"/>
        <v>0</v>
      </c>
      <c r="AC435" s="310">
        <f t="shared" si="459"/>
        <v>0</v>
      </c>
      <c r="AD435" s="310">
        <f t="shared" si="459"/>
        <v>0</v>
      </c>
      <c r="AE435" s="310">
        <f t="shared" si="459"/>
        <v>0</v>
      </c>
      <c r="AF435" s="310">
        <f t="shared" si="459"/>
        <v>0</v>
      </c>
      <c r="AG435" s="310">
        <f t="shared" si="459"/>
        <v>0</v>
      </c>
      <c r="AH435" s="310">
        <f t="shared" si="459"/>
        <v>0</v>
      </c>
      <c r="AI435" s="310">
        <f t="shared" si="459"/>
        <v>0</v>
      </c>
      <c r="AJ435" s="310">
        <f t="shared" si="459"/>
        <v>0</v>
      </c>
      <c r="AK435" s="310">
        <f t="shared" si="459"/>
        <v>0</v>
      </c>
      <c r="AL435" s="310">
        <f t="shared" si="459"/>
        <v>0</v>
      </c>
      <c r="AM435" s="310">
        <f t="shared" si="459"/>
        <v>0</v>
      </c>
      <c r="AN435" s="310">
        <f t="shared" si="459"/>
        <v>0</v>
      </c>
      <c r="AO435" s="310">
        <f t="shared" si="459"/>
        <v>0</v>
      </c>
      <c r="AP435" s="310">
        <f t="shared" si="459"/>
        <v>0</v>
      </c>
      <c r="AQ435" s="310">
        <f t="shared" si="459"/>
        <v>0</v>
      </c>
      <c r="AR435" s="310">
        <f t="shared" si="459"/>
        <v>0</v>
      </c>
      <c r="AS435" s="310">
        <f t="shared" si="459"/>
        <v>0</v>
      </c>
      <c r="AT435" s="310">
        <f t="shared" si="459"/>
        <v>0</v>
      </c>
      <c r="AU435" s="310">
        <f t="shared" si="459"/>
        <v>0</v>
      </c>
      <c r="AV435" s="310">
        <f t="shared" si="459"/>
        <v>0</v>
      </c>
      <c r="AW435" s="310">
        <f t="shared" si="459"/>
        <v>0</v>
      </c>
      <c r="AX435" s="310">
        <f t="shared" si="459"/>
        <v>0</v>
      </c>
      <c r="AY435" s="310">
        <f t="shared" si="459"/>
        <v>0</v>
      </c>
      <c r="AZ435" s="310">
        <f t="shared" si="459"/>
        <v>0</v>
      </c>
      <c r="BA435" s="310">
        <f t="shared" si="459"/>
        <v>0</v>
      </c>
      <c r="BB435" s="310">
        <f t="shared" si="459"/>
        <v>0</v>
      </c>
      <c r="BC435" s="310">
        <f t="shared" si="459"/>
        <v>0</v>
      </c>
      <c r="BD435" s="310">
        <f t="shared" si="459"/>
        <v>0</v>
      </c>
      <c r="BE435" s="310">
        <f t="shared" si="459"/>
        <v>0</v>
      </c>
      <c r="BF435" s="310">
        <f t="shared" si="459"/>
        <v>0</v>
      </c>
      <c r="BG435" s="310">
        <f t="shared" si="459"/>
        <v>0</v>
      </c>
    </row>
    <row r="436" spans="2:59" outlineLevel="1">
      <c r="C436" t="s">
        <v>854</v>
      </c>
      <c r="R436" s="403">
        <f>-IF(R424&gt;0,MIN(R424+R435,R435+R433,GA!$G$445),0)</f>
        <v>0</v>
      </c>
      <c r="S436" s="403">
        <f>-IF(S424&gt;0,MIN(S424+S435,S435+S433,GA!$G$445),0)</f>
        <v>0</v>
      </c>
      <c r="T436" s="403">
        <f>-IF(T424&gt;0,MIN(T424+T435,T435+T433,GA!$G$445),0)</f>
        <v>0</v>
      </c>
      <c r="U436" s="403">
        <f>-IF(U424&gt;0,MIN(U424+U435,U435+U433,GA!$G$445),0)</f>
        <v>0</v>
      </c>
      <c r="V436" s="403">
        <f>-IF(V424&gt;0,MIN(V424+V435,V435+V433,GA!$G$445),0)</f>
        <v>0</v>
      </c>
      <c r="W436" s="403">
        <f>-IF(W424&gt;0,MIN(W424+W435,W435+W433,GA!$G$445),0)</f>
        <v>0</v>
      </c>
      <c r="X436" s="403">
        <f>-IF(X424&gt;0,MIN(X424+X435,X435+X433,GA!$G$445),0)</f>
        <v>-7180.2988758689899</v>
      </c>
      <c r="Y436" s="403">
        <f>-IF(Y424&gt;0,MIN(Y424+Y435,Y435+Y433,GA!$G$445),0)</f>
        <v>-7292.3914207647031</v>
      </c>
      <c r="Z436" s="403">
        <f>-IF(Z424&gt;0,MIN(Z424+Z435,Z435+Z433,GA!$G$445),0)</f>
        <v>-7522.8345052873192</v>
      </c>
      <c r="AA436" s="403">
        <f>-IF(AA424&gt;0,MIN(AA424+AA435,AA435+AA433,GA!$G$445),0)</f>
        <v>-7751.9217968749654</v>
      </c>
      <c r="AB436" s="403">
        <f>-IF(AB424&gt;0,MIN(AB424+AB435,AB435+AB433,GA!$G$445),0)</f>
        <v>-7627.8288986464031</v>
      </c>
      <c r="AC436" s="403">
        <f>-IF(AC424&gt;0,MIN(AC424+AC435,AC435+AC433,GA!$G$445),0)</f>
        <v>-7739.3564049105189</v>
      </c>
      <c r="AD436" s="403">
        <f>-IF(AD424&gt;0,MIN(AD424+AD435,AD435+AD433,GA!$G$445),0)</f>
        <v>-7966.7979566753856</v>
      </c>
      <c r="AE436" s="403">
        <f>-IF(AE424&gt;0,MIN(AE424+AE435,AE435+AE433,GA!$G$445),0)</f>
        <v>-6319.7604622490398</v>
      </c>
      <c r="AF436" s="403">
        <f>-IF(AF424&gt;0,MIN(AF424+AF435,AF435+AF433,GA!$G$445),0)</f>
        <v>0</v>
      </c>
      <c r="AG436" s="403">
        <f>-IF(AG424&gt;0,MIN(AG424+AG435,AG435+AG433,GA!$G$445),0)</f>
        <v>0</v>
      </c>
      <c r="AH436" s="403">
        <f>-IF(AH424&gt;0,MIN(AH424+AH435,AH435+AH433,GA!$G$445),0)</f>
        <v>0</v>
      </c>
      <c r="AI436" s="403">
        <f>-IF(AI424&gt;0,MIN(AI424+AI435,AI435+AI433,GA!$G$445),0)</f>
        <v>0</v>
      </c>
      <c r="AJ436" s="403">
        <f>-IF(AJ424&gt;0,MIN(AJ424+AJ435,AJ435+AJ433,GA!$G$445),0)</f>
        <v>0</v>
      </c>
      <c r="AK436" s="403">
        <f>-IF(AK424&gt;0,MIN(AK424+AK435,AK435+AK433,GA!$G$445),0)</f>
        <v>0</v>
      </c>
      <c r="AL436" s="403">
        <f>-IF(AL424&gt;0,MIN(AL424+AL435,AL435+AL433,GA!$G$445),0)</f>
        <v>0</v>
      </c>
      <c r="AM436" s="403">
        <f>-IF(AM424&gt;0,MIN(AM424+AM435,AM435+AM433,GA!$G$445),0)</f>
        <v>0</v>
      </c>
      <c r="AN436" s="403">
        <f>-IF(AN424&gt;0,MIN(AN424+AN435,AN435+AN433,GA!$G$445),0)</f>
        <v>0</v>
      </c>
      <c r="AO436" s="403">
        <f>-IF(AO424&gt;0,MIN(AO424+AO435,AO435+AO433,GA!$G$445),0)</f>
        <v>0</v>
      </c>
      <c r="AP436" s="403">
        <f>-IF(AP424&gt;0,MIN(AP424+AP435,AP435+AP433,GA!$G$445),0)</f>
        <v>0</v>
      </c>
      <c r="AQ436" s="403">
        <f>-IF(AQ424&gt;0,MIN(AQ424+AQ435,AQ435+AQ433,GA!$G$445),0)</f>
        <v>0</v>
      </c>
      <c r="AR436" s="403">
        <f>-IF(AR424&gt;0,MIN(AR424+AR435,AR435+AR433,GA!$G$445),0)</f>
        <v>0</v>
      </c>
      <c r="AS436" s="403">
        <f>-IF(AS424&gt;0,MIN(AS424+AS435,AS435+AS433,GA!$G$445),0)</f>
        <v>0</v>
      </c>
      <c r="AT436" s="403">
        <f>-IF(AT424&gt;0,MIN(AT424+AT435,AT435+AT433,GA!$G$445),0)</f>
        <v>0</v>
      </c>
      <c r="AU436" s="403">
        <f>-IF(AU424&gt;0,MIN(AU424+AU435,AU435+AU433,GA!$G$445),0)</f>
        <v>0</v>
      </c>
      <c r="AV436" s="403">
        <f>-IF(AV424&gt;0,MIN(AV424+AV435,AV435+AV433,GA!$G$445),0)</f>
        <v>0</v>
      </c>
      <c r="AW436" s="403">
        <f>-IF(AW424&gt;0,MIN(AW424+AW435,AW435+AW433,GA!$G$445),0)</f>
        <v>0</v>
      </c>
      <c r="AX436" s="403">
        <f>-IF(AX424&gt;0,MIN(AX424+AX435,AX435+AX433,GA!$G$445),0)</f>
        <v>0</v>
      </c>
      <c r="AY436" s="403">
        <f>-IF(AY424&gt;0,MIN(AY424+AY435,AY435+AY433,GA!$G$445),0)</f>
        <v>0</v>
      </c>
      <c r="AZ436" s="403">
        <f>-IF(AZ424&gt;0,MIN(AZ424+AZ435,AZ435+AZ433,GA!$G$445),0)</f>
        <v>0</v>
      </c>
      <c r="BA436" s="403">
        <f>-IF(BA424&gt;0,MIN(BA424+BA435,BA435+BA433,GA!$G$445),0)</f>
        <v>0</v>
      </c>
      <c r="BB436" s="403">
        <f>-IF(BB424&gt;0,MIN(BB424+BB435,BB435+BB433,GA!$G$445),0)</f>
        <v>0</v>
      </c>
      <c r="BC436" s="403">
        <f>-IF(BC424&gt;0,MIN(BC424+BC435,BC435+BC433,GA!$G$445),0)</f>
        <v>0</v>
      </c>
      <c r="BD436" s="403">
        <f>-IF(BD424&gt;0,MIN(BD424+BD435,BD435+BD433,GA!$G$445),0)</f>
        <v>0</v>
      </c>
      <c r="BE436" s="403">
        <f>-IF(BE424&gt;0,MIN(BE424+BE435,BE435+BE433,GA!$G$445),0)</f>
        <v>0</v>
      </c>
      <c r="BF436" s="403">
        <f>-IF(BF424&gt;0,MIN(BF424+BF435,BF435+BF433,GA!$G$445),0)</f>
        <v>0</v>
      </c>
      <c r="BG436" s="403">
        <f>-IF(BG424&gt;0,MIN(BG424+BG435,BG435+BG433,GA!$G$445),0)</f>
        <v>0</v>
      </c>
    </row>
    <row r="437" spans="2:59" outlineLevel="1">
      <c r="C437" t="s">
        <v>855</v>
      </c>
      <c r="R437" s="403">
        <f>-MIN(R433+R435+R436,(IF(R424&gt;0,R424,0)+R435+R436)*GA!$G$446)</f>
        <v>0</v>
      </c>
      <c r="S437" s="403">
        <f>-MIN(S433+S435+S436,(IF(S424&gt;0,S424,0)+S435+S436)*GA!$G$446)</f>
        <v>0</v>
      </c>
      <c r="T437" s="403">
        <f>-MIN(T433+T435+T436,(IF(T424&gt;0,T424,0)+T435+T436)*GA!$G$446)</f>
        <v>0</v>
      </c>
      <c r="U437" s="403">
        <f>-MIN(U433+U435+U436,(IF(U424&gt;0,U424,0)+U435+U436)*GA!$G$446)</f>
        <v>0</v>
      </c>
      <c r="V437" s="403">
        <f>-MIN(V433+V435+V436,(IF(V424&gt;0,V424,0)+V435+V436)*GA!$G$446)</f>
        <v>0</v>
      </c>
      <c r="W437" s="403">
        <f>-MIN(W433+W435+W436,(IF(W424&gt;0,W424,0)+W435+W436)*GA!$G$446)</f>
        <v>0</v>
      </c>
      <c r="X437" s="403">
        <f>-MIN(X433+X435+X436,(IF(X424&gt;0,X424,0)+X435+X436)*GA!$G$446)</f>
        <v>0</v>
      </c>
      <c r="Y437" s="403">
        <f>-MIN(Y433+Y435+Y436,(IF(Y424&gt;0,Y424,0)+Y435+Y436)*GA!$G$446)</f>
        <v>0</v>
      </c>
      <c r="Z437" s="403">
        <f>-MIN(Z433+Z435+Z436,(IF(Z424&gt;0,Z424,0)+Z435+Z436)*GA!$G$446)</f>
        <v>0</v>
      </c>
      <c r="AA437" s="403">
        <f>-MIN(AA433+AA435+AA436,(IF(AA424&gt;0,AA424,0)+AA435+AA436)*GA!$G$446)</f>
        <v>0</v>
      </c>
      <c r="AB437" s="403">
        <f>-MIN(AB433+AB435+AB436,(IF(AB424&gt;0,AB424,0)+AB435+AB436)*GA!$G$446)</f>
        <v>0</v>
      </c>
      <c r="AC437" s="403">
        <f>-MIN(AC433+AC435+AC436,(IF(AC424&gt;0,AC424,0)+AC435+AC436)*GA!$G$446)</f>
        <v>0</v>
      </c>
      <c r="AD437" s="403">
        <f>-MIN(AD433+AD435+AD436,(IF(AD424&gt;0,AD424,0)+AD435+AD436)*GA!$G$446)</f>
        <v>0</v>
      </c>
      <c r="AE437" s="403">
        <f>-MIN(AE433+AE435+AE436,(IF(AE424&gt;0,AE424,0)+AE435+AE436)*GA!$G$446)</f>
        <v>0</v>
      </c>
      <c r="AF437" s="403">
        <f>-MIN(AF433+AF435+AF436,(IF(AF424&gt;0,AF424,0)+AF435+AF436)*GA!$G$446)</f>
        <v>0</v>
      </c>
      <c r="AG437" s="403">
        <f>-MIN(AG433+AG435+AG436,(IF(AG424&gt;0,AG424,0)+AG435+AG436)*GA!$G$446)</f>
        <v>0</v>
      </c>
      <c r="AH437" s="403">
        <f>-MIN(AH433+AH435+AH436,(IF(AH424&gt;0,AH424,0)+AH435+AH436)*GA!$G$446)</f>
        <v>0</v>
      </c>
      <c r="AI437" s="403">
        <f>-MIN(AI433+AI435+AI436,(IF(AI424&gt;0,AI424,0)+AI435+AI436)*GA!$G$446)</f>
        <v>0</v>
      </c>
      <c r="AJ437" s="403">
        <f>-MIN(AJ433+AJ435+AJ436,(IF(AJ424&gt;0,AJ424,0)+AJ435+AJ436)*GA!$G$446)</f>
        <v>0</v>
      </c>
      <c r="AK437" s="403">
        <f>-MIN(AK433+AK435+AK436,(IF(AK424&gt;0,AK424,0)+AK435+AK436)*GA!$G$446)</f>
        <v>0</v>
      </c>
      <c r="AL437" s="403">
        <f>-MIN(AL433+AL435+AL436,(IF(AL424&gt;0,AL424,0)+AL435+AL436)*GA!$G$446)</f>
        <v>0</v>
      </c>
      <c r="AM437" s="403">
        <f>-MIN(AM433+AM435+AM436,(IF(AM424&gt;0,AM424,0)+AM435+AM436)*GA!$G$446)</f>
        <v>0</v>
      </c>
      <c r="AN437" s="403">
        <f>-MIN(AN433+AN435+AN436,(IF(AN424&gt;0,AN424,0)+AN435+AN436)*GA!$G$446)</f>
        <v>0</v>
      </c>
      <c r="AO437" s="403">
        <f>-MIN(AO433+AO435+AO436,(IF(AO424&gt;0,AO424,0)+AO435+AO436)*GA!$G$446)</f>
        <v>0</v>
      </c>
      <c r="AP437" s="403">
        <f>-MIN(AP433+AP435+AP436,(IF(AP424&gt;0,AP424,0)+AP435+AP436)*GA!$G$446)</f>
        <v>0</v>
      </c>
      <c r="AQ437" s="403">
        <f>-MIN(AQ433+AQ435+AQ436,(IF(AQ424&gt;0,AQ424,0)+AQ435+AQ436)*GA!$G$446)</f>
        <v>0</v>
      </c>
      <c r="AR437" s="403">
        <f>-MIN(AR433+AR435+AR436,(IF(AR424&gt;0,AR424,0)+AR435+AR436)*GA!$G$446)</f>
        <v>0</v>
      </c>
      <c r="AS437" s="403">
        <f>-MIN(AS433+AS435+AS436,(IF(AS424&gt;0,AS424,0)+AS435+AS436)*GA!$G$446)</f>
        <v>0</v>
      </c>
      <c r="AT437" s="403">
        <f>-MIN(AT433+AT435+AT436,(IF(AT424&gt;0,AT424,0)+AT435+AT436)*GA!$G$446)</f>
        <v>0</v>
      </c>
      <c r="AU437" s="403">
        <f>-MIN(AU433+AU435+AU436,(IF(AU424&gt;0,AU424,0)+AU435+AU436)*GA!$G$446)</f>
        <v>0</v>
      </c>
      <c r="AV437" s="403">
        <f>-MIN(AV433+AV435+AV436,(IF(AV424&gt;0,AV424,0)+AV435+AV436)*GA!$G$446)</f>
        <v>0</v>
      </c>
      <c r="AW437" s="403">
        <f>-MIN(AW433+AW435+AW436,(IF(AW424&gt;0,AW424,0)+AW435+AW436)*GA!$G$446)</f>
        <v>0</v>
      </c>
      <c r="AX437" s="403">
        <f>-MIN(AX433+AX435+AX436,(IF(AX424&gt;0,AX424,0)+AX435+AX436)*GA!$G$446)</f>
        <v>0</v>
      </c>
      <c r="AY437" s="403">
        <f>-MIN(AY433+AY435+AY436,(IF(AY424&gt;0,AY424,0)+AY435+AY436)*GA!$G$446)</f>
        <v>0</v>
      </c>
      <c r="AZ437" s="403">
        <f>-MIN(AZ433+AZ435+AZ436,(IF(AZ424&gt;0,AZ424,0)+AZ435+AZ436)*GA!$G$446)</f>
        <v>0</v>
      </c>
      <c r="BA437" s="403">
        <f>-MIN(BA433+BA435+BA436,(IF(BA424&gt;0,BA424,0)+BA435+BA436)*GA!$G$446)</f>
        <v>0</v>
      </c>
      <c r="BB437" s="403">
        <f>-MIN(BB433+BB435+BB436,(IF(BB424&gt;0,BB424,0)+BB435+BB436)*GA!$G$446)</f>
        <v>0</v>
      </c>
      <c r="BC437" s="403">
        <f>-MIN(BC433+BC435+BC436,(IF(BC424&gt;0,BC424,0)+BC435+BC436)*GA!$G$446)</f>
        <v>0</v>
      </c>
      <c r="BD437" s="403">
        <f>-MIN(BD433+BD435+BD436,(IF(BD424&gt;0,BD424,0)+BD435+BD436)*GA!$G$446)</f>
        <v>0</v>
      </c>
      <c r="BE437" s="403">
        <f>-MIN(BE433+BE435+BE436,(IF(BE424&gt;0,BE424,0)+BE435+BE436)*GA!$G$446)</f>
        <v>0</v>
      </c>
      <c r="BF437" s="403">
        <f>-MIN(BF433+BF435+BF436,(IF(BF424&gt;0,BF424,0)+BF435+BF436)*GA!$G$446)</f>
        <v>0</v>
      </c>
      <c r="BG437" s="403">
        <f>-MIN(BG433+BG435+BG436,(IF(BG424&gt;0,BG424,0)+BG435+BG436)*GA!$G$446)</f>
        <v>0</v>
      </c>
    </row>
    <row r="438" spans="2:59" outlineLevel="1">
      <c r="C438" s="17" t="s">
        <v>684</v>
      </c>
      <c r="D438" s="17"/>
      <c r="E438" s="17"/>
      <c r="F438" s="17"/>
      <c r="G438" s="17"/>
      <c r="H438" s="17"/>
      <c r="I438" s="17"/>
      <c r="J438" s="17"/>
      <c r="K438" s="17"/>
      <c r="L438" s="17"/>
      <c r="M438" s="17"/>
      <c r="N438" s="17"/>
      <c r="O438" s="17"/>
      <c r="P438" s="17"/>
      <c r="Q438" s="17"/>
      <c r="R438" s="369">
        <f>SUM(R433:R437)</f>
        <v>0</v>
      </c>
      <c r="S438" s="369">
        <f>SUM(S433:S437)</f>
        <v>47000</v>
      </c>
      <c r="T438" s="369">
        <f t="shared" ref="T438:BG438" si="460">SUM(T433:T437)</f>
        <v>73760.017593879646</v>
      </c>
      <c r="U438" s="369">
        <f t="shared" si="460"/>
        <v>73786.506707384993</v>
      </c>
      <c r="V438" s="369">
        <f t="shared" si="460"/>
        <v>66709.884071277309</v>
      </c>
      <c r="W438" s="369">
        <f t="shared" si="460"/>
        <v>59401.190321277325</v>
      </c>
      <c r="X438" s="369">
        <f t="shared" si="460"/>
        <v>52220.891445408335</v>
      </c>
      <c r="Y438" s="369">
        <f t="shared" si="460"/>
        <v>44928.500024643632</v>
      </c>
      <c r="Z438" s="369">
        <f t="shared" si="460"/>
        <v>37405.665519356313</v>
      </c>
      <c r="AA438" s="369">
        <f t="shared" si="460"/>
        <v>29653.743722481348</v>
      </c>
      <c r="AB438" s="369">
        <f t="shared" si="460"/>
        <v>22025.914823834944</v>
      </c>
      <c r="AC438" s="369">
        <f t="shared" si="460"/>
        <v>14286.558418924425</v>
      </c>
      <c r="AD438" s="369">
        <f t="shared" si="460"/>
        <v>6319.7604622490398</v>
      </c>
      <c r="AE438" s="369">
        <f t="shared" si="460"/>
        <v>0</v>
      </c>
      <c r="AF438" s="369">
        <f t="shared" si="460"/>
        <v>0</v>
      </c>
      <c r="AG438" s="369">
        <f t="shared" si="460"/>
        <v>0</v>
      </c>
      <c r="AH438" s="369">
        <f t="shared" si="460"/>
        <v>0</v>
      </c>
      <c r="AI438" s="369">
        <f t="shared" si="460"/>
        <v>0</v>
      </c>
      <c r="AJ438" s="369">
        <f t="shared" si="460"/>
        <v>0</v>
      </c>
      <c r="AK438" s="369">
        <f t="shared" si="460"/>
        <v>0</v>
      </c>
      <c r="AL438" s="369">
        <f t="shared" si="460"/>
        <v>0</v>
      </c>
      <c r="AM438" s="369">
        <f t="shared" si="460"/>
        <v>0</v>
      </c>
      <c r="AN438" s="369">
        <f t="shared" si="460"/>
        <v>0</v>
      </c>
      <c r="AO438" s="369">
        <f t="shared" si="460"/>
        <v>0</v>
      </c>
      <c r="AP438" s="369">
        <f t="shared" si="460"/>
        <v>0</v>
      </c>
      <c r="AQ438" s="369">
        <f t="shared" si="460"/>
        <v>0</v>
      </c>
      <c r="AR438" s="369">
        <f t="shared" si="460"/>
        <v>0</v>
      </c>
      <c r="AS438" s="369">
        <f t="shared" si="460"/>
        <v>0</v>
      </c>
      <c r="AT438" s="369">
        <f t="shared" si="460"/>
        <v>0</v>
      </c>
      <c r="AU438" s="369">
        <f t="shared" si="460"/>
        <v>0</v>
      </c>
      <c r="AV438" s="369">
        <f t="shared" si="460"/>
        <v>0</v>
      </c>
      <c r="AW438" s="369">
        <f t="shared" si="460"/>
        <v>0</v>
      </c>
      <c r="AX438" s="369">
        <f t="shared" si="460"/>
        <v>0</v>
      </c>
      <c r="AY438" s="369">
        <f t="shared" si="460"/>
        <v>0</v>
      </c>
      <c r="AZ438" s="369">
        <f t="shared" si="460"/>
        <v>0</v>
      </c>
      <c r="BA438" s="369">
        <f t="shared" si="460"/>
        <v>0</v>
      </c>
      <c r="BB438" s="369">
        <f t="shared" si="460"/>
        <v>0</v>
      </c>
      <c r="BC438" s="369">
        <f t="shared" si="460"/>
        <v>0</v>
      </c>
      <c r="BD438" s="369">
        <f t="shared" si="460"/>
        <v>0</v>
      </c>
      <c r="BE438" s="369">
        <f t="shared" si="460"/>
        <v>0</v>
      </c>
      <c r="BF438" s="369">
        <f t="shared" si="460"/>
        <v>0</v>
      </c>
      <c r="BG438" s="369">
        <f t="shared" si="460"/>
        <v>0</v>
      </c>
    </row>
    <row r="439" spans="2:59" outlineLevel="1"/>
    <row r="440" spans="2:59" outlineLevel="1">
      <c r="C440" s="253" t="s">
        <v>856</v>
      </c>
      <c r="D440" s="253"/>
      <c r="E440" s="253"/>
      <c r="F440" s="253"/>
      <c r="G440" s="253"/>
      <c r="H440" s="253"/>
      <c r="I440" s="253"/>
      <c r="J440" s="253"/>
      <c r="K440" s="253"/>
      <c r="L440" s="253"/>
      <c r="M440" s="253"/>
      <c r="N440" s="253"/>
      <c r="O440" s="253"/>
      <c r="P440" s="253"/>
      <c r="Q440" s="253"/>
      <c r="R440" s="254">
        <f>R424+SUM(R435:R437)</f>
        <v>0</v>
      </c>
      <c r="S440" s="254">
        <f t="shared" ref="S440:BG440" si="461">S424+SUM(S435:S437)</f>
        <v>-47000</v>
      </c>
      <c r="T440" s="254">
        <f t="shared" si="461"/>
        <v>-26760.017593879642</v>
      </c>
      <c r="U440" s="254">
        <f t="shared" si="461"/>
        <v>-26.489113505343994</v>
      </c>
      <c r="V440" s="254">
        <f t="shared" si="461"/>
        <v>0</v>
      </c>
      <c r="W440" s="254">
        <f t="shared" si="461"/>
        <v>0</v>
      </c>
      <c r="X440" s="254">
        <f t="shared" si="461"/>
        <v>0</v>
      </c>
      <c r="Y440" s="254">
        <f t="shared" si="461"/>
        <v>0</v>
      </c>
      <c r="Z440" s="254">
        <f t="shared" si="461"/>
        <v>0</v>
      </c>
      <c r="AA440" s="254">
        <f t="shared" si="461"/>
        <v>0</v>
      </c>
      <c r="AB440" s="254">
        <f t="shared" si="461"/>
        <v>0</v>
      </c>
      <c r="AC440" s="254">
        <f t="shared" si="461"/>
        <v>0</v>
      </c>
      <c r="AD440" s="254">
        <f t="shared" si="461"/>
        <v>0</v>
      </c>
      <c r="AE440" s="254">
        <f t="shared" si="461"/>
        <v>1757.6658904635551</v>
      </c>
      <c r="AF440" s="254">
        <f t="shared" si="461"/>
        <v>0</v>
      </c>
      <c r="AG440" s="254">
        <f t="shared" si="461"/>
        <v>0</v>
      </c>
      <c r="AH440" s="254">
        <f t="shared" si="461"/>
        <v>0</v>
      </c>
      <c r="AI440" s="254">
        <f t="shared" si="461"/>
        <v>0</v>
      </c>
      <c r="AJ440" s="254">
        <f t="shared" si="461"/>
        <v>0</v>
      </c>
      <c r="AK440" s="254">
        <f t="shared" si="461"/>
        <v>0</v>
      </c>
      <c r="AL440" s="254">
        <f t="shared" si="461"/>
        <v>0</v>
      </c>
      <c r="AM440" s="254">
        <f t="shared" si="461"/>
        <v>0</v>
      </c>
      <c r="AN440" s="254">
        <f t="shared" si="461"/>
        <v>0</v>
      </c>
      <c r="AO440" s="254">
        <f t="shared" si="461"/>
        <v>0</v>
      </c>
      <c r="AP440" s="254">
        <f t="shared" si="461"/>
        <v>0</v>
      </c>
      <c r="AQ440" s="254">
        <f t="shared" si="461"/>
        <v>0</v>
      </c>
      <c r="AR440" s="254">
        <f t="shared" si="461"/>
        <v>0</v>
      </c>
      <c r="AS440" s="254">
        <f t="shared" si="461"/>
        <v>0</v>
      </c>
      <c r="AT440" s="254">
        <f t="shared" si="461"/>
        <v>0</v>
      </c>
      <c r="AU440" s="254">
        <f t="shared" si="461"/>
        <v>0</v>
      </c>
      <c r="AV440" s="254">
        <f t="shared" si="461"/>
        <v>0</v>
      </c>
      <c r="AW440" s="254">
        <f t="shared" si="461"/>
        <v>0</v>
      </c>
      <c r="AX440" s="254">
        <f t="shared" si="461"/>
        <v>0</v>
      </c>
      <c r="AY440" s="254">
        <f t="shared" si="461"/>
        <v>0</v>
      </c>
      <c r="AZ440" s="254">
        <f t="shared" si="461"/>
        <v>0</v>
      </c>
      <c r="BA440" s="254">
        <f t="shared" si="461"/>
        <v>0</v>
      </c>
      <c r="BB440" s="254">
        <f t="shared" si="461"/>
        <v>0</v>
      </c>
      <c r="BC440" s="254">
        <f t="shared" si="461"/>
        <v>0</v>
      </c>
      <c r="BD440" s="254">
        <f t="shared" si="461"/>
        <v>0</v>
      </c>
      <c r="BE440" s="254">
        <f t="shared" si="461"/>
        <v>0</v>
      </c>
      <c r="BF440" s="254">
        <f t="shared" si="461"/>
        <v>0</v>
      </c>
      <c r="BG440" s="254">
        <f t="shared" si="461"/>
        <v>0</v>
      </c>
    </row>
    <row r="441" spans="2:59" outlineLevel="1"/>
    <row r="442" spans="2:59" outlineLevel="1">
      <c r="C442" s="253" t="s">
        <v>785</v>
      </c>
      <c r="D442" s="253"/>
      <c r="E442" s="253"/>
      <c r="F442" s="253"/>
      <c r="G442" s="253"/>
      <c r="H442" s="253"/>
      <c r="I442" s="253"/>
      <c r="J442" s="253"/>
      <c r="K442" s="253"/>
      <c r="L442" s="253"/>
      <c r="M442" s="253"/>
      <c r="N442" s="253"/>
      <c r="O442" s="268"/>
      <c r="P442" s="268"/>
      <c r="Q442" s="268"/>
      <c r="R442" s="1352">
        <f>-MAX(R440*GA!$G$427,0)</f>
        <v>0</v>
      </c>
      <c r="S442" s="1352">
        <f>-MAX(S440*GA!$G$427,0)</f>
        <v>0</v>
      </c>
      <c r="T442" s="1352">
        <f>-MAX(T440*GA!$G$427,0)</f>
        <v>0</v>
      </c>
      <c r="U442" s="1352">
        <f>-MAX(U440*GA!$G$427,0)</f>
        <v>0</v>
      </c>
      <c r="V442" s="1352">
        <f>-MAX(V440*GA!$G$427,0)</f>
        <v>0</v>
      </c>
      <c r="W442" s="1352">
        <f>-MAX(W440*GA!$G$427,0)</f>
        <v>0</v>
      </c>
      <c r="X442" s="1352">
        <f>-MAX(X440*GA!$G$427,0)</f>
        <v>0</v>
      </c>
      <c r="Y442" s="1352">
        <f>-MAX(Y440*GA!$G$427,0)</f>
        <v>0</v>
      </c>
      <c r="Z442" s="1352">
        <f>-MAX(Z440*GA!$G$427,0)</f>
        <v>0</v>
      </c>
      <c r="AA442" s="1352">
        <f>-MAX(AA440*GA!$G$427,0)</f>
        <v>0</v>
      </c>
      <c r="AB442" s="1352">
        <f>-MAX(AB440*GA!$G$427,0)</f>
        <v>0</v>
      </c>
      <c r="AC442" s="1352">
        <f>-MAX(AC440*GA!$G$427,0)</f>
        <v>0</v>
      </c>
      <c r="AD442" s="1352">
        <f>-MAX(AD440*GA!$G$427,0)</f>
        <v>0</v>
      </c>
      <c r="AE442" s="1352">
        <f>-MAX(AE440*GA!$G$427,0)</f>
        <v>-278.23851046038078</v>
      </c>
      <c r="AF442" s="1352">
        <f>-MAX(AF440*GA!$G$427,0)</f>
        <v>0</v>
      </c>
      <c r="AG442" s="1352">
        <f>-MAX(AG440*GA!$G$427,0)</f>
        <v>0</v>
      </c>
      <c r="AH442" s="1352">
        <f>-MAX(AH440*GA!$G$427,0)</f>
        <v>0</v>
      </c>
      <c r="AI442" s="1352">
        <f>-MAX(AI440*GA!$G$427,0)</f>
        <v>0</v>
      </c>
      <c r="AJ442" s="1352">
        <f>-MAX(AJ440*GA!$G$427,0)</f>
        <v>0</v>
      </c>
      <c r="AK442" s="1352">
        <f>-MAX(AK440*GA!$G$427,0)</f>
        <v>0</v>
      </c>
      <c r="AL442" s="1352">
        <f>-MAX(AL440*GA!$G$427,0)</f>
        <v>0</v>
      </c>
      <c r="AM442" s="1352">
        <f>-MAX(AM440*GA!$G$427,0)</f>
        <v>0</v>
      </c>
      <c r="AN442" s="1352">
        <f>-MAX(AN440*GA!$G$427,0)</f>
        <v>0</v>
      </c>
      <c r="AO442" s="1352">
        <f>-MAX(AO440*GA!$G$427,0)</f>
        <v>0</v>
      </c>
      <c r="AP442" s="1352">
        <f>-MAX(AP440*GA!$G$427,0)</f>
        <v>0</v>
      </c>
      <c r="AQ442" s="1352">
        <f>-MAX(AQ440*GA!$G$427,0)</f>
        <v>0</v>
      </c>
      <c r="AR442" s="1352">
        <f>-MAX(AR440*GA!$G$427,0)</f>
        <v>0</v>
      </c>
      <c r="AS442" s="1352">
        <f>-MAX(AS440*GA!$G$427,0)</f>
        <v>0</v>
      </c>
      <c r="AT442" s="1352">
        <f>-MAX(AT440*GA!$G$427,0)</f>
        <v>0</v>
      </c>
      <c r="AU442" s="1352">
        <f>-MAX(AU440*GA!$G$427,0)</f>
        <v>0</v>
      </c>
      <c r="AV442" s="1352">
        <f>-MAX(AV440*GA!$G$427,0)</f>
        <v>0</v>
      </c>
      <c r="AW442" s="1352">
        <f>-MAX(AW440*GA!$G$427,0)</f>
        <v>0</v>
      </c>
      <c r="AX442" s="1352">
        <f>-MAX(AX440*GA!$G$427,0)</f>
        <v>0</v>
      </c>
      <c r="AY442" s="1352">
        <f>-MAX(AY440*GA!$G$427,0)</f>
        <v>0</v>
      </c>
      <c r="AZ442" s="1352">
        <f>-MAX(AZ440*GA!$G$427,0)</f>
        <v>0</v>
      </c>
      <c r="BA442" s="1352">
        <f>-MAX(BA440*GA!$G$427,0)</f>
        <v>0</v>
      </c>
      <c r="BB442" s="1352">
        <f>-MAX(BB440*GA!$G$427,0)</f>
        <v>0</v>
      </c>
      <c r="BC442" s="1352">
        <f>-MAX(BC440*GA!$G$427,0)</f>
        <v>0</v>
      </c>
      <c r="BD442" s="1352">
        <f>-MAX(BD440*GA!$G$427,0)</f>
        <v>0</v>
      </c>
      <c r="BE442" s="1352">
        <f>-MAX(BE440*GA!$G$427,0)</f>
        <v>0</v>
      </c>
      <c r="BF442" s="1352">
        <f>-MAX(BF440*GA!$G$427,0)</f>
        <v>0</v>
      </c>
      <c r="BG442" s="1352">
        <f>-MAX(BG440*GA!$G$427,0)</f>
        <v>0</v>
      </c>
    </row>
    <row r="443" spans="2:59" outlineLevel="1">
      <c r="C443" s="398" t="s">
        <v>857</v>
      </c>
      <c r="D443" s="398"/>
      <c r="E443" s="398"/>
      <c r="F443" s="398"/>
      <c r="G443" s="398"/>
      <c r="H443" s="398"/>
      <c r="I443" s="398"/>
      <c r="J443" s="398"/>
      <c r="K443" s="398"/>
      <c r="L443" s="398"/>
      <c r="M443" s="398"/>
      <c r="N443" s="398"/>
      <c r="R443" s="1357">
        <f>-MAX(GA!$G$427*R$406,0)</f>
        <v>0</v>
      </c>
      <c r="S443" s="1357">
        <f>-MAX(GA!$G$427*S$406,0)</f>
        <v>0</v>
      </c>
      <c r="T443" s="1357">
        <f>-MAX(GA!$G$427*T$406,0)</f>
        <v>0</v>
      </c>
      <c r="U443" s="1357">
        <f>-MAX(GA!$G$427*U$406,0)</f>
        <v>0</v>
      </c>
      <c r="V443" s="1357">
        <f>-MAX(GA!$G$427*V$406,0)</f>
        <v>0</v>
      </c>
      <c r="W443" s="1357">
        <f>-MAX(GA!$G$427*W$406,0)</f>
        <v>0</v>
      </c>
      <c r="X443" s="1357">
        <f>-MAX(GA!$G$427*X$406,0)</f>
        <v>0</v>
      </c>
      <c r="Y443" s="1357">
        <f>-MAX(GA!$G$427*Y$406,0)</f>
        <v>0</v>
      </c>
      <c r="Z443" s="1357">
        <f>-MAX(GA!$G$427*Z$406,0)</f>
        <v>0</v>
      </c>
      <c r="AA443" s="1357">
        <f>-MAX(GA!$G$427*AA$406,0)</f>
        <v>0</v>
      </c>
      <c r="AB443" s="1357">
        <f>-MAX(GA!$G$427*AB$406,0)</f>
        <v>0</v>
      </c>
      <c r="AC443" s="1357">
        <f>-MAX(GA!$G$427*AC$406,0)</f>
        <v>0</v>
      </c>
      <c r="AD443" s="1357">
        <f>-MAX(GA!$G$427*AD$406,0)</f>
        <v>0</v>
      </c>
      <c r="AE443" s="1357">
        <f>-MAX(GA!$G$427*AE$406,0)</f>
        <v>0</v>
      </c>
      <c r="AF443" s="1357">
        <f>-MAX(GA!$G$427*AF$406,0)</f>
        <v>0</v>
      </c>
      <c r="AG443" s="1357">
        <f>-MAX(GA!$G$427*AG$406,0)</f>
        <v>0</v>
      </c>
      <c r="AH443" s="1357">
        <f>-MAX(GA!$G$427*AH$406,0)</f>
        <v>0</v>
      </c>
      <c r="AI443" s="1357">
        <f>-MAX(GA!$G$427*AI$406,0)</f>
        <v>0</v>
      </c>
      <c r="AJ443" s="1357">
        <f>-MAX(GA!$G$427*AJ$406,0)</f>
        <v>0</v>
      </c>
      <c r="AK443" s="1357">
        <f>-MAX(GA!$G$427*AK$406,0)</f>
        <v>0</v>
      </c>
      <c r="AL443" s="1357">
        <f>-MAX(GA!$G$427*AL$406,0)</f>
        <v>0</v>
      </c>
      <c r="AM443" s="1357">
        <f>-MAX(GA!$G$427*AM$406,0)</f>
        <v>0</v>
      </c>
      <c r="AN443" s="1357">
        <f>-MAX(GA!$G$427*AN$406,0)</f>
        <v>0</v>
      </c>
      <c r="AO443" s="1357">
        <f>-MAX(GA!$G$427*AO$406,0)</f>
        <v>0</v>
      </c>
      <c r="AP443" s="1357">
        <f>-MAX(GA!$G$427*AP$406,0)</f>
        <v>0</v>
      </c>
      <c r="AQ443" s="1357">
        <f>-MAX(GA!$G$427*AQ$406,0)</f>
        <v>0</v>
      </c>
      <c r="AR443" s="1357">
        <f>-MAX(GA!$G$427*AR$406,0)</f>
        <v>0</v>
      </c>
      <c r="AS443" s="1357">
        <f>-MAX(GA!$G$427*AS$406,0)</f>
        <v>0</v>
      </c>
      <c r="AT443" s="1357">
        <f>-MAX(GA!$G$427*AT$406,0)</f>
        <v>0</v>
      </c>
      <c r="AU443" s="1357">
        <f>-MAX(GA!$G$427*AU$406,0)</f>
        <v>0</v>
      </c>
      <c r="AV443" s="1357">
        <f>-MAX(GA!$G$427*AV$406,0)</f>
        <v>0</v>
      </c>
      <c r="AW443" s="1357">
        <f>-MAX(GA!$G$427*AW$406,0)</f>
        <v>0</v>
      </c>
      <c r="AX443" s="1357">
        <f>-MAX(GA!$G$427*AX$406,0)</f>
        <v>0</v>
      </c>
      <c r="AY443" s="1357">
        <f>-MAX(GA!$G$427*AY$406,0)</f>
        <v>0</v>
      </c>
      <c r="AZ443" s="1357">
        <f>-MAX(GA!$G$427*AZ$406,0)</f>
        <v>0</v>
      </c>
      <c r="BA443" s="1357">
        <f>-MAX(GA!$G$427*BA$406,0)</f>
        <v>0</v>
      </c>
      <c r="BB443" s="1357">
        <f>-MAX(GA!$G$427*BB$406,0)</f>
        <v>0</v>
      </c>
      <c r="BC443" s="1357">
        <f>-MAX(GA!$G$427*BC$406,0)</f>
        <v>0</v>
      </c>
      <c r="BD443" s="1357">
        <f>-MAX(GA!$G$427*BD$406,0)</f>
        <v>0</v>
      </c>
      <c r="BE443" s="1357">
        <f>-MAX(GA!$G$427*BE$406,0)</f>
        <v>0</v>
      </c>
      <c r="BF443" s="1357">
        <f>-MAX(GA!$G$427*BF$406,0)</f>
        <v>0</v>
      </c>
      <c r="BG443" s="1357">
        <f>-MAX(GA!$G$427*BG$406,0)</f>
        <v>0</v>
      </c>
    </row>
    <row r="445" spans="2:59" ht="18" customHeight="1"/>
    <row r="446" spans="2:59" s="90" customFormat="1" hidden="1" outlineLevel="1">
      <c r="B446" s="91">
        <f>MAX($B$1:B445)+1</f>
        <v>5</v>
      </c>
      <c r="C446" s="92" t="s">
        <v>1315</v>
      </c>
      <c r="D446" s="92"/>
      <c r="E446" s="92"/>
      <c r="F446" s="92"/>
      <c r="G446" s="92"/>
      <c r="H446" s="92"/>
      <c r="I446" s="92"/>
      <c r="J446" s="92"/>
      <c r="K446" s="92"/>
      <c r="L446" s="92"/>
      <c r="M446" s="92"/>
      <c r="N446" s="92"/>
      <c r="O446" s="92"/>
    </row>
    <row r="447" spans="2:59" hidden="1" outlineLevel="1"/>
    <row r="448" spans="2:59" hidden="1" outlineLevel="1">
      <c r="C448" s="39" t="s">
        <v>1354</v>
      </c>
      <c r="U448" s="39" t="s">
        <v>1381</v>
      </c>
    </row>
    <row r="449" spans="3:23" hidden="1" outlineLevel="1"/>
    <row r="450" spans="3:23" hidden="1" outlineLevel="1">
      <c r="C450" s="1298" t="s">
        <v>1355</v>
      </c>
      <c r="D450" s="1428"/>
      <c r="E450" s="1428"/>
      <c r="F450" s="1428"/>
      <c r="G450" s="1428"/>
      <c r="H450" s="1428"/>
      <c r="I450" s="1428"/>
      <c r="J450" s="1428"/>
      <c r="K450" s="1428"/>
      <c r="L450" s="1428"/>
      <c r="M450" s="1428"/>
      <c r="N450" s="1428"/>
      <c r="O450" s="1299"/>
      <c r="Q450" s="1292" t="s">
        <v>1356</v>
      </c>
      <c r="R450" s="1297"/>
      <c r="S450" s="1293"/>
    </row>
    <row r="451" spans="3:23" hidden="1" outlineLevel="1">
      <c r="C451" s="77" t="s">
        <v>907</v>
      </c>
      <c r="O451" s="1294">
        <f>BI92</f>
        <v>835826.31243324804</v>
      </c>
      <c r="Q451" s="77" t="s">
        <v>168</v>
      </c>
      <c r="S451" s="1294">
        <f>BI106</f>
        <v>0</v>
      </c>
    </row>
    <row r="452" spans="3:23" hidden="1" outlineLevel="1">
      <c r="C452" s="77" t="s">
        <v>321</v>
      </c>
      <c r="O452" s="1294">
        <f>BI101</f>
        <v>0</v>
      </c>
      <c r="Q452" s="77" t="s">
        <v>1357</v>
      </c>
      <c r="S452" s="1294">
        <f>BI115</f>
        <v>-72163.744128101855</v>
      </c>
      <c r="T452" s="310"/>
    </row>
    <row r="453" spans="3:23" hidden="1" outlineLevel="1">
      <c r="C453" s="77" t="s">
        <v>408</v>
      </c>
      <c r="O453" s="1294">
        <f>BI105</f>
        <v>0</v>
      </c>
      <c r="Q453" s="77" t="s">
        <v>1358</v>
      </c>
      <c r="S453" s="1294">
        <f>BI126</f>
        <v>-201631.16170278302</v>
      </c>
      <c r="T453" s="310"/>
      <c r="U453" t="s">
        <v>1257</v>
      </c>
      <c r="W453" s="257" t="b">
        <f>COUNTIF(W454:W456,"TRUE")=COUNTA(W454:W456)</f>
        <v>0</v>
      </c>
    </row>
    <row r="454" spans="3:23" hidden="1" outlineLevel="1">
      <c r="C454" s="77" t="s">
        <v>936</v>
      </c>
      <c r="O454" s="1294">
        <f>BI150</f>
        <v>3676822.9270256222</v>
      </c>
      <c r="Q454" s="77" t="s">
        <v>657</v>
      </c>
      <c r="S454" s="1294">
        <f>BI138</f>
        <v>0</v>
      </c>
      <c r="T454" s="310"/>
      <c r="U454" t="s">
        <v>985</v>
      </c>
      <c r="W454" s="257" t="b">
        <f>ROUND(P336,GA!$G$112)=ROUND(O342,GA!$G$112)</f>
        <v>1</v>
      </c>
    </row>
    <row r="455" spans="3:23" hidden="1" outlineLevel="1">
      <c r="C455" s="77" t="s">
        <v>1121</v>
      </c>
      <c r="O455" s="1294">
        <f>+BI211</f>
        <v>0</v>
      </c>
      <c r="Q455" s="77" t="s">
        <v>1286</v>
      </c>
      <c r="S455" s="1294">
        <f>SUM(BI182:BI184,BI212:BI213)</f>
        <v>-2500000</v>
      </c>
      <c r="T455" s="310"/>
      <c r="U455" t="s">
        <v>986</v>
      </c>
      <c r="W455" s="257" t="b">
        <f>ROUND(U336,GA!$G$112)=ROUND(T342,GA!$G$112)</f>
        <v>0</v>
      </c>
    </row>
    <row r="456" spans="3:23" hidden="1" outlineLevel="1">
      <c r="C456" s="77" t="s">
        <v>1359</v>
      </c>
      <c r="O456" s="1294">
        <f>IF(P165&lt;&gt;0,P165,O165)*O164+IF(P235&lt;&gt;0,P235,O235)*O234+IF(P299&lt;&gt;0,P299,O299)*O298</f>
        <v>811819.03207949619</v>
      </c>
      <c r="Q456" s="77" t="s">
        <v>1360</v>
      </c>
      <c r="S456" s="1294">
        <f>BI191+BI220</f>
        <v>-111652.43489349402</v>
      </c>
      <c r="T456" s="310"/>
      <c r="U456" t="s">
        <v>1382</v>
      </c>
      <c r="W456" s="257" t="b">
        <f>ROUND(Y336,GA!$G$112)=ROUND(X342,GA!$G$112)</f>
        <v>0</v>
      </c>
    </row>
    <row r="457" spans="3:23" hidden="1" outlineLevel="1">
      <c r="C457" s="77"/>
      <c r="O457" s="1294"/>
      <c r="Q457" s="77" t="s">
        <v>722</v>
      </c>
      <c r="S457" s="1294">
        <f>BI225+BI199</f>
        <v>-27996.134983808544</v>
      </c>
      <c r="T457" s="310"/>
    </row>
    <row r="458" spans="3:23" hidden="1" outlineLevel="1">
      <c r="C458" s="77"/>
      <c r="O458" s="151"/>
      <c r="Q458" s="77" t="s">
        <v>1361</v>
      </c>
      <c r="S458" s="1294">
        <f>SUM(BI257:BI261)</f>
        <v>0</v>
      </c>
      <c r="T458" s="310"/>
    </row>
    <row r="459" spans="3:23" hidden="1" outlineLevel="1">
      <c r="C459" s="77"/>
      <c r="O459" s="151"/>
      <c r="Q459" s="77" t="s">
        <v>1362</v>
      </c>
      <c r="S459" s="1294">
        <f>BI273</f>
        <v>0</v>
      </c>
      <c r="T459" s="310"/>
    </row>
    <row r="460" spans="3:23" hidden="1" outlineLevel="1">
      <c r="C460" s="77"/>
      <c r="O460" s="151"/>
      <c r="Q460" s="77" t="s">
        <v>1363</v>
      </c>
      <c r="S460" s="1294">
        <f>BI280+BI283</f>
        <v>0</v>
      </c>
      <c r="T460" s="310"/>
    </row>
    <row r="461" spans="3:23" hidden="1" outlineLevel="1">
      <c r="C461" s="77"/>
      <c r="O461" s="151"/>
      <c r="Q461" s="77" t="s">
        <v>785</v>
      </c>
      <c r="S461" s="1294">
        <f>BI294</f>
        <v>-278.23851046038078</v>
      </c>
      <c r="T461" s="310"/>
    </row>
    <row r="462" spans="3:23" hidden="1" outlineLevel="1">
      <c r="C462" s="77"/>
      <c r="O462" s="151"/>
      <c r="Q462" s="77" t="s">
        <v>1364</v>
      </c>
      <c r="S462" s="1294">
        <f>-BI305</f>
        <v>-1614134.7666131514</v>
      </c>
      <c r="T462" s="310"/>
    </row>
    <row r="463" spans="3:23" hidden="1" outlineLevel="1">
      <c r="C463" s="1300" t="s">
        <v>152</v>
      </c>
      <c r="D463" s="1067"/>
      <c r="E463" s="1067"/>
      <c r="F463" s="1067"/>
      <c r="G463" s="1067"/>
      <c r="H463" s="1067"/>
      <c r="I463" s="1067"/>
      <c r="J463" s="1067"/>
      <c r="K463" s="1067"/>
      <c r="L463" s="1067"/>
      <c r="M463" s="1067"/>
      <c r="N463" s="1067"/>
      <c r="O463" s="1301">
        <f>SUM(O451:O462)</f>
        <v>5324468.2715383666</v>
      </c>
      <c r="Q463" s="395" t="s">
        <v>152</v>
      </c>
      <c r="R463" s="254"/>
      <c r="S463" s="1296">
        <f>SUM(S451:S462)</f>
        <v>-4527856.4808318</v>
      </c>
    </row>
    <row r="464" spans="3:23" hidden="1" outlineLevel="1">
      <c r="C464" s="395" t="s">
        <v>24</v>
      </c>
      <c r="D464" s="253"/>
      <c r="E464" s="253"/>
      <c r="F464" s="253"/>
      <c r="G464" s="253"/>
      <c r="H464" s="253"/>
      <c r="I464" s="253"/>
      <c r="J464" s="253"/>
      <c r="K464" s="253"/>
      <c r="L464" s="253"/>
      <c r="M464" s="253"/>
      <c r="N464" s="253"/>
      <c r="O464" s="268"/>
      <c r="P464" s="1302" t="b">
        <f>-ROUND(O463,GA!$G$112)=ROUND(S463,GA!$G$112)</f>
        <v>0</v>
      </c>
      <c r="Q464" s="17"/>
      <c r="R464" s="17"/>
      <c r="S464" s="1295"/>
    </row>
    <row r="465" spans="2:19" collapsed="1"/>
    <row r="466" spans="2:19" s="90" customFormat="1">
      <c r="B466" s="370" t="s">
        <v>759</v>
      </c>
      <c r="C466" s="92"/>
      <c r="D466" s="92"/>
      <c r="E466" s="92"/>
      <c r="F466" s="92"/>
      <c r="G466" s="92"/>
      <c r="H466" s="92"/>
      <c r="I466" s="92"/>
      <c r="J466" s="92"/>
      <c r="K466" s="92"/>
      <c r="L466" s="92"/>
      <c r="M466" s="92"/>
      <c r="N466" s="92"/>
      <c r="O466" s="92"/>
    </row>
    <row r="469" spans="2:19">
      <c r="S469" s="310"/>
    </row>
    <row r="470" spans="2:19">
      <c r="R470" s="310"/>
    </row>
  </sheetData>
  <conditionalFormatting sqref="O164">
    <cfRule type="cellIs" dxfId="213" priority="65" operator="equal">
      <formula>0</formula>
    </cfRule>
    <cfRule type="cellIs" dxfId="212" priority="66" operator="equal">
      <formula>1</formula>
    </cfRule>
  </conditionalFormatting>
  <conditionalFormatting sqref="O234">
    <cfRule type="cellIs" dxfId="211" priority="63" operator="equal">
      <formula>0</formula>
    </cfRule>
    <cfRule type="cellIs" dxfId="210" priority="64" operator="equal">
      <formula>1</formula>
    </cfRule>
  </conditionalFormatting>
  <conditionalFormatting sqref="O410">
    <cfRule type="cellIs" dxfId="209" priority="59" operator="equal">
      <formula>0</formula>
    </cfRule>
    <cfRule type="cellIs" dxfId="208" priority="60" operator="equal">
      <formula>1</formula>
    </cfRule>
  </conditionalFormatting>
  <conditionalFormatting sqref="O415">
    <cfRule type="cellIs" dxfId="207" priority="57" operator="equal">
      <formula>0</formula>
    </cfRule>
    <cfRule type="cellIs" dxfId="206" priority="58" operator="equal">
      <formula>1</formula>
    </cfRule>
  </conditionalFormatting>
  <conditionalFormatting sqref="O426">
    <cfRule type="cellIs" dxfId="205" priority="55" operator="equal">
      <formula>0</formula>
    </cfRule>
    <cfRule type="cellIs" dxfId="204" priority="56" operator="equal">
      <formula>1</formula>
    </cfRule>
  </conditionalFormatting>
  <conditionalFormatting sqref="O432">
    <cfRule type="cellIs" dxfId="203" priority="53" operator="equal">
      <formula>0</formula>
    </cfRule>
    <cfRule type="cellIs" dxfId="202" priority="54" operator="equal">
      <formula>1</formula>
    </cfRule>
  </conditionalFormatting>
  <conditionalFormatting sqref="O298">
    <cfRule type="cellIs" dxfId="201" priority="51" operator="equal">
      <formula>0</formula>
    </cfRule>
    <cfRule type="cellIs" dxfId="200" priority="52" operator="equal">
      <formula>1</formula>
    </cfRule>
  </conditionalFormatting>
  <conditionalFormatting sqref="BK26">
    <cfRule type="cellIs" dxfId="199" priority="49" operator="equal">
      <formula>FALSE</formula>
    </cfRule>
    <cfRule type="cellIs" dxfId="198" priority="50" operator="equal">
      <formula>TRUE</formula>
    </cfRule>
  </conditionalFormatting>
  <conditionalFormatting sqref="BK92">
    <cfRule type="cellIs" dxfId="197" priority="47" operator="equal">
      <formula>FALSE</formula>
    </cfRule>
    <cfRule type="cellIs" dxfId="196" priority="48" operator="equal">
      <formula>TRUE</formula>
    </cfRule>
  </conditionalFormatting>
  <conditionalFormatting sqref="BK107">
    <cfRule type="cellIs" dxfId="195" priority="45" operator="equal">
      <formula>FALSE</formula>
    </cfRule>
    <cfRule type="cellIs" dxfId="194" priority="46" operator="equal">
      <formula>TRUE</formula>
    </cfRule>
  </conditionalFormatting>
  <conditionalFormatting sqref="BK118">
    <cfRule type="cellIs" dxfId="193" priority="43" operator="equal">
      <formula>FALSE</formula>
    </cfRule>
    <cfRule type="cellIs" dxfId="192" priority="44" operator="equal">
      <formula>TRUE</formula>
    </cfRule>
  </conditionalFormatting>
  <conditionalFormatting sqref="BK115">
    <cfRule type="cellIs" dxfId="191" priority="41" operator="equal">
      <formula>FALSE</formula>
    </cfRule>
    <cfRule type="cellIs" dxfId="190" priority="42" operator="equal">
      <formula>TRUE</formula>
    </cfRule>
  </conditionalFormatting>
  <conditionalFormatting sqref="BK126">
    <cfRule type="cellIs" dxfId="189" priority="39" operator="equal">
      <formula>FALSE</formula>
    </cfRule>
    <cfRule type="cellIs" dxfId="188" priority="40" operator="equal">
      <formula>TRUE</formula>
    </cfRule>
  </conditionalFormatting>
  <conditionalFormatting sqref="BK128">
    <cfRule type="cellIs" dxfId="187" priority="37" operator="equal">
      <formula>FALSE</formula>
    </cfRule>
    <cfRule type="cellIs" dxfId="186" priority="38" operator="equal">
      <formula>TRUE</formula>
    </cfRule>
  </conditionalFormatting>
  <conditionalFormatting sqref="BK138">
    <cfRule type="cellIs" dxfId="185" priority="35" operator="equal">
      <formula>FALSE</formula>
    </cfRule>
    <cfRule type="cellIs" dxfId="184" priority="36" operator="equal">
      <formula>TRUE</formula>
    </cfRule>
  </conditionalFormatting>
  <conditionalFormatting sqref="BK141">
    <cfRule type="cellIs" dxfId="183" priority="33" operator="equal">
      <formula>FALSE</formula>
    </cfRule>
    <cfRule type="cellIs" dxfId="182" priority="34" operator="equal">
      <formula>TRUE</formula>
    </cfRule>
  </conditionalFormatting>
  <conditionalFormatting sqref="BK150">
    <cfRule type="cellIs" dxfId="181" priority="31" operator="equal">
      <formula>FALSE</formula>
    </cfRule>
    <cfRule type="cellIs" dxfId="180" priority="32" operator="equal">
      <formula>TRUE</formula>
    </cfRule>
  </conditionalFormatting>
  <conditionalFormatting sqref="BK169">
    <cfRule type="cellIs" dxfId="179" priority="29" operator="equal">
      <formula>FALSE</formula>
    </cfRule>
    <cfRule type="cellIs" dxfId="178" priority="30" operator="equal">
      <formula>TRUE</formula>
    </cfRule>
  </conditionalFormatting>
  <conditionalFormatting sqref="BK220">
    <cfRule type="cellIs" dxfId="177" priority="23" operator="equal">
      <formula>FALSE</formula>
    </cfRule>
    <cfRule type="cellIs" dxfId="176" priority="24" operator="equal">
      <formula>TRUE</formula>
    </cfRule>
  </conditionalFormatting>
  <conditionalFormatting sqref="BK231">
    <cfRule type="cellIs" dxfId="175" priority="21" operator="equal">
      <formula>FALSE</formula>
    </cfRule>
    <cfRule type="cellIs" dxfId="174" priority="22" operator="equal">
      <formula>TRUE</formula>
    </cfRule>
  </conditionalFormatting>
  <conditionalFormatting sqref="BK252">
    <cfRule type="cellIs" dxfId="173" priority="19" operator="equal">
      <formula>FALSE</formula>
    </cfRule>
    <cfRule type="cellIs" dxfId="172" priority="20" operator="equal">
      <formula>TRUE</formula>
    </cfRule>
  </conditionalFormatting>
  <conditionalFormatting sqref="BK285">
    <cfRule type="cellIs" dxfId="171" priority="17" operator="equal">
      <formula>FALSE</formula>
    </cfRule>
    <cfRule type="cellIs" dxfId="170" priority="18" operator="equal">
      <formula>TRUE</formula>
    </cfRule>
  </conditionalFormatting>
  <conditionalFormatting sqref="P464">
    <cfRule type="cellIs" dxfId="169" priority="13" operator="equal">
      <formula>FALSE</formula>
    </cfRule>
    <cfRule type="cellIs" dxfId="168" priority="14" operator="equal">
      <formula>TRUE</formula>
    </cfRule>
  </conditionalFormatting>
  <conditionalFormatting sqref="W454:W456">
    <cfRule type="cellIs" dxfId="167" priority="5" operator="equal">
      <formula>FALSE</formula>
    </cfRule>
    <cfRule type="cellIs" dxfId="166" priority="6" operator="equal">
      <formula>TRUE</formula>
    </cfRule>
  </conditionalFormatting>
  <conditionalFormatting sqref="W453">
    <cfRule type="cellIs" dxfId="165" priority="3" operator="equal">
      <formula>FALSE</formula>
    </cfRule>
    <cfRule type="cellIs" dxfId="164" priority="4" operator="equal">
      <formula>TRUE</formula>
    </cfRule>
  </conditionalFormatting>
  <conditionalFormatting sqref="BK191">
    <cfRule type="cellIs" dxfId="163" priority="1" operator="equal">
      <formula>FALSE</formula>
    </cfRule>
    <cfRule type="cellIs" dxfId="162" priority="2" operator="equal">
      <formula>TRUE</formula>
    </cfRule>
  </conditionalFormatting>
  <pageMargins left="0.7" right="0.7" top="0.75" bottom="0.75" header="0.3" footer="0.3"/>
  <pageSetup paperSize="9" scale="24"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5C058-EB31-45B6-ABD9-BC8E3B7AA3F8}">
  <sheetPr codeName="Sheet6">
    <tabColor rgb="FF89BD3A"/>
    <pageSetUpPr fitToPage="1"/>
  </sheetPr>
  <dimension ref="A1:Z174"/>
  <sheetViews>
    <sheetView workbookViewId="0">
      <selection activeCell="E2" sqref="E2"/>
    </sheetView>
  </sheetViews>
  <sheetFormatPr baseColWidth="10" defaultColWidth="8" defaultRowHeight="15" customHeight="1" outlineLevelRow="1"/>
  <cols>
    <col min="1" max="1" width="2.7109375" customWidth="1"/>
    <col min="2" max="2" width="4.28515625" customWidth="1"/>
    <col min="3" max="4" width="15.5703125" customWidth="1"/>
    <col min="5" max="12" width="11.42578125" customWidth="1"/>
    <col min="13" max="13" width="15.28515625" customWidth="1"/>
    <col min="14" max="14" width="11.42578125" customWidth="1"/>
    <col min="15" max="15" width="13.7109375" bestFit="1" customWidth="1"/>
    <col min="16" max="20" width="11.42578125" customWidth="1"/>
    <col min="21" max="21" width="17.5703125" customWidth="1"/>
    <col min="22" max="22" width="17.42578125" bestFit="1" customWidth="1"/>
    <col min="23" max="24" width="11.42578125" customWidth="1"/>
    <col min="25" max="25" width="12.7109375" customWidth="1"/>
  </cols>
  <sheetData>
    <row r="1" spans="2:24" s="499" customFormat="1">
      <c r="B1"/>
      <c r="C1" s="95" t="s">
        <v>888</v>
      </c>
      <c r="D1" s="95"/>
      <c r="E1" s="62">
        <v>3</v>
      </c>
      <c r="F1" s="95"/>
      <c r="G1" s="95"/>
      <c r="H1" s="95"/>
      <c r="I1" s="95"/>
      <c r="J1" s="95"/>
      <c r="K1" s="95"/>
      <c r="L1" s="497"/>
      <c r="M1" s="498"/>
      <c r="N1" s="498"/>
      <c r="O1" s="498"/>
      <c r="P1" s="498"/>
      <c r="Q1" s="498"/>
      <c r="R1" s="498"/>
      <c r="S1" s="498"/>
      <c r="T1" s="498"/>
      <c r="U1" s="498"/>
      <c r="V1" s="95"/>
    </row>
    <row r="2" spans="2:24" s="499" customFormat="1">
      <c r="B2"/>
      <c r="C2"/>
      <c r="D2"/>
      <c r="E2"/>
      <c r="F2"/>
      <c r="G2"/>
      <c r="H2"/>
      <c r="I2"/>
      <c r="J2"/>
      <c r="K2"/>
      <c r="L2"/>
      <c r="M2"/>
      <c r="N2"/>
      <c r="O2"/>
      <c r="P2"/>
      <c r="Q2"/>
      <c r="R2"/>
      <c r="S2"/>
      <c r="T2"/>
      <c r="U2"/>
      <c r="V2"/>
    </row>
    <row r="3" spans="2:24" s="499" customFormat="1">
      <c r="B3"/>
      <c r="C3" t="s">
        <v>109</v>
      </c>
      <c r="D3"/>
      <c r="E3" t="str">
        <f>INDEX(AA!$AC$13:$AC$15,MATCH($E$1,AA!$C$13:$C$15,0))</f>
        <v>backup</v>
      </c>
      <c r="F3"/>
      <c r="G3"/>
      <c r="H3"/>
      <c r="I3"/>
      <c r="J3"/>
      <c r="K3"/>
      <c r="L3"/>
      <c r="M3" s="259"/>
      <c r="N3"/>
      <c r="O3"/>
      <c r="P3"/>
      <c r="Q3"/>
      <c r="R3"/>
      <c r="S3"/>
      <c r="T3"/>
      <c r="U3"/>
      <c r="V3"/>
    </row>
    <row r="4" spans="2:24" s="499" customFormat="1">
      <c r="B4"/>
      <c r="C4" t="s">
        <v>111</v>
      </c>
      <c r="D4"/>
      <c r="E4" t="str">
        <f>INDEX(AA!$AE$13:$AE$15,MATCH($E$1,AA!$C$13:$C$15,0))</f>
        <v>backup</v>
      </c>
      <c r="F4"/>
      <c r="G4"/>
      <c r="H4"/>
      <c r="I4"/>
      <c r="J4"/>
      <c r="K4"/>
      <c r="L4"/>
      <c r="M4"/>
      <c r="N4"/>
      <c r="O4"/>
      <c r="P4"/>
      <c r="Q4"/>
      <c r="R4"/>
      <c r="S4"/>
      <c r="T4"/>
      <c r="U4"/>
      <c r="V4"/>
    </row>
    <row r="5" spans="2:24" s="499" customFormat="1">
      <c r="B5"/>
      <c r="C5"/>
      <c r="D5"/>
      <c r="E5"/>
      <c r="F5"/>
      <c r="G5"/>
      <c r="H5"/>
      <c r="I5"/>
      <c r="J5"/>
      <c r="K5"/>
      <c r="L5"/>
      <c r="M5" s="345"/>
      <c r="N5"/>
      <c r="O5"/>
      <c r="P5" s="155"/>
      <c r="Q5"/>
      <c r="R5"/>
      <c r="S5"/>
      <c r="T5"/>
      <c r="U5"/>
      <c r="V5"/>
    </row>
    <row r="6" spans="2:24" s="499" customFormat="1">
      <c r="B6"/>
      <c r="C6"/>
      <c r="D6"/>
      <c r="E6"/>
      <c r="F6"/>
      <c r="G6"/>
      <c r="H6"/>
      <c r="I6"/>
      <c r="J6"/>
      <c r="K6"/>
      <c r="L6"/>
      <c r="M6" s="259"/>
      <c r="N6"/>
      <c r="O6"/>
      <c r="P6"/>
      <c r="Q6"/>
      <c r="R6"/>
      <c r="S6"/>
      <c r="T6"/>
      <c r="U6"/>
      <c r="V6"/>
    </row>
    <row r="7" spans="2:24" s="499" customFormat="1">
      <c r="B7"/>
      <c r="C7" s="581" t="str">
        <f>E3&amp;", "&amp;E4&amp;" (ID: "&amp;E1&amp;")"</f>
        <v>backup, backup (ID: 3)</v>
      </c>
      <c r="D7" s="500"/>
      <c r="E7" s="501"/>
      <c r="F7" s="501"/>
      <c r="G7" s="501"/>
      <c r="H7" s="501"/>
      <c r="I7" s="501"/>
      <c r="J7" s="501"/>
      <c r="K7" s="501"/>
      <c r="L7" s="501"/>
      <c r="M7" s="501"/>
      <c r="N7" s="501"/>
      <c r="O7" s="501"/>
      <c r="P7" s="501"/>
      <c r="Q7" s="501"/>
      <c r="R7" s="501"/>
      <c r="S7" s="501"/>
      <c r="T7" s="501"/>
      <c r="U7" s="501"/>
      <c r="V7" s="501"/>
      <c r="W7" s="501"/>
      <c r="X7" s="502"/>
    </row>
    <row r="8" spans="2:24" s="499" customFormat="1">
      <c r="B8"/>
      <c r="C8" s="77"/>
      <c r="D8"/>
      <c r="E8"/>
      <c r="F8"/>
      <c r="G8"/>
      <c r="H8"/>
      <c r="I8"/>
      <c r="J8"/>
      <c r="K8"/>
      <c r="L8"/>
      <c r="M8"/>
      <c r="N8"/>
      <c r="O8"/>
      <c r="P8"/>
      <c r="Q8"/>
      <c r="R8"/>
      <c r="U8"/>
      <c r="V8"/>
      <c r="W8"/>
      <c r="X8" s="151"/>
    </row>
    <row r="9" spans="2:24" s="499" customFormat="1">
      <c r="B9"/>
      <c r="C9" s="582" t="s">
        <v>1004</v>
      </c>
      <c r="D9" s="503"/>
      <c r="E9" s="504"/>
      <c r="F9" s="505"/>
      <c r="L9" s="582" t="s">
        <v>1005</v>
      </c>
      <c r="M9" s="504"/>
      <c r="N9" s="504"/>
      <c r="O9" s="505"/>
      <c r="U9" s="582" t="s">
        <v>1006</v>
      </c>
      <c r="V9" s="504"/>
      <c r="W9" s="504"/>
      <c r="X9" s="505"/>
    </row>
    <row r="10" spans="2:24" s="499" customFormat="1" ht="17.25">
      <c r="B10"/>
      <c r="C10" s="506" t="s">
        <v>888</v>
      </c>
      <c r="D10" s="507"/>
      <c r="E10" s="508">
        <f>E1</f>
        <v>3</v>
      </c>
      <c r="F10" s="509"/>
      <c r="G10" s="510" t="s">
        <v>1007</v>
      </c>
      <c r="H10" s="510"/>
      <c r="I10" s="510"/>
      <c r="L10" s="511"/>
      <c r="M10" s="512"/>
      <c r="N10" s="512"/>
      <c r="O10" s="758" t="s">
        <v>1008</v>
      </c>
      <c r="P10" s="510"/>
      <c r="Q10" s="510"/>
      <c r="R10" s="510"/>
      <c r="U10" s="511"/>
      <c r="V10" s="512"/>
      <c r="W10" s="512"/>
      <c r="X10" s="759" t="s">
        <v>1009</v>
      </c>
    </row>
    <row r="11" spans="2:24" s="499" customFormat="1">
      <c r="B11"/>
      <c r="C11" s="506" t="s">
        <v>1479</v>
      </c>
      <c r="D11" s="507"/>
      <c r="E11" s="1507">
        <f>INDEX(AA!$AM$13:$AM$15,MATCH($E$1,AA!$C$13:$C$15,0))</f>
        <v>0</v>
      </c>
      <c r="F11" s="509"/>
      <c r="G11" s="510" t="s">
        <v>1007</v>
      </c>
      <c r="H11" s="510"/>
      <c r="I11" s="510"/>
      <c r="L11" s="506" t="s">
        <v>412</v>
      </c>
      <c r="O11" s="451">
        <f>INDEX(AA!$AP$13:$AP$15,MATCH($E$1,AA!$C$13:$C$15,0))</f>
        <v>1000</v>
      </c>
      <c r="P11" s="510"/>
      <c r="Q11" s="510"/>
      <c r="R11" s="510"/>
      <c r="U11" s="517" t="s">
        <v>1085</v>
      </c>
      <c r="X11" s="513">
        <f>INDEX(AO!$CO$18:$CO$20,MATCH($E$1,AO!$C$18:$C$20,0))</f>
        <v>102266.91718749992</v>
      </c>
    </row>
    <row r="12" spans="2:24" s="499" customFormat="1">
      <c r="B12"/>
      <c r="C12" s="506" t="s">
        <v>6</v>
      </c>
      <c r="D12" s="507"/>
      <c r="E12" s="508" t="str">
        <f>INDEX(AA!$AC$13:$AC$15,MATCH($E$1,AA!$C$13:$C$15,0))</f>
        <v>backup</v>
      </c>
      <c r="F12" s="509"/>
      <c r="G12" s="510" t="s">
        <v>1007</v>
      </c>
      <c r="H12" s="510"/>
      <c r="I12" s="510"/>
      <c r="L12" s="514" t="s">
        <v>302</v>
      </c>
      <c r="M12" s="515"/>
      <c r="N12" s="515"/>
      <c r="O12" s="516">
        <f>1-INDEX(AA!$AR$13:$AR$15,MATCH($E$1,AA!$C$13:$C$15,0))</f>
        <v>1</v>
      </c>
      <c r="P12" s="510"/>
      <c r="Q12" s="510"/>
      <c r="R12" s="510"/>
      <c r="U12" s="506" t="s">
        <v>897</v>
      </c>
      <c r="X12" s="513">
        <f>INDEX(AO!$CE$18:$CE$20,MATCH($E$1,AO!$C$18:$C$20,0))</f>
        <v>102266.91718749992</v>
      </c>
    </row>
    <row r="13" spans="2:24" s="499" customFormat="1">
      <c r="B13"/>
      <c r="C13" s="506" t="s">
        <v>1010</v>
      </c>
      <c r="D13" s="507"/>
      <c r="E13" s="508">
        <f>INDEX(AA!$AD$13:$AD$15,MATCH($E$1,AA!$C$13:$C$15,0))</f>
        <v>12345</v>
      </c>
      <c r="F13" s="509"/>
      <c r="G13" s="510" t="s">
        <v>1007</v>
      </c>
      <c r="H13" s="510"/>
      <c r="I13" s="510"/>
      <c r="L13" s="506"/>
      <c r="M13" s="507"/>
      <c r="N13" s="507"/>
      <c r="O13" s="518"/>
      <c r="P13" s="510"/>
      <c r="Q13" s="510"/>
      <c r="R13" s="510"/>
      <c r="U13" s="517" t="s">
        <v>424</v>
      </c>
      <c r="X13" s="513">
        <f>INDEX(AO!$CH$18:$CH$20,MATCH($E$1,AO!$C$18:$C$20,0))</f>
        <v>0</v>
      </c>
    </row>
    <row r="14" spans="2:24" s="499" customFormat="1">
      <c r="B14"/>
      <c r="C14" s="506" t="s">
        <v>1011</v>
      </c>
      <c r="D14" s="507"/>
      <c r="E14" s="508" t="str">
        <f>INDEX(AA!$AE$13:$AE$15,MATCH($E$1,AA!$C$13:$C$15,0))</f>
        <v>backup</v>
      </c>
      <c r="F14" s="509"/>
      <c r="G14" s="510" t="s">
        <v>1007</v>
      </c>
      <c r="H14" s="510"/>
      <c r="I14" s="510"/>
      <c r="L14" s="506" t="s">
        <v>897</v>
      </c>
      <c r="O14" s="519">
        <f>SUMIFS(TA!$AJ:$AJ,TA!$C:$C,$E$1)</f>
        <v>100000</v>
      </c>
      <c r="P14" s="510"/>
      <c r="Q14" s="510"/>
      <c r="R14" s="510"/>
      <c r="U14" s="517" t="s">
        <v>1075</v>
      </c>
      <c r="X14" s="513">
        <f>INDEX(AO!$CD$18:$CD$20,MATCH($E$1,AO!$C$18:$C$20,0))</f>
        <v>0</v>
      </c>
    </row>
    <row r="15" spans="2:24" s="499" customFormat="1">
      <c r="B15"/>
      <c r="C15" s="506" t="s">
        <v>113</v>
      </c>
      <c r="D15" s="507"/>
      <c r="E15" s="508" t="str">
        <f>INDEX(AA!$AG$13:$AG$15,MATCH($E$1,AA!$C$13:$C$15,0))</f>
        <v>Baden-Wuerttemberg</v>
      </c>
      <c r="F15" s="509"/>
      <c r="G15" s="510" t="s">
        <v>1007</v>
      </c>
      <c r="H15" s="510"/>
      <c r="I15" s="510"/>
      <c r="L15" s="517" t="s">
        <v>898</v>
      </c>
      <c r="O15" s="519">
        <f>-INDEX(AA!$EV$13:$EV$15,MATCH($E$1,AA!$C$13:$C$15,0))</f>
        <v>0</v>
      </c>
      <c r="P15" s="510"/>
      <c r="Q15" s="510"/>
      <c r="R15" s="510"/>
      <c r="U15" s="506" t="s">
        <v>1076</v>
      </c>
      <c r="V15" s="507"/>
      <c r="W15" s="507"/>
      <c r="X15" s="1224">
        <f>X12+X13+X14+INDEX(AO!$CF$18:$CF$20,MATCH($E$1,AO!$C$18:$C$20,0))</f>
        <v>102266.91718749992</v>
      </c>
    </row>
    <row r="16" spans="2:24" s="499" customFormat="1">
      <c r="B16"/>
      <c r="C16" s="517"/>
      <c r="F16" s="518"/>
      <c r="G16" s="510" t="s">
        <v>1007</v>
      </c>
      <c r="H16" s="510"/>
      <c r="I16" s="510"/>
      <c r="L16" s="517" t="s">
        <v>1073</v>
      </c>
      <c r="O16" s="519">
        <f>SUM(O14:O15)</f>
        <v>100000</v>
      </c>
      <c r="P16" s="510"/>
      <c r="Q16" s="510"/>
      <c r="R16" s="510"/>
      <c r="U16" s="517" t="s">
        <v>435</v>
      </c>
      <c r="X16" s="513">
        <f>INDEX(AO!$CN$18:$CN$20,MATCH($E$1,AO!$C$18:$C$20,0))</f>
        <v>93692.050697656159</v>
      </c>
    </row>
    <row r="17" spans="2:26" s="499" customFormat="1">
      <c r="B17"/>
      <c r="C17" s="506" t="s">
        <v>1104</v>
      </c>
      <c r="D17" s="507"/>
      <c r="E17" s="733">
        <f>INDEX(AA!$AW$13:$AW$15,MATCH($E$1,AA!$C$13:$C$15,0))</f>
        <v>0</v>
      </c>
      <c r="F17" s="518"/>
      <c r="G17" s="510" t="s">
        <v>1007</v>
      </c>
      <c r="H17" s="510"/>
      <c r="I17" s="510"/>
      <c r="L17" s="506" t="s">
        <v>435</v>
      </c>
      <c r="O17" s="519">
        <f>INDEX(AO!$AI$18:$AI$20,MATCH($E$1,AO!$C$18:$C$20,0))</f>
        <v>91700</v>
      </c>
      <c r="P17" s="510"/>
      <c r="Q17" s="510"/>
      <c r="R17" s="510"/>
      <c r="U17" s="517" t="s">
        <v>522</v>
      </c>
      <c r="X17" s="513">
        <f>INDEX(PCF!$BK$161:$BK$163,MATCH($E$1,PCF!$C$161:$C$163,0))*4</f>
        <v>70457.798004479264</v>
      </c>
    </row>
    <row r="18" spans="2:26" s="499" customFormat="1">
      <c r="B18"/>
      <c r="C18" s="506" t="s">
        <v>1013</v>
      </c>
      <c r="D18" s="507"/>
      <c r="E18" s="734">
        <f>INDEX(AA!$AX$13:$AX$15,MATCH($E$1,AA!$C$13:$C$15,0))</f>
        <v>0</v>
      </c>
      <c r="F18" s="518"/>
      <c r="G18" s="510" t="s">
        <v>1007</v>
      </c>
      <c r="H18" s="510"/>
      <c r="I18" s="510"/>
      <c r="L18" s="514" t="s">
        <v>1015</v>
      </c>
      <c r="M18" s="522"/>
      <c r="N18" s="522"/>
      <c r="O18" s="523">
        <f>IFERROR(-(O17/O14-1),0)</f>
        <v>8.2999999999999963E-2</v>
      </c>
      <c r="P18" s="510"/>
      <c r="Q18" s="510"/>
      <c r="R18" s="510"/>
      <c r="U18" s="517"/>
      <c r="X18" s="509"/>
    </row>
    <row r="19" spans="2:26" s="499" customFormat="1">
      <c r="B19"/>
      <c r="C19" s="506" t="s">
        <v>1014</v>
      </c>
      <c r="D19" s="507"/>
      <c r="E19" s="734">
        <f>INDEX(AA!$AY$13:$AY$15,MATCH($E$1,AA!$C$13:$C$15,0))</f>
        <v>0</v>
      </c>
      <c r="F19" s="518"/>
      <c r="G19" s="510"/>
      <c r="H19" s="510"/>
      <c r="I19" s="510"/>
      <c r="L19" s="517" t="s">
        <v>522</v>
      </c>
      <c r="O19" s="519">
        <f>INDEX(AO!$AM$18:$AM$20,MATCH($E$1,AO!$C$18:$C$20,0))</f>
        <v>91700</v>
      </c>
      <c r="P19" s="510"/>
      <c r="Q19" s="510"/>
      <c r="R19" s="510"/>
      <c r="U19" s="514" t="s">
        <v>958</v>
      </c>
      <c r="V19" s="515"/>
      <c r="W19" s="515"/>
      <c r="X19" s="520">
        <f>INDEX(AO!$CC$18:$CC$20,MATCH($E$1,AO!$C$18:$C$20,0))</f>
        <v>1</v>
      </c>
    </row>
    <row r="20" spans="2:26" s="499" customFormat="1">
      <c r="B20"/>
      <c r="C20" s="506" t="s">
        <v>1072</v>
      </c>
      <c r="D20" s="507"/>
      <c r="E20" s="760">
        <f>INDEX(AA!$AZ$13:$AZ$15,MATCH($E$1,AA!$C$13:$C$15,0))</f>
        <v>0</v>
      </c>
      <c r="F20" s="518"/>
      <c r="G20" s="510"/>
      <c r="H20" s="510"/>
      <c r="I20" s="510"/>
      <c r="L20" s="514"/>
      <c r="M20" s="522"/>
      <c r="N20" s="522"/>
      <c r="O20" s="523"/>
      <c r="P20" s="510"/>
      <c r="Q20" s="510"/>
      <c r="R20" s="510"/>
      <c r="U20" s="514" t="s">
        <v>911</v>
      </c>
      <c r="V20" s="515"/>
      <c r="W20" s="515"/>
      <c r="X20" s="521">
        <f>INDEX(AO!$CT$18:$CT$20,MATCH($E$1,AO!$C$18:$C$20,0))</f>
        <v>14.846575342465753</v>
      </c>
      <c r="Z20" s="1223"/>
    </row>
    <row r="21" spans="2:26" s="499" customFormat="1">
      <c r="B21"/>
      <c r="C21" s="506"/>
      <c r="F21" s="518"/>
      <c r="G21" s="510"/>
      <c r="H21" s="510"/>
      <c r="I21" s="510"/>
      <c r="L21" s="514" t="s">
        <v>908</v>
      </c>
      <c r="M21" s="515"/>
      <c r="N21" s="515"/>
      <c r="O21" s="527">
        <f>INDEX(AO!$AP$18:$AP$20,MATCH($E$1,AO!$C$18:$C$20,0))</f>
        <v>17.846575342465755</v>
      </c>
      <c r="P21" s="510"/>
      <c r="Q21" s="510"/>
      <c r="R21" s="510"/>
      <c r="U21" s="517" t="s">
        <v>528</v>
      </c>
      <c r="V21" s="507"/>
      <c r="W21" s="507"/>
      <c r="X21" s="513">
        <f>INDEX(AA!$GA$13:$GA$15,MATCH($E$1,AA!$C$13:$C$15,0))</f>
        <v>1227203.0062499989</v>
      </c>
    </row>
    <row r="22" spans="2:26" s="499" customFormat="1">
      <c r="B22"/>
      <c r="C22" s="506" t="s">
        <v>1017</v>
      </c>
      <c r="D22" s="507"/>
      <c r="E22" s="1240" t="str">
        <f>INDEX(AA!$AI$13:$AI$15,MATCH($E$1,AA!$C$13:$C$15,0))</f>
        <v>Cash &amp; Carry</v>
      </c>
      <c r="F22" s="518"/>
      <c r="G22" s="510" t="s">
        <v>1007</v>
      </c>
      <c r="H22" s="510"/>
      <c r="I22" s="510"/>
      <c r="L22" s="506"/>
      <c r="M22" s="507"/>
      <c r="N22" s="507"/>
      <c r="O22" s="518"/>
      <c r="P22" s="510"/>
      <c r="Q22" s="510"/>
      <c r="R22" s="510"/>
      <c r="U22" s="517" t="s">
        <v>1016</v>
      </c>
      <c r="V22" s="507"/>
      <c r="W22" s="507"/>
      <c r="X22" s="738">
        <f>IFERROR(X21/(O11+SUMIFS(TA!$BN$15:$BN$17,TA!$C$15:$C$17,$E$1)),0)</f>
        <v>1227.2030062499989</v>
      </c>
    </row>
    <row r="23" spans="2:26" s="499" customFormat="1">
      <c r="B23"/>
      <c r="C23" s="506" t="s">
        <v>116</v>
      </c>
      <c r="D23" s="507"/>
      <c r="E23" s="1502">
        <f>INDEX(AA!$AK$13:$AK$15,MATCH($E$1,AA!$C$13:$C$15,0))</f>
        <v>0</v>
      </c>
      <c r="F23" s="518"/>
      <c r="G23" s="510"/>
      <c r="H23" s="510"/>
      <c r="I23" s="510"/>
      <c r="L23" s="517" t="s">
        <v>1019</v>
      </c>
      <c r="M23" s="507"/>
      <c r="N23" s="507"/>
      <c r="O23" s="519">
        <f>INDEX(AO!$AT$18:$AT$20,MATCH($E$1,AO!$C$18:$C$20,0))</f>
        <v>1635244.5571984914</v>
      </c>
      <c r="P23" s="510"/>
      <c r="Q23" s="510"/>
      <c r="R23" s="510"/>
      <c r="U23" s="524"/>
      <c r="V23" s="515"/>
      <c r="W23" s="515"/>
      <c r="X23" s="525"/>
    </row>
    <row r="24" spans="2:26" s="499" customFormat="1">
      <c r="B24"/>
      <c r="C24" s="506" t="s">
        <v>117</v>
      </c>
      <c r="D24" s="507"/>
      <c r="E24" s="528" t="str">
        <f>INDEX(AA!$AL$13:$AL$15,MATCH($E$1,AA!$C$13:$C$15,0))</f>
        <v>LTS</v>
      </c>
      <c r="F24" s="518"/>
      <c r="G24" s="510"/>
      <c r="H24" s="510"/>
      <c r="I24" s="510"/>
      <c r="L24" s="517" t="s">
        <v>1016</v>
      </c>
      <c r="M24" s="507"/>
      <c r="N24" s="507"/>
      <c r="O24" s="529">
        <f>IFERROR(O23/$E$51,0)</f>
        <v>1635.2445571984915</v>
      </c>
      <c r="P24" s="510"/>
      <c r="Q24" s="510"/>
      <c r="R24" s="510"/>
      <c r="U24" s="524" t="s">
        <v>1074</v>
      </c>
      <c r="V24" s="515"/>
      <c r="W24" s="515"/>
      <c r="X24" s="735">
        <f>IFERROR(X21/X15,0)</f>
        <v>12</v>
      </c>
    </row>
    <row r="25" spans="2:26" s="499" customFormat="1">
      <c r="B25"/>
      <c r="C25" s="506" t="s">
        <v>266</v>
      </c>
      <c r="D25" s="507"/>
      <c r="E25" s="1240">
        <f>INDEX(AA!$ES$13:$ES$15,MATCH($E$1,AA!$C$13:$C$15,0))</f>
        <v>0</v>
      </c>
      <c r="F25" s="509"/>
      <c r="G25" s="510"/>
      <c r="H25" s="510"/>
      <c r="I25" s="510"/>
      <c r="L25" s="517"/>
      <c r="O25" s="509"/>
      <c r="P25" s="510"/>
      <c r="Q25" s="510"/>
      <c r="R25" s="510"/>
      <c r="U25" s="524" t="s">
        <v>1018</v>
      </c>
      <c r="V25" s="507"/>
      <c r="W25" s="507"/>
      <c r="X25" s="525">
        <f>IFERROR(X16/X21,0)</f>
        <v>7.6346008134345902E-2</v>
      </c>
    </row>
    <row r="26" spans="2:26" s="499" customFormat="1">
      <c r="B26"/>
      <c r="C26" s="517" t="s">
        <v>1332</v>
      </c>
      <c r="E26" s="1588">
        <f>IFERROR(E25/O16,0)</f>
        <v>0</v>
      </c>
      <c r="F26" s="518"/>
      <c r="G26" s="510" t="s">
        <v>1007</v>
      </c>
      <c r="H26" s="510"/>
      <c r="I26" s="510"/>
      <c r="L26" s="524" t="s">
        <v>476</v>
      </c>
      <c r="M26" s="507"/>
      <c r="N26" s="507"/>
      <c r="O26" s="530">
        <f>IFERROR(O23/O16,0)</f>
        <v>16.352445571984916</v>
      </c>
      <c r="P26" s="510"/>
      <c r="Q26" s="510"/>
      <c r="R26" s="510"/>
      <c r="U26" s="524" t="s">
        <v>1045</v>
      </c>
      <c r="X26" s="735">
        <f>IFERROR(X21/X17,0)</f>
        <v>17.417561164372199</v>
      </c>
    </row>
    <row r="27" spans="2:26" s="499" customFormat="1">
      <c r="B27"/>
      <c r="C27" s="517"/>
      <c r="F27" s="509"/>
      <c r="G27" s="510" t="s">
        <v>1007</v>
      </c>
      <c r="H27" s="510"/>
      <c r="I27" s="510"/>
      <c r="L27" s="524" t="s">
        <v>1018</v>
      </c>
      <c r="M27" s="507"/>
      <c r="N27" s="507"/>
      <c r="O27" s="531">
        <f>IFERROR(O17/O23,0)</f>
        <v>5.6077239087161904E-2</v>
      </c>
      <c r="P27" s="510"/>
      <c r="Q27" s="510"/>
      <c r="R27" s="510"/>
      <c r="U27" s="506" t="s">
        <v>1020</v>
      </c>
      <c r="V27" s="507"/>
      <c r="W27" s="507"/>
      <c r="X27" s="513">
        <f>INDEX(AO!$DA$18:$DA$20,MATCH($E$1,AO!$C$18:$C$20,0))</f>
        <v>0</v>
      </c>
    </row>
    <row r="28" spans="2:26" s="499" customFormat="1">
      <c r="B28"/>
      <c r="C28" s="506" t="s">
        <v>1021</v>
      </c>
      <c r="D28" s="507"/>
      <c r="E28" s="526">
        <f>INDEX(AA!$ED$13:$ED$15,MATCH($E$1,AA!$C$13:$C$15,0))</f>
        <v>1</v>
      </c>
      <c r="F28" s="518"/>
      <c r="G28" s="510" t="s">
        <v>1007</v>
      </c>
      <c r="H28" s="510"/>
      <c r="I28" s="510"/>
      <c r="L28" s="524" t="s">
        <v>1045</v>
      </c>
      <c r="O28" s="530">
        <f>IFERROR(O23/O19,0)</f>
        <v>17.83254697053971</v>
      </c>
      <c r="P28" s="510"/>
      <c r="Q28" s="510"/>
      <c r="R28" s="510"/>
      <c r="U28" s="517" t="s">
        <v>1069</v>
      </c>
      <c r="X28" s="519">
        <f>INDEX(AO!$CZ$18:$CZ$20,MATCH($E$1,AO!$C$18:$C$20,0))</f>
        <v>0</v>
      </c>
    </row>
    <row r="29" spans="2:26" s="499" customFormat="1">
      <c r="B29"/>
      <c r="C29" s="506" t="s">
        <v>1022</v>
      </c>
      <c r="D29" s="507"/>
      <c r="E29" s="526">
        <f>INDEX(AA!$EE$13:$EE$15,MATCH($E$1,AA!$C$13:$C$15,0))</f>
        <v>1</v>
      </c>
      <c r="F29" s="509"/>
      <c r="G29" s="510" t="s">
        <v>1007</v>
      </c>
      <c r="H29" s="510"/>
      <c r="I29" s="510"/>
      <c r="L29" s="532" t="s">
        <v>1023</v>
      </c>
      <c r="M29" s="533"/>
      <c r="N29" s="533"/>
      <c r="O29" s="915">
        <f>INDEX(AO!$AZ$18:$AZ$20,MATCH($E$1,AO!$C$18:$C$20,0))</f>
        <v>1849150.8977256261</v>
      </c>
      <c r="P29" s="510"/>
      <c r="Q29" s="510"/>
      <c r="R29" s="510"/>
      <c r="U29" s="506" t="s">
        <v>1070</v>
      </c>
      <c r="V29" s="507"/>
      <c r="W29" s="507"/>
      <c r="X29" s="513">
        <f>INDEX(AO!$DC$18:$DC$20,MATCH($E$1,AO!$C$18:$C$20,0))-X27</f>
        <v>0</v>
      </c>
    </row>
    <row r="30" spans="2:26" s="499" customFormat="1">
      <c r="B30"/>
      <c r="C30" s="537" t="s">
        <v>186</v>
      </c>
      <c r="D30" s="535"/>
      <c r="E30" s="538">
        <f>INDEX(AA!$EF$13:$EF$15,MATCH($E$1,AA!$C$13:$C$15,0))</f>
        <v>1</v>
      </c>
      <c r="F30" s="539"/>
      <c r="G30" s="510" t="s">
        <v>1007</v>
      </c>
      <c r="H30" s="510"/>
      <c r="I30" s="510"/>
      <c r="P30" s="510"/>
      <c r="Q30" s="510"/>
      <c r="R30" s="510"/>
      <c r="U30" s="506"/>
      <c r="V30" s="507"/>
      <c r="W30" s="507"/>
      <c r="X30" s="518"/>
    </row>
    <row r="31" spans="2:26" s="499" customFormat="1">
      <c r="B31"/>
      <c r="C31" s="517"/>
      <c r="F31" s="507"/>
      <c r="G31" s="510" t="s">
        <v>1007</v>
      </c>
      <c r="H31" s="510"/>
      <c r="I31" s="510"/>
      <c r="N31" s="510"/>
      <c r="O31" s="510"/>
      <c r="P31" s="510"/>
      <c r="Q31" s="510"/>
      <c r="R31" s="510"/>
      <c r="U31" s="534" t="s">
        <v>151</v>
      </c>
      <c r="V31" s="535"/>
      <c r="W31" s="535"/>
      <c r="X31" s="536">
        <f>INDEX(AA!$AA$13:$AA$15,MATCH($E$1,AA!$C$13:$C$15,0))</f>
        <v>12</v>
      </c>
    </row>
    <row r="32" spans="2:26" s="499" customFormat="1">
      <c r="B32"/>
      <c r="C32" s="872" t="s">
        <v>563</v>
      </c>
      <c r="D32" s="873"/>
      <c r="E32" s="873"/>
      <c r="F32" s="873"/>
      <c r="G32" s="873"/>
      <c r="H32" s="873"/>
      <c r="I32" s="873"/>
      <c r="J32" s="873"/>
      <c r="K32" s="873"/>
      <c r="L32" s="873"/>
      <c r="M32" s="873"/>
      <c r="N32" s="503"/>
      <c r="O32" s="874"/>
      <c r="U32" s="1180" t="str">
        <f>"* WALT (excluding leases with unlimited terms) as of "&amp;TEXT(GA!G56,"DD-MMM-YY")&amp;"."</f>
        <v>* WALT (excluding leases with unlimited terms) as of DD-Mrz-YY.</v>
      </c>
      <c r="V32" s="507"/>
      <c r="W32" s="507"/>
      <c r="X32" s="540"/>
    </row>
    <row r="33" spans="2:24" s="499" customFormat="1" ht="15" customHeight="1">
      <c r="B33"/>
      <c r="C33" s="1714">
        <f>INDEX(AA!$FX$13:$FX$15,MATCH($E$1,AA!$C$13:$C$15,0))</f>
        <v>0</v>
      </c>
      <c r="D33" s="1715"/>
      <c r="E33" s="1715"/>
      <c r="F33" s="1715"/>
      <c r="G33" s="1715"/>
      <c r="H33" s="1715"/>
      <c r="I33" s="1715"/>
      <c r="J33" s="1715"/>
      <c r="K33" s="1715"/>
      <c r="L33" s="1715"/>
      <c r="M33" s="1715"/>
      <c r="N33" s="1715"/>
      <c r="O33" s="1716"/>
      <c r="U33" s="1181" t="str">
        <f>"** TIs exlcuding soft costs of "&amp;TEXT(GA!G148,"0.0%")&amp;"."</f>
        <v>** TIs exlcuding soft costs of 0.0%.</v>
      </c>
      <c r="X33" s="509"/>
    </row>
    <row r="34" spans="2:24" s="499" customFormat="1">
      <c r="B34"/>
      <c r="C34" s="1717"/>
      <c r="D34" s="1718"/>
      <c r="E34" s="1718"/>
      <c r="F34" s="1718"/>
      <c r="G34" s="1718"/>
      <c r="H34" s="1718"/>
      <c r="I34" s="1718"/>
      <c r="J34" s="1718"/>
      <c r="K34" s="1718"/>
      <c r="L34" s="1718"/>
      <c r="M34" s="1718"/>
      <c r="N34" s="1718"/>
      <c r="O34" s="1719"/>
      <c r="X34" s="509"/>
    </row>
    <row r="35" spans="2:24" s="499" customFormat="1">
      <c r="B35"/>
      <c r="C35" s="1717"/>
      <c r="D35" s="1718"/>
      <c r="E35" s="1718"/>
      <c r="F35" s="1718"/>
      <c r="G35" s="1718"/>
      <c r="H35" s="1718"/>
      <c r="I35" s="1718"/>
      <c r="J35" s="1718"/>
      <c r="K35" s="1718"/>
      <c r="L35" s="1718"/>
      <c r="M35" s="1718"/>
      <c r="N35" s="1718"/>
      <c r="O35" s="1719"/>
      <c r="X35" s="509"/>
    </row>
    <row r="36" spans="2:24" s="499" customFormat="1">
      <c r="B36"/>
      <c r="C36" s="1720"/>
      <c r="D36" s="1721"/>
      <c r="E36" s="1721"/>
      <c r="F36" s="1721"/>
      <c r="G36" s="1721"/>
      <c r="H36" s="1721"/>
      <c r="I36" s="1721"/>
      <c r="J36" s="1721"/>
      <c r="K36" s="1721"/>
      <c r="L36" s="1721"/>
      <c r="M36" s="1721"/>
      <c r="N36" s="1721"/>
      <c r="O36" s="1722"/>
      <c r="X36" s="509"/>
    </row>
    <row r="37" spans="2:24" s="499" customFormat="1">
      <c r="B37"/>
      <c r="C37" s="542"/>
      <c r="D37" s="258"/>
      <c r="E37" s="543"/>
      <c r="F37" s="543"/>
      <c r="G37" s="507"/>
      <c r="H37" s="507"/>
      <c r="I37" s="507"/>
      <c r="J37" s="507"/>
      <c r="K37" s="507"/>
      <c r="L37" s="544"/>
      <c r="M37" s="497"/>
      <c r="N37" s="507"/>
      <c r="O37" s="507"/>
      <c r="P37" s="507"/>
      <c r="Q37" s="507"/>
      <c r="R37" s="507"/>
      <c r="V37" s="545"/>
      <c r="W37"/>
      <c r="X37" s="151"/>
    </row>
    <row r="38" spans="2:24" s="499" customFormat="1">
      <c r="B38"/>
      <c r="C38" s="582" t="s">
        <v>1024</v>
      </c>
      <c r="D38" s="546"/>
      <c r="E38" s="504"/>
      <c r="F38" s="504"/>
      <c r="G38" s="504"/>
      <c r="H38" s="504"/>
      <c r="I38" s="504"/>
      <c r="J38" s="504"/>
      <c r="K38" s="504"/>
      <c r="L38" s="504"/>
      <c r="M38" s="504"/>
      <c r="N38" s="504"/>
      <c r="O38" s="504"/>
      <c r="P38" s="504"/>
      <c r="Q38" s="504"/>
      <c r="R38" s="504"/>
      <c r="S38" s="504"/>
      <c r="T38" s="504"/>
      <c r="U38" s="504"/>
      <c r="V38" s="504"/>
      <c r="W38" s="504"/>
      <c r="X38" s="505"/>
    </row>
    <row r="39" spans="2:24" s="499" customFormat="1" ht="17.25">
      <c r="B39"/>
      <c r="C39" s="740"/>
      <c r="D39" s="741"/>
      <c r="E39" s="751" t="s">
        <v>303</v>
      </c>
      <c r="F39" s="751"/>
      <c r="G39" s="751"/>
      <c r="H39" s="754"/>
      <c r="I39" s="751" t="s">
        <v>1008</v>
      </c>
      <c r="J39" s="751"/>
      <c r="K39" s="751"/>
      <c r="L39" s="751" t="s">
        <v>1082</v>
      </c>
      <c r="M39" s="751"/>
      <c r="N39" s="751"/>
      <c r="O39" s="751" t="s">
        <v>1083</v>
      </c>
      <c r="P39" s="751"/>
      <c r="Q39" s="751"/>
      <c r="R39" s="751"/>
      <c r="V39" s="547"/>
      <c r="W39" s="547"/>
      <c r="X39" s="548"/>
    </row>
    <row r="40" spans="2:24" s="499" customFormat="1" ht="34.5">
      <c r="B40"/>
      <c r="C40" s="750" t="s">
        <v>1026</v>
      </c>
      <c r="D40" s="751"/>
      <c r="E40" s="752" t="s">
        <v>152</v>
      </c>
      <c r="F40" s="752" t="s">
        <v>52</v>
      </c>
      <c r="G40" s="752" t="s">
        <v>1027</v>
      </c>
      <c r="H40" s="753" t="s">
        <v>1028</v>
      </c>
      <c r="I40" s="752" t="s">
        <v>908</v>
      </c>
      <c r="J40" s="752" t="s">
        <v>1029</v>
      </c>
      <c r="K40" s="753" t="s">
        <v>1393</v>
      </c>
      <c r="L40" s="753" t="s">
        <v>1031</v>
      </c>
      <c r="M40" s="752" t="s">
        <v>1032</v>
      </c>
      <c r="N40" s="753" t="s">
        <v>1392</v>
      </c>
      <c r="O40" s="753" t="s">
        <v>1084</v>
      </c>
      <c r="P40" s="752" t="s">
        <v>412</v>
      </c>
      <c r="Q40" s="752" t="s">
        <v>1032</v>
      </c>
      <c r="R40" s="753" t="s">
        <v>1392</v>
      </c>
      <c r="V40" s="549"/>
      <c r="W40" s="549"/>
      <c r="X40" s="550"/>
    </row>
    <row r="41" spans="2:24" s="499" customFormat="1">
      <c r="B41"/>
      <c r="C41" s="551" t="str">
        <f>GA!E76</f>
        <v>FMCG-F</v>
      </c>
      <c r="D41" s="552"/>
      <c r="E41" s="553">
        <f>SUMIFS(TA!$V$15:$V$17,TA!$U$15:$U$17,$C41,TA!$C$15:$C$17,$E$1)</f>
        <v>1000</v>
      </c>
      <c r="F41" s="553">
        <f>SUMIFS(TA!$V$15:$V$17,TA!$U$15:$U$17,$C41,TA!$R$15:$R$17,"vacant",TA!$C$15:$C$17,$E$1)</f>
        <v>0</v>
      </c>
      <c r="G41" s="553">
        <f>SUMIFS(TA!$V$15:$V$17,TA!$U$15:$U$17,$C41,TA!$R$15:$R$17,"&lt;&gt;vacant",TA!$C$15:$C$17,$E$1)</f>
        <v>1000</v>
      </c>
      <c r="H41" s="554">
        <f t="shared" ref="H41:H51" si="0">IFERROR(F41/E41,0)</f>
        <v>0</v>
      </c>
      <c r="I41" s="555">
        <f>IFERROR(SUMIFS(TA!$GL$15:$GL$17,TA!$C$15:$C$17,$E$1,TA!$U$15:$U$17,$C41)/SUMIFS(TA!$AJ$15:$AJ$17,TA!$C$15:$C$17,$E$1,TA!$U$15:$U$17,$C41,TA!$GJ$15:$GJ$17,"&lt;&gt;0"),0)</f>
        <v>17.846575342465755</v>
      </c>
      <c r="J41" s="553">
        <f>SUMIFS(TA!$AG$15:$AG$17,TA!$U$15:$U$17,$C41,TA!$C$15:$C$17,$E$1)</f>
        <v>100000</v>
      </c>
      <c r="K41" s="583">
        <f t="shared" ref="K41:K46" si="1">IFERROR(J41/12/G41,0)</f>
        <v>8.3333333333333339</v>
      </c>
      <c r="L41" s="554">
        <f>IFERROR(1-(SUMPRODUCT((TA!$C$15:$C$17=POP!$E$1)*(TA!$U$15:$U$17=POP!$C41)*(TA!$BG$15:$BG$17&gt;0)*(TA!$T$15:$T$17&lt;&gt;"Lease-up")*(TA!$V$15:$V$17),TA!$F$15:$F$17,TA!$G$15:$G$17,TA!$EB$15:$EB$17)+SUMPRODUCT((TA!$C$15:$C$17=POP!$E$1)*(TA!$U$15:$U$17=POP!$C41)*(TA!$BG$15:$BG$17&gt;0)*(TA!$T$15:$T$17="Lease-up")*(TA!$V$15:$V$17),TA!$F$15:$F$17,TA!$G$15:$G$17,TA!$FL$15:$FL$17))/$E41,0)</f>
        <v>0</v>
      </c>
      <c r="M41" s="584">
        <f>SUMPRODUCT((TA!$C$15:$C$17=$E$1)*(TA!$U$15:$U$17=$C41)*(TA!$T$15:$T$17&lt;&gt;"Lease-up")*(TA!$BE$15:$BE$17),TA!$F$15:$F$17,TA!$G$15:$G$17,TA!$EB$15:$EB$17)+SUMPRODUCT((TA!$C$15:$C$17=$E$1)*(TA!$U$15:$U$17=$C41)*(TA!$T$15:$T$17="Lease-up")*(TA!$BE$15:$BE$17),TA!$F$15:$F$17,TA!$G$15:$G$17,TA!$FL$15:$FL$17)</f>
        <v>0</v>
      </c>
      <c r="N41" s="583">
        <f t="shared" ref="N41:N42" si="2">IFERROR(M41/12/E41,0)</f>
        <v>0</v>
      </c>
      <c r="O41" s="584">
        <f>SUMIFS(TA!$BN$15:$BN$17,TA!$C$15:$C$17,$E$1,TA!$U$15:$U$17,$C41)</f>
        <v>0</v>
      </c>
      <c r="P41" s="584">
        <f t="shared" ref="P41:P46" si="3">O41+E41</f>
        <v>1000</v>
      </c>
      <c r="Q41" s="584">
        <f>SUMIFS(TA!$BG$15:$BG$17,TA!$C$15:$C$17,$E$1,TA!$U$15:$U$17,$C41)+SUMIFS(TA!$BO$15:$BO$17,TA!$C$15:$C$17,$E$1,TA!$U$15:$U$17,$C41)</f>
        <v>100000</v>
      </c>
      <c r="R41" s="861">
        <f t="shared" ref="R41:R46" si="4">IFERROR(Q41/12/P41,0)</f>
        <v>8.3333333333333339</v>
      </c>
      <c r="V41" s="549"/>
      <c r="W41" s="549"/>
      <c r="X41" s="550"/>
    </row>
    <row r="42" spans="2:24" s="499" customFormat="1">
      <c r="B42"/>
      <c r="C42" s="551" t="str">
        <f>GA!E77</f>
        <v>FMCG-N</v>
      </c>
      <c r="D42" s="552"/>
      <c r="E42" s="553">
        <f>SUMIFS(TA!$V$15:$V$17,TA!$U$15:$U$17,$C42,TA!$C$15:$C$17,$E$1)</f>
        <v>0</v>
      </c>
      <c r="F42" s="553">
        <f>SUMIFS(TA!$V$15:$V$17,TA!$U$15:$U$17,$C42,TA!$R$15:$R$17,"vacant",TA!$C$15:$C$17,$E$1)</f>
        <v>0</v>
      </c>
      <c r="G42" s="553">
        <f>SUMIFS(TA!$V$15:$V$17,TA!$U$15:$U$17,$C42,TA!$R$15:$R$17,"&lt;&gt;vacant",TA!$C$15:$C$17,$E$1)</f>
        <v>0</v>
      </c>
      <c r="H42" s="554">
        <f t="shared" si="0"/>
        <v>0</v>
      </c>
      <c r="I42" s="555">
        <f>IFERROR(SUMIFS(TA!$GL$15:$GL$17,TA!$C$15:$C$17,$E$1,TA!$U$15:$U$17,$C42)/SUMIFS(TA!$AJ$15:$AJ$17,TA!$C$15:$C$17,$E$1,TA!$U$15:$U$17,$C42,TA!$GJ$15:$GJ$17,"&lt;&gt;0"),0)</f>
        <v>0</v>
      </c>
      <c r="J42" s="553">
        <f>SUMIFS(TA!$AG$15:$AG$17,TA!$U$15:$U$17,$C42,TA!$C$15:$C$17,$E$1)</f>
        <v>0</v>
      </c>
      <c r="K42" s="583">
        <f t="shared" si="1"/>
        <v>0</v>
      </c>
      <c r="L42" s="554">
        <f>IFERROR(1-(SUMPRODUCT((TA!$C$15:$C$17=POP!$E$1)*(TA!$U$15:$U$17=POP!$C42)*(TA!$BG$15:$BG$17&gt;0)*(TA!$T$15:$T$17&lt;&gt;"Lease-up")*(TA!$V$15:$V$17),TA!$F$15:$F$17,TA!$G$15:$G$17,TA!$EB$15:$EB$17)+SUMPRODUCT((TA!$C$15:$C$17=POP!$E$1)*(TA!$U$15:$U$17=POP!$C42)*(TA!$BG$15:$BG$17&gt;0)*(TA!$T$15:$T$17="Lease-up")*(TA!$V$15:$V$17),TA!$F$15:$F$17,TA!$G$15:$G$17,TA!$FL$15:$FL$17))/$E42,0)</f>
        <v>0</v>
      </c>
      <c r="M42" s="584">
        <f>SUMPRODUCT((TA!$C$15:$C$17=$E$1)*(TA!$U$15:$U$17=$C42)*(TA!$T$15:$T$17&lt;&gt;"Lease-up")*(TA!$BE$15:$BE$17),TA!$F$15:$F$17,TA!$G$15:$G$17,TA!$EB$15:$EB$17)+SUMPRODUCT((TA!$C$15:$C$17=$E$1)*(TA!$U$15:$U$17=$C42)*(TA!$T$15:$T$17="Lease-up")*(TA!$BE$15:$BE$17),TA!$F$15:$F$17,TA!$G$15:$G$17,TA!$FL$15:$FL$17)</f>
        <v>0</v>
      </c>
      <c r="N42" s="583">
        <f t="shared" si="2"/>
        <v>0</v>
      </c>
      <c r="O42" s="584">
        <f>SUMIFS(TA!$BN$15:$BN$17,TA!$C$15:$C$17,$E$1,TA!$U$15:$U$17,$C42)</f>
        <v>0</v>
      </c>
      <c r="P42" s="584">
        <f t="shared" si="3"/>
        <v>0</v>
      </c>
      <c r="Q42" s="584">
        <f>SUMIFS(TA!$BG$15:$BG$17,TA!$C$15:$C$17,$E$1,TA!$U$15:$U$17,$C42)+SUMIFS(TA!$BO$15:$BO$17,TA!$C$15:$C$17,$E$1,TA!$U$15:$U$17,$C42)</f>
        <v>0</v>
      </c>
      <c r="R42" s="861">
        <f t="shared" si="4"/>
        <v>0</v>
      </c>
      <c r="V42" s="549"/>
      <c r="W42" s="549"/>
      <c r="X42" s="550"/>
    </row>
    <row r="43" spans="2:24" s="499" customFormat="1" outlineLevel="1">
      <c r="B43"/>
      <c r="C43" s="551" t="str">
        <f>GA!E78</f>
        <v>Non-food retail</v>
      </c>
      <c r="D43" s="552"/>
      <c r="E43" s="553">
        <f>SUMIFS(TA!$V$15:$V$17,TA!$U$15:$U$17,$C43,TA!$C$15:$C$17,$E$1)</f>
        <v>0</v>
      </c>
      <c r="F43" s="553">
        <f>SUMIFS(TA!$V$15:$V$17,TA!$U$15:$U$17,$C43,TA!$R$15:$R$17,"vacant",TA!$C$15:$C$17,$E$1)</f>
        <v>0</v>
      </c>
      <c r="G43" s="553">
        <f>SUMIFS(TA!$V$15:$V$17,TA!$U$15:$U$17,$C43,TA!$R$15:$R$17,"&lt;&gt;vacant",TA!$C$15:$C$17,$E$1)</f>
        <v>0</v>
      </c>
      <c r="H43" s="554">
        <f t="shared" si="0"/>
        <v>0</v>
      </c>
      <c r="I43" s="555">
        <f>IFERROR(SUMIFS(TA!$GL$15:$GL$17,TA!$C$15:$C$17,$E$1,TA!$U$15:$U$17,$C43)/SUMIFS(TA!$AJ$15:$AJ$17,TA!$C$15:$C$17,$E$1,TA!$U$15:$U$17,$C43,TA!$GJ$15:$GJ$17,"&lt;&gt;0"),0)</f>
        <v>0</v>
      </c>
      <c r="J43" s="553">
        <f>SUMIFS(TA!$AG$15:$AG$17,TA!$U$15:$U$17,$C43,TA!$C$15:$C$17,$E$1)</f>
        <v>0</v>
      </c>
      <c r="K43" s="583">
        <f t="shared" si="1"/>
        <v>0</v>
      </c>
      <c r="L43" s="554">
        <f>IFERROR(1-(SUMPRODUCT((TA!$C$15:$C$17=POP!$E$1)*(TA!$U$15:$U$17=POP!$C43)*(TA!$BG$15:$BG$17&gt;0)*(TA!$T$15:$T$17&lt;&gt;"Lease-up")*(TA!$V$15:$V$17),TA!$F$15:$F$17,TA!$G$15:$G$17,TA!$EB$15:$EB$17)+SUMPRODUCT((TA!$C$15:$C$17=POP!$E$1)*(TA!$U$15:$U$17=POP!$C43)*(TA!$BG$15:$BG$17&gt;0)*(TA!$T$15:$T$17="Lease-up")*(TA!$V$15:$V$17),TA!$F$15:$F$17,TA!$G$15:$G$17,TA!$FL$15:$FL$17))/$E43,0)</f>
        <v>0</v>
      </c>
      <c r="M43" s="584">
        <f>SUMPRODUCT((TA!$C$15:$C$17=$E$1)*(TA!$U$15:$U$17=$C43)*(TA!$T$15:$T$17&lt;&gt;"Lease-up")*(TA!$BE$15:$BE$17),TA!$F$15:$F$17,TA!$G$15:$G$17,TA!$EB$15:$EB$17)+SUMPRODUCT((TA!$C$15:$C$17=$E$1)*(TA!$U$15:$U$17=$C43)*(TA!$T$15:$T$17="Lease-up")*(TA!$BE$15:$BE$17),TA!$F$15:$F$17,TA!$G$15:$G$17,TA!$FL$15:$FL$17)</f>
        <v>0</v>
      </c>
      <c r="N43" s="583">
        <f>IFERROR(M43/12/E43,0)</f>
        <v>0</v>
      </c>
      <c r="O43" s="584">
        <f>SUMIFS(TA!$BN$15:$BN$17,TA!$C$15:$C$17,$E$1,TA!$U$15:$U$17,$C43)</f>
        <v>0</v>
      </c>
      <c r="P43" s="584">
        <f t="shared" si="3"/>
        <v>0</v>
      </c>
      <c r="Q43" s="584">
        <f>SUMIFS(TA!$BG$15:$BG$17,TA!$C$15:$C$17,$E$1,TA!$U$15:$U$17,$C43)+SUMIFS(TA!$BO$15:$BO$17,TA!$C$15:$C$17,$E$1,TA!$U$15:$U$17,$C43)</f>
        <v>0</v>
      </c>
      <c r="R43" s="861">
        <f t="shared" si="4"/>
        <v>0</v>
      </c>
      <c r="V43" s="549"/>
      <c r="W43" s="549"/>
      <c r="X43" s="550"/>
    </row>
    <row r="44" spans="2:24" s="499" customFormat="1" outlineLevel="1">
      <c r="B44"/>
      <c r="C44" s="551" t="str">
        <f>GA!E79</f>
        <v>Gastronomy</v>
      </c>
      <c r="D44" s="552"/>
      <c r="E44" s="553">
        <f>SUMIFS(TA!$V$15:$V$17,TA!$U$15:$U$17,$C44,TA!$C$15:$C$17,$E$1)</f>
        <v>0</v>
      </c>
      <c r="F44" s="553">
        <f>SUMIFS(TA!$V$15:$V$17,TA!$U$15:$U$17,$C44,TA!$R$15:$R$17,"vacant",TA!$C$15:$C$17,$E$1)</f>
        <v>0</v>
      </c>
      <c r="G44" s="553">
        <f>SUMIFS(TA!$V$15:$V$17,TA!$U$15:$U$17,$C44,TA!$R$15:$R$17,"&lt;&gt;vacant",TA!$C$15:$C$17,$E$1)</f>
        <v>0</v>
      </c>
      <c r="H44" s="554">
        <f t="shared" si="0"/>
        <v>0</v>
      </c>
      <c r="I44" s="555">
        <f>IFERROR(SUMIFS(TA!$GL$15:$GL$17,TA!$C$15:$C$17,$E$1,TA!$U$15:$U$17,$C44)/SUMIFS(TA!$AJ$15:$AJ$17,TA!$C$15:$C$17,$E$1,TA!$U$15:$U$17,$C44,TA!$GJ$15:$GJ$17,"&lt;&gt;0"),0)</f>
        <v>0</v>
      </c>
      <c r="J44" s="553">
        <f>SUMIFS(TA!$AG$15:$AG$17,TA!$U$15:$U$17,$C44,TA!$C$15:$C$17,$E$1)</f>
        <v>0</v>
      </c>
      <c r="K44" s="583">
        <f t="shared" si="1"/>
        <v>0</v>
      </c>
      <c r="L44" s="554">
        <f>IFERROR(1-(SUMPRODUCT((TA!$C$15:$C$17=POP!$E$1)*(TA!$U$15:$U$17=POP!$C44)*(TA!$BG$15:$BG$17&gt;0)*(TA!$T$15:$T$17&lt;&gt;"Lease-up")*(TA!$V$15:$V$17),TA!$F$15:$F$17,TA!$G$15:$G$17,TA!$EB$15:$EB$17)+SUMPRODUCT((TA!$C$15:$C$17=POP!$E$1)*(TA!$U$15:$U$17=POP!$C44)*(TA!$BG$15:$BG$17&gt;0)*(TA!$T$15:$T$17="Lease-up")*(TA!$V$15:$V$17),TA!$F$15:$F$17,TA!$G$15:$G$17,TA!$FL$15:$FL$17))/$E44,0)</f>
        <v>0</v>
      </c>
      <c r="M44" s="584">
        <f>SUMPRODUCT((TA!$C$15:$C$17=$E$1)*(TA!$U$15:$U$17=$C44)*(TA!$T$15:$T$17&lt;&gt;"Lease-up")*(TA!$BE$15:$BE$17),TA!$F$15:$F$17,TA!$G$15:$G$17,TA!$EB$15:$EB$17)+SUMPRODUCT((TA!$C$15:$C$17=$E$1)*(TA!$U$15:$U$17=$C44)*(TA!$T$15:$T$17="Lease-up")*(TA!$BE$15:$BE$17),TA!$F$15:$F$17,TA!$G$15:$G$17,TA!$FL$15:$FL$17)</f>
        <v>0</v>
      </c>
      <c r="N44" s="583">
        <f t="shared" ref="N44:N46" si="5">IFERROR(M44/12/E44,0)</f>
        <v>0</v>
      </c>
      <c r="O44" s="584">
        <f>SUMIFS(TA!$BN$15:$BN$17,TA!$C$15:$C$17,$E$1,TA!$U$15:$U$17,$C44)</f>
        <v>0</v>
      </c>
      <c r="P44" s="584">
        <f t="shared" si="3"/>
        <v>0</v>
      </c>
      <c r="Q44" s="584">
        <f>SUMIFS(TA!$BG$15:$BG$17,TA!$C$15:$C$17,$E$1,TA!$U$15:$U$17,$C44)+SUMIFS(TA!$BO$15:$BO$17,TA!$C$15:$C$17,$E$1,TA!$U$15:$U$17,$C44)</f>
        <v>0</v>
      </c>
      <c r="R44" s="861">
        <f t="shared" si="4"/>
        <v>0</v>
      </c>
      <c r="V44" s="549"/>
      <c r="W44" s="549"/>
      <c r="X44" s="550"/>
    </row>
    <row r="45" spans="2:24" s="499" customFormat="1" outlineLevel="1">
      <c r="B45"/>
      <c r="C45" s="551" t="str">
        <f>GA!E80</f>
        <v>Bank</v>
      </c>
      <c r="D45" s="552"/>
      <c r="E45" s="553">
        <f>SUMIFS(TA!$V$15:$V$17,TA!$U$15:$U$17,$C45,TA!$C$15:$C$17,$E$1)</f>
        <v>0</v>
      </c>
      <c r="F45" s="553">
        <f>SUMIFS(TA!$V$15:$V$17,TA!$U$15:$U$17,$C45,TA!$R$15:$R$17,"vacant",TA!$C$15:$C$17,$E$1)</f>
        <v>0</v>
      </c>
      <c r="G45" s="553">
        <f>SUMIFS(TA!$V$15:$V$17,TA!$U$15:$U$17,$C45,TA!$R$15:$R$17,"&lt;&gt;vacant",TA!$C$15:$C$17,$E$1)</f>
        <v>0</v>
      </c>
      <c r="H45" s="554">
        <f t="shared" si="0"/>
        <v>0</v>
      </c>
      <c r="I45" s="555">
        <f>IFERROR(SUMIFS(TA!$GL$15:$GL$17,TA!$C$15:$C$17,$E$1,TA!$U$15:$U$17,$C45)/SUMIFS(TA!$AJ$15:$AJ$17,TA!$C$15:$C$17,$E$1,TA!$U$15:$U$17,$C45,TA!$GJ$15:$GJ$17,"&lt;&gt;0"),0)</f>
        <v>0</v>
      </c>
      <c r="J45" s="553">
        <f>SUMIFS(TA!$AG$15:$AG$17,TA!$U$15:$U$17,$C45,TA!$C$15:$C$17,$E$1)</f>
        <v>0</v>
      </c>
      <c r="K45" s="583">
        <f t="shared" si="1"/>
        <v>0</v>
      </c>
      <c r="L45" s="554">
        <f>IFERROR(1-(SUMPRODUCT((TA!$C$15:$C$17=POP!$E$1)*(TA!$U$15:$U$17=POP!$C45)*(TA!$BG$15:$BG$17&gt;0)*(TA!$T$15:$T$17&lt;&gt;"Lease-up")*(TA!$V$15:$V$17),TA!$F$15:$F$17,TA!$G$15:$G$17,TA!$EB$15:$EB$17)+SUMPRODUCT((TA!$C$15:$C$17=POP!$E$1)*(TA!$U$15:$U$17=POP!$C45)*(TA!$BG$15:$BG$17&gt;0)*(TA!$T$15:$T$17="Lease-up")*(TA!$V$15:$V$17),TA!$F$15:$F$17,TA!$G$15:$G$17,TA!$FL$15:$FL$17))/$E45,0)</f>
        <v>0</v>
      </c>
      <c r="M45" s="584">
        <f>SUMPRODUCT((TA!$C$15:$C$17=$E$1)*(TA!$U$15:$U$17=$C45)*(TA!$T$15:$T$17&lt;&gt;"Lease-up")*(TA!$BE$15:$BE$17),TA!$F$15:$F$17,TA!$G$15:$G$17,TA!$EB$15:$EB$17)+SUMPRODUCT((TA!$C$15:$C$17=$E$1)*(TA!$U$15:$U$17=$C45)*(TA!$T$15:$T$17="Lease-up")*(TA!$BE$15:$BE$17),TA!$F$15:$F$17,TA!$G$15:$G$17,TA!$FL$15:$FL$17)</f>
        <v>0</v>
      </c>
      <c r="N45" s="583">
        <f t="shared" si="5"/>
        <v>0</v>
      </c>
      <c r="O45" s="584">
        <f>SUMIFS(TA!$BN$15:$BN$17,TA!$C$15:$C$17,$E$1,TA!$U$15:$U$17,$C45)</f>
        <v>0</v>
      </c>
      <c r="P45" s="584">
        <f t="shared" si="3"/>
        <v>0</v>
      </c>
      <c r="Q45" s="584">
        <f>SUMIFS(TA!$BG$15:$BG$17,TA!$C$15:$C$17,$E$1,TA!$U$15:$U$17,$C45)+SUMIFS(TA!$BO$15:$BO$17,TA!$C$15:$C$17,$E$1,TA!$U$15:$U$17,$C45)</f>
        <v>0</v>
      </c>
      <c r="R45" s="861">
        <f t="shared" si="4"/>
        <v>0</v>
      </c>
      <c r="V45" s="549"/>
      <c r="W45" s="549"/>
      <c r="X45" s="550"/>
    </row>
    <row r="46" spans="2:24" s="499" customFormat="1" outlineLevel="1">
      <c r="B46"/>
      <c r="C46" s="551" t="str">
        <f>GA!E81</f>
        <v>Storage</v>
      </c>
      <c r="D46" s="552"/>
      <c r="E46" s="553">
        <f>SUMIFS(TA!$V$15:$V$17,TA!$U$15:$U$17,$C46,TA!$C$15:$C$17,$E$1)</f>
        <v>0</v>
      </c>
      <c r="F46" s="553">
        <f>SUMIFS(TA!$V$15:$V$17,TA!$U$15:$U$17,$C46,TA!$R$15:$R$17,"vacant",TA!$C$15:$C$17,$E$1)</f>
        <v>0</v>
      </c>
      <c r="G46" s="553">
        <f>SUMIFS(TA!$V$15:$V$17,TA!$U$15:$U$17,$C46,TA!$R$15:$R$17,"&lt;&gt;vacant",TA!$C$15:$C$17,$E$1)</f>
        <v>0</v>
      </c>
      <c r="H46" s="554">
        <f t="shared" si="0"/>
        <v>0</v>
      </c>
      <c r="I46" s="555">
        <f>IFERROR(SUMIFS(TA!$GL$15:$GL$17,TA!$C$15:$C$17,$E$1,TA!$U$15:$U$17,$C46)/SUMIFS(TA!$AJ$15:$AJ$17,TA!$C$15:$C$17,$E$1,TA!$U$15:$U$17,$C46,TA!$GJ$15:$GJ$17,"&lt;&gt;0"),0)</f>
        <v>0</v>
      </c>
      <c r="J46" s="553">
        <f>SUMIFS(TA!$AG$15:$AG$17,TA!$U$15:$U$17,$C46,TA!$C$15:$C$17,$E$1)</f>
        <v>0</v>
      </c>
      <c r="K46" s="583">
        <f t="shared" si="1"/>
        <v>0</v>
      </c>
      <c r="L46" s="554">
        <f>IFERROR(1-(SUMPRODUCT((TA!$C$15:$C$17=POP!$E$1)*(TA!$U$15:$U$17=POP!$C46)*(TA!$BG$15:$BG$17&gt;0)*(TA!$T$15:$T$17&lt;&gt;"Lease-up")*(TA!$V$15:$V$17),TA!$F$15:$F$17,TA!$G$15:$G$17,TA!$EB$15:$EB$17)+SUMPRODUCT((TA!$C$15:$C$17=POP!$E$1)*(TA!$U$15:$U$17=POP!$C46)*(TA!$BG$15:$BG$17&gt;0)*(TA!$T$15:$T$17="Lease-up")*(TA!$V$15:$V$17),TA!$F$15:$F$17,TA!$G$15:$G$17,TA!$FL$15:$FL$17))/$E46,0)</f>
        <v>0</v>
      </c>
      <c r="M46" s="584">
        <f>SUMPRODUCT((TA!$C$15:$C$17=$E$1)*(TA!$U$15:$U$17=$C46)*(TA!$T$15:$T$17&lt;&gt;"Lease-up")*(TA!$BE$15:$BE$17),TA!$F$15:$F$17,TA!$G$15:$G$17,TA!$EB$15:$EB$17)+SUMPRODUCT((TA!$C$15:$C$17=$E$1)*(TA!$U$15:$U$17=$C46)*(TA!$T$15:$T$17="Lease-up")*(TA!$BE$15:$BE$17),TA!$F$15:$F$17,TA!$G$15:$G$17,TA!$FL$15:$FL$17)</f>
        <v>0</v>
      </c>
      <c r="N46" s="583">
        <f t="shared" si="5"/>
        <v>0</v>
      </c>
      <c r="O46" s="584">
        <f>SUMIFS(TA!$BN$15:$BN$17,TA!$C$15:$C$17,$E$1,TA!$U$15:$U$17,$C46)</f>
        <v>0</v>
      </c>
      <c r="P46" s="584">
        <f t="shared" si="3"/>
        <v>0</v>
      </c>
      <c r="Q46" s="584">
        <f>SUMIFS(TA!$BG$15:$BG$17,TA!$C$15:$C$17,$E$1,TA!$U$15:$U$17,$C46)+SUMIFS(TA!$BO$15:$BO$17,TA!$C$15:$C$17,$E$1,TA!$U$15:$U$17,$C46)</f>
        <v>0</v>
      </c>
      <c r="R46" s="861">
        <f t="shared" si="4"/>
        <v>0</v>
      </c>
      <c r="V46" s="549"/>
      <c r="W46" s="549"/>
      <c r="X46" s="550"/>
    </row>
    <row r="47" spans="2:24" s="499" customFormat="1" outlineLevel="1">
      <c r="B47"/>
      <c r="C47" s="551" t="str">
        <f>GA!E82</f>
        <v>Parking</v>
      </c>
      <c r="D47" s="552"/>
      <c r="E47" s="553">
        <f>SUMIFS(TA!$V$15:$V$17,TA!$U$15:$U$17,$C47,TA!$C$15:$C$17,$E$1)</f>
        <v>0</v>
      </c>
      <c r="F47" s="553">
        <f>SUMIFS(TA!$V$15:$V$17,TA!$U$15:$U$17,$C47,TA!$R$15:$R$17,"vacant",TA!$C$15:$C$17,$E$1)</f>
        <v>0</v>
      </c>
      <c r="G47" s="553">
        <f>SUMIFS(TA!$V$15:$V$17,TA!$U$15:$U$17,$C47,TA!$R$15:$R$17,"&lt;&gt;vacant",TA!$C$15:$C$17,$E$1)</f>
        <v>0</v>
      </c>
      <c r="H47" s="554">
        <f t="shared" ref="H47" si="6">IFERROR(F47/E47,0)</f>
        <v>0</v>
      </c>
      <c r="I47" s="555">
        <f>IFERROR(SUMIFS(TA!$GL$15:$GL$17,TA!$C$15:$C$17,$E$1,TA!$U$15:$U$17,$C47)/SUMIFS(TA!$AJ$15:$AJ$17,TA!$C$15:$C$17,$E$1,TA!$U$15:$U$17,$C47,TA!$GJ$15:$GJ$17,"&lt;&gt;0"),0)</f>
        <v>0</v>
      </c>
      <c r="J47" s="553">
        <f>SUMIFS(TA!$AG$15:$AG$17,TA!$U$15:$U$17,$C47,TA!$C$15:$C$17,$E$1)</f>
        <v>0</v>
      </c>
      <c r="K47" s="583">
        <f t="shared" ref="K47" si="7">IFERROR(J47/12/G47,0)</f>
        <v>0</v>
      </c>
      <c r="L47" s="554">
        <f>IFERROR(1-(SUMPRODUCT((TA!$C$15:$C$17=POP!$E$1)*(TA!$U$15:$U$17=POP!$C47)*(TA!$BG$15:$BG$17&gt;0)*(TA!$T$15:$T$17&lt;&gt;"Lease-up")*(TA!$V$15:$V$17),TA!$F$15:$F$17,TA!$G$15:$G$17,TA!$EB$15:$EB$17)+SUMPRODUCT((TA!$C$15:$C$17=POP!$E$1)*(TA!$U$15:$U$17=POP!$C47)*(TA!$BG$15:$BG$17&gt;0)*(TA!$T$15:$T$17="Lease-up")*(TA!$V$15:$V$17),TA!$F$15:$F$17,TA!$G$15:$G$17,TA!$FL$15:$FL$17))/$E47,0)</f>
        <v>0</v>
      </c>
      <c r="M47" s="584">
        <f>SUMPRODUCT((TA!$C$15:$C$17=$E$1)*(TA!$U$15:$U$17=$C47)*(TA!$T$15:$T$17&lt;&gt;"Lease-up")*(TA!$BE$15:$BE$17),TA!$F$15:$F$17,TA!$G$15:$G$17,TA!$EB$15:$EB$17)+SUMPRODUCT((TA!$C$15:$C$17=$E$1)*(TA!$U$15:$U$17=$C47)*(TA!$T$15:$T$17="Lease-up")*(TA!$BE$15:$BE$17),TA!$F$15:$F$17,TA!$G$15:$G$17,TA!$FL$15:$FL$17)</f>
        <v>0</v>
      </c>
      <c r="N47" s="583">
        <f t="shared" ref="N47" si="8">IFERROR(M47/12/E47,0)</f>
        <v>0</v>
      </c>
      <c r="O47" s="584">
        <f>SUMIFS(TA!$BN$15:$BN$17,TA!$C$15:$C$17,$E$1,TA!$U$15:$U$17,$C47)</f>
        <v>0</v>
      </c>
      <c r="P47" s="584">
        <f t="shared" ref="P47" si="9">O47+E47</f>
        <v>0</v>
      </c>
      <c r="Q47" s="584">
        <f>SUMIFS(TA!$BG$15:$BG$17,TA!$C$15:$C$17,$E$1,TA!$U$15:$U$17,$C47)+SUMIFS(TA!$BO$15:$BO$17,TA!$C$15:$C$17,$E$1,TA!$U$15:$U$17,$C47)</f>
        <v>0</v>
      </c>
      <c r="R47" s="861">
        <f t="shared" ref="R47" si="10">IFERROR(Q47/12/P47,0)</f>
        <v>0</v>
      </c>
      <c r="V47" s="549"/>
      <c r="W47" s="549"/>
      <c r="X47" s="550"/>
    </row>
    <row r="48" spans="2:24" s="499" customFormat="1" outlineLevel="1">
      <c r="B48"/>
      <c r="C48" s="551" t="str">
        <f>GA!E83</f>
        <v>Residential</v>
      </c>
      <c r="D48" s="552"/>
      <c r="E48" s="553">
        <f>SUMIFS(TA!$V$15:$V$17,TA!$U$15:$U$17,$C48,TA!$C$15:$C$17,$E$1)</f>
        <v>0</v>
      </c>
      <c r="F48" s="553">
        <f>SUMIFS(TA!$V$15:$V$17,TA!$U$15:$U$17,$C48,TA!$R$15:$R$17,"vacant",TA!$C$15:$C$17,$E$1)</f>
        <v>0</v>
      </c>
      <c r="G48" s="553">
        <f>SUMIFS(TA!$V$15:$V$17,TA!$U$15:$U$17,$C48,TA!$R$15:$R$17,"&lt;&gt;vacant",TA!$C$15:$C$17,$E$1)</f>
        <v>0</v>
      </c>
      <c r="H48" s="554">
        <f t="shared" ref="H48:H50" si="11">IFERROR(F48/E48,0)</f>
        <v>0</v>
      </c>
      <c r="I48" s="555">
        <f>IFERROR(SUMIFS(TA!$GL$15:$GL$17,TA!$C$15:$C$17,$E$1,TA!$U$15:$U$17,$C48)/SUMIFS(TA!$AJ$15:$AJ$17,TA!$C$15:$C$17,$E$1,TA!$U$15:$U$17,$C48,TA!$GJ$15:$GJ$17,"&lt;&gt;0"),0)</f>
        <v>0</v>
      </c>
      <c r="J48" s="553">
        <f>SUMIFS(TA!$AG$15:$AG$17,TA!$U$15:$U$17,$C48,TA!$C$15:$C$17,$E$1)</f>
        <v>0</v>
      </c>
      <c r="K48" s="583">
        <f t="shared" ref="K48:K50" si="12">IFERROR(J48/12/G48,0)</f>
        <v>0</v>
      </c>
      <c r="L48" s="554">
        <f>IFERROR(1-(SUMPRODUCT((TA!$C$15:$C$17=POP!$E$1)*(TA!$U$15:$U$17=POP!$C48)*(TA!$BG$15:$BG$17&gt;0)*(TA!$T$15:$T$17&lt;&gt;"Lease-up")*(TA!$V$15:$V$17),TA!$F$15:$F$17,TA!$G$15:$G$17,TA!$EB$15:$EB$17)+SUMPRODUCT((TA!$C$15:$C$17=POP!$E$1)*(TA!$U$15:$U$17=POP!$C48)*(TA!$BG$15:$BG$17&gt;0)*(TA!$T$15:$T$17="Lease-up")*(TA!$V$15:$V$17),TA!$F$15:$F$17,TA!$G$15:$G$17,TA!$FL$15:$FL$17))/$E48,0)</f>
        <v>0</v>
      </c>
      <c r="M48" s="584">
        <f>SUMPRODUCT((TA!$C$15:$C$17=$E$1)*(TA!$U$15:$U$17=$C48)*(TA!$T$15:$T$17&lt;&gt;"Lease-up")*(TA!$BE$15:$BE$17),TA!$F$15:$F$17,TA!$G$15:$G$17,TA!$EB$15:$EB$17)+SUMPRODUCT((TA!$C$15:$C$17=$E$1)*(TA!$U$15:$U$17=$C48)*(TA!$T$15:$T$17="Lease-up")*(TA!$BE$15:$BE$17),TA!$F$15:$F$17,TA!$G$15:$G$17,TA!$FL$15:$FL$17)</f>
        <v>0</v>
      </c>
      <c r="N48" s="583">
        <f t="shared" ref="N48:N50" si="13">IFERROR(M48/12/E48,0)</f>
        <v>0</v>
      </c>
      <c r="O48" s="584">
        <f>SUMIFS(TA!$BN$15:$BN$17,TA!$C$15:$C$17,$E$1,TA!$U$15:$U$17,$C48)</f>
        <v>0</v>
      </c>
      <c r="P48" s="584">
        <f t="shared" ref="P48:P50" si="14">O48+E48</f>
        <v>0</v>
      </c>
      <c r="Q48" s="584">
        <f>SUMIFS(TA!$BG$15:$BG$17,TA!$C$15:$C$17,$E$1,TA!$U$15:$U$17,$C48)+SUMIFS(TA!$BO$15:$BO$17,TA!$C$15:$C$17,$E$1,TA!$U$15:$U$17,$C48)</f>
        <v>0</v>
      </c>
      <c r="R48" s="861">
        <f t="shared" ref="R48:R50" si="15">IFERROR(Q48/12/P48,0)</f>
        <v>0</v>
      </c>
      <c r="V48" s="549"/>
      <c r="W48" s="549"/>
      <c r="X48" s="550"/>
    </row>
    <row r="49" spans="1:24" s="499" customFormat="1" outlineLevel="1">
      <c r="B49"/>
      <c r="C49" s="551" t="str">
        <f>GA!E84</f>
        <v>Office</v>
      </c>
      <c r="D49" s="552"/>
      <c r="E49" s="553">
        <f>SUMIFS(TA!$V$15:$V$17,TA!$U$15:$U$17,$C49,TA!$C$15:$C$17,$E$1)</f>
        <v>0</v>
      </c>
      <c r="F49" s="553">
        <f>SUMIFS(TA!$V$15:$V$17,TA!$U$15:$U$17,$C49,TA!$R$15:$R$17,"vacant",TA!$C$15:$C$17,$E$1)</f>
        <v>0</v>
      </c>
      <c r="G49" s="553">
        <f>SUMIFS(TA!$V$15:$V$17,TA!$U$15:$U$17,$C49,TA!$R$15:$R$17,"&lt;&gt;vacant",TA!$C$15:$C$17,$E$1)</f>
        <v>0</v>
      </c>
      <c r="H49" s="554">
        <f t="shared" si="11"/>
        <v>0</v>
      </c>
      <c r="I49" s="555">
        <f>IFERROR(SUMIFS(TA!$GL$15:$GL$17,TA!$C$15:$C$17,$E$1,TA!$U$15:$U$17,$C49)/SUMIFS(TA!$AJ$15:$AJ$17,TA!$C$15:$C$17,$E$1,TA!$U$15:$U$17,$C49,TA!$GJ$15:$GJ$17,"&lt;&gt;0"),0)</f>
        <v>0</v>
      </c>
      <c r="J49" s="553">
        <f>SUMIFS(TA!$AG$15:$AG$17,TA!$U$15:$U$17,$C49,TA!$C$15:$C$17,$E$1)</f>
        <v>0</v>
      </c>
      <c r="K49" s="583">
        <f t="shared" si="12"/>
        <v>0</v>
      </c>
      <c r="L49" s="554">
        <f>IFERROR(1-(SUMPRODUCT((TA!$C$15:$C$17=POP!$E$1)*(TA!$U$15:$U$17=POP!$C49)*(TA!$BG$15:$BG$17&gt;0)*(TA!$T$15:$T$17&lt;&gt;"Lease-up")*(TA!$V$15:$V$17),TA!$F$15:$F$17,TA!$G$15:$G$17,TA!$EB$15:$EB$17)+SUMPRODUCT((TA!$C$15:$C$17=POP!$E$1)*(TA!$U$15:$U$17=POP!$C49)*(TA!$BG$15:$BG$17&gt;0)*(TA!$T$15:$T$17="Lease-up")*(TA!$V$15:$V$17),TA!$F$15:$F$17,TA!$G$15:$G$17,TA!$FL$15:$FL$17))/$E49,0)</f>
        <v>0</v>
      </c>
      <c r="M49" s="584">
        <f>SUMPRODUCT((TA!$C$15:$C$17=$E$1)*(TA!$U$15:$U$17=$C49)*(TA!$T$15:$T$17&lt;&gt;"Lease-up")*(TA!$BE$15:$BE$17),TA!$F$15:$F$17,TA!$G$15:$G$17,TA!$EB$15:$EB$17)+SUMPRODUCT((TA!$C$15:$C$17=$E$1)*(TA!$U$15:$U$17=$C49)*(TA!$T$15:$T$17="Lease-up")*(TA!$BE$15:$BE$17),TA!$F$15:$F$17,TA!$G$15:$G$17,TA!$FL$15:$FL$17)</f>
        <v>0</v>
      </c>
      <c r="N49" s="583">
        <f t="shared" si="13"/>
        <v>0</v>
      </c>
      <c r="O49" s="584">
        <f>SUMIFS(TA!$BN$15:$BN$17,TA!$C$15:$C$17,$E$1,TA!$U$15:$U$17,$C49)</f>
        <v>0</v>
      </c>
      <c r="P49" s="584">
        <f t="shared" si="14"/>
        <v>0</v>
      </c>
      <c r="Q49" s="584">
        <f>SUMIFS(TA!$BG$15:$BG$17,TA!$C$15:$C$17,$E$1,TA!$U$15:$U$17,$C49)+SUMIFS(TA!$BO$15:$BO$17,TA!$C$15:$C$17,$E$1,TA!$U$15:$U$17,$C49)</f>
        <v>0</v>
      </c>
      <c r="R49" s="861">
        <f t="shared" si="15"/>
        <v>0</v>
      </c>
      <c r="V49" s="549"/>
      <c r="W49" s="549"/>
      <c r="X49" s="550"/>
    </row>
    <row r="50" spans="1:24" s="499" customFormat="1">
      <c r="B50"/>
      <c r="C50" s="551" t="str">
        <f>GA!E85</f>
        <v>Other</v>
      </c>
      <c r="D50" s="552"/>
      <c r="E50" s="553">
        <f>SUMIFS(TA!$V$15:$V$17,TA!$U$15:$U$17,$C50,TA!$C$15:$C$17,$E$1)</f>
        <v>0</v>
      </c>
      <c r="F50" s="553">
        <f>SUMIFS(TA!$V$15:$V$17,TA!$U$15:$U$17,$C50,TA!$R$15:$R$17,"vacant",TA!$C$15:$C$17,$E$1)</f>
        <v>0</v>
      </c>
      <c r="G50" s="553">
        <f>SUMIFS(TA!$V$15:$V$17,TA!$U$15:$U$17,$C50,TA!$R$15:$R$17,"&lt;&gt;vacant",TA!$C$15:$C$17,$E$1)</f>
        <v>0</v>
      </c>
      <c r="H50" s="554">
        <f t="shared" si="11"/>
        <v>0</v>
      </c>
      <c r="I50" s="555">
        <f>IFERROR(SUMIFS(TA!$GL$15:$GL$17,TA!$C$15:$C$17,$E$1,TA!$U$15:$U$17,$C50)/SUMIFS(TA!$AJ$15:$AJ$17,TA!$C$15:$C$17,$E$1,TA!$U$15:$U$17,$C50,TA!$GJ$15:$GJ$17,"&lt;&gt;0"),0)</f>
        <v>0</v>
      </c>
      <c r="J50" s="553">
        <f>SUMIFS(TA!$AG$15:$AG$17,TA!$U$15:$U$17,$C50,TA!$C$15:$C$17,$E$1)</f>
        <v>0</v>
      </c>
      <c r="K50" s="583">
        <f t="shared" si="12"/>
        <v>0</v>
      </c>
      <c r="L50" s="554">
        <f>IFERROR(1-(SUMPRODUCT((TA!$C$15:$C$17=POP!$E$1)*(TA!$U$15:$U$17=POP!$C50)*(TA!$BG$15:$BG$17&gt;0)*(TA!$T$15:$T$17&lt;&gt;"Lease-up")*(TA!$V$15:$V$17),TA!$F$15:$F$17,TA!$G$15:$G$17,TA!$EB$15:$EB$17)+SUMPRODUCT((TA!$C$15:$C$17=POP!$E$1)*(TA!$U$15:$U$17=POP!$C50)*(TA!$BG$15:$BG$17&gt;0)*(TA!$T$15:$T$17="Lease-up")*(TA!$V$15:$V$17),TA!$F$15:$F$17,TA!$G$15:$G$17,TA!$FL$15:$FL$17))/$E50,0)</f>
        <v>0</v>
      </c>
      <c r="M50" s="584">
        <f>SUMPRODUCT((TA!$C$15:$C$17=$E$1)*(TA!$U$15:$U$17=$C50)*(TA!$T$15:$T$17&lt;&gt;"Lease-up")*(TA!$BE$15:$BE$17),TA!$F$15:$F$17,TA!$G$15:$G$17,TA!$EB$15:$EB$17)+SUMPRODUCT((TA!$C$15:$C$17=$E$1)*(TA!$U$15:$U$17=$C50)*(TA!$T$15:$T$17="Lease-up")*(TA!$BE$15:$BE$17),TA!$F$15:$F$17,TA!$G$15:$G$17,TA!$FL$15:$FL$17)</f>
        <v>0</v>
      </c>
      <c r="N50" s="583">
        <f t="shared" si="13"/>
        <v>0</v>
      </c>
      <c r="O50" s="584">
        <f>SUMIFS(TA!$BN$15:$BN$17,TA!$C$15:$C$17,$E$1,TA!$U$15:$U$17,$C50)</f>
        <v>0</v>
      </c>
      <c r="P50" s="584">
        <f t="shared" si="14"/>
        <v>0</v>
      </c>
      <c r="Q50" s="584">
        <f>SUMIFS(TA!$BG$15:$BG$17,TA!$C$15:$C$17,$E$1,TA!$U$15:$U$17,$C50)+SUMIFS(TA!$BO$15:$BO$17,TA!$C$15:$C$17,$E$1,TA!$U$15:$U$17,$C50)</f>
        <v>0</v>
      </c>
      <c r="R50" s="861">
        <f t="shared" si="15"/>
        <v>0</v>
      </c>
      <c r="V50" s="549"/>
      <c r="W50" s="549"/>
      <c r="X50" s="550"/>
    </row>
    <row r="51" spans="1:24" s="499" customFormat="1">
      <c r="B51"/>
      <c r="C51" s="556" t="s">
        <v>152</v>
      </c>
      <c r="D51" s="557"/>
      <c r="E51" s="558">
        <f>SUM(E41:E50)</f>
        <v>1000</v>
      </c>
      <c r="F51" s="558">
        <f>SUM(F41:F50)</f>
        <v>0</v>
      </c>
      <c r="G51" s="558">
        <f>SUM(G41:G50)</f>
        <v>1000</v>
      </c>
      <c r="H51" s="559">
        <f t="shared" si="0"/>
        <v>0</v>
      </c>
      <c r="I51" s="585">
        <f>INDEX(AO!$AP$18:$AP$20,MATCH($E$1,AO!$C$18:$C$20,0))</f>
        <v>17.846575342465755</v>
      </c>
      <c r="J51" s="558">
        <f>SUM(J41:J50)</f>
        <v>100000</v>
      </c>
      <c r="K51" s="560">
        <f>IFERROR(SUM(J41:J50)/12/G51,0)</f>
        <v>8.3333333333333339</v>
      </c>
      <c r="L51" s="559"/>
      <c r="M51" s="558">
        <f>SUM(M41:M50)</f>
        <v>0</v>
      </c>
      <c r="N51" s="560">
        <f>IFERROR(SUM(M41:M50)/12/(SUMPRODUCT((TA!$C$15:$C$17=POP!$E$1)*(TA!$BG$15:$BG$17&gt;0)*(TA!$T$15:$T$17&lt;&gt;"Lease-up")*(TA!$V$15:$V$17),TA!$F$15:$F$17,TA!$G$15:$G$17,TA!$EB$15:$EB$17)+SUMPRODUCT((TA!$C$15:$C$17=POP!$E$1)*(TA!$BG$15:$BG$17&gt;0)*(TA!$T$15:$T$17="Lease-up")*(TA!$V$15:$V$17),TA!$F$15:$F$17,TA!$G$15:$G$17,TA!$FL$15:$FL$17)),0)</f>
        <v>0</v>
      </c>
      <c r="O51" s="558">
        <f>SUM(O41:O50)</f>
        <v>0</v>
      </c>
      <c r="P51" s="558">
        <f>SUM(P41:P50)</f>
        <v>1000</v>
      </c>
      <c r="Q51" s="558">
        <f>SUM(Q41:Q50)</f>
        <v>100000</v>
      </c>
      <c r="R51" s="560">
        <f>IFERROR(Q51/P51/12,0)</f>
        <v>8.3333333333333339</v>
      </c>
      <c r="V51" s="549"/>
      <c r="W51" s="549"/>
      <c r="X51" s="550"/>
    </row>
    <row r="52" spans="1:24" s="499" customFormat="1">
      <c r="B52"/>
      <c r="C52" s="77"/>
      <c r="D52"/>
      <c r="E52"/>
      <c r="F52"/>
      <c r="G52"/>
      <c r="H52"/>
      <c r="I52"/>
      <c r="J52"/>
      <c r="K52"/>
      <c r="L52"/>
      <c r="M52"/>
      <c r="N52"/>
      <c r="O52"/>
      <c r="P52"/>
      <c r="Q52"/>
      <c r="R52"/>
      <c r="U52"/>
      <c r="V52" s="561"/>
      <c r="W52" s="561"/>
      <c r="X52" s="562"/>
    </row>
    <row r="53" spans="1:24" s="499" customFormat="1">
      <c r="B53"/>
      <c r="C53" s="582" t="s">
        <v>1034</v>
      </c>
      <c r="D53" s="546"/>
      <c r="E53" s="504"/>
      <c r="F53" s="504"/>
      <c r="G53" s="504"/>
      <c r="H53" s="504"/>
      <c r="I53" s="504"/>
      <c r="J53" s="504"/>
      <c r="K53" s="504"/>
      <c r="L53" s="504"/>
      <c r="M53" s="504"/>
      <c r="N53" s="504"/>
      <c r="O53" s="504"/>
      <c r="P53" s="504"/>
      <c r="Q53" s="504"/>
      <c r="R53" s="504"/>
      <c r="S53" s="504"/>
      <c r="T53" s="504"/>
      <c r="U53" s="504"/>
      <c r="V53" s="504"/>
      <c r="W53" s="504"/>
      <c r="X53" s="505"/>
    </row>
    <row r="54" spans="1:24" s="499" customFormat="1" ht="17.25">
      <c r="B54"/>
      <c r="C54" s="740"/>
      <c r="D54" s="741"/>
      <c r="E54" s="741"/>
      <c r="F54" s="741"/>
      <c r="G54" s="741"/>
      <c r="H54" s="741"/>
      <c r="I54" s="742"/>
      <c r="J54" s="742"/>
      <c r="K54" s="742"/>
      <c r="L54" s="742"/>
      <c r="M54" s="751" t="s">
        <v>1025</v>
      </c>
      <c r="N54" s="751"/>
      <c r="O54" s="751"/>
      <c r="P54" s="751"/>
      <c r="Q54" s="751"/>
      <c r="R54" s="751"/>
      <c r="S54" s="751"/>
      <c r="T54" s="751"/>
      <c r="U54" s="751"/>
      <c r="V54" s="751"/>
      <c r="W54" s="751"/>
      <c r="X54" s="751"/>
    </row>
    <row r="55" spans="1:24" s="499" customFormat="1" ht="17.25">
      <c r="B55"/>
      <c r="C55" s="740"/>
      <c r="D55" s="741"/>
      <c r="E55" s="741"/>
      <c r="F55" s="741"/>
      <c r="G55" s="741"/>
      <c r="H55" s="741"/>
      <c r="I55" s="742"/>
      <c r="J55" s="742"/>
      <c r="K55" s="742"/>
      <c r="L55" s="742"/>
      <c r="M55" s="742"/>
      <c r="N55" s="742"/>
      <c r="O55" s="755" t="s">
        <v>1105</v>
      </c>
      <c r="P55" s="742"/>
      <c r="Q55" s="742"/>
      <c r="R55" s="755" t="s">
        <v>362</v>
      </c>
      <c r="S55" s="742"/>
      <c r="T55" s="755" t="s">
        <v>1035</v>
      </c>
      <c r="U55" s="755" t="s">
        <v>1035</v>
      </c>
      <c r="V55" s="755" t="s">
        <v>1035</v>
      </c>
      <c r="W55" s="755" t="s">
        <v>1035</v>
      </c>
      <c r="X55" s="756" t="s">
        <v>87</v>
      </c>
    </row>
    <row r="56" spans="1:24" s="499" customFormat="1" ht="17.25">
      <c r="B56"/>
      <c r="C56" s="214"/>
      <c r="D56" s="21"/>
      <c r="E56" s="755" t="s">
        <v>1036</v>
      </c>
      <c r="F56" s="21"/>
      <c r="G56" s="21"/>
      <c r="H56" s="21"/>
      <c r="I56" s="751"/>
      <c r="J56" s="751"/>
      <c r="K56" s="751"/>
      <c r="L56" s="755" t="s">
        <v>1037</v>
      </c>
      <c r="M56" s="21"/>
      <c r="N56" s="755" t="s">
        <v>1033</v>
      </c>
      <c r="O56" s="755" t="s">
        <v>1106</v>
      </c>
      <c r="P56" s="755" t="s">
        <v>362</v>
      </c>
      <c r="Q56" s="755" t="s">
        <v>362</v>
      </c>
      <c r="R56" s="755" t="s">
        <v>1424</v>
      </c>
      <c r="S56" s="755" t="s">
        <v>362</v>
      </c>
      <c r="T56" s="755" t="s">
        <v>1038</v>
      </c>
      <c r="U56" s="755" t="s">
        <v>1038</v>
      </c>
      <c r="V56" s="755" t="s">
        <v>1038</v>
      </c>
      <c r="W56" s="755" t="s">
        <v>1038</v>
      </c>
      <c r="X56" s="756" t="s">
        <v>1078</v>
      </c>
    </row>
    <row r="57" spans="1:24" s="499" customFormat="1" ht="17.25">
      <c r="B57"/>
      <c r="C57" s="750" t="s">
        <v>149</v>
      </c>
      <c r="D57" s="751"/>
      <c r="E57" s="752" t="s">
        <v>1039</v>
      </c>
      <c r="F57" s="752" t="s">
        <v>1040</v>
      </c>
      <c r="G57" s="752" t="s">
        <v>384</v>
      </c>
      <c r="H57" s="752" t="s">
        <v>1029</v>
      </c>
      <c r="I57" s="752" t="s">
        <v>1030</v>
      </c>
      <c r="J57" s="752" t="s">
        <v>908</v>
      </c>
      <c r="K57" s="752" t="s">
        <v>346</v>
      </c>
      <c r="L57" s="752" t="s">
        <v>1041</v>
      </c>
      <c r="M57" s="752" t="s">
        <v>1032</v>
      </c>
      <c r="N57" s="752" t="s">
        <v>1079</v>
      </c>
      <c r="O57" s="752" t="s">
        <v>1422</v>
      </c>
      <c r="P57" s="752" t="s">
        <v>1029</v>
      </c>
      <c r="Q57" s="752" t="s">
        <v>1042</v>
      </c>
      <c r="R57" s="752" t="s">
        <v>1423</v>
      </c>
      <c r="S57" s="752" t="s">
        <v>1321</v>
      </c>
      <c r="T57" s="752" t="s">
        <v>1042</v>
      </c>
      <c r="U57" s="752" t="s">
        <v>1425</v>
      </c>
      <c r="V57" s="752" t="s">
        <v>1421</v>
      </c>
      <c r="W57" s="752" t="s">
        <v>1322</v>
      </c>
      <c r="X57" s="757" t="s">
        <v>1079</v>
      </c>
    </row>
    <row r="58" spans="1:24" s="499" customFormat="1">
      <c r="A58" s="49">
        <v>1</v>
      </c>
      <c r="B58" t="str">
        <f>$E$1&amp;" - "&amp;A58</f>
        <v>3 - 1</v>
      </c>
      <c r="C58" s="563" t="str">
        <f>IFERROR(INDEX(TA!$R$15:$R$17,MATCH($B58,TA!$D$15:$D$17,0)),0)</f>
        <v>backup</v>
      </c>
      <c r="D58" s="564"/>
      <c r="E58" s="579" t="str">
        <f>IFERROR(INDEX(TA!$U$15:$U$17,MATCH($B58,TA!$D$15:$D$17,0)),0)</f>
        <v>FMCG-F</v>
      </c>
      <c r="F58" s="702">
        <f>IFERROR(INDEX(TA!$V$15:$V$17,MATCH($B58,TA!$D$15:$D$17,0)),0)</f>
        <v>1000</v>
      </c>
      <c r="G58" s="737">
        <f>IFERROR(INDEX(TA!$BN$15:$BN$17,MATCH($B58,TA!$D$15:$D$17,0)),0)</f>
        <v>0</v>
      </c>
      <c r="H58" s="702">
        <f>IFERROR(INDEX(TA!$AG$15:$AG$17,MATCH($B58,TA!$D$15:$D$17,0)),0)</f>
        <v>100000</v>
      </c>
      <c r="I58" s="703">
        <f>IFERROR(INDEX(TA!$AH$15:$AH$17,MATCH($B58,TA!$D$15:$D$17,0)),0)</f>
        <v>8.3333333333333339</v>
      </c>
      <c r="J58" s="1485">
        <f>IFERROR(INDEX(TA!$GJ$15:$GJ$17,MATCH($B58,TA!$D$15:$D$17,0)),0)</f>
        <v>17.846575342465755</v>
      </c>
      <c r="K58" s="703">
        <f>IFERROR(INDEX(TA!$BH$15:$BH$17,MATCH($B58,TA!$D$15:$D$17,0)),0)</f>
        <v>0</v>
      </c>
      <c r="L58" s="568">
        <f>IFERROR(INDEX(TA!$AE$15:$AE$17,(MATCH($B58,TA!$D$15:$D$17,0))),0)</f>
        <v>0</v>
      </c>
      <c r="M58" s="565">
        <f>N58*SUM(F58:G58)*12</f>
        <v>100000</v>
      </c>
      <c r="N58" s="566">
        <f>IFERROR(INDEX(TA!$BF$15:$BF$17,MATCH($B58,TA!$D$15:$D$17,0)),0)</f>
        <v>8.3333333333333339</v>
      </c>
      <c r="O58" s="1548">
        <f>IFERROR(INDEX(TA!$CI$15:$CI$17,MATCH($B58,TA!$D$15:$D$17,0)),0)</f>
        <v>5</v>
      </c>
      <c r="P58" s="565">
        <f>IF(AND(K58&lt;&gt;0,M58&gt;H58),H58,M58)*(M58&gt;0)</f>
        <v>100000</v>
      </c>
      <c r="Q58" s="1483">
        <f>IFERROR(INDEX(TA!$CQ$15:$CQ$17,MATCH($B58,TA!$D$15:$D$17,0)),0)</f>
        <v>1</v>
      </c>
      <c r="R58" s="570">
        <f>IFERROR(INDEX(TA!$CW$15:$CW$17,MATCH($B58,TA!$D$15:$D$17,0)),0)</f>
        <v>6</v>
      </c>
      <c r="S58" s="1484">
        <f>IFERROR(INDEX(TA!$DK$15:$DK$17,MATCH($B58,TA!$D$15:$D$17,0)),0)</f>
        <v>0</v>
      </c>
      <c r="T58" s="1483">
        <f>IF(IFERROR(INDEX(TA!$R$15:$R$17,MATCH($B58,TA!$D$15:$D$17,0)),0)="Vacant",IFERROR(INDEX(TA!$FL$15:$FL$17,MATCH($B58,TA!$D$15:$D$17,0)),0),IFERROR(INDEX(TA!$EA$15:$EA$17,MATCH($B58,TA!$D$15:$D$17,0)),0))</f>
        <v>0</v>
      </c>
      <c r="U58" s="1484">
        <f>IF(IFERROR(INDEX(TA!$R$15:$R$17,MATCH($B58,TA!$D$15:$D$17,0)),0)="Vacant",IFERROR(INDEX(TA!$FD$15:$FD$17,MATCH($B58,TA!$D$15:$D$17,0)),0),IFERROR(INDEX(TA!$DS$15:$DS$17,MATCH($B58,TA!$D$15:$D$17,0)),0))</f>
        <v>12</v>
      </c>
      <c r="V58" s="1484">
        <f>IF(IFERROR(INDEX(TA!$R$15:$R$17,MATCH($B58,TA!$D$15:$D$17,0)),0)="Vacant",IFERROR(INDEX(TA!$FR$15:$FR$17,MATCH($B58,TA!$D$15:$D$17,0)),0),IFERROR(INDEX(TA!$EH$15:$EH$17,MATCH($B58,TA!$D$15:$D$17,0)),0))</f>
        <v>12</v>
      </c>
      <c r="W58" s="1484">
        <f>IF(IFERROR(INDEX(TA!$R$15:$R$17,MATCH($B58,TA!$D$15:$D$17,0)),0)="Vacant",IFERROR(INDEX(TA!$GF$15:$GF$17,MATCH($B58,TA!$D$15:$D$17,0)),0),IFERROR(INDEX(TA!$EV$15:$EV$17,MATCH($B58,TA!$D$15:$D$17,0)),0))</f>
        <v>0</v>
      </c>
      <c r="X58" s="736">
        <f>IFERROR(INDEX(TA!$BS$15:$BS$17,MATCH($B58,TA!$D$15:$D$17,0)),0)</f>
        <v>0</v>
      </c>
    </row>
    <row r="59" spans="1:24" s="499" customFormat="1">
      <c r="A59" s="49">
        <v>2</v>
      </c>
      <c r="B59" t="str">
        <f t="shared" ref="B59:B67" si="16">$E$1&amp;" - "&amp;A59</f>
        <v>3 - 2</v>
      </c>
      <c r="C59" s="563">
        <f>IFERROR(INDEX(TA!$R$15:$R$17,MATCH($B59,TA!$D$15:$D$17,0)),0)</f>
        <v>0</v>
      </c>
      <c r="D59" s="564"/>
      <c r="E59" s="579">
        <f>IFERROR(INDEX(TA!$U$15:$U$17,MATCH($B59,TA!$D$15:$D$17,0)),0)</f>
        <v>0</v>
      </c>
      <c r="F59" s="702">
        <f>IFERROR(INDEX(TA!$V$15:$V$17,MATCH($B59,TA!$D$15:$D$17,0)),0)</f>
        <v>0</v>
      </c>
      <c r="G59" s="737">
        <f>IFERROR(INDEX(TA!$BN$15:$BN$17,MATCH($B59,TA!$D$15:$D$17,0)),0)</f>
        <v>0</v>
      </c>
      <c r="H59" s="702">
        <f>IFERROR(INDEX(TA!$AG$15:$AG$17,MATCH($B59,TA!$D$15:$D$17,0)),0)</f>
        <v>0</v>
      </c>
      <c r="I59" s="703">
        <f>IFERROR(INDEX(TA!$AH$15:$AH$17,MATCH($B59,TA!$D$15:$D$17,0)),0)</f>
        <v>0</v>
      </c>
      <c r="J59" s="1485">
        <f>IFERROR(INDEX(TA!$GJ$15:$GJ$17,MATCH($B59,TA!$D$15:$D$17,0)),0)</f>
        <v>0</v>
      </c>
      <c r="K59" s="703">
        <f>IFERROR(INDEX(TA!$BH$15:$BH$17,MATCH($B59,TA!$D$15:$D$17,0)),0)</f>
        <v>0</v>
      </c>
      <c r="L59" s="568">
        <f>IFERROR(INDEX(TA!$AE$15:$AE$17,(MATCH($B59,TA!$D$15:$D$17,0))),0)</f>
        <v>0</v>
      </c>
      <c r="M59" s="565">
        <f t="shared" ref="M59:M67" si="17">N59*SUM(F59:G59)*12</f>
        <v>0</v>
      </c>
      <c r="N59" s="566">
        <f>IFERROR(INDEX(TA!$BF$15:$BF$17,MATCH($B59,TA!$D$15:$D$17,0)),0)</f>
        <v>0</v>
      </c>
      <c r="O59" s="1548">
        <f>IFERROR(INDEX(TA!$CI$15:$CI$17,MATCH($B59,TA!$D$15:$D$17,0)),0)</f>
        <v>0</v>
      </c>
      <c r="P59" s="565">
        <f>IF(AND(K59&lt;&gt;0,M59&gt;H59),H59,M59)*(M59&gt;0)</f>
        <v>0</v>
      </c>
      <c r="Q59" s="1483">
        <f>IFERROR(INDEX(TA!$CQ$15:$CQ$17,MATCH($B59,TA!$D$15:$D$17,0)),0)</f>
        <v>0</v>
      </c>
      <c r="R59" s="570">
        <f>IFERROR(INDEX(TA!$CW$15:$CW$17,MATCH($B59,TA!$D$15:$D$17,0)),0)</f>
        <v>0</v>
      </c>
      <c r="S59" s="1484">
        <f>IFERROR(INDEX(TA!$DK$15:$DK$17,MATCH($B59,TA!$D$15:$D$17,0)),0)</f>
        <v>0</v>
      </c>
      <c r="T59" s="1483">
        <f>IF(IFERROR(INDEX(TA!$R$15:$R$17,MATCH($B59,TA!$D$15:$D$17,0)),0)="Vacant",IFERROR(INDEX(TA!$FL$15:$FL$17,MATCH($B59,TA!$D$15:$D$17,0)),0),IFERROR(INDEX(TA!$EA$15:$EA$17,MATCH($B59,TA!$D$15:$D$17,0)),0))</f>
        <v>0</v>
      </c>
      <c r="U59" s="1484">
        <f>IF(IFERROR(INDEX(TA!$R$15:$R$17,MATCH($B59,TA!$D$15:$D$17,0)),0)="Vacant",IFERROR(INDEX(TA!$FD$15:$FD$17,MATCH($B59,TA!$D$15:$D$17,0)),0),IFERROR(INDEX(TA!$DS$15:$DS$17,MATCH($B59,TA!$D$15:$D$17,0)),0))</f>
        <v>0</v>
      </c>
      <c r="V59" s="1484">
        <f>IF(IFERROR(INDEX(TA!$R$15:$R$17,MATCH($B59,TA!$D$15:$D$17,0)),0)="Vacant",IFERROR(INDEX(TA!$FR$15:$FR$17,MATCH($B59,TA!$D$15:$D$17,0)),0),IFERROR(INDEX(TA!$EH$15:$EH$17,MATCH($B59,TA!$D$15:$D$17,0)),0))</f>
        <v>0</v>
      </c>
      <c r="W59" s="1484">
        <f>IF(IFERROR(INDEX(TA!$R$15:$R$17,MATCH($B59,TA!$D$15:$D$17,0)),0)="Vacant",IFERROR(INDEX(TA!$GF$15:$GF$17,MATCH($B59,TA!$D$15:$D$17,0)),0),IFERROR(INDEX(TA!$EV$15:$EV$17,MATCH($B59,TA!$D$15:$D$17,0)),0))</f>
        <v>0</v>
      </c>
      <c r="X59" s="736">
        <f>IFERROR(INDEX(TA!$BS$15:$BS$17,MATCH($B59,TA!$D$15:$D$17,0)),0)</f>
        <v>0</v>
      </c>
    </row>
    <row r="60" spans="1:24" s="499" customFormat="1">
      <c r="A60" s="49">
        <v>3</v>
      </c>
      <c r="B60" t="str">
        <f t="shared" si="16"/>
        <v>3 - 3</v>
      </c>
      <c r="C60" s="563">
        <f>IFERROR(INDEX(TA!$R$15:$R$17,MATCH($B60,TA!$D$15:$D$17,0)),0)</f>
        <v>0</v>
      </c>
      <c r="D60" s="564"/>
      <c r="E60" s="579">
        <f>IFERROR(INDEX(TA!$U$15:$U$17,MATCH($B60,TA!$D$15:$D$17,0)),0)</f>
        <v>0</v>
      </c>
      <c r="F60" s="702">
        <f>IFERROR(INDEX(TA!$V$15:$V$17,MATCH($B60,TA!$D$15:$D$17,0)),0)</f>
        <v>0</v>
      </c>
      <c r="G60" s="737">
        <f>IFERROR(INDEX(TA!$BN$15:$BN$17,MATCH($B60,TA!$D$15:$D$17,0)),0)</f>
        <v>0</v>
      </c>
      <c r="H60" s="702">
        <f>IFERROR(INDEX(TA!$AG$15:$AG$17,MATCH($B60,TA!$D$15:$D$17,0)),0)</f>
        <v>0</v>
      </c>
      <c r="I60" s="703">
        <f>IFERROR(INDEX(TA!$AH$15:$AH$17,MATCH($B60,TA!$D$15:$D$17,0)),0)</f>
        <v>0</v>
      </c>
      <c r="J60" s="1485">
        <f>IFERROR(INDEX(TA!$GJ$15:$GJ$17,MATCH($B60,TA!$D$15:$D$17,0)),0)</f>
        <v>0</v>
      </c>
      <c r="K60" s="703">
        <f>IFERROR(INDEX(TA!$BH$15:$BH$17,MATCH($B60,TA!$D$15:$D$17,0)),0)</f>
        <v>0</v>
      </c>
      <c r="L60" s="568">
        <f>IFERROR(INDEX(TA!$AE$15:$AE$17,(MATCH($B60,TA!$D$15:$D$17,0))),0)</f>
        <v>0</v>
      </c>
      <c r="M60" s="565">
        <f t="shared" si="17"/>
        <v>0</v>
      </c>
      <c r="N60" s="566">
        <f>IFERROR(INDEX(TA!$BF$15:$BF$17,MATCH($B60,TA!$D$15:$D$17,0)),0)</f>
        <v>0</v>
      </c>
      <c r="O60" s="1548">
        <f>IFERROR(INDEX(TA!$CI$15:$CI$17,MATCH($B60,TA!$D$15:$D$17,0)),0)</f>
        <v>0</v>
      </c>
      <c r="P60" s="565">
        <f>IF(AND(K60&lt;&gt;0,M60&gt;H60),H60,M60)*(M60&gt;0)</f>
        <v>0</v>
      </c>
      <c r="Q60" s="1483">
        <f>IFERROR(INDEX(TA!$CQ$15:$CQ$17,MATCH($B60,TA!$D$15:$D$17,0)),0)</f>
        <v>0</v>
      </c>
      <c r="R60" s="570">
        <f>IFERROR(INDEX(TA!$CW$15:$CW$17,MATCH($B60,TA!$D$15:$D$17,0)),0)</f>
        <v>0</v>
      </c>
      <c r="S60" s="1484">
        <f>IFERROR(INDEX(TA!$DK$15:$DK$17,MATCH($B60,TA!$D$15:$D$17,0)),0)</f>
        <v>0</v>
      </c>
      <c r="T60" s="1483">
        <f>IF(IFERROR(INDEX(TA!$R$15:$R$17,MATCH($B60,TA!$D$15:$D$17,0)),0)="Vacant",IFERROR(INDEX(TA!$FL$15:$FL$17,MATCH($B60,TA!$D$15:$D$17,0)),0),IFERROR(INDEX(TA!$EA$15:$EA$17,MATCH($B60,TA!$D$15:$D$17,0)),0))</f>
        <v>0</v>
      </c>
      <c r="U60" s="1484">
        <f>IF(IFERROR(INDEX(TA!$R$15:$R$17,MATCH($B60,TA!$D$15:$D$17,0)),0)="Vacant",IFERROR(INDEX(TA!$FD$15:$FD$17,MATCH($B60,TA!$D$15:$D$17,0)),0),IFERROR(INDEX(TA!$DS$15:$DS$17,MATCH($B60,TA!$D$15:$D$17,0)),0))</f>
        <v>0</v>
      </c>
      <c r="V60" s="1484">
        <f>IF(IFERROR(INDEX(TA!$R$15:$R$17,MATCH($B60,TA!$D$15:$D$17,0)),0)="Vacant",IFERROR(INDEX(TA!$FR$15:$FR$17,MATCH($B60,TA!$D$15:$D$17,0)),0),IFERROR(INDEX(TA!$EH$15:$EH$17,MATCH($B60,TA!$D$15:$D$17,0)),0))</f>
        <v>0</v>
      </c>
      <c r="W60" s="1484">
        <f>IF(IFERROR(INDEX(TA!$R$15:$R$17,MATCH($B60,TA!$D$15:$D$17,0)),0)="Vacant",IFERROR(INDEX(TA!$GF$15:$GF$17,MATCH($B60,TA!$D$15:$D$17,0)),0),IFERROR(INDEX(TA!$EV$15:$EV$17,MATCH($B60,TA!$D$15:$D$17,0)),0))</f>
        <v>0</v>
      </c>
      <c r="X60" s="736">
        <f>IFERROR(INDEX(TA!$BS$15:$BS$17,MATCH($B60,TA!$D$15:$D$17,0)),0)</f>
        <v>0</v>
      </c>
    </row>
    <row r="61" spans="1:24" s="499" customFormat="1">
      <c r="A61" s="49">
        <v>4</v>
      </c>
      <c r="B61" t="str">
        <f t="shared" si="16"/>
        <v>3 - 4</v>
      </c>
      <c r="C61" s="563">
        <f>IFERROR(INDEX(TA!$R$15:$R$17,MATCH($B61,TA!$D$15:$D$17,0)),0)</f>
        <v>0</v>
      </c>
      <c r="D61" s="564"/>
      <c r="E61" s="579">
        <f>IFERROR(INDEX(TA!$U$15:$U$17,MATCH($B61,TA!$D$15:$D$17,0)),0)</f>
        <v>0</v>
      </c>
      <c r="F61" s="702">
        <f>IFERROR(INDEX(TA!$V$15:$V$17,MATCH($B61,TA!$D$15:$D$17,0)),0)</f>
        <v>0</v>
      </c>
      <c r="G61" s="737">
        <f>IFERROR(INDEX(TA!$BN$15:$BN$17,MATCH($B61,TA!$D$15:$D$17,0)),0)</f>
        <v>0</v>
      </c>
      <c r="H61" s="702">
        <f>IFERROR(INDEX(TA!$AG$15:$AG$17,MATCH($B61,TA!$D$15:$D$17,0)),0)</f>
        <v>0</v>
      </c>
      <c r="I61" s="703">
        <f>IFERROR(INDEX(TA!$AH$15:$AH$17,MATCH($B61,TA!$D$15:$D$17,0)),0)</f>
        <v>0</v>
      </c>
      <c r="J61" s="1485">
        <f>IFERROR(INDEX(TA!$GJ$15:$GJ$17,MATCH($B61,TA!$D$15:$D$17,0)),0)</f>
        <v>0</v>
      </c>
      <c r="K61" s="703">
        <f>IFERROR(INDEX(TA!$BH$15:$BH$17,MATCH($B61,TA!$D$15:$D$17,0)),0)</f>
        <v>0</v>
      </c>
      <c r="L61" s="568">
        <f>IFERROR(INDEX(TA!$AE$15:$AE$17,(MATCH($B61,TA!$D$15:$D$17,0))),0)</f>
        <v>0</v>
      </c>
      <c r="M61" s="565">
        <f t="shared" si="17"/>
        <v>0</v>
      </c>
      <c r="N61" s="566">
        <f>IFERROR(INDEX(TA!$BF$15:$BF$17,MATCH($B61,TA!$D$15:$D$17,0)),0)</f>
        <v>0</v>
      </c>
      <c r="O61" s="1548">
        <f>IFERROR(INDEX(TA!$CI$15:$CI$17,MATCH($B61,TA!$D$15:$D$17,0)),0)</f>
        <v>0</v>
      </c>
      <c r="P61" s="565">
        <f>IF(AND(K61&lt;&gt;0,M61&gt;H61),H61,M61)*(M61&gt;0)</f>
        <v>0</v>
      </c>
      <c r="Q61" s="1483">
        <f>IFERROR(INDEX(TA!$CQ$15:$CQ$17,MATCH($B61,TA!$D$15:$D$17,0)),0)</f>
        <v>0</v>
      </c>
      <c r="R61" s="570">
        <f>IFERROR(INDEX(TA!$CW$15:$CW$17,MATCH($B61,TA!$D$15:$D$17,0)),0)</f>
        <v>0</v>
      </c>
      <c r="S61" s="1484">
        <f>IFERROR(INDEX(TA!$DK$15:$DK$17,MATCH($B61,TA!$D$15:$D$17,0)),0)</f>
        <v>0</v>
      </c>
      <c r="T61" s="1483">
        <f>IF(IFERROR(INDEX(TA!$R$15:$R$17,MATCH($B61,TA!$D$15:$D$17,0)),0)="Vacant",IFERROR(INDEX(TA!$FL$15:$FL$17,MATCH($B61,TA!$D$15:$D$17,0)),0),IFERROR(INDEX(TA!$EA$15:$EA$17,MATCH($B61,TA!$D$15:$D$17,0)),0))</f>
        <v>0</v>
      </c>
      <c r="U61" s="1484">
        <f>IF(IFERROR(INDEX(TA!$R$15:$R$17,MATCH($B61,TA!$D$15:$D$17,0)),0)="Vacant",IFERROR(INDEX(TA!$FD$15:$FD$17,MATCH($B61,TA!$D$15:$D$17,0)),0),IFERROR(INDEX(TA!$DS$15:$DS$17,MATCH($B61,TA!$D$15:$D$17,0)),0))</f>
        <v>0</v>
      </c>
      <c r="V61" s="1484">
        <f>IF(IFERROR(INDEX(TA!$R$15:$R$17,MATCH($B61,TA!$D$15:$D$17,0)),0)="Vacant",IFERROR(INDEX(TA!$FR$15:$FR$17,MATCH($B61,TA!$D$15:$D$17,0)),0),IFERROR(INDEX(TA!$EH$15:$EH$17,MATCH($B61,TA!$D$15:$D$17,0)),0))</f>
        <v>0</v>
      </c>
      <c r="W61" s="1484">
        <f>IF(IFERROR(INDEX(TA!$R$15:$R$17,MATCH($B61,TA!$D$15:$D$17,0)),0)="Vacant",IFERROR(INDEX(TA!$GF$15:$GF$17,MATCH($B61,TA!$D$15:$D$17,0)),0),IFERROR(INDEX(TA!$EV$15:$EV$17,MATCH($B61,TA!$D$15:$D$17,0)),0))</f>
        <v>0</v>
      </c>
      <c r="X61" s="736">
        <f>IFERROR(INDEX(TA!$BS$15:$BS$17,MATCH($B61,TA!$D$15:$D$17,0)),0)</f>
        <v>0</v>
      </c>
    </row>
    <row r="62" spans="1:24" s="499" customFormat="1">
      <c r="A62" s="49">
        <v>5</v>
      </c>
      <c r="B62" t="str">
        <f t="shared" si="16"/>
        <v>3 - 5</v>
      </c>
      <c r="C62" s="563">
        <f>IFERROR(INDEX(TA!$R$15:$R$17,MATCH($B62,TA!$D$15:$D$17,0)),0)</f>
        <v>0</v>
      </c>
      <c r="D62" s="564"/>
      <c r="E62" s="579">
        <f>IFERROR(INDEX(TA!$U$15:$U$17,MATCH($B62,TA!$D$15:$D$17,0)),0)</f>
        <v>0</v>
      </c>
      <c r="F62" s="702">
        <f>IFERROR(INDEX(TA!$V$15:$V$17,MATCH($B62,TA!$D$15:$D$17,0)),0)</f>
        <v>0</v>
      </c>
      <c r="G62" s="737">
        <f>IFERROR(INDEX(TA!$BN$15:$BN$17,MATCH($B62,TA!$D$15:$D$17,0)),0)</f>
        <v>0</v>
      </c>
      <c r="H62" s="702">
        <f>IFERROR(INDEX(TA!$AG$15:$AG$17,MATCH($B62,TA!$D$15:$D$17,0)),0)</f>
        <v>0</v>
      </c>
      <c r="I62" s="703">
        <f>IFERROR(INDEX(TA!$AH$15:$AH$17,MATCH($B62,TA!$D$15:$D$17,0)),0)</f>
        <v>0</v>
      </c>
      <c r="J62" s="1485">
        <f>IFERROR(INDEX(TA!$GJ$15:$GJ$17,MATCH($B62,TA!$D$15:$D$17,0)),0)</f>
        <v>0</v>
      </c>
      <c r="K62" s="703">
        <f>IFERROR(INDEX(TA!$BH$15:$BH$17,MATCH($B62,TA!$D$15:$D$17,0)),0)</f>
        <v>0</v>
      </c>
      <c r="L62" s="568">
        <f>IFERROR(INDEX(TA!$AE$15:$AE$17,(MATCH($B62,TA!$D$15:$D$17,0))),0)</f>
        <v>0</v>
      </c>
      <c r="M62" s="565">
        <f t="shared" si="17"/>
        <v>0</v>
      </c>
      <c r="N62" s="566">
        <f>IFERROR(INDEX(TA!$BF$15:$BF$17,MATCH($B62,TA!$D$15:$D$17,0)),0)</f>
        <v>0</v>
      </c>
      <c r="O62" s="1548">
        <f>IFERROR(INDEX(TA!$CI$15:$CI$17,MATCH($B62,TA!$D$15:$D$17,0)),0)</f>
        <v>0</v>
      </c>
      <c r="P62" s="565">
        <f>IF(AND(K62&lt;&gt;0,M62&gt;H62),H62,M62)*(M62&gt;0)</f>
        <v>0</v>
      </c>
      <c r="Q62" s="1483">
        <f>IFERROR(INDEX(TA!$CQ$15:$CQ$17,MATCH($B62,TA!$D$15:$D$17,0)),0)</f>
        <v>0</v>
      </c>
      <c r="R62" s="570">
        <f>IFERROR(INDEX(TA!$CW$15:$CW$17,MATCH($B62,TA!$D$15:$D$17,0)),0)</f>
        <v>0</v>
      </c>
      <c r="S62" s="1484">
        <f>IFERROR(INDEX(TA!$DK$15:$DK$17,MATCH($B62,TA!$D$15:$D$17,0)),0)</f>
        <v>0</v>
      </c>
      <c r="T62" s="1483">
        <f>IF(IFERROR(INDEX(TA!$R$15:$R$17,MATCH($B62,TA!$D$15:$D$17,0)),0)="Vacant",IFERROR(INDEX(TA!$FL$15:$FL$17,MATCH($B62,TA!$D$15:$D$17,0)),0),IFERROR(INDEX(TA!$EA$15:$EA$17,MATCH($B62,TA!$D$15:$D$17,0)),0))</f>
        <v>0</v>
      </c>
      <c r="U62" s="1484">
        <f>IF(IFERROR(INDEX(TA!$R$15:$R$17,MATCH($B62,TA!$D$15:$D$17,0)),0)="Vacant",IFERROR(INDEX(TA!$FD$15:$FD$17,MATCH($B62,TA!$D$15:$D$17,0)),0),IFERROR(INDEX(TA!$DS$15:$DS$17,MATCH($B62,TA!$D$15:$D$17,0)),0))</f>
        <v>0</v>
      </c>
      <c r="V62" s="1484">
        <f>IF(IFERROR(INDEX(TA!$R$15:$R$17,MATCH($B62,TA!$D$15:$D$17,0)),0)="Vacant",IFERROR(INDEX(TA!$FR$15:$FR$17,MATCH($B62,TA!$D$15:$D$17,0)),0),IFERROR(INDEX(TA!$EH$15:$EH$17,MATCH($B62,TA!$D$15:$D$17,0)),0))</f>
        <v>0</v>
      </c>
      <c r="W62" s="1484">
        <f>IF(IFERROR(INDEX(TA!$R$15:$R$17,MATCH($B62,TA!$D$15:$D$17,0)),0)="Vacant",IFERROR(INDEX(TA!$GF$15:$GF$17,MATCH($B62,TA!$D$15:$D$17,0)),0),IFERROR(INDEX(TA!$EV$15:$EV$17,MATCH($B62,TA!$D$15:$D$17,0)),0))</f>
        <v>0</v>
      </c>
      <c r="X62" s="736">
        <f>IFERROR(INDEX(TA!$BS$15:$BS$17,MATCH($B62,TA!$D$15:$D$17,0)),0)</f>
        <v>0</v>
      </c>
    </row>
    <row r="63" spans="1:24" s="499" customFormat="1">
      <c r="A63" s="49">
        <v>6</v>
      </c>
      <c r="B63" t="str">
        <f t="shared" si="16"/>
        <v>3 - 6</v>
      </c>
      <c r="C63" s="563">
        <f>IFERROR(INDEX(TA!$R$15:$R$17,MATCH($B63,TA!$D$15:$D$17,0)),0)</f>
        <v>0</v>
      </c>
      <c r="D63" s="564"/>
      <c r="E63" s="579">
        <f>IFERROR(INDEX(TA!$U$15:$U$17,MATCH($B63,TA!$D$15:$D$17,0)),0)</f>
        <v>0</v>
      </c>
      <c r="F63" s="702">
        <f>IFERROR(INDEX(TA!$V$15:$V$17,MATCH($B63,TA!$D$15:$D$17,0)),0)</f>
        <v>0</v>
      </c>
      <c r="G63" s="737">
        <f>IFERROR(INDEX(TA!$BN$15:$BN$17,MATCH($B63,TA!$D$15:$D$17,0)),0)</f>
        <v>0</v>
      </c>
      <c r="H63" s="702">
        <f>IFERROR(INDEX(TA!$AG$15:$AG$17,MATCH($B63,TA!$D$15:$D$17,0)),0)</f>
        <v>0</v>
      </c>
      <c r="I63" s="703">
        <f>IFERROR(INDEX(TA!$AH$15:$AH$17,MATCH($B63,TA!$D$15:$D$17,0)),0)</f>
        <v>0</v>
      </c>
      <c r="J63" s="1485">
        <f>IFERROR(INDEX(TA!$GJ$15:$GJ$17,MATCH($B63,TA!$D$15:$D$17,0)),0)</f>
        <v>0</v>
      </c>
      <c r="K63" s="703">
        <f>IFERROR(INDEX(TA!$BH$15:$BH$17,MATCH($B63,TA!$D$15:$D$17,0)),0)</f>
        <v>0</v>
      </c>
      <c r="L63" s="568">
        <f>IFERROR(INDEX(TA!$AE$15:$AE$17,(MATCH($B63,TA!$D$15:$D$17,0))),0)</f>
        <v>0</v>
      </c>
      <c r="M63" s="565">
        <f t="shared" si="17"/>
        <v>0</v>
      </c>
      <c r="N63" s="566">
        <f>IFERROR(INDEX(TA!$BF$15:$BF$17,MATCH($B63,TA!$D$15:$D$17,0)),0)</f>
        <v>0</v>
      </c>
      <c r="O63" s="1548">
        <f>IFERROR(INDEX(TA!$CI$15:$CI$17,MATCH($B63,TA!$D$15:$D$17,0)),0)</f>
        <v>0</v>
      </c>
      <c r="P63" s="565">
        <f>IF(AND(K63&lt;&gt;0,H63&gt;M63),M63,H63)*(M63&gt;0)</f>
        <v>0</v>
      </c>
      <c r="Q63" s="1483">
        <f>IFERROR(INDEX(TA!$CQ$15:$CQ$17,MATCH($B63,TA!$D$15:$D$17,0)),0)</f>
        <v>0</v>
      </c>
      <c r="R63" s="570">
        <f>IFERROR(INDEX(TA!$CW$15:$CW$17,MATCH($B63,TA!$D$15:$D$17,0)),0)</f>
        <v>0</v>
      </c>
      <c r="S63" s="1484">
        <f>IFERROR(INDEX(TA!$DK$15:$DK$17,MATCH($B63,TA!$D$15:$D$17,0)),0)</f>
        <v>0</v>
      </c>
      <c r="T63" s="1483">
        <f>IF(IFERROR(INDEX(TA!$R$15:$R$17,MATCH($B63,TA!$D$15:$D$17,0)),0)="Vacant",IFERROR(INDEX(TA!$FL$15:$FL$17,MATCH($B63,TA!$D$15:$D$17,0)),0),IFERROR(INDEX(TA!$EA$15:$EA$17,MATCH($B63,TA!$D$15:$D$17,0)),0))</f>
        <v>0</v>
      </c>
      <c r="U63" s="1484">
        <f>IF(IFERROR(INDEX(TA!$R$15:$R$17,MATCH($B63,TA!$D$15:$D$17,0)),0)="Vacant",IFERROR(INDEX(TA!$FD$15:$FD$17,MATCH($B63,TA!$D$15:$D$17,0)),0),IFERROR(INDEX(TA!$DS$15:$DS$17,MATCH($B63,TA!$D$15:$D$17,0)),0))</f>
        <v>0</v>
      </c>
      <c r="V63" s="1484">
        <f>IF(IFERROR(INDEX(TA!$R$15:$R$17,MATCH($B63,TA!$D$15:$D$17,0)),0)="Vacant",IFERROR(INDEX(TA!$FR$15:$FR$17,MATCH($B63,TA!$D$15:$D$17,0)),0),IFERROR(INDEX(TA!$EH$15:$EH$17,MATCH($B63,TA!$D$15:$D$17,0)),0))</f>
        <v>0</v>
      </c>
      <c r="W63" s="1484">
        <f>IF(IFERROR(INDEX(TA!$R$15:$R$17,MATCH($B63,TA!$D$15:$D$17,0)),0)="Vacant",IFERROR(INDEX(TA!$GF$15:$GF$17,MATCH($B63,TA!$D$15:$D$17,0)),0),IFERROR(INDEX(TA!$EV$15:$EV$17,MATCH($B63,TA!$D$15:$D$17,0)),0))</f>
        <v>0</v>
      </c>
      <c r="X63" s="736">
        <f>IFERROR(INDEX(TA!$BS$15:$BS$17,MATCH($B63,TA!$D$15:$D$17,0)),0)</f>
        <v>0</v>
      </c>
    </row>
    <row r="64" spans="1:24" s="499" customFormat="1">
      <c r="A64" s="49">
        <v>7</v>
      </c>
      <c r="B64" t="str">
        <f t="shared" si="16"/>
        <v>3 - 7</v>
      </c>
      <c r="C64" s="563">
        <f>IFERROR(INDEX(TA!$R$15:$R$17,MATCH($B64,TA!$D$15:$D$17,0)),0)</f>
        <v>0</v>
      </c>
      <c r="D64" s="564"/>
      <c r="E64" s="579">
        <f>IFERROR(INDEX(TA!$U$15:$U$17,MATCH($B64,TA!$D$15:$D$17,0)),0)</f>
        <v>0</v>
      </c>
      <c r="F64" s="702">
        <f>IFERROR(INDEX(TA!$V$15:$V$17,MATCH($B64,TA!$D$15:$D$17,0)),0)</f>
        <v>0</v>
      </c>
      <c r="G64" s="737">
        <f>IFERROR(INDEX(TA!$BN$15:$BN$17,MATCH($B64,TA!$D$15:$D$17,0)),0)</f>
        <v>0</v>
      </c>
      <c r="H64" s="702">
        <f>IFERROR(INDEX(TA!$AG$15:$AG$17,MATCH($B64,TA!$D$15:$D$17,0)),0)</f>
        <v>0</v>
      </c>
      <c r="I64" s="703">
        <f>IFERROR(INDEX(TA!$AH$15:$AH$17,MATCH($B64,TA!$D$15:$D$17,0)),0)</f>
        <v>0</v>
      </c>
      <c r="J64" s="1485">
        <f>IFERROR(INDEX(TA!$GJ$15:$GJ$17,MATCH($B64,TA!$D$15:$D$17,0)),0)</f>
        <v>0</v>
      </c>
      <c r="K64" s="703">
        <f>IFERROR(INDEX(TA!$BH$15:$BH$17,MATCH($B64,TA!$D$15:$D$17,0)),0)</f>
        <v>0</v>
      </c>
      <c r="L64" s="568">
        <f>IFERROR(INDEX(TA!$AE$15:$AE$17,(MATCH($B64,TA!$D$15:$D$17,0))),0)</f>
        <v>0</v>
      </c>
      <c r="M64" s="565">
        <f t="shared" si="17"/>
        <v>0</v>
      </c>
      <c r="N64" s="566">
        <f>IFERROR(INDEX(TA!$BF$15:$BF$17,MATCH($B64,TA!$D$15:$D$17,0)),0)</f>
        <v>0</v>
      </c>
      <c r="O64" s="1548">
        <f>IFERROR(INDEX(TA!$CI$15:$CI$17,MATCH($B64,TA!$D$15:$D$17,0)),0)</f>
        <v>0</v>
      </c>
      <c r="P64" s="565">
        <f>IF(AND(K64&lt;&gt;0,H64&gt;M64),M64,H64)*(M64&gt;0)</f>
        <v>0</v>
      </c>
      <c r="Q64" s="1483">
        <f>IFERROR(INDEX(TA!$CQ$15:$CQ$17,MATCH($B64,TA!$D$15:$D$17,0)),0)</f>
        <v>0</v>
      </c>
      <c r="R64" s="570">
        <f>IFERROR(INDEX(TA!$CW$15:$CW$17,MATCH($B64,TA!$D$15:$D$17,0)),0)</f>
        <v>0</v>
      </c>
      <c r="S64" s="1484">
        <f>IFERROR(INDEX(TA!$DK$15:$DK$17,MATCH($B64,TA!$D$15:$D$17,0)),0)</f>
        <v>0</v>
      </c>
      <c r="T64" s="1483">
        <f>IF(IFERROR(INDEX(TA!$R$15:$R$17,MATCH($B64,TA!$D$15:$D$17,0)),0)="Vacant",IFERROR(INDEX(TA!$FL$15:$FL$17,MATCH($B64,TA!$D$15:$D$17,0)),0),IFERROR(INDEX(TA!$EA$15:$EA$17,MATCH($B64,TA!$D$15:$D$17,0)),0))</f>
        <v>0</v>
      </c>
      <c r="U64" s="1484">
        <f>IF(IFERROR(INDEX(TA!$R$15:$R$17,MATCH($B64,TA!$D$15:$D$17,0)),0)="Vacant",IFERROR(INDEX(TA!$FD$15:$FD$17,MATCH($B64,TA!$D$15:$D$17,0)),0),IFERROR(INDEX(TA!$DS$15:$DS$17,MATCH($B64,TA!$D$15:$D$17,0)),0))</f>
        <v>0</v>
      </c>
      <c r="V64" s="1484">
        <f>IF(IFERROR(INDEX(TA!$R$15:$R$17,MATCH($B64,TA!$D$15:$D$17,0)),0)="Vacant",IFERROR(INDEX(TA!$FR$15:$FR$17,MATCH($B64,TA!$D$15:$D$17,0)),0),IFERROR(INDEX(TA!$EH$15:$EH$17,MATCH($B64,TA!$D$15:$D$17,0)),0))</f>
        <v>0</v>
      </c>
      <c r="W64" s="1484">
        <f>IF(IFERROR(INDEX(TA!$R$15:$R$17,MATCH($B64,TA!$D$15:$D$17,0)),0)="Vacant",IFERROR(INDEX(TA!$GF$15:$GF$17,MATCH($B64,TA!$D$15:$D$17,0)),0),IFERROR(INDEX(TA!$EV$15:$EV$17,MATCH($B64,TA!$D$15:$D$17,0)),0))</f>
        <v>0</v>
      </c>
      <c r="X64" s="736">
        <f>IFERROR(INDEX(TA!$BS$15:$BS$17,MATCH($B64,TA!$D$15:$D$17,0)),0)</f>
        <v>0</v>
      </c>
    </row>
    <row r="65" spans="1:25" s="499" customFormat="1">
      <c r="A65" s="49">
        <v>8</v>
      </c>
      <c r="B65" t="str">
        <f t="shared" si="16"/>
        <v>3 - 8</v>
      </c>
      <c r="C65" s="563">
        <f>IFERROR(INDEX(TA!$R$15:$R$17,MATCH($B65,TA!$D$15:$D$17,0)),0)</f>
        <v>0</v>
      </c>
      <c r="D65" s="564"/>
      <c r="E65" s="579">
        <f>IFERROR(INDEX(TA!$U$15:$U$17,MATCH($B65,TA!$D$15:$D$17,0)),0)</f>
        <v>0</v>
      </c>
      <c r="F65" s="702">
        <f>IFERROR(INDEX(TA!$V$15:$V$17,MATCH($B65,TA!$D$15:$D$17,0)),0)</f>
        <v>0</v>
      </c>
      <c r="G65" s="737">
        <f>IFERROR(INDEX(TA!$BN$15:$BN$17,MATCH($B65,TA!$D$15:$D$17,0)),0)</f>
        <v>0</v>
      </c>
      <c r="H65" s="702">
        <f>IFERROR(INDEX(TA!$AG$15:$AG$17,MATCH($B65,TA!$D$15:$D$17,0)),0)</f>
        <v>0</v>
      </c>
      <c r="I65" s="703">
        <f>IFERROR(INDEX(TA!$AH$15:$AH$17,MATCH($B65,TA!$D$15:$D$17,0)),0)</f>
        <v>0</v>
      </c>
      <c r="J65" s="1485">
        <f>IFERROR(INDEX(TA!$GJ$15:$GJ$17,MATCH($B65,TA!$D$15:$D$17,0)),0)</f>
        <v>0</v>
      </c>
      <c r="K65" s="703">
        <f>IFERROR(INDEX(TA!$BH$15:$BH$17,MATCH($B65,TA!$D$15:$D$17,0)),0)</f>
        <v>0</v>
      </c>
      <c r="L65" s="568">
        <f>IFERROR(INDEX(TA!$AE$15:$AE$17,(MATCH($B65,TA!$D$15:$D$17,0))),0)</f>
        <v>0</v>
      </c>
      <c r="M65" s="565">
        <f t="shared" si="17"/>
        <v>0</v>
      </c>
      <c r="N65" s="566">
        <f>IFERROR(INDEX(TA!$BF$15:$BF$17,MATCH($B65,TA!$D$15:$D$17,0)),0)</f>
        <v>0</v>
      </c>
      <c r="O65" s="1548">
        <f>IFERROR(INDEX(TA!$CI$15:$CI$17,MATCH($B65,TA!$D$15:$D$17,0)),0)</f>
        <v>0</v>
      </c>
      <c r="P65" s="565">
        <f>IF(AND(K65&lt;&gt;0,H65&gt;M65),M65,H65)*(M65&gt;0)</f>
        <v>0</v>
      </c>
      <c r="Q65" s="1483">
        <f>IFERROR(INDEX(TA!$CQ$15:$CQ$17,MATCH($B65,TA!$D$15:$D$17,0)),0)</f>
        <v>0</v>
      </c>
      <c r="R65" s="570">
        <f>IFERROR(INDEX(TA!$CW$15:$CW$17,MATCH($B65,TA!$D$15:$D$17,0)),0)</f>
        <v>0</v>
      </c>
      <c r="S65" s="1484">
        <f>IFERROR(INDEX(TA!$DK$15:$DK$17,MATCH($B65,TA!$D$15:$D$17,0)),0)</f>
        <v>0</v>
      </c>
      <c r="T65" s="1483">
        <f>IF(IFERROR(INDEX(TA!$R$15:$R$17,MATCH($B65,TA!$D$15:$D$17,0)),0)="Vacant",IFERROR(INDEX(TA!$FL$15:$FL$17,MATCH($B65,TA!$D$15:$D$17,0)),0),IFERROR(INDEX(TA!$EA$15:$EA$17,MATCH($B65,TA!$D$15:$D$17,0)),0))</f>
        <v>0</v>
      </c>
      <c r="U65" s="1484">
        <f>IF(IFERROR(INDEX(TA!$R$15:$R$17,MATCH($B65,TA!$D$15:$D$17,0)),0)="Vacant",IFERROR(INDEX(TA!$FD$15:$FD$17,MATCH($B65,TA!$D$15:$D$17,0)),0),IFERROR(INDEX(TA!$DS$15:$DS$17,MATCH($B65,TA!$D$15:$D$17,0)),0))</f>
        <v>0</v>
      </c>
      <c r="V65" s="1484">
        <f>IF(IFERROR(INDEX(TA!$R$15:$R$17,MATCH($B65,TA!$D$15:$D$17,0)),0)="Vacant",IFERROR(INDEX(TA!$FR$15:$FR$17,MATCH($B65,TA!$D$15:$D$17,0)),0),IFERROR(INDEX(TA!$EH$15:$EH$17,MATCH($B65,TA!$D$15:$D$17,0)),0))</f>
        <v>0</v>
      </c>
      <c r="W65" s="1484">
        <f>IF(IFERROR(INDEX(TA!$R$15:$R$17,MATCH($B65,TA!$D$15:$D$17,0)),0)="Vacant",IFERROR(INDEX(TA!$GF$15:$GF$17,MATCH($B65,TA!$D$15:$D$17,0)),0),IFERROR(INDEX(TA!$EV$15:$EV$17,MATCH($B65,TA!$D$15:$D$17,0)),0))</f>
        <v>0</v>
      </c>
      <c r="X65" s="736">
        <f>IFERROR(INDEX(TA!$BS$15:$BS$17,MATCH($B65,TA!$D$15:$D$17,0)),0)</f>
        <v>0</v>
      </c>
    </row>
    <row r="66" spans="1:25" s="499" customFormat="1">
      <c r="A66" s="49">
        <v>9</v>
      </c>
      <c r="B66" t="str">
        <f t="shared" si="16"/>
        <v>3 - 9</v>
      </c>
      <c r="C66" s="563">
        <f>IFERROR(INDEX(TA!$R$15:$R$17,MATCH($B66,TA!$D$15:$D$17,0)),0)</f>
        <v>0</v>
      </c>
      <c r="D66" s="564"/>
      <c r="E66" s="579">
        <f>IFERROR(INDEX(TA!$U$15:$U$17,MATCH($B66,TA!$D$15:$D$17,0)),0)</f>
        <v>0</v>
      </c>
      <c r="F66" s="702">
        <f>IFERROR(INDEX(TA!$V$15:$V$17,MATCH($B66,TA!$D$15:$D$17,0)),0)</f>
        <v>0</v>
      </c>
      <c r="G66" s="737">
        <f>IFERROR(INDEX(TA!$BN$15:$BN$17,MATCH($B66,TA!$D$15:$D$17,0)),0)</f>
        <v>0</v>
      </c>
      <c r="H66" s="702">
        <f>IFERROR(INDEX(TA!$AG$15:$AG$17,MATCH($B66,TA!$D$15:$D$17,0)),0)</f>
        <v>0</v>
      </c>
      <c r="I66" s="703">
        <f>IFERROR(INDEX(TA!$AH$15:$AH$17,MATCH($B66,TA!$D$15:$D$17,0)),0)</f>
        <v>0</v>
      </c>
      <c r="J66" s="1485">
        <f>IFERROR(INDEX(TA!$GJ$15:$GJ$17,MATCH($B66,TA!$D$15:$D$17,0)),0)</f>
        <v>0</v>
      </c>
      <c r="K66" s="703">
        <f>IFERROR(INDEX(TA!$BH$15:$BH$17,MATCH($B66,TA!$D$15:$D$17,0)),0)</f>
        <v>0</v>
      </c>
      <c r="L66" s="568">
        <f>IFERROR(INDEX(TA!$AE$15:$AE$17,(MATCH($B66,TA!$D$15:$D$17,0))),0)</f>
        <v>0</v>
      </c>
      <c r="M66" s="565">
        <f t="shared" si="17"/>
        <v>0</v>
      </c>
      <c r="N66" s="566">
        <f>IFERROR(INDEX(TA!$BF$15:$BF$17,MATCH($B66,TA!$D$15:$D$17,0)),0)</f>
        <v>0</v>
      </c>
      <c r="O66" s="1548">
        <f>IFERROR(INDEX(TA!$CI$15:$CI$17,MATCH($B66,TA!$D$15:$D$17,0)),0)</f>
        <v>0</v>
      </c>
      <c r="P66" s="565">
        <f>IF(AND(K66&lt;&gt;0,H66&gt;M66),M66,H66)*(M66&gt;0)</f>
        <v>0</v>
      </c>
      <c r="Q66" s="1483">
        <f>IFERROR(INDEX(TA!$CQ$15:$CQ$17,MATCH($B66,TA!$D$15:$D$17,0)),0)</f>
        <v>0</v>
      </c>
      <c r="R66" s="570">
        <f>IFERROR(INDEX(TA!$CW$15:$CW$17,MATCH($B66,TA!$D$15:$D$17,0)),0)</f>
        <v>0</v>
      </c>
      <c r="S66" s="1484">
        <f>IFERROR(INDEX(TA!$DK$15:$DK$17,MATCH($B66,TA!$D$15:$D$17,0)),0)</f>
        <v>0</v>
      </c>
      <c r="T66" s="1483">
        <f>IF(IFERROR(INDEX(TA!$R$15:$R$17,MATCH($B66,TA!$D$15:$D$17,0)),0)="Vacant",IFERROR(INDEX(TA!$FL$15:$FL$17,MATCH($B66,TA!$D$15:$D$17,0)),0),IFERROR(INDEX(TA!$EA$15:$EA$17,MATCH($B66,TA!$D$15:$D$17,0)),0))</f>
        <v>0</v>
      </c>
      <c r="U66" s="1484">
        <f>IF(IFERROR(INDEX(TA!$R$15:$R$17,MATCH($B66,TA!$D$15:$D$17,0)),0)="Vacant",IFERROR(INDEX(TA!$FD$15:$FD$17,MATCH($B66,TA!$D$15:$D$17,0)),0),IFERROR(INDEX(TA!$DS$15:$DS$17,MATCH($B66,TA!$D$15:$D$17,0)),0))</f>
        <v>0</v>
      </c>
      <c r="V66" s="1484">
        <f>IF(IFERROR(INDEX(TA!$R$15:$R$17,MATCH($B66,TA!$D$15:$D$17,0)),0)="Vacant",IFERROR(INDEX(TA!$FR$15:$FR$17,MATCH($B66,TA!$D$15:$D$17,0)),0),IFERROR(INDEX(TA!$EH$15:$EH$17,MATCH($B66,TA!$D$15:$D$17,0)),0))</f>
        <v>0</v>
      </c>
      <c r="W66" s="1484">
        <f>IF(IFERROR(INDEX(TA!$R$15:$R$17,MATCH($B66,TA!$D$15:$D$17,0)),0)="Vacant",IFERROR(INDEX(TA!$GF$15:$GF$17,MATCH($B66,TA!$D$15:$D$17,0)),0),IFERROR(INDEX(TA!$EV$15:$EV$17,MATCH($B66,TA!$D$15:$D$17,0)),0))</f>
        <v>0</v>
      </c>
      <c r="X66" s="736">
        <f>IFERROR(INDEX(TA!$BS$15:$BS$17,MATCH($B66,TA!$D$15:$D$17,0)),0)</f>
        <v>0</v>
      </c>
    </row>
    <row r="67" spans="1:25" s="499" customFormat="1">
      <c r="A67" s="49">
        <v>10</v>
      </c>
      <c r="B67" t="str">
        <f t="shared" si="16"/>
        <v>3 - 10</v>
      </c>
      <c r="C67" s="563">
        <f>IFERROR(INDEX(TA!$R$15:$R$17,MATCH($B67,TA!$D$15:$D$17,0)),0)</f>
        <v>0</v>
      </c>
      <c r="D67" s="564"/>
      <c r="E67" s="579">
        <f>IFERROR(INDEX(TA!$U$15:$U$17,MATCH($B67,TA!$D$15:$D$17,0)),0)</f>
        <v>0</v>
      </c>
      <c r="F67" s="702">
        <f>IFERROR(INDEX(TA!$V$15:$V$17,MATCH($B67,TA!$D$15:$D$17,0)),0)</f>
        <v>0</v>
      </c>
      <c r="G67" s="737">
        <f>IFERROR(INDEX(TA!$BN$15:$BN$17,MATCH($B67,TA!$D$15:$D$17,0)),0)</f>
        <v>0</v>
      </c>
      <c r="H67" s="702">
        <f>IFERROR(INDEX(TA!$AG$15:$AG$17,MATCH($B67,TA!$D$15:$D$17,0)),0)</f>
        <v>0</v>
      </c>
      <c r="I67" s="703">
        <f>IFERROR(INDEX(TA!$AH$15:$AH$17,MATCH($B67,TA!$D$15:$D$17,0)),0)</f>
        <v>0</v>
      </c>
      <c r="J67" s="1485">
        <f>IFERROR(INDEX(TA!$GJ$15:$GJ$17,MATCH($B67,TA!$D$15:$D$17,0)),0)</f>
        <v>0</v>
      </c>
      <c r="K67" s="703">
        <f>IFERROR(INDEX(TA!$BH$15:$BH$17,MATCH($B67,TA!$D$15:$D$17,0)),0)</f>
        <v>0</v>
      </c>
      <c r="L67" s="568">
        <f>IFERROR(INDEX(TA!$AE$15:$AE$17,(MATCH($B67,TA!$D$15:$D$17,0))),0)</f>
        <v>0</v>
      </c>
      <c r="M67" s="565">
        <f t="shared" si="17"/>
        <v>0</v>
      </c>
      <c r="N67" s="566">
        <f>IFERROR(INDEX(TA!$BF$15:$BF$17,MATCH($B67,TA!$D$15:$D$17,0)),0)</f>
        <v>0</v>
      </c>
      <c r="O67" s="1548">
        <f>IFERROR(INDEX(TA!$CI$15:$CI$17,MATCH($B67,TA!$D$15:$D$17,0)),0)</f>
        <v>0</v>
      </c>
      <c r="P67" s="565">
        <f>IF(AND(K67&lt;&gt;0,H67&gt;M67),M67,H67)*(M67&gt;0)</f>
        <v>0</v>
      </c>
      <c r="Q67" s="1483">
        <f>IFERROR(INDEX(TA!$CQ$15:$CQ$17,MATCH($B67,TA!$D$15:$D$17,0)),0)</f>
        <v>0</v>
      </c>
      <c r="R67" s="570">
        <f>IFERROR(INDEX(TA!$CW$15:$CW$17,MATCH($B67,TA!$D$15:$D$17,0)),0)</f>
        <v>0</v>
      </c>
      <c r="S67" s="1484">
        <f>IFERROR(INDEX(TA!$DK$15:$DK$17,MATCH($B67,TA!$D$15:$D$17,0)),0)</f>
        <v>0</v>
      </c>
      <c r="T67" s="1483">
        <f>IF(IFERROR(INDEX(TA!$R$15:$R$17,MATCH($B67,TA!$D$15:$D$17,0)),0)="Vacant",IFERROR(INDEX(TA!$FL$15:$FL$17,MATCH($B67,TA!$D$15:$D$17,0)),0),IFERROR(INDEX(TA!$EA$15:$EA$17,MATCH($B67,TA!$D$15:$D$17,0)),0))</f>
        <v>0</v>
      </c>
      <c r="U67" s="1484">
        <f>IF(IFERROR(INDEX(TA!$R$15:$R$17,MATCH($B67,TA!$D$15:$D$17,0)),0)="Vacant",IFERROR(INDEX(TA!$FD$15:$FD$17,MATCH($B67,TA!$D$15:$D$17,0)),0),IFERROR(INDEX(TA!$DS$15:$DS$17,MATCH($B67,TA!$D$15:$D$17,0)),0))</f>
        <v>0</v>
      </c>
      <c r="V67" s="1484">
        <f>IF(IFERROR(INDEX(TA!$R$15:$R$17,MATCH($B67,TA!$D$15:$D$17,0)),0)="Vacant",IFERROR(INDEX(TA!$FR$15:$FR$17,MATCH($B67,TA!$D$15:$D$17,0)),0),IFERROR(INDEX(TA!$EH$15:$EH$17,MATCH($B67,TA!$D$15:$D$17,0)),0))</f>
        <v>0</v>
      </c>
      <c r="W67" s="1484">
        <f>IF(IFERROR(INDEX(TA!$R$15:$R$17,MATCH($B67,TA!$D$15:$D$17,0)),0)="Vacant",IFERROR(INDEX(TA!$GF$15:$GF$17,MATCH($B67,TA!$D$15:$D$17,0)),0),IFERROR(INDEX(TA!$EV$15:$EV$17,MATCH($B67,TA!$D$15:$D$17,0)),0))</f>
        <v>0</v>
      </c>
      <c r="X67" s="736">
        <f>IFERROR(INDEX(TA!$BS$15:$BS$17,MATCH($B67,TA!$D$15:$D$17,0)),0)</f>
        <v>0</v>
      </c>
    </row>
    <row r="68" spans="1:25" s="499" customFormat="1">
      <c r="A68" s="49"/>
      <c r="B68"/>
      <c r="C68" s="563"/>
      <c r="D68" s="564"/>
      <c r="E68" s="564"/>
      <c r="F68" s="549"/>
      <c r="H68" s="565"/>
      <c r="I68" s="566"/>
      <c r="J68" s="567"/>
      <c r="K68" s="555"/>
      <c r="L68" s="568"/>
      <c r="M68" s="565"/>
      <c r="N68" s="566"/>
      <c r="O68" s="566"/>
      <c r="P68" s="565"/>
      <c r="Q68" s="569"/>
      <c r="R68" s="570"/>
      <c r="S68" s="570"/>
      <c r="T68" s="569"/>
      <c r="U68" s="570"/>
      <c r="V68" s="570"/>
      <c r="W68" s="570"/>
      <c r="X68" s="509"/>
    </row>
    <row r="69" spans="1:25" s="499" customFormat="1">
      <c r="A69" s="49"/>
      <c r="B69"/>
      <c r="C69" s="496" t="s">
        <v>1044</v>
      </c>
      <c r="D69" s="573"/>
      <c r="E69" s="573"/>
      <c r="F69" s="561"/>
      <c r="G69" s="533"/>
      <c r="H69" s="574"/>
      <c r="I69" s="571"/>
      <c r="J69" s="575"/>
      <c r="K69" s="576"/>
      <c r="L69" s="577"/>
      <c r="M69" s="574"/>
      <c r="N69" s="571"/>
      <c r="O69" s="571"/>
      <c r="P69" s="574"/>
      <c r="Q69" s="578"/>
      <c r="R69" s="572"/>
      <c r="S69" s="572"/>
      <c r="T69" s="578"/>
      <c r="U69" s="572"/>
      <c r="V69" s="572"/>
      <c r="W69" s="572"/>
      <c r="X69" s="739"/>
    </row>
    <row r="70" spans="1:25" s="499" customFormat="1">
      <c r="A70" s="49"/>
      <c r="B70"/>
      <c r="C70" s="579"/>
      <c r="D70" s="564"/>
      <c r="E70" s="564"/>
      <c r="F70" s="549"/>
      <c r="H70" s="565"/>
      <c r="I70" s="566"/>
      <c r="J70" s="567"/>
      <c r="K70" s="555"/>
      <c r="L70" s="568"/>
      <c r="M70" s="565"/>
      <c r="N70" s="566"/>
      <c r="O70" s="566"/>
      <c r="P70" s="565"/>
      <c r="Q70" s="569"/>
      <c r="R70" s="570"/>
      <c r="S70" s="570"/>
      <c r="T70" s="569"/>
      <c r="U70" s="570"/>
      <c r="V70" s="570"/>
      <c r="W70" s="570"/>
    </row>
    <row r="71" spans="1:25" s="499" customFormat="1">
      <c r="A71" s="49"/>
      <c r="B71"/>
      <c r="C71" s="579"/>
      <c r="D71" s="564"/>
      <c r="E71" s="564"/>
      <c r="F71" s="549"/>
      <c r="G71" s="565"/>
      <c r="H71" s="566"/>
      <c r="I71" s="580"/>
      <c r="J71" s="580"/>
      <c r="K71" s="580"/>
      <c r="L71" s="565"/>
      <c r="M71" s="566"/>
      <c r="N71" s="565"/>
      <c r="O71" s="565"/>
      <c r="P71" s="569"/>
      <c r="Q71" s="570"/>
      <c r="R71" s="570"/>
      <c r="S71" s="569"/>
      <c r="T71" s="570"/>
      <c r="U71" s="570"/>
      <c r="V71" s="570"/>
    </row>
    <row r="72" spans="1:25" ht="15" customHeight="1">
      <c r="M72" s="155"/>
      <c r="W72" s="499"/>
      <c r="X72" s="499"/>
      <c r="Y72" s="499"/>
    </row>
    <row r="74" spans="1:25" ht="15" customHeight="1">
      <c r="C74" s="701" t="s">
        <v>4</v>
      </c>
    </row>
    <row r="75" spans="1:25" ht="15" customHeight="1">
      <c r="C75" s="73">
        <v>1</v>
      </c>
    </row>
    <row r="76" spans="1:25" ht="15" customHeight="1">
      <c r="C76" s="73">
        <v>2</v>
      </c>
    </row>
    <row r="77" spans="1:25" ht="15" customHeight="1">
      <c r="C77" s="73">
        <v>3</v>
      </c>
    </row>
    <row r="78" spans="1:25" ht="15" customHeight="1">
      <c r="C78" s="73">
        <v>4</v>
      </c>
    </row>
    <row r="79" spans="1:25" ht="15" customHeight="1">
      <c r="C79" s="73">
        <v>5</v>
      </c>
    </row>
    <row r="80" spans="1:25" ht="15" customHeight="1">
      <c r="C80" s="73">
        <v>6</v>
      </c>
    </row>
    <row r="81" spans="3:3" ht="15" customHeight="1">
      <c r="C81" s="73">
        <v>7</v>
      </c>
    </row>
    <row r="82" spans="3:3" ht="15" customHeight="1">
      <c r="C82" s="73">
        <v>8</v>
      </c>
    </row>
    <row r="83" spans="3:3" ht="15" customHeight="1">
      <c r="C83" s="73">
        <v>9</v>
      </c>
    </row>
    <row r="84" spans="3:3" ht="15" customHeight="1">
      <c r="C84" s="73">
        <v>10</v>
      </c>
    </row>
    <row r="85" spans="3:3" ht="15" customHeight="1">
      <c r="C85" s="73">
        <v>11</v>
      </c>
    </row>
    <row r="86" spans="3:3" ht="15" customHeight="1">
      <c r="C86" s="73">
        <v>12</v>
      </c>
    </row>
    <row r="87" spans="3:3" ht="15" customHeight="1">
      <c r="C87" s="73">
        <v>13</v>
      </c>
    </row>
    <row r="88" spans="3:3" ht="15" customHeight="1">
      <c r="C88" s="73">
        <v>14</v>
      </c>
    </row>
    <row r="89" spans="3:3" ht="15" customHeight="1">
      <c r="C89" s="73">
        <v>15</v>
      </c>
    </row>
    <row r="90" spans="3:3" ht="15" customHeight="1">
      <c r="C90" s="73">
        <v>16</v>
      </c>
    </row>
    <row r="91" spans="3:3" ht="15" customHeight="1">
      <c r="C91" s="73">
        <v>17</v>
      </c>
    </row>
    <row r="92" spans="3:3" ht="15" customHeight="1">
      <c r="C92" s="73">
        <v>18</v>
      </c>
    </row>
    <row r="93" spans="3:3" ht="15" customHeight="1">
      <c r="C93" s="73">
        <v>19</v>
      </c>
    </row>
    <row r="94" spans="3:3" ht="15" customHeight="1">
      <c r="C94" s="73">
        <v>20</v>
      </c>
    </row>
    <row r="95" spans="3:3" ht="15" customHeight="1">
      <c r="C95" s="73">
        <v>21</v>
      </c>
    </row>
    <row r="96" spans="3:3" ht="15" customHeight="1">
      <c r="C96" s="73">
        <v>22</v>
      </c>
    </row>
    <row r="97" spans="3:3" ht="15" customHeight="1">
      <c r="C97" s="73">
        <v>23</v>
      </c>
    </row>
    <row r="98" spans="3:3" ht="15" customHeight="1">
      <c r="C98" s="73">
        <v>24</v>
      </c>
    </row>
    <row r="99" spans="3:3" ht="15" customHeight="1">
      <c r="C99" s="73">
        <v>25</v>
      </c>
    </row>
    <row r="100" spans="3:3" ht="15" customHeight="1">
      <c r="C100" s="73">
        <v>26</v>
      </c>
    </row>
    <row r="101" spans="3:3" ht="15" customHeight="1">
      <c r="C101" s="73">
        <v>27</v>
      </c>
    </row>
    <row r="102" spans="3:3" ht="15" customHeight="1">
      <c r="C102" s="73">
        <v>28</v>
      </c>
    </row>
    <row r="103" spans="3:3" ht="15" customHeight="1">
      <c r="C103" s="73">
        <v>29</v>
      </c>
    </row>
    <row r="104" spans="3:3" ht="15" customHeight="1">
      <c r="C104" s="73">
        <v>30</v>
      </c>
    </row>
    <row r="105" spans="3:3" ht="15" customHeight="1">
      <c r="C105" s="73">
        <v>31</v>
      </c>
    </row>
    <row r="106" spans="3:3" ht="15" customHeight="1">
      <c r="C106" s="73">
        <v>32</v>
      </c>
    </row>
    <row r="107" spans="3:3" ht="15" customHeight="1">
      <c r="C107" s="73">
        <v>33</v>
      </c>
    </row>
    <row r="108" spans="3:3" ht="15" customHeight="1">
      <c r="C108" s="73">
        <v>34</v>
      </c>
    </row>
    <row r="109" spans="3:3" ht="15" customHeight="1">
      <c r="C109" s="73">
        <v>35</v>
      </c>
    </row>
    <row r="110" spans="3:3" ht="15" customHeight="1">
      <c r="C110" s="73">
        <v>36</v>
      </c>
    </row>
    <row r="111" spans="3:3" ht="15" customHeight="1">
      <c r="C111" s="73">
        <v>37</v>
      </c>
    </row>
    <row r="112" spans="3:3" ht="15" customHeight="1">
      <c r="C112" s="73">
        <v>38</v>
      </c>
    </row>
    <row r="113" spans="3:3" ht="15" customHeight="1">
      <c r="C113" s="73">
        <v>39</v>
      </c>
    </row>
    <row r="114" spans="3:3" ht="15" customHeight="1">
      <c r="C114" s="73">
        <v>40</v>
      </c>
    </row>
    <row r="115" spans="3:3" ht="15" customHeight="1">
      <c r="C115" s="73">
        <v>41</v>
      </c>
    </row>
    <row r="116" spans="3:3" ht="15" customHeight="1">
      <c r="C116" s="73">
        <v>42</v>
      </c>
    </row>
    <row r="117" spans="3:3" ht="15" customHeight="1">
      <c r="C117" s="73">
        <v>43</v>
      </c>
    </row>
    <row r="118" spans="3:3" ht="15" customHeight="1">
      <c r="C118" s="73">
        <v>44</v>
      </c>
    </row>
    <row r="119" spans="3:3" ht="15" customHeight="1">
      <c r="C119" s="73">
        <v>45</v>
      </c>
    </row>
    <row r="120" spans="3:3" ht="15" customHeight="1">
      <c r="C120" s="73">
        <v>46</v>
      </c>
    </row>
    <row r="121" spans="3:3" ht="15" customHeight="1">
      <c r="C121" s="73">
        <v>47</v>
      </c>
    </row>
    <row r="122" spans="3:3" ht="15" customHeight="1">
      <c r="C122" s="73">
        <v>48</v>
      </c>
    </row>
    <row r="123" spans="3:3" ht="15" customHeight="1">
      <c r="C123" s="73">
        <v>49</v>
      </c>
    </row>
    <row r="124" spans="3:3" ht="15" customHeight="1">
      <c r="C124" s="73">
        <v>50</v>
      </c>
    </row>
    <row r="125" spans="3:3" ht="15" customHeight="1">
      <c r="C125" s="73">
        <v>51</v>
      </c>
    </row>
    <row r="126" spans="3:3" ht="15" customHeight="1">
      <c r="C126" s="73">
        <v>52</v>
      </c>
    </row>
    <row r="127" spans="3:3" ht="15" customHeight="1">
      <c r="C127" s="73">
        <v>53</v>
      </c>
    </row>
    <row r="128" spans="3:3" ht="15" customHeight="1">
      <c r="C128" s="73">
        <v>54</v>
      </c>
    </row>
    <row r="129" spans="3:3" ht="15" customHeight="1">
      <c r="C129" s="73">
        <v>55</v>
      </c>
    </row>
    <row r="130" spans="3:3" ht="15" customHeight="1">
      <c r="C130" s="73">
        <v>56</v>
      </c>
    </row>
    <row r="131" spans="3:3" ht="15" customHeight="1">
      <c r="C131" s="73">
        <v>57</v>
      </c>
    </row>
    <row r="132" spans="3:3" ht="15" customHeight="1">
      <c r="C132" s="73">
        <v>58</v>
      </c>
    </row>
    <row r="133" spans="3:3" ht="15" customHeight="1">
      <c r="C133" s="73">
        <v>59</v>
      </c>
    </row>
    <row r="134" spans="3:3" ht="15" customHeight="1">
      <c r="C134" s="73">
        <v>60</v>
      </c>
    </row>
    <row r="135" spans="3:3" ht="15" customHeight="1">
      <c r="C135" s="73">
        <v>61</v>
      </c>
    </row>
    <row r="136" spans="3:3" ht="15" customHeight="1">
      <c r="C136" s="73">
        <v>62</v>
      </c>
    </row>
    <row r="137" spans="3:3" ht="15" customHeight="1">
      <c r="C137" s="73">
        <v>63</v>
      </c>
    </row>
    <row r="138" spans="3:3" ht="15" customHeight="1">
      <c r="C138" s="73">
        <v>64</v>
      </c>
    </row>
    <row r="139" spans="3:3" ht="15" customHeight="1">
      <c r="C139" s="73">
        <v>65</v>
      </c>
    </row>
    <row r="140" spans="3:3" ht="15" customHeight="1">
      <c r="C140" s="73">
        <v>66</v>
      </c>
    </row>
    <row r="141" spans="3:3" ht="15" customHeight="1">
      <c r="C141" s="73">
        <v>67</v>
      </c>
    </row>
    <row r="142" spans="3:3" ht="15" customHeight="1">
      <c r="C142" s="73">
        <v>68</v>
      </c>
    </row>
    <row r="143" spans="3:3" ht="15" customHeight="1">
      <c r="C143" s="73">
        <v>69</v>
      </c>
    </row>
    <row r="144" spans="3:3" ht="15" customHeight="1">
      <c r="C144" s="73">
        <v>70</v>
      </c>
    </row>
    <row r="145" spans="3:3" ht="15" customHeight="1">
      <c r="C145" s="73">
        <v>71</v>
      </c>
    </row>
    <row r="146" spans="3:3" ht="15" customHeight="1">
      <c r="C146" s="73">
        <v>72</v>
      </c>
    </row>
    <row r="147" spans="3:3" ht="15" customHeight="1">
      <c r="C147" s="73">
        <v>73</v>
      </c>
    </row>
    <row r="148" spans="3:3" ht="15" customHeight="1">
      <c r="C148" s="73">
        <v>74</v>
      </c>
    </row>
    <row r="149" spans="3:3" ht="15" customHeight="1">
      <c r="C149" s="73">
        <v>75</v>
      </c>
    </row>
    <row r="150" spans="3:3" ht="15" customHeight="1">
      <c r="C150" s="73">
        <v>76</v>
      </c>
    </row>
    <row r="151" spans="3:3" ht="15" customHeight="1">
      <c r="C151" s="73">
        <v>77</v>
      </c>
    </row>
    <row r="152" spans="3:3" ht="15" customHeight="1">
      <c r="C152" s="73">
        <v>78</v>
      </c>
    </row>
    <row r="153" spans="3:3" ht="15" customHeight="1">
      <c r="C153" s="73">
        <v>79</v>
      </c>
    </row>
    <row r="154" spans="3:3" ht="15" customHeight="1">
      <c r="C154" s="73">
        <v>80</v>
      </c>
    </row>
    <row r="155" spans="3:3" ht="15" customHeight="1">
      <c r="C155" s="73">
        <v>81</v>
      </c>
    </row>
    <row r="156" spans="3:3" ht="15" customHeight="1">
      <c r="C156" s="73">
        <v>82</v>
      </c>
    </row>
    <row r="157" spans="3:3" ht="15" customHeight="1">
      <c r="C157" s="73">
        <v>83</v>
      </c>
    </row>
    <row r="158" spans="3:3" ht="15" customHeight="1">
      <c r="C158" s="73">
        <v>84</v>
      </c>
    </row>
    <row r="159" spans="3:3" ht="15" customHeight="1">
      <c r="C159" s="73">
        <v>85</v>
      </c>
    </row>
    <row r="160" spans="3:3" ht="15" customHeight="1">
      <c r="C160" s="73">
        <v>86</v>
      </c>
    </row>
    <row r="161" spans="3:3" ht="15" customHeight="1">
      <c r="C161" s="73">
        <v>87</v>
      </c>
    </row>
    <row r="162" spans="3:3" ht="15" customHeight="1">
      <c r="C162" s="73">
        <v>88</v>
      </c>
    </row>
    <row r="163" spans="3:3" ht="15" customHeight="1">
      <c r="C163" s="73">
        <v>89</v>
      </c>
    </row>
    <row r="164" spans="3:3" ht="15" customHeight="1">
      <c r="C164" s="73">
        <v>90</v>
      </c>
    </row>
    <row r="165" spans="3:3" ht="15" customHeight="1">
      <c r="C165" s="73">
        <v>91</v>
      </c>
    </row>
    <row r="166" spans="3:3" ht="15" customHeight="1">
      <c r="C166" s="73">
        <v>92</v>
      </c>
    </row>
    <row r="167" spans="3:3" ht="15" customHeight="1">
      <c r="C167" s="73">
        <v>93</v>
      </c>
    </row>
    <row r="168" spans="3:3" ht="15" customHeight="1">
      <c r="C168" s="73">
        <v>94</v>
      </c>
    </row>
    <row r="169" spans="3:3" ht="15" customHeight="1">
      <c r="C169" s="73">
        <v>95</v>
      </c>
    </row>
    <row r="170" spans="3:3" ht="15" customHeight="1">
      <c r="C170" s="73">
        <v>96</v>
      </c>
    </row>
    <row r="171" spans="3:3" ht="15" customHeight="1">
      <c r="C171" s="73">
        <v>97</v>
      </c>
    </row>
    <row r="172" spans="3:3" ht="15" customHeight="1">
      <c r="C172" s="73">
        <v>98</v>
      </c>
    </row>
    <row r="173" spans="3:3" ht="15" customHeight="1">
      <c r="C173" s="73">
        <v>99</v>
      </c>
    </row>
    <row r="174" spans="3:3" ht="15" customHeight="1">
      <c r="C174" s="74">
        <v>100</v>
      </c>
    </row>
  </sheetData>
  <mergeCells count="1">
    <mergeCell ref="C33:O36"/>
  </mergeCells>
  <pageMargins left="0.70866141732283472" right="0.70866141732283472" top="0.74803149606299213" bottom="0.74803149606299213" header="0.31496062992125984" footer="0.31496062992125984"/>
  <pageSetup paperSize="9" scale="49" orientation="landscape" r:id="rId1"/>
  <headerFooter>
    <oddHeader>&amp;C&amp;F Asset One Pager</oddHeader>
    <oddFooter>&amp;C- Strictly Private &amp; Confidential -&amp;R&amp;P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5A5F7-DFF7-4487-AEAD-590A47A13BA6}">
  <sheetPr codeName="Sheet7">
    <tabColor rgb="FF89BD3A"/>
    <pageSetUpPr fitToPage="1"/>
  </sheetPr>
  <dimension ref="B1:BZ173"/>
  <sheetViews>
    <sheetView workbookViewId="0">
      <selection activeCell="T36" sqref="T36"/>
    </sheetView>
  </sheetViews>
  <sheetFormatPr baseColWidth="10" defaultColWidth="8" defaultRowHeight="15" outlineLevelRow="1" outlineLevelCol="1"/>
  <cols>
    <col min="1" max="1" width="8" style="586"/>
    <col min="2" max="2" width="23.42578125" style="29" hidden="1" customWidth="1" outlineLevel="1"/>
    <col min="3" max="3" width="2.42578125" style="586" hidden="1" customWidth="1" outlineLevel="1"/>
    <col min="4" max="4" width="34" style="586" customWidth="1" collapsed="1"/>
    <col min="5" max="5" width="16.5703125" style="586" bestFit="1" customWidth="1"/>
    <col min="6" max="6" width="2.5703125" style="586" customWidth="1"/>
    <col min="7" max="17" width="2.5703125" style="586" hidden="1" customWidth="1" outlineLevel="1"/>
    <col min="18" max="18" width="15" style="586" customWidth="1" collapsed="1"/>
    <col min="19" max="19" width="22.42578125" style="586" customWidth="1"/>
    <col min="20" max="22" width="13.7109375" style="586" customWidth="1"/>
    <col min="23" max="23" width="13.42578125" style="586" customWidth="1"/>
    <col min="24" max="26" width="13.7109375" style="586" customWidth="1"/>
    <col min="27" max="27" width="14.5703125" style="586" customWidth="1"/>
    <col min="28" max="28" width="13.5703125" style="586" customWidth="1"/>
    <col min="29" max="29" width="13.7109375" style="586" customWidth="1"/>
    <col min="30" max="30" width="12.7109375" style="586" customWidth="1"/>
    <col min="31" max="32" width="13.5703125" style="586" customWidth="1"/>
    <col min="33" max="33" width="13.7109375" style="586" customWidth="1" outlineLevel="1"/>
    <col min="34" max="34" width="12.7109375" style="586" customWidth="1" outlineLevel="1"/>
    <col min="35" max="36" width="13.5703125" style="586" customWidth="1" outlineLevel="1"/>
    <col min="37" max="37" width="13.7109375" style="586" customWidth="1" outlineLevel="1"/>
    <col min="38" max="38" width="12.7109375" style="586" customWidth="1" outlineLevel="1"/>
    <col min="39" max="40" width="13.5703125" style="586" customWidth="1" outlineLevel="1"/>
    <col min="41" max="41" width="13.7109375" style="586" customWidth="1" outlineLevel="1"/>
    <col min="42" max="42" width="12.7109375" style="586" customWidth="1" outlineLevel="1"/>
    <col min="43" max="44" width="13.5703125" style="586" customWidth="1" outlineLevel="1"/>
    <col min="45" max="45" width="13.7109375" style="586" customWidth="1" outlineLevel="1"/>
    <col min="46" max="46" width="12.7109375" style="586" customWidth="1" outlineLevel="1"/>
    <col min="47" max="48" width="13.5703125" style="586" customWidth="1" outlineLevel="1"/>
    <col min="49" max="49" width="13.7109375" style="586" customWidth="1" outlineLevel="1"/>
    <col min="50" max="50" width="12.7109375" style="586" customWidth="1" outlineLevel="1"/>
    <col min="51" max="52" width="13.5703125" style="586" customWidth="1" outlineLevel="1"/>
    <col min="53" max="53" width="13.7109375" style="586" customWidth="1" outlineLevel="1"/>
    <col min="54" max="54" width="12.7109375" style="586" customWidth="1" outlineLevel="1"/>
    <col min="55" max="56" width="13.5703125" style="586" customWidth="1" outlineLevel="1"/>
    <col min="57" max="57" width="13.7109375" style="586" customWidth="1" outlineLevel="1"/>
    <col min="58" max="58" width="12.7109375" style="586" customWidth="1" outlineLevel="1"/>
    <col min="59" max="59" width="13.5703125" style="586" customWidth="1" outlineLevel="1"/>
    <col min="60" max="60" width="2.42578125" style="586" customWidth="1"/>
    <col min="61" max="61" width="12.7109375" style="39" customWidth="1"/>
    <col min="62" max="64" width="8" style="586" customWidth="1"/>
    <col min="65" max="74" width="10.5703125" style="586" customWidth="1"/>
    <col min="75" max="75" width="2.5703125" style="586" customWidth="1"/>
    <col min="76" max="76" width="11.5703125" style="586" bestFit="1" customWidth="1"/>
    <col min="77" max="16384" width="8" style="586"/>
  </cols>
  <sheetData>
    <row r="1" spans="2:78" s="229" customFormat="1">
      <c r="B1" s="587"/>
      <c r="D1" s="588" t="s">
        <v>888</v>
      </c>
      <c r="E1" s="589">
        <f>POP!E1</f>
        <v>3</v>
      </c>
      <c r="F1" s="588"/>
      <c r="G1" s="588"/>
      <c r="H1" s="588"/>
      <c r="I1" s="588"/>
      <c r="J1" s="588"/>
      <c r="K1" s="588"/>
      <c r="L1" s="588"/>
      <c r="M1" s="588"/>
      <c r="N1" s="588"/>
      <c r="O1" s="588"/>
      <c r="P1" s="588"/>
      <c r="Q1" s="588"/>
      <c r="R1" s="588"/>
      <c r="S1" s="588"/>
      <c r="T1" s="588"/>
      <c r="U1" s="588"/>
      <c r="V1" s="497"/>
      <c r="W1" s="498"/>
      <c r="X1" s="498"/>
      <c r="Y1" s="498"/>
      <c r="Z1" s="498"/>
      <c r="AA1" s="498"/>
      <c r="AB1" s="588"/>
      <c r="AC1" s="588"/>
    </row>
    <row r="2" spans="2:78" s="229" customFormat="1">
      <c r="B2" s="587"/>
      <c r="D2" s="586"/>
      <c r="E2" s="586"/>
      <c r="F2" s="586"/>
      <c r="G2" s="586"/>
      <c r="H2" s="586"/>
      <c r="I2" s="586"/>
      <c r="J2" s="586"/>
      <c r="K2" s="586"/>
      <c r="L2" s="586"/>
      <c r="M2" s="586"/>
      <c r="N2" s="586"/>
      <c r="O2" s="586"/>
      <c r="P2" s="586"/>
      <c r="Q2" s="586"/>
      <c r="R2" s="586"/>
      <c r="S2" s="586"/>
      <c r="T2" s="586"/>
      <c r="U2" s="586"/>
      <c r="V2" s="586"/>
      <c r="W2" s="586"/>
      <c r="X2" s="586"/>
      <c r="Y2" s="586"/>
      <c r="Z2" s="586"/>
      <c r="AA2" s="586"/>
      <c r="AB2" s="586"/>
      <c r="AC2" s="586"/>
    </row>
    <row r="3" spans="2:78" s="229" customFormat="1">
      <c r="B3" s="587"/>
      <c r="D3" s="586" t="s">
        <v>109</v>
      </c>
      <c r="E3" s="586" t="str">
        <f>INDEX(AA!$AC$13:$AC$15,MATCH($E$1,AA!$C$13:$C$15,0))</f>
        <v>backup</v>
      </c>
      <c r="F3" s="586"/>
      <c r="G3" s="586"/>
      <c r="H3" s="586"/>
      <c r="I3" s="586"/>
      <c r="J3" s="586"/>
      <c r="K3" s="586"/>
      <c r="L3" s="586"/>
      <c r="M3" s="586"/>
      <c r="N3" s="586"/>
      <c r="O3" s="586"/>
      <c r="P3" s="586"/>
      <c r="Q3" s="586"/>
      <c r="R3" s="586"/>
      <c r="S3" s="586"/>
      <c r="T3" s="586"/>
      <c r="U3" s="586"/>
      <c r="V3" s="586"/>
      <c r="W3" s="586"/>
      <c r="X3" s="586"/>
      <c r="Y3" s="586"/>
      <c r="Z3" s="586"/>
      <c r="AA3" s="586"/>
      <c r="AB3" s="586"/>
      <c r="AC3" s="586"/>
    </row>
    <row r="4" spans="2:78">
      <c r="B4" s="587"/>
      <c r="C4" s="229"/>
      <c r="D4" s="586" t="s">
        <v>111</v>
      </c>
      <c r="E4" s="586" t="str">
        <f>INDEX(AA!$AE$13:$AE$15,MATCH($E$1,AA!$C$13:$C$15,0))</f>
        <v>backup</v>
      </c>
    </row>
    <row r="5" spans="2:78">
      <c r="B5" s="587"/>
      <c r="C5" s="229"/>
    </row>
    <row r="6" spans="2:78">
      <c r="B6" s="587"/>
      <c r="C6" s="229"/>
      <c r="D6" s="586" t="s">
        <v>442</v>
      </c>
      <c r="E6" s="590">
        <f>INDEX(AA!$GB$13:$GB$15,MATCH($E$1,AA!$C$13:$C$15,0))</f>
        <v>1849150.8977256261</v>
      </c>
    </row>
    <row r="7" spans="2:78">
      <c r="B7" s="587"/>
      <c r="C7" s="229"/>
    </row>
    <row r="8" spans="2:78" s="592" customFormat="1">
      <c r="B8" s="591"/>
      <c r="C8" s="591"/>
      <c r="D8" s="581" t="str">
        <f>E3&amp;", "&amp;E4&amp;" (ID: "&amp;E1&amp;")"</f>
        <v>backup, backup (ID: 3)</v>
      </c>
      <c r="E8" s="501"/>
      <c r="F8" s="501"/>
      <c r="G8" s="501"/>
      <c r="H8" s="501"/>
      <c r="I8" s="501"/>
      <c r="J8" s="501"/>
      <c r="K8" s="501"/>
      <c r="L8" s="501"/>
      <c r="M8" s="501"/>
      <c r="N8" s="501"/>
      <c r="O8" s="501"/>
      <c r="P8" s="501"/>
      <c r="Q8" s="501"/>
      <c r="R8" s="501"/>
      <c r="S8" s="501"/>
      <c r="T8" s="501"/>
      <c r="U8" s="501"/>
      <c r="V8" s="501"/>
      <c r="W8" s="501"/>
      <c r="X8" s="501"/>
      <c r="Y8" s="501"/>
      <c r="Z8" s="501"/>
      <c r="AA8" s="501"/>
      <c r="AB8" s="501"/>
      <c r="AC8" s="501"/>
      <c r="AD8" s="504"/>
      <c r="AE8" s="504"/>
      <c r="AF8" s="504"/>
      <c r="AG8" s="504"/>
      <c r="AH8" s="504"/>
      <c r="AI8" s="504"/>
      <c r="AJ8" s="504"/>
      <c r="AK8" s="504"/>
      <c r="AL8" s="504"/>
      <c r="AM8" s="504"/>
      <c r="AN8" s="504"/>
      <c r="AO8" s="504"/>
      <c r="AP8" s="504"/>
      <c r="AQ8" s="504"/>
      <c r="AR8" s="504"/>
      <c r="AS8" s="504"/>
      <c r="AT8" s="504"/>
      <c r="AU8" s="504"/>
      <c r="AV8" s="504"/>
      <c r="AW8" s="504"/>
      <c r="AX8" s="504"/>
      <c r="AY8" s="504"/>
      <c r="AZ8" s="504"/>
      <c r="BA8" s="504"/>
      <c r="BB8" s="504"/>
      <c r="BC8" s="504"/>
      <c r="BD8" s="504"/>
      <c r="BE8" s="504"/>
      <c r="BF8" s="504"/>
      <c r="BG8" s="504"/>
      <c r="BH8" s="504"/>
      <c r="BI8" s="541"/>
    </row>
    <row r="9" spans="2:78">
      <c r="B9" s="587"/>
      <c r="C9" s="229"/>
      <c r="D9" s="593"/>
      <c r="BI9" s="594"/>
    </row>
    <row r="10" spans="2:78" s="592" customFormat="1">
      <c r="B10" s="595"/>
      <c r="C10" s="595"/>
      <c r="D10" s="596" t="s">
        <v>1047</v>
      </c>
      <c r="E10" s="597"/>
      <c r="F10" s="597"/>
      <c r="G10" s="597"/>
      <c r="H10" s="597"/>
      <c r="I10" s="597"/>
      <c r="J10" s="597"/>
      <c r="K10" s="597"/>
      <c r="L10" s="597"/>
      <c r="M10" s="597"/>
      <c r="N10" s="597"/>
      <c r="O10" s="597"/>
      <c r="P10" s="597"/>
      <c r="Q10" s="597"/>
      <c r="R10" s="598">
        <f>GA!K95</f>
        <v>44197</v>
      </c>
      <c r="S10" s="598">
        <f>GA!L95</f>
        <v>44255</v>
      </c>
      <c r="T10" s="598">
        <f>GA!M95</f>
        <v>44256</v>
      </c>
      <c r="U10" s="598">
        <f>GA!N95</f>
        <v>44348</v>
      </c>
      <c r="V10" s="598">
        <f>GA!O95</f>
        <v>44440</v>
      </c>
      <c r="W10" s="598">
        <f>GA!P95</f>
        <v>44531</v>
      </c>
      <c r="X10" s="598">
        <f>GA!Q95</f>
        <v>44621</v>
      </c>
      <c r="Y10" s="598">
        <f>GA!R95</f>
        <v>44713</v>
      </c>
      <c r="Z10" s="598">
        <f>GA!S95</f>
        <v>44805</v>
      </c>
      <c r="AA10" s="598">
        <f>GA!T95</f>
        <v>44896</v>
      </c>
      <c r="AB10" s="598">
        <f>GA!U95</f>
        <v>44986</v>
      </c>
      <c r="AC10" s="598">
        <f>GA!V95</f>
        <v>45078</v>
      </c>
      <c r="AD10" s="598">
        <f>GA!W95</f>
        <v>45170</v>
      </c>
      <c r="AE10" s="598">
        <f>GA!X95</f>
        <v>45261</v>
      </c>
      <c r="AF10" s="598">
        <f>GA!Y95</f>
        <v>45352</v>
      </c>
      <c r="AG10" s="598">
        <f>GA!Z95</f>
        <v>45444</v>
      </c>
      <c r="AH10" s="598">
        <f>GA!AA95</f>
        <v>45536</v>
      </c>
      <c r="AI10" s="598">
        <f>GA!AB95</f>
        <v>45627</v>
      </c>
      <c r="AJ10" s="598">
        <f>GA!AC95</f>
        <v>45717</v>
      </c>
      <c r="AK10" s="598">
        <f>GA!AD95</f>
        <v>45809</v>
      </c>
      <c r="AL10" s="598">
        <f>GA!AE95</f>
        <v>45901</v>
      </c>
      <c r="AM10" s="598">
        <f>GA!AF95</f>
        <v>45992</v>
      </c>
      <c r="AN10" s="599">
        <f>GA!AG95</f>
        <v>46082</v>
      </c>
      <c r="AO10" s="599">
        <f>GA!AH95</f>
        <v>46174</v>
      </c>
      <c r="AP10" s="599">
        <f>GA!AI95</f>
        <v>46266</v>
      </c>
      <c r="AQ10" s="599">
        <f>GA!AJ95</f>
        <v>46357</v>
      </c>
      <c r="AR10" s="599">
        <f>GA!AK95</f>
        <v>46447</v>
      </c>
      <c r="AS10" s="599">
        <f>GA!AL95</f>
        <v>46539</v>
      </c>
      <c r="AT10" s="599">
        <f>GA!AM95</f>
        <v>46631</v>
      </c>
      <c r="AU10" s="599">
        <f>GA!AN95</f>
        <v>46722</v>
      </c>
      <c r="AV10" s="599">
        <f>GA!AO95</f>
        <v>46813</v>
      </c>
      <c r="AW10" s="599">
        <f>GA!AP95</f>
        <v>46905</v>
      </c>
      <c r="AX10" s="599">
        <f>GA!AQ95</f>
        <v>46997</v>
      </c>
      <c r="AY10" s="599">
        <f>GA!AR95</f>
        <v>47088</v>
      </c>
      <c r="AZ10" s="599">
        <f>GA!AS95</f>
        <v>47178</v>
      </c>
      <c r="BA10" s="599">
        <f>GA!AT95</f>
        <v>47270</v>
      </c>
      <c r="BB10" s="599">
        <f>GA!AU95</f>
        <v>47362</v>
      </c>
      <c r="BC10" s="599">
        <f>GA!AV95</f>
        <v>47453</v>
      </c>
      <c r="BD10" s="599">
        <f>GA!AW95</f>
        <v>47543</v>
      </c>
      <c r="BE10" s="599">
        <f>GA!AX95</f>
        <v>47635</v>
      </c>
      <c r="BF10" s="599">
        <f>GA!AY95</f>
        <v>47727</v>
      </c>
      <c r="BG10" s="599">
        <f>GA!AZ95</f>
        <v>47818</v>
      </c>
      <c r="BH10" s="597"/>
      <c r="BI10" s="600"/>
      <c r="BJ10" s="597"/>
      <c r="BK10" s="597"/>
      <c r="BL10" s="597"/>
      <c r="BM10" s="599">
        <f>GA!M106</f>
        <v>44256</v>
      </c>
      <c r="BN10" s="599">
        <f>GA!N106</f>
        <v>44621</v>
      </c>
      <c r="BO10" s="599">
        <f>GA!O106</f>
        <v>44986</v>
      </c>
      <c r="BP10" s="599">
        <f>GA!P106</f>
        <v>45352</v>
      </c>
      <c r="BQ10" s="599">
        <f>GA!Q106</f>
        <v>45717</v>
      </c>
      <c r="BR10" s="599">
        <f>GA!R106</f>
        <v>46082</v>
      </c>
      <c r="BS10" s="599">
        <f>GA!S106</f>
        <v>46447</v>
      </c>
      <c r="BT10" s="599">
        <f>GA!T106</f>
        <v>46813</v>
      </c>
      <c r="BU10" s="599">
        <f>GA!U106</f>
        <v>47178</v>
      </c>
      <c r="BV10" s="599">
        <f>GA!V106</f>
        <v>47543</v>
      </c>
      <c r="BW10" s="597"/>
      <c r="BX10" s="597"/>
      <c r="BY10" s="597"/>
      <c r="BZ10" s="597"/>
    </row>
    <row r="11" spans="2:78" s="592" customFormat="1">
      <c r="D11" s="596" t="s">
        <v>1048</v>
      </c>
      <c r="E11" s="597"/>
      <c r="F11" s="597"/>
      <c r="G11" s="597"/>
      <c r="H11" s="597"/>
      <c r="I11" s="597"/>
      <c r="J11" s="597"/>
      <c r="K11" s="597"/>
      <c r="L11" s="597"/>
      <c r="M11" s="597"/>
      <c r="N11" s="597"/>
      <c r="O11" s="597"/>
      <c r="P11" s="597"/>
      <c r="Q11" s="597"/>
      <c r="R11" s="598">
        <f>GA!K96</f>
        <v>44197</v>
      </c>
      <c r="S11" s="598">
        <f>GA!L96</f>
        <v>44255</v>
      </c>
      <c r="T11" s="598">
        <f>GA!M96</f>
        <v>44347</v>
      </c>
      <c r="U11" s="598">
        <f>GA!N96</f>
        <v>44439</v>
      </c>
      <c r="V11" s="598">
        <f>GA!O96</f>
        <v>44530</v>
      </c>
      <c r="W11" s="598">
        <f>GA!P96</f>
        <v>44620</v>
      </c>
      <c r="X11" s="598">
        <f>GA!Q96</f>
        <v>44712</v>
      </c>
      <c r="Y11" s="598">
        <f>GA!R96</f>
        <v>44804</v>
      </c>
      <c r="Z11" s="598">
        <f>GA!S96</f>
        <v>44895</v>
      </c>
      <c r="AA11" s="598">
        <f>GA!T96</f>
        <v>44985</v>
      </c>
      <c r="AB11" s="598">
        <f>GA!U96</f>
        <v>45077</v>
      </c>
      <c r="AC11" s="598">
        <f>GA!V96</f>
        <v>45169</v>
      </c>
      <c r="AD11" s="598">
        <f>GA!W96</f>
        <v>45260</v>
      </c>
      <c r="AE11" s="598">
        <f>GA!X96</f>
        <v>45351</v>
      </c>
      <c r="AF11" s="598">
        <f>GA!Y96</f>
        <v>45443</v>
      </c>
      <c r="AG11" s="598">
        <f>GA!Z96</f>
        <v>45535</v>
      </c>
      <c r="AH11" s="598">
        <f>GA!AA96</f>
        <v>45626</v>
      </c>
      <c r="AI11" s="598">
        <f>GA!AB96</f>
        <v>45716</v>
      </c>
      <c r="AJ11" s="598">
        <f>GA!AC96</f>
        <v>45808</v>
      </c>
      <c r="AK11" s="598">
        <f>GA!AD96</f>
        <v>45900</v>
      </c>
      <c r="AL11" s="598">
        <f>GA!AE96</f>
        <v>45991</v>
      </c>
      <c r="AM11" s="598">
        <f>GA!AF96</f>
        <v>46081</v>
      </c>
      <c r="AN11" s="599">
        <f>GA!AG96</f>
        <v>46173</v>
      </c>
      <c r="AO11" s="599">
        <f>GA!AH96</f>
        <v>46265</v>
      </c>
      <c r="AP11" s="599">
        <f>GA!AI96</f>
        <v>46356</v>
      </c>
      <c r="AQ11" s="599">
        <f>GA!AJ96</f>
        <v>46446</v>
      </c>
      <c r="AR11" s="599">
        <f>GA!AK96</f>
        <v>46538</v>
      </c>
      <c r="AS11" s="599">
        <f>GA!AL96</f>
        <v>46630</v>
      </c>
      <c r="AT11" s="599">
        <f>GA!AM96</f>
        <v>46721</v>
      </c>
      <c r="AU11" s="599">
        <f>GA!AN96</f>
        <v>46812</v>
      </c>
      <c r="AV11" s="599">
        <f>GA!AO96</f>
        <v>46904</v>
      </c>
      <c r="AW11" s="599">
        <f>GA!AP96</f>
        <v>46996</v>
      </c>
      <c r="AX11" s="599">
        <f>GA!AQ96</f>
        <v>47087</v>
      </c>
      <c r="AY11" s="599">
        <f>GA!AR96</f>
        <v>47177</v>
      </c>
      <c r="AZ11" s="599">
        <f>GA!AS96</f>
        <v>47269</v>
      </c>
      <c r="BA11" s="599">
        <f>GA!AT96</f>
        <v>47361</v>
      </c>
      <c r="BB11" s="599">
        <f>GA!AU96</f>
        <v>47452</v>
      </c>
      <c r="BC11" s="599">
        <f>GA!AV96</f>
        <v>47542</v>
      </c>
      <c r="BD11" s="599">
        <f>GA!AW96</f>
        <v>47634</v>
      </c>
      <c r="BE11" s="599">
        <f>GA!AX96</f>
        <v>47726</v>
      </c>
      <c r="BF11" s="599">
        <f>GA!AY96</f>
        <v>47817</v>
      </c>
      <c r="BG11" s="599">
        <f>GA!AZ96</f>
        <v>47907</v>
      </c>
      <c r="BH11" s="597"/>
      <c r="BI11" s="600"/>
      <c r="BJ11" s="597"/>
      <c r="BK11" s="597"/>
      <c r="BL11" s="597"/>
      <c r="BM11" s="599">
        <f>GA!M107</f>
        <v>44620</v>
      </c>
      <c r="BN11" s="599">
        <f>GA!N107</f>
        <v>44985</v>
      </c>
      <c r="BO11" s="599">
        <f>GA!O107</f>
        <v>45351</v>
      </c>
      <c r="BP11" s="599">
        <f>GA!P107</f>
        <v>45716</v>
      </c>
      <c r="BQ11" s="599">
        <f>GA!Q107</f>
        <v>46081</v>
      </c>
      <c r="BR11" s="599">
        <f>GA!R107</f>
        <v>46446</v>
      </c>
      <c r="BS11" s="599">
        <f>GA!S107</f>
        <v>46812</v>
      </c>
      <c r="BT11" s="599">
        <f>GA!T107</f>
        <v>47177</v>
      </c>
      <c r="BU11" s="599">
        <f>GA!U107</f>
        <v>47542</v>
      </c>
      <c r="BV11" s="599">
        <f>GA!V107</f>
        <v>47907</v>
      </c>
      <c r="BW11" s="597"/>
      <c r="BX11" s="597"/>
      <c r="BY11" s="597"/>
      <c r="BZ11" s="597"/>
    </row>
    <row r="12" spans="2:78" s="592" customFormat="1">
      <c r="D12" s="596" t="s">
        <v>710</v>
      </c>
      <c r="E12" s="597"/>
      <c r="F12" s="597"/>
      <c r="G12" s="597"/>
      <c r="H12" s="597"/>
      <c r="I12" s="597"/>
      <c r="J12" s="597"/>
      <c r="K12" s="597"/>
      <c r="L12" s="597"/>
      <c r="M12" s="597"/>
      <c r="N12" s="597"/>
      <c r="O12" s="597"/>
      <c r="P12" s="597"/>
      <c r="Q12" s="597"/>
      <c r="R12" s="860">
        <f>GA!K97</f>
        <v>-1</v>
      </c>
      <c r="S12" s="860">
        <f>GA!L97</f>
        <v>0</v>
      </c>
      <c r="T12" s="860">
        <f>GA!M97</f>
        <v>1</v>
      </c>
      <c r="U12" s="860">
        <f>GA!N97</f>
        <v>2</v>
      </c>
      <c r="V12" s="860">
        <f>GA!O97</f>
        <v>3</v>
      </c>
      <c r="W12" s="860">
        <f>GA!P97</f>
        <v>4</v>
      </c>
      <c r="X12" s="860">
        <f>GA!Q97</f>
        <v>5</v>
      </c>
      <c r="Y12" s="860">
        <f>GA!R97</f>
        <v>6</v>
      </c>
      <c r="Z12" s="860">
        <f>GA!S97</f>
        <v>7</v>
      </c>
      <c r="AA12" s="860">
        <f>GA!T97</f>
        <v>8</v>
      </c>
      <c r="AB12" s="860">
        <f>GA!U97</f>
        <v>9</v>
      </c>
      <c r="AC12" s="860">
        <f>GA!V97</f>
        <v>10</v>
      </c>
      <c r="AD12" s="860">
        <f>GA!W97</f>
        <v>11</v>
      </c>
      <c r="AE12" s="860">
        <f>GA!X97</f>
        <v>12</v>
      </c>
      <c r="AF12" s="860">
        <f>GA!Y97</f>
        <v>13</v>
      </c>
      <c r="AG12" s="860">
        <f>GA!Z97</f>
        <v>14</v>
      </c>
      <c r="AH12" s="860">
        <f>GA!AA97</f>
        <v>15</v>
      </c>
      <c r="AI12" s="860">
        <f>GA!AB97</f>
        <v>16</v>
      </c>
      <c r="AJ12" s="860">
        <f>GA!AC97</f>
        <v>17</v>
      </c>
      <c r="AK12" s="860">
        <f>GA!AD97</f>
        <v>18</v>
      </c>
      <c r="AL12" s="860">
        <f>GA!AE97</f>
        <v>19</v>
      </c>
      <c r="AM12" s="860">
        <f>GA!AF97</f>
        <v>20</v>
      </c>
      <c r="AN12" s="860">
        <f>GA!AG97</f>
        <v>21</v>
      </c>
      <c r="AO12" s="860">
        <f>GA!AH97</f>
        <v>22</v>
      </c>
      <c r="AP12" s="860">
        <f>GA!AI97</f>
        <v>23</v>
      </c>
      <c r="AQ12" s="860">
        <f>GA!AJ97</f>
        <v>24</v>
      </c>
      <c r="AR12" s="860">
        <f>GA!AK97</f>
        <v>25</v>
      </c>
      <c r="AS12" s="860">
        <f>GA!AL97</f>
        <v>26</v>
      </c>
      <c r="AT12" s="860">
        <f>GA!AM97</f>
        <v>27</v>
      </c>
      <c r="AU12" s="860">
        <f>GA!AN97</f>
        <v>28</v>
      </c>
      <c r="AV12" s="860">
        <f>GA!AO97</f>
        <v>29</v>
      </c>
      <c r="AW12" s="860">
        <f>GA!AP97</f>
        <v>30</v>
      </c>
      <c r="AX12" s="860">
        <f>GA!AQ97</f>
        <v>31</v>
      </c>
      <c r="AY12" s="860">
        <f>GA!AR97</f>
        <v>32</v>
      </c>
      <c r="AZ12" s="860">
        <f>GA!AS97</f>
        <v>33</v>
      </c>
      <c r="BA12" s="860">
        <f>GA!AT97</f>
        <v>34</v>
      </c>
      <c r="BB12" s="860">
        <f>GA!AU97</f>
        <v>35</v>
      </c>
      <c r="BC12" s="860">
        <f>GA!AV97</f>
        <v>36</v>
      </c>
      <c r="BD12" s="860">
        <f>GA!AW97</f>
        <v>37</v>
      </c>
      <c r="BE12" s="860">
        <f>GA!AX97</f>
        <v>38</v>
      </c>
      <c r="BF12" s="860">
        <f>GA!AY97</f>
        <v>39</v>
      </c>
      <c r="BG12" s="860">
        <f>GA!AZ97</f>
        <v>40</v>
      </c>
      <c r="BH12" s="597"/>
      <c r="BI12" s="602" t="s">
        <v>938</v>
      </c>
      <c r="BJ12" s="597"/>
      <c r="BK12" s="601" t="s">
        <v>1049</v>
      </c>
      <c r="BL12" s="597"/>
      <c r="BM12" s="601">
        <f>GA!M108</f>
        <v>4</v>
      </c>
      <c r="BN12" s="601">
        <f>GA!N108</f>
        <v>8</v>
      </c>
      <c r="BO12" s="601">
        <f>GA!O108</f>
        <v>12</v>
      </c>
      <c r="BP12" s="601">
        <f>GA!P108</f>
        <v>16</v>
      </c>
      <c r="BQ12" s="601">
        <f>GA!Q108</f>
        <v>20</v>
      </c>
      <c r="BR12" s="601">
        <f>GA!R108</f>
        <v>24</v>
      </c>
      <c r="BS12" s="601">
        <f>GA!S108</f>
        <v>28</v>
      </c>
      <c r="BT12" s="601">
        <f>GA!T108</f>
        <v>32</v>
      </c>
      <c r="BU12" s="601">
        <f>GA!U108</f>
        <v>36</v>
      </c>
      <c r="BV12" s="601">
        <f>GA!V108</f>
        <v>40</v>
      </c>
      <c r="BW12" s="597"/>
      <c r="BX12" s="601" t="s">
        <v>938</v>
      </c>
      <c r="BY12" s="597"/>
      <c r="BZ12" s="597"/>
    </row>
    <row r="13" spans="2:78" s="591" customFormat="1">
      <c r="B13" s="591">
        <v>4</v>
      </c>
      <c r="D13" s="596" t="s">
        <v>1050</v>
      </c>
      <c r="E13" s="603"/>
      <c r="F13" s="603"/>
      <c r="G13" s="603"/>
      <c r="H13" s="603"/>
      <c r="I13" s="603"/>
      <c r="J13" s="603"/>
      <c r="K13" s="603"/>
      <c r="L13" s="603"/>
      <c r="M13" s="603"/>
      <c r="N13" s="603"/>
      <c r="O13" s="603"/>
      <c r="P13" s="603"/>
      <c r="Q13" s="603"/>
      <c r="R13" s="604">
        <v>0</v>
      </c>
      <c r="S13" s="604">
        <v>0</v>
      </c>
      <c r="T13" s="604">
        <f>GA!M100</f>
        <v>1</v>
      </c>
      <c r="U13" s="604">
        <f>GA!N100</f>
        <v>1</v>
      </c>
      <c r="V13" s="604">
        <f>GA!O100</f>
        <v>1</v>
      </c>
      <c r="W13" s="604">
        <f>GA!P100</f>
        <v>1</v>
      </c>
      <c r="X13" s="604">
        <f>GA!Q100</f>
        <v>2</v>
      </c>
      <c r="Y13" s="604">
        <f>GA!R100</f>
        <v>2</v>
      </c>
      <c r="Z13" s="604">
        <f>GA!S100</f>
        <v>2</v>
      </c>
      <c r="AA13" s="604">
        <f>GA!T100</f>
        <v>2</v>
      </c>
      <c r="AB13" s="604">
        <f>GA!U100</f>
        <v>3</v>
      </c>
      <c r="AC13" s="604">
        <f>GA!V100</f>
        <v>3</v>
      </c>
      <c r="AD13" s="604">
        <f>GA!W100</f>
        <v>3</v>
      </c>
      <c r="AE13" s="604">
        <f>GA!X100</f>
        <v>3</v>
      </c>
      <c r="AF13" s="604">
        <f>GA!Y100</f>
        <v>4</v>
      </c>
      <c r="AG13" s="604">
        <f>GA!Z100</f>
        <v>4</v>
      </c>
      <c r="AH13" s="604">
        <f>GA!AA100</f>
        <v>4</v>
      </c>
      <c r="AI13" s="604">
        <f>GA!AB100</f>
        <v>4</v>
      </c>
      <c r="AJ13" s="604">
        <f>GA!AC100</f>
        <v>5</v>
      </c>
      <c r="AK13" s="604">
        <f>GA!AD100</f>
        <v>5</v>
      </c>
      <c r="AL13" s="604">
        <f>GA!AE100</f>
        <v>5</v>
      </c>
      <c r="AM13" s="604">
        <f>GA!AF100</f>
        <v>5</v>
      </c>
      <c r="AN13" s="604">
        <f>GA!AG100</f>
        <v>6</v>
      </c>
      <c r="AO13" s="604">
        <f>GA!AH100</f>
        <v>6</v>
      </c>
      <c r="AP13" s="604">
        <f>GA!AI100</f>
        <v>6</v>
      </c>
      <c r="AQ13" s="604">
        <f>GA!AJ100</f>
        <v>6</v>
      </c>
      <c r="AR13" s="604">
        <f>GA!AK100</f>
        <v>7</v>
      </c>
      <c r="AS13" s="604">
        <f>GA!AL100</f>
        <v>7</v>
      </c>
      <c r="AT13" s="604">
        <f>GA!AM100</f>
        <v>7</v>
      </c>
      <c r="AU13" s="604">
        <f>GA!AN100</f>
        <v>7</v>
      </c>
      <c r="AV13" s="604">
        <f>GA!AO100</f>
        <v>8</v>
      </c>
      <c r="AW13" s="604">
        <f>GA!AP100</f>
        <v>8</v>
      </c>
      <c r="AX13" s="604">
        <f>GA!AQ100</f>
        <v>8</v>
      </c>
      <c r="AY13" s="604">
        <f>GA!AR100</f>
        <v>8</v>
      </c>
      <c r="AZ13" s="604">
        <f>GA!AS100</f>
        <v>9</v>
      </c>
      <c r="BA13" s="604">
        <f>GA!AT100</f>
        <v>9</v>
      </c>
      <c r="BB13" s="604">
        <f>GA!AU100</f>
        <v>9</v>
      </c>
      <c r="BC13" s="604">
        <f>GA!AV100</f>
        <v>9</v>
      </c>
      <c r="BD13" s="604">
        <f>GA!AW100</f>
        <v>10</v>
      </c>
      <c r="BE13" s="604">
        <f>GA!AX100</f>
        <v>10</v>
      </c>
      <c r="BF13" s="604">
        <f>GA!AY100</f>
        <v>10</v>
      </c>
      <c r="BG13" s="604">
        <f>GA!AZ100</f>
        <v>10</v>
      </c>
      <c r="BH13" s="603"/>
      <c r="BI13" s="600"/>
      <c r="BJ13" s="603"/>
      <c r="BK13" s="603"/>
      <c r="BL13" s="603"/>
      <c r="BM13" s="605">
        <f>GA!M109</f>
        <v>1</v>
      </c>
      <c r="BN13" s="605">
        <f>GA!N109</f>
        <v>2</v>
      </c>
      <c r="BO13" s="605">
        <f>GA!O109</f>
        <v>3</v>
      </c>
      <c r="BP13" s="605">
        <f>GA!P109</f>
        <v>4</v>
      </c>
      <c r="BQ13" s="605">
        <f>GA!Q109</f>
        <v>5</v>
      </c>
      <c r="BR13" s="605">
        <f>GA!R109</f>
        <v>6</v>
      </c>
      <c r="BS13" s="605">
        <f>GA!S109</f>
        <v>7</v>
      </c>
      <c r="BT13" s="605">
        <f>GA!T109</f>
        <v>8</v>
      </c>
      <c r="BU13" s="605">
        <f>GA!U109</f>
        <v>9</v>
      </c>
      <c r="BV13" s="605">
        <f>GA!V109</f>
        <v>10</v>
      </c>
      <c r="BW13" s="603"/>
      <c r="BX13" s="603"/>
      <c r="BY13" s="603"/>
      <c r="BZ13" s="603"/>
    </row>
    <row r="14" spans="2:78" s="591" customFormat="1">
      <c r="D14" s="596" t="s">
        <v>294</v>
      </c>
      <c r="E14" s="603"/>
      <c r="F14" s="603"/>
      <c r="G14" s="603"/>
      <c r="H14" s="603"/>
      <c r="I14" s="603"/>
      <c r="J14" s="603"/>
      <c r="K14" s="603"/>
      <c r="L14" s="603"/>
      <c r="M14" s="603"/>
      <c r="N14" s="603"/>
      <c r="O14" s="603"/>
      <c r="P14" s="603"/>
      <c r="Q14" s="603"/>
      <c r="R14" s="1225">
        <f>GA!K98</f>
        <v>0</v>
      </c>
      <c r="S14" s="1225">
        <f>GA!L98</f>
        <v>57</v>
      </c>
      <c r="T14" s="1225">
        <f>GA!M98</f>
        <v>90</v>
      </c>
      <c r="U14" s="1225">
        <f>GA!N98</f>
        <v>90</v>
      </c>
      <c r="V14" s="1225">
        <f>GA!O98</f>
        <v>90</v>
      </c>
      <c r="W14" s="1225">
        <f>GA!P98</f>
        <v>88</v>
      </c>
      <c r="X14" s="1225">
        <f>GA!Q98</f>
        <v>90</v>
      </c>
      <c r="Y14" s="1225">
        <f>GA!R98</f>
        <v>90</v>
      </c>
      <c r="Z14" s="1225">
        <f>GA!S98</f>
        <v>90</v>
      </c>
      <c r="AA14" s="1225">
        <f>GA!T98</f>
        <v>88</v>
      </c>
      <c r="AB14" s="1225">
        <f>GA!U98</f>
        <v>90</v>
      </c>
      <c r="AC14" s="1225">
        <f>GA!V98</f>
        <v>90</v>
      </c>
      <c r="AD14" s="1225">
        <f>GA!W98</f>
        <v>90</v>
      </c>
      <c r="AE14" s="1225">
        <f>GA!X98</f>
        <v>89</v>
      </c>
      <c r="AF14" s="1225">
        <f>GA!Y98</f>
        <v>90</v>
      </c>
      <c r="AG14" s="1225">
        <f>GA!Z98</f>
        <v>90</v>
      </c>
      <c r="AH14" s="1225">
        <f>GA!AA98</f>
        <v>90</v>
      </c>
      <c r="AI14" s="1225">
        <f>GA!AB98</f>
        <v>88</v>
      </c>
      <c r="AJ14" s="1225">
        <f>GA!AC98</f>
        <v>90</v>
      </c>
      <c r="AK14" s="1225">
        <f>GA!AD98</f>
        <v>90</v>
      </c>
      <c r="AL14" s="1225">
        <f>GA!AE98</f>
        <v>90</v>
      </c>
      <c r="AM14" s="1225">
        <f>GA!AF98</f>
        <v>88</v>
      </c>
      <c r="AN14" s="1225">
        <f>GA!AG98</f>
        <v>90</v>
      </c>
      <c r="AO14" s="1225">
        <f>GA!AH98</f>
        <v>90</v>
      </c>
      <c r="AP14" s="1225">
        <f>GA!AI98</f>
        <v>90</v>
      </c>
      <c r="AQ14" s="1225">
        <f>GA!AJ98</f>
        <v>88</v>
      </c>
      <c r="AR14" s="1225">
        <f>GA!AK98</f>
        <v>90</v>
      </c>
      <c r="AS14" s="1225">
        <f>GA!AL98</f>
        <v>90</v>
      </c>
      <c r="AT14" s="1225">
        <f>GA!AM98</f>
        <v>90</v>
      </c>
      <c r="AU14" s="1225">
        <f>GA!AN98</f>
        <v>89</v>
      </c>
      <c r="AV14" s="1225">
        <f>GA!AO98</f>
        <v>90</v>
      </c>
      <c r="AW14" s="1225">
        <f>GA!AP98</f>
        <v>90</v>
      </c>
      <c r="AX14" s="1225">
        <f>GA!AQ98</f>
        <v>90</v>
      </c>
      <c r="AY14" s="1225">
        <f>GA!AR98</f>
        <v>88</v>
      </c>
      <c r="AZ14" s="1225">
        <f>GA!AS98</f>
        <v>90</v>
      </c>
      <c r="BA14" s="1225">
        <f>GA!AT98</f>
        <v>90</v>
      </c>
      <c r="BB14" s="1225">
        <f>GA!AU98</f>
        <v>90</v>
      </c>
      <c r="BC14" s="1225">
        <f>GA!AV98</f>
        <v>88</v>
      </c>
      <c r="BD14" s="1225">
        <f>GA!AW98</f>
        <v>90</v>
      </c>
      <c r="BE14" s="1225">
        <f>GA!AX98</f>
        <v>90</v>
      </c>
      <c r="BF14" s="1225">
        <f>GA!AY98</f>
        <v>90</v>
      </c>
      <c r="BG14" s="1225">
        <f>GA!AZ98</f>
        <v>88</v>
      </c>
      <c r="BH14" s="603"/>
      <c r="BI14" s="600"/>
      <c r="BJ14" s="603"/>
      <c r="BK14" s="603"/>
      <c r="BL14" s="603"/>
      <c r="BM14" s="605"/>
      <c r="BN14" s="605"/>
      <c r="BO14" s="605"/>
      <c r="BP14" s="605"/>
      <c r="BQ14" s="605"/>
      <c r="BR14" s="605"/>
      <c r="BS14" s="605"/>
      <c r="BT14" s="605"/>
      <c r="BU14" s="605"/>
      <c r="BV14" s="605"/>
      <c r="BW14" s="603"/>
      <c r="BX14" s="603"/>
      <c r="BY14" s="603"/>
      <c r="BZ14" s="603"/>
    </row>
    <row r="15" spans="2:78" s="591" customFormat="1">
      <c r="D15" s="596" t="s">
        <v>295</v>
      </c>
      <c r="E15" s="603"/>
      <c r="F15" s="603"/>
      <c r="G15" s="603"/>
      <c r="H15" s="603"/>
      <c r="I15" s="603"/>
      <c r="J15" s="603"/>
      <c r="K15" s="603"/>
      <c r="L15" s="603"/>
      <c r="M15" s="603"/>
      <c r="N15" s="603"/>
      <c r="O15" s="603"/>
      <c r="P15" s="603"/>
      <c r="Q15" s="603"/>
      <c r="R15" s="1225">
        <f>GA!K99</f>
        <v>0</v>
      </c>
      <c r="S15" s="1225">
        <f>GA!L99</f>
        <v>58</v>
      </c>
      <c r="T15" s="1225">
        <f>GA!M99</f>
        <v>92</v>
      </c>
      <c r="U15" s="1225">
        <f>GA!N99</f>
        <v>92</v>
      </c>
      <c r="V15" s="1225">
        <f>GA!O99</f>
        <v>91</v>
      </c>
      <c r="W15" s="1225">
        <f>GA!P99</f>
        <v>90</v>
      </c>
      <c r="X15" s="1225">
        <f>GA!Q99</f>
        <v>92</v>
      </c>
      <c r="Y15" s="1225">
        <f>GA!R99</f>
        <v>92</v>
      </c>
      <c r="Z15" s="1225">
        <f>GA!S99</f>
        <v>91</v>
      </c>
      <c r="AA15" s="1225">
        <f>GA!T99</f>
        <v>90</v>
      </c>
      <c r="AB15" s="1225">
        <f>GA!U99</f>
        <v>92</v>
      </c>
      <c r="AC15" s="1225">
        <f>GA!V99</f>
        <v>92</v>
      </c>
      <c r="AD15" s="1225">
        <f>GA!W99</f>
        <v>91</v>
      </c>
      <c r="AE15" s="1225">
        <f>GA!X99</f>
        <v>91</v>
      </c>
      <c r="AF15" s="1225">
        <f>GA!Y99</f>
        <v>92</v>
      </c>
      <c r="AG15" s="1225">
        <f>GA!Z99</f>
        <v>92</v>
      </c>
      <c r="AH15" s="1225">
        <f>GA!AA99</f>
        <v>91</v>
      </c>
      <c r="AI15" s="1225">
        <f>GA!AB99</f>
        <v>90</v>
      </c>
      <c r="AJ15" s="1225">
        <f>GA!AC99</f>
        <v>92</v>
      </c>
      <c r="AK15" s="1225">
        <f>GA!AD99</f>
        <v>92</v>
      </c>
      <c r="AL15" s="1225">
        <f>GA!AE99</f>
        <v>91</v>
      </c>
      <c r="AM15" s="1225">
        <f>GA!AF99</f>
        <v>90</v>
      </c>
      <c r="AN15" s="1225">
        <f>GA!AG99</f>
        <v>92</v>
      </c>
      <c r="AO15" s="1225">
        <f>GA!AH99</f>
        <v>92</v>
      </c>
      <c r="AP15" s="1225">
        <f>GA!AI99</f>
        <v>91</v>
      </c>
      <c r="AQ15" s="1225">
        <f>GA!AJ99</f>
        <v>90</v>
      </c>
      <c r="AR15" s="1225">
        <f>GA!AK99</f>
        <v>92</v>
      </c>
      <c r="AS15" s="1225">
        <f>GA!AL99</f>
        <v>92</v>
      </c>
      <c r="AT15" s="1225">
        <f>GA!AM99</f>
        <v>91</v>
      </c>
      <c r="AU15" s="1225">
        <f>GA!AN99</f>
        <v>91</v>
      </c>
      <c r="AV15" s="1225">
        <f>GA!AO99</f>
        <v>92</v>
      </c>
      <c r="AW15" s="1225">
        <f>GA!AP99</f>
        <v>92</v>
      </c>
      <c r="AX15" s="1225">
        <f>GA!AQ99</f>
        <v>91</v>
      </c>
      <c r="AY15" s="1225">
        <f>GA!AR99</f>
        <v>90</v>
      </c>
      <c r="AZ15" s="1225">
        <f>GA!AS99</f>
        <v>92</v>
      </c>
      <c r="BA15" s="1225">
        <f>GA!AT99</f>
        <v>92</v>
      </c>
      <c r="BB15" s="1225">
        <f>GA!AU99</f>
        <v>91</v>
      </c>
      <c r="BC15" s="1225">
        <f>GA!AV99</f>
        <v>90</v>
      </c>
      <c r="BD15" s="1225">
        <f>GA!AW99</f>
        <v>92</v>
      </c>
      <c r="BE15" s="1225">
        <f>GA!AX99</f>
        <v>92</v>
      </c>
      <c r="BF15" s="1225">
        <f>GA!AY99</f>
        <v>91</v>
      </c>
      <c r="BG15" s="1225">
        <f>GA!AZ99</f>
        <v>90</v>
      </c>
      <c r="BH15" s="603"/>
      <c r="BI15" s="600"/>
      <c r="BJ15" s="603"/>
      <c r="BK15" s="603"/>
      <c r="BL15" s="603"/>
      <c r="BM15" s="605"/>
      <c r="BN15" s="605"/>
      <c r="BO15" s="605"/>
      <c r="BP15" s="605"/>
      <c r="BQ15" s="605"/>
      <c r="BR15" s="605"/>
      <c r="BS15" s="605"/>
      <c r="BT15" s="605"/>
      <c r="BU15" s="605"/>
      <c r="BV15" s="605"/>
      <c r="BW15" s="603"/>
      <c r="BX15" s="603"/>
      <c r="BY15" s="603"/>
      <c r="BZ15" s="603"/>
    </row>
    <row r="16" spans="2:78" s="592" customFormat="1">
      <c r="D16" s="606"/>
      <c r="E16" s="597"/>
      <c r="F16" s="597"/>
      <c r="G16" s="597"/>
      <c r="H16" s="597"/>
      <c r="I16" s="597"/>
      <c r="J16" s="597"/>
      <c r="K16" s="597"/>
      <c r="L16" s="597"/>
      <c r="M16" s="597"/>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7"/>
      <c r="AK16" s="597"/>
      <c r="AL16" s="597"/>
      <c r="AM16" s="597"/>
      <c r="AN16" s="597"/>
      <c r="AO16" s="597"/>
      <c r="AP16" s="597"/>
      <c r="AQ16" s="597"/>
      <c r="AR16" s="597"/>
      <c r="AS16" s="597"/>
      <c r="AT16" s="597"/>
      <c r="AU16" s="597"/>
      <c r="AV16" s="597"/>
      <c r="AW16" s="597"/>
      <c r="AX16" s="597"/>
      <c r="AY16" s="597"/>
      <c r="AZ16" s="597"/>
      <c r="BA16" s="597"/>
      <c r="BB16" s="597"/>
      <c r="BC16" s="597"/>
      <c r="BD16" s="597"/>
      <c r="BE16" s="597"/>
      <c r="BF16" s="597"/>
      <c r="BG16" s="597"/>
      <c r="BH16" s="597"/>
      <c r="BI16" s="600"/>
      <c r="BJ16" s="597"/>
      <c r="BK16" s="597"/>
      <c r="BL16" s="597"/>
      <c r="BM16" s="597"/>
      <c r="BN16" s="597"/>
      <c r="BO16" s="597"/>
      <c r="BP16" s="597"/>
      <c r="BQ16" s="597"/>
      <c r="BR16" s="597"/>
      <c r="BS16" s="597"/>
      <c r="BT16" s="597"/>
      <c r="BU16" s="597"/>
      <c r="BV16" s="597"/>
      <c r="BW16" s="597"/>
      <c r="BX16" s="597"/>
      <c r="BY16" s="597"/>
      <c r="BZ16" s="597"/>
    </row>
    <row r="17" spans="2:78" s="592" customFormat="1">
      <c r="D17" s="596" t="str">
        <f>CHOOSE(GA!F30,GA!E31,GA!E32)</f>
        <v>IPO Case</v>
      </c>
      <c r="E17" s="597"/>
      <c r="F17" s="597"/>
      <c r="G17" s="597"/>
      <c r="H17" s="597"/>
      <c r="I17" s="597"/>
      <c r="J17" s="597"/>
      <c r="K17" s="597"/>
      <c r="L17" s="597"/>
      <c r="M17" s="597"/>
      <c r="N17" s="597"/>
      <c r="O17" s="597"/>
      <c r="P17" s="597"/>
      <c r="Q17" s="597"/>
      <c r="R17" s="597"/>
      <c r="S17" s="597"/>
      <c r="T17" s="597"/>
      <c r="U17" s="597"/>
      <c r="V17" s="597"/>
      <c r="W17" s="597"/>
      <c r="X17" s="597"/>
      <c r="Y17" s="597"/>
      <c r="Z17" s="597"/>
      <c r="AA17" s="597"/>
      <c r="AB17" s="597"/>
      <c r="AC17" s="597"/>
      <c r="AD17" s="597"/>
      <c r="AE17" s="597"/>
      <c r="AF17" s="597"/>
      <c r="AG17" s="597"/>
      <c r="AH17" s="597"/>
      <c r="AI17" s="597"/>
      <c r="AJ17" s="597"/>
      <c r="AK17" s="597"/>
      <c r="AL17" s="597"/>
      <c r="AM17" s="597"/>
      <c r="AN17" s="597"/>
      <c r="AO17" s="597"/>
      <c r="AP17" s="597"/>
      <c r="AQ17" s="597"/>
      <c r="AR17" s="597"/>
      <c r="AS17" s="597"/>
      <c r="AT17" s="597"/>
      <c r="AU17" s="597"/>
      <c r="AV17" s="597"/>
      <c r="AW17" s="597"/>
      <c r="AX17" s="597"/>
      <c r="AY17" s="597"/>
      <c r="AZ17" s="597"/>
      <c r="BA17" s="597"/>
      <c r="BB17" s="597"/>
      <c r="BC17" s="597"/>
      <c r="BD17" s="597"/>
      <c r="BE17" s="597"/>
      <c r="BF17" s="597"/>
      <c r="BG17" s="597"/>
      <c r="BH17" s="597"/>
      <c r="BI17" s="600"/>
      <c r="BJ17" s="597"/>
      <c r="BK17" s="597"/>
      <c r="BL17" s="597"/>
      <c r="BM17" s="597"/>
      <c r="BN17" s="597"/>
      <c r="BO17" s="597"/>
      <c r="BP17" s="597"/>
      <c r="BQ17" s="597"/>
      <c r="BR17" s="597"/>
      <c r="BS17" s="597"/>
      <c r="BT17" s="597"/>
      <c r="BU17" s="597"/>
      <c r="BV17" s="597"/>
      <c r="BW17" s="597"/>
      <c r="BX17" s="597"/>
      <c r="BY17" s="597"/>
      <c r="BZ17" s="597"/>
    </row>
    <row r="18" spans="2:78">
      <c r="D18" s="593"/>
      <c r="BI18" s="594"/>
    </row>
    <row r="19" spans="2:78">
      <c r="B19" s="607"/>
      <c r="D19" s="608" t="s">
        <v>1051</v>
      </c>
      <c r="E19" s="609"/>
      <c r="F19" s="609"/>
      <c r="G19" s="609"/>
      <c r="H19" s="609"/>
      <c r="I19" s="609"/>
      <c r="J19" s="609"/>
      <c r="K19" s="609"/>
      <c r="L19" s="609"/>
      <c r="M19" s="609"/>
      <c r="N19" s="609"/>
      <c r="O19" s="609"/>
      <c r="P19" s="609"/>
      <c r="Q19" s="609"/>
      <c r="R19" s="609"/>
      <c r="S19" s="610"/>
      <c r="T19" s="610"/>
      <c r="U19" s="610"/>
      <c r="V19" s="610"/>
      <c r="W19" s="610"/>
      <c r="X19" s="610"/>
      <c r="Y19" s="610"/>
      <c r="Z19" s="610"/>
      <c r="AA19" s="611"/>
      <c r="AB19" s="611"/>
      <c r="AC19" s="611"/>
      <c r="AD19" s="611"/>
      <c r="AE19" s="611"/>
      <c r="AF19" s="611"/>
      <c r="AG19" s="611"/>
      <c r="AH19" s="611"/>
      <c r="AI19" s="611"/>
      <c r="AJ19" s="611"/>
      <c r="AK19" s="611"/>
      <c r="AL19" s="611"/>
      <c r="AM19" s="611"/>
      <c r="AN19" s="611"/>
      <c r="AO19" s="611"/>
      <c r="AP19" s="611"/>
      <c r="AQ19" s="611"/>
      <c r="AR19" s="611"/>
      <c r="AS19" s="611"/>
      <c r="AT19" s="611"/>
      <c r="AU19" s="611"/>
      <c r="AV19" s="611"/>
      <c r="AW19" s="611"/>
      <c r="AX19" s="611"/>
      <c r="AY19" s="611"/>
      <c r="AZ19" s="611"/>
      <c r="BA19" s="611"/>
      <c r="BB19" s="611"/>
      <c r="BC19" s="611"/>
      <c r="BD19" s="611"/>
      <c r="BE19" s="611"/>
      <c r="BF19" s="611"/>
      <c r="BG19" s="611"/>
      <c r="BI19" s="612"/>
      <c r="BK19" s="611"/>
      <c r="BM19" s="611"/>
      <c r="BN19" s="611"/>
      <c r="BO19" s="611"/>
      <c r="BP19" s="611"/>
      <c r="BQ19" s="611"/>
      <c r="BR19" s="611"/>
      <c r="BS19" s="611"/>
      <c r="BT19" s="611"/>
      <c r="BU19" s="611"/>
      <c r="BV19" s="611"/>
      <c r="BX19" s="611"/>
    </row>
    <row r="20" spans="2:78">
      <c r="B20" s="607"/>
      <c r="D20" s="593"/>
      <c r="BI20" s="594"/>
    </row>
    <row r="21" spans="2:78">
      <c r="B21" s="607"/>
      <c r="D21" s="593" t="s">
        <v>1404</v>
      </c>
      <c r="E21" s="616">
        <f>GA!G145</f>
        <v>7.4999999999999997E-3</v>
      </c>
      <c r="S21" s="617">
        <f>IP!S14</f>
        <v>1</v>
      </c>
      <c r="T21" s="617">
        <f>IP!T14</f>
        <v>1.0018697495154929</v>
      </c>
      <c r="U21" s="617">
        <f>IP!U14</f>
        <v>1.0037429949942365</v>
      </c>
      <c r="V21" s="617">
        <f>IP!V14</f>
        <v>1.0056197429728064</v>
      </c>
      <c r="W21" s="617">
        <f>IP!W14</f>
        <v>1.0074999999999998</v>
      </c>
      <c r="X21" s="617">
        <f>IP!X14</f>
        <v>1.0093837726368589</v>
      </c>
      <c r="Y21" s="617">
        <f>IP!Y14</f>
        <v>1.0112710674566929</v>
      </c>
      <c r="Z21" s="617">
        <f>IP!Z14</f>
        <v>1.0131618910451021</v>
      </c>
      <c r="AA21" s="617">
        <f>IP!AA14</f>
        <v>1.0150562499999995</v>
      </c>
      <c r="AB21" s="617">
        <f>IP!AB14</f>
        <v>1.0169541509316351</v>
      </c>
      <c r="AC21" s="617">
        <f>IP!AC14</f>
        <v>1.0188556004626179</v>
      </c>
      <c r="AD21" s="617">
        <f>IP!AD14</f>
        <v>1.0207606052279401</v>
      </c>
      <c r="AE21" s="617">
        <f>IP!AE14</f>
        <v>1.0226691718749992</v>
      </c>
      <c r="AF21" s="617">
        <f>IP!AF14</f>
        <v>1.024581307063622</v>
      </c>
      <c r="AG21" s="617">
        <f>IP!AG14</f>
        <v>1.0264970174660872</v>
      </c>
      <c r="AH21" s="617">
        <f>IP!AH14</f>
        <v>1.0284163097671493</v>
      </c>
      <c r="AI21" s="617">
        <f>IP!AI14</f>
        <v>1.0303391906640613</v>
      </c>
      <c r="AJ21" s="617">
        <f>IP!AJ14</f>
        <v>1.0322656668665988</v>
      </c>
      <c r="AK21" s="617">
        <f>IP!AK14</f>
        <v>1.0341957450970827</v>
      </c>
      <c r="AL21" s="617">
        <f>IP!AL14</f>
        <v>1.0361294320904029</v>
      </c>
      <c r="AM21" s="617">
        <f>IP!AM14</f>
        <v>1.0380667345940418</v>
      </c>
      <c r="AN21" s="617">
        <f>IP!AN14</f>
        <v>1.0400076593680982</v>
      </c>
      <c r="AO21" s="617">
        <f>IP!AO14</f>
        <v>1.0419522131853107</v>
      </c>
      <c r="AP21" s="617">
        <f>IP!AP14</f>
        <v>1.0439004028310808</v>
      </c>
      <c r="AQ21" s="617">
        <f>IP!AQ14</f>
        <v>1.0458522351034971</v>
      </c>
      <c r="AR21" s="617">
        <f>IP!AR14</f>
        <v>1.047807716813359</v>
      </c>
      <c r="AS21" s="617">
        <f>IP!AS14</f>
        <v>1.0497668547842005</v>
      </c>
      <c r="AT21" s="617">
        <f>IP!AT14</f>
        <v>1.0517296558523137</v>
      </c>
      <c r="AU21" s="617">
        <f>IP!AU14</f>
        <v>1.0536961268667731</v>
      </c>
      <c r="AV21" s="617">
        <f>IP!AV14</f>
        <v>1.0556662746894589</v>
      </c>
      <c r="AW21" s="617">
        <f>IP!AW14</f>
        <v>1.0576401061950818</v>
      </c>
      <c r="AX21" s="617">
        <f>IP!AX14</f>
        <v>1.0596176282712058</v>
      </c>
      <c r="AY21" s="617">
        <f>IP!AY14</f>
        <v>1.0615988478182736</v>
      </c>
      <c r="AZ21" s="617">
        <f>IP!AZ14</f>
        <v>1.0635837717496297</v>
      </c>
      <c r="BA21" s="617">
        <f>IP!BA14</f>
        <v>1.0655724069915447</v>
      </c>
      <c r="BB21" s="617">
        <f>IP!BB14</f>
        <v>1.0675647604832397</v>
      </c>
      <c r="BC21" s="617">
        <f>IP!BC14</f>
        <v>1.0695608391769105</v>
      </c>
      <c r="BD21" s="617">
        <f>IP!BD14</f>
        <v>1.0715606500377517</v>
      </c>
      <c r="BE21" s="617">
        <f>IP!BE14</f>
        <v>1.0735642000439811</v>
      </c>
      <c r="BF21" s="617">
        <f>IP!BF14</f>
        <v>1.0755714961868639</v>
      </c>
      <c r="BG21" s="617">
        <f>IP!BG14</f>
        <v>1.0775825454707373</v>
      </c>
      <c r="BI21" s="594"/>
    </row>
    <row r="22" spans="2:78">
      <c r="B22" s="607"/>
      <c r="D22" s="593" t="s">
        <v>203</v>
      </c>
      <c r="E22" s="616">
        <f>GA!G146</f>
        <v>0.02</v>
      </c>
      <c r="S22" s="617">
        <f>PCF!S14</f>
        <v>1</v>
      </c>
      <c r="T22" s="617">
        <f>PCF!T14</f>
        <v>1.0049629315732038</v>
      </c>
      <c r="U22" s="617">
        <f>PCF!U14</f>
        <v>1.0099504938362081</v>
      </c>
      <c r="V22" s="617">
        <f>PCF!V14</f>
        <v>1.0149628090294405</v>
      </c>
      <c r="W22" s="617">
        <f>PCF!W14</f>
        <v>1.0200000000000002</v>
      </c>
      <c r="X22" s="617">
        <f>PCF!X14</f>
        <v>1.0250621902046682</v>
      </c>
      <c r="Y22" s="617">
        <f>PCF!Y14</f>
        <v>1.0301495037129325</v>
      </c>
      <c r="Z22" s="617">
        <f>PCF!Z14</f>
        <v>1.0352620652100297</v>
      </c>
      <c r="AA22" s="617">
        <f>PCF!AA14</f>
        <v>1.0404000000000009</v>
      </c>
      <c r="AB22" s="617">
        <f>PCF!AB14</f>
        <v>1.0455634340087621</v>
      </c>
      <c r="AC22" s="617">
        <f>PCF!AC14</f>
        <v>1.0507524937871915</v>
      </c>
      <c r="AD22" s="617">
        <f>PCF!AD14</f>
        <v>1.0559673065142305</v>
      </c>
      <c r="AE22" s="617">
        <f>PCF!AE14</f>
        <v>1.061208000000001</v>
      </c>
      <c r="AF22" s="617">
        <f>PCF!AF14</f>
        <v>1.0664747026889376</v>
      </c>
      <c r="AG22" s="617">
        <f>PCF!AG14</f>
        <v>1.0717675436629357</v>
      </c>
      <c r="AH22" s="617">
        <f>PCF!AH14</f>
        <v>1.0770866526445155</v>
      </c>
      <c r="AI22" s="617">
        <f>PCF!AI14</f>
        <v>1.0824321600000013</v>
      </c>
      <c r="AJ22" s="617">
        <f>PCF!AJ14</f>
        <v>1.0878041967427166</v>
      </c>
      <c r="AK22" s="617">
        <f>PCF!AK14</f>
        <v>1.0932028945361947</v>
      </c>
      <c r="AL22" s="617">
        <f>PCF!AL14</f>
        <v>1.0986283856974062</v>
      </c>
      <c r="AM22" s="617">
        <f>PCF!AM14</f>
        <v>1.1040808032000018</v>
      </c>
      <c r="AN22" s="617">
        <f>PCF!AN14</f>
        <v>1.1095602806775713</v>
      </c>
      <c r="AO22" s="617">
        <f>PCF!AO14</f>
        <v>1.115066952426919</v>
      </c>
      <c r="AP22" s="617">
        <f>PCF!AP14</f>
        <v>1.1206009534113548</v>
      </c>
      <c r="AQ22" s="617">
        <f>PCF!AQ14</f>
        <v>1.1261624192640023</v>
      </c>
      <c r="AR22" s="617">
        <f>PCF!AR14</f>
        <v>1.1317514862911231</v>
      </c>
      <c r="AS22" s="617">
        <f>PCF!AS14</f>
        <v>1.1373682914754577</v>
      </c>
      <c r="AT22" s="617">
        <f>PCF!AT14</f>
        <v>1.1430129724795821</v>
      </c>
      <c r="AU22" s="617">
        <f>PCF!AU14</f>
        <v>1.1486856676492825</v>
      </c>
      <c r="AV22" s="617">
        <f>PCF!AV14</f>
        <v>1.1543865160169458</v>
      </c>
      <c r="AW22" s="617">
        <f>PCF!AW14</f>
        <v>1.1601156573049669</v>
      </c>
      <c r="AX22" s="617">
        <f>PCF!AX14</f>
        <v>1.1658732319291738</v>
      </c>
      <c r="AY22" s="617">
        <f>PCF!AY14</f>
        <v>1.1716593810022682</v>
      </c>
      <c r="AZ22" s="617">
        <f>PCF!AZ14</f>
        <v>1.1774742463372847</v>
      </c>
      <c r="BA22" s="617">
        <f>PCF!BA14</f>
        <v>1.1833179704510663</v>
      </c>
      <c r="BB22" s="617">
        <f>PCF!BB14</f>
        <v>1.1891906965677574</v>
      </c>
      <c r="BC22" s="617">
        <f>PCF!BC14</f>
        <v>1.1950925686223137</v>
      </c>
      <c r="BD22" s="617">
        <f>PCF!BD14</f>
        <v>1.2010237312640306</v>
      </c>
      <c r="BE22" s="617">
        <f>PCF!BE14</f>
        <v>1.206984329860088</v>
      </c>
      <c r="BF22" s="617">
        <f>PCF!BF14</f>
        <v>1.2129745104991128</v>
      </c>
      <c r="BG22" s="617">
        <f>PCF!BG14</f>
        <v>1.2189944199947602</v>
      </c>
      <c r="BI22" s="614" t="s">
        <v>153</v>
      </c>
    </row>
    <row r="23" spans="2:78">
      <c r="B23" s="607"/>
      <c r="D23" s="593"/>
      <c r="BI23" s="594"/>
    </row>
    <row r="24" spans="2:78">
      <c r="B24" s="607"/>
      <c r="D24" s="608" t="s">
        <v>1051</v>
      </c>
      <c r="E24" s="609"/>
      <c r="F24" s="609"/>
      <c r="G24" s="609"/>
      <c r="H24" s="609"/>
      <c r="I24" s="609"/>
      <c r="J24" s="609"/>
      <c r="K24" s="609"/>
      <c r="L24" s="609"/>
      <c r="M24" s="609"/>
      <c r="N24" s="609"/>
      <c r="O24" s="609"/>
      <c r="P24" s="609"/>
      <c r="Q24" s="609"/>
      <c r="R24" s="609"/>
      <c r="S24" s="610"/>
      <c r="T24" s="610"/>
      <c r="U24" s="610"/>
      <c r="V24" s="610"/>
      <c r="W24" s="610"/>
      <c r="X24" s="610"/>
      <c r="Y24" s="610"/>
      <c r="Z24" s="610"/>
      <c r="AA24" s="611"/>
      <c r="AB24" s="611"/>
      <c r="AC24" s="611"/>
      <c r="AD24" s="611"/>
      <c r="AE24" s="611"/>
      <c r="AF24" s="611"/>
      <c r="AG24" s="611"/>
      <c r="AH24" s="611"/>
      <c r="AI24" s="611"/>
      <c r="AJ24" s="611"/>
      <c r="AK24" s="611"/>
      <c r="AL24" s="611"/>
      <c r="AM24" s="611"/>
      <c r="AN24" s="611"/>
      <c r="AO24" s="611"/>
      <c r="AP24" s="611"/>
      <c r="AQ24" s="611"/>
      <c r="AR24" s="611"/>
      <c r="AS24" s="611"/>
      <c r="AT24" s="611"/>
      <c r="AU24" s="611"/>
      <c r="AV24" s="611"/>
      <c r="AW24" s="611"/>
      <c r="AX24" s="611"/>
      <c r="AY24" s="611"/>
      <c r="AZ24" s="611"/>
      <c r="BA24" s="611"/>
      <c r="BB24" s="611"/>
      <c r="BC24" s="611"/>
      <c r="BD24" s="611"/>
      <c r="BE24" s="611"/>
      <c r="BF24" s="611"/>
      <c r="BG24" s="611"/>
      <c r="BI24" s="612"/>
      <c r="BK24" s="611"/>
      <c r="BM24" s="611"/>
      <c r="BN24" s="611"/>
      <c r="BO24" s="611"/>
      <c r="BP24" s="611"/>
      <c r="BQ24" s="611"/>
      <c r="BR24" s="611"/>
      <c r="BS24" s="611"/>
      <c r="BT24" s="611"/>
      <c r="BU24" s="611"/>
      <c r="BV24" s="611"/>
      <c r="BX24" s="611"/>
    </row>
    <row r="25" spans="2:78">
      <c r="B25" s="607"/>
      <c r="D25" s="593"/>
      <c r="BI25" s="594"/>
    </row>
    <row r="26" spans="2:78">
      <c r="B26" s="607"/>
      <c r="D26" s="618" t="s">
        <v>277</v>
      </c>
      <c r="T26" s="613"/>
      <c r="U26" s="613"/>
      <c r="V26" s="613"/>
      <c r="W26" s="613"/>
      <c r="X26" s="613"/>
      <c r="Y26" s="613"/>
      <c r="Z26" s="613"/>
      <c r="AA26" s="613"/>
      <c r="AB26" s="613"/>
      <c r="AC26" s="613"/>
      <c r="AD26" s="613"/>
      <c r="AE26" s="613"/>
      <c r="AF26" s="613"/>
      <c r="AG26" s="613"/>
      <c r="AH26" s="613"/>
      <c r="AI26" s="613"/>
      <c r="AJ26" s="613"/>
      <c r="AK26" s="613"/>
      <c r="AL26" s="613"/>
      <c r="AM26" s="613"/>
      <c r="AN26" s="613"/>
      <c r="AO26" s="613"/>
      <c r="AP26" s="613"/>
      <c r="AQ26" s="613"/>
      <c r="AR26" s="613"/>
      <c r="AS26" s="613"/>
      <c r="AT26" s="613"/>
      <c r="AU26" s="613"/>
      <c r="AV26" s="613"/>
      <c r="AW26" s="613"/>
      <c r="AX26" s="613"/>
      <c r="AY26" s="613"/>
      <c r="AZ26" s="613"/>
      <c r="BA26" s="613"/>
      <c r="BB26" s="613"/>
      <c r="BC26" s="613"/>
      <c r="BD26" s="613"/>
      <c r="BE26" s="613"/>
      <c r="BF26" s="613"/>
      <c r="BG26" s="613"/>
      <c r="BI26" s="614"/>
      <c r="BM26" s="613"/>
      <c r="BN26" s="613"/>
      <c r="BO26" s="613"/>
      <c r="BP26" s="613"/>
      <c r="BQ26" s="613"/>
      <c r="BR26" s="613"/>
      <c r="BS26" s="613"/>
      <c r="BT26" s="613"/>
      <c r="BU26" s="613"/>
      <c r="BV26" s="613"/>
      <c r="BX26" s="615"/>
    </row>
    <row r="27" spans="2:78">
      <c r="B27" s="607"/>
      <c r="D27" s="619" t="s">
        <v>1180</v>
      </c>
      <c r="E27" s="620"/>
      <c r="F27" s="620"/>
      <c r="G27" s="620"/>
      <c r="H27" s="620"/>
      <c r="I27" s="620"/>
      <c r="J27" s="620"/>
      <c r="K27" s="620"/>
      <c r="L27" s="620"/>
      <c r="M27" s="620"/>
      <c r="N27" s="620"/>
      <c r="O27" s="620"/>
      <c r="P27" s="620"/>
      <c r="Q27" s="620"/>
      <c r="R27" s="620"/>
      <c r="S27" s="620"/>
      <c r="T27" s="621">
        <f>(SUMIFS(IP!T$83:T$85,IP!$C$83:$C$85,$E$1,IP!$N$83:$N$85,$D27)+SUMIFS(IP!T$74:T$76,IP!$C$74:$C$76,$E$1,IP!$O$74:$O$76,$D27))*INDEX(IP!T$20:T$22,MATCH($E$1,IP!$C$20:$C$22,0))+SUMIFS(RN!T$80:T$82,RN!$C$80:$C$82,$E$1,RN!$N$80:$N$82,$D27)+(SUMIFS(RN!T$71:T$73,RN!$C$71:$C$73,$E$1,RN!$N$71:$N$73,$D27))*INDEX(RN!T$20:T$22,MATCH($E$1,RN!$C$20:$C$22,0))+(SUMIFS(RL!T$83:T$85,RL!$C$83:$C$85,$E$1,RL!$N$83:$N$85,$D27)+SUMIFS(RL!T$74:T$76,RL!$C$74:$C$76,$E$1,RL!$N$74:$N$76,$D27))*INDEX(RL!T$20:T$22,MATCH($E$1,RL!$C$20:$C$22,0))+(SUMIFS(LU!T$83:T$85,LU!$C$83:$C$85,$E$1,LU!$N$83:$N$85,$D27)+SUMIFS(LU!T$74:T$76,LU!$C$74:$C$76,$E$1,LU!$N$74:$N$76,$D27))*INDEX(LU!T$20:T$22,MATCH($E$1,LU!$C$20:$C$22,0))</f>
        <v>0</v>
      </c>
      <c r="U27" s="621">
        <f>(SUMIFS(IP!U$83:U$85,IP!$C$83:$C$85,$E$1,IP!$N$83:$N$85,$D27)+SUMIFS(IP!U$74:U$76,IP!$C$74:$C$76,$E$1,IP!$O$74:$O$76,$D27))*INDEX(IP!U$20:U$22,MATCH($E$1,IP!$C$20:$C$22,0))+SUMIFS(RN!U$80:U$82,RN!$C$80:$C$82,$E$1,RN!$N$80:$N$82,$D27)+(SUMIFS(RN!U$71:U$73,RN!$C$71:$C$73,$E$1,RN!$N$71:$N$73,$D27))*INDEX(RN!U$20:U$22,MATCH($E$1,RN!$C$20:$C$22,0))+(SUMIFS(RL!U$83:U$85,RL!$C$83:$C$85,$E$1,RL!$N$83:$N$85,$D27)+SUMIFS(RL!U$74:U$76,RL!$C$74:$C$76,$E$1,RL!$N$74:$N$76,$D27))*INDEX(RL!U$20:U$22,MATCH($E$1,RL!$C$20:$C$22,0))+(SUMIFS(LU!U$83:U$85,LU!$C$83:$C$85,$E$1,LU!$N$83:$N$85,$D27)+SUMIFS(LU!U$74:U$76,LU!$C$74:$C$76,$E$1,LU!$N$74:$N$76,$D27))*INDEX(LU!U$20:U$22,MATCH($E$1,LU!$C$20:$C$22,0))</f>
        <v>0</v>
      </c>
      <c r="V27" s="621">
        <f>(SUMIFS(IP!V$83:V$85,IP!$C$83:$C$85,$E$1,IP!$N$83:$N$85,$D27)+SUMIFS(IP!V$74:V$76,IP!$C$74:$C$76,$E$1,IP!$O$74:$O$76,$D27))*INDEX(IP!V$20:V$22,MATCH($E$1,IP!$C$20:$C$22,0))+SUMIFS(RN!V$80:V$82,RN!$C$80:$C$82,$E$1,RN!$N$80:$N$82,$D27)+(SUMIFS(RN!V$71:V$73,RN!$C$71:$C$73,$E$1,RN!$N$71:$N$73,$D27))*INDEX(RN!V$20:V$22,MATCH($E$1,RN!$C$20:$C$22,0))+(SUMIFS(RL!V$83:V$85,RL!$C$83:$C$85,$E$1,RL!$N$83:$N$85,$D27)+SUMIFS(RL!V$74:V$76,RL!$C$74:$C$76,$E$1,RL!$N$74:$N$76,$D27))*INDEX(RL!V$20:V$22,MATCH($E$1,RL!$C$20:$C$22,0))+(SUMIFS(LU!V$83:V$85,LU!$C$83:$C$85,$E$1,LU!$N$83:$N$85,$D27)+SUMIFS(LU!V$74:V$76,LU!$C$74:$C$76,$E$1,LU!$N$74:$N$76,$D27))*INDEX(LU!V$20:V$22,MATCH($E$1,LU!$C$20:$C$22,0))</f>
        <v>1000</v>
      </c>
      <c r="W27" s="621">
        <f>(SUMIFS(IP!W$83:W$85,IP!$C$83:$C$85,$E$1,IP!$N$83:$N$85,$D27)+SUMIFS(IP!W$74:W$76,IP!$C$74:$C$76,$E$1,IP!$O$74:$O$76,$D27))*INDEX(IP!W$20:W$22,MATCH($E$1,IP!$C$20:$C$22,0))+SUMIFS(RN!W$80:W$82,RN!$C$80:$C$82,$E$1,RN!$N$80:$N$82,$D27)+(SUMIFS(RN!W$71:W$73,RN!$C$71:$C$73,$E$1,RN!$N$71:$N$73,$D27))*INDEX(RN!W$20:W$22,MATCH($E$1,RN!$C$20:$C$22,0))+(SUMIFS(RL!W$83:W$85,RL!$C$83:$C$85,$E$1,RL!$N$83:$N$85,$D27)+SUMIFS(RL!W$74:W$76,RL!$C$74:$C$76,$E$1,RL!$N$74:$N$76,$D27))*INDEX(RL!W$20:W$22,MATCH($E$1,RL!$C$20:$C$22,0))+(SUMIFS(LU!W$83:W$85,LU!$C$83:$C$85,$E$1,LU!$N$83:$N$85,$D27)+SUMIFS(LU!W$74:W$76,LU!$C$74:$C$76,$E$1,LU!$N$74:$N$76,$D27))*INDEX(LU!W$20:W$22,MATCH($E$1,LU!$C$20:$C$22,0))</f>
        <v>1000</v>
      </c>
      <c r="X27" s="621">
        <f>(SUMIFS(IP!X$83:X$85,IP!$C$83:$C$85,$E$1,IP!$N$83:$N$85,$D27)+SUMIFS(IP!X$74:X$76,IP!$C$74:$C$76,$E$1,IP!$O$74:$O$76,$D27))*INDEX(IP!X$20:X$22,MATCH($E$1,IP!$C$20:$C$22,0))+SUMIFS(RN!X$80:X$82,RN!$C$80:$C$82,$E$1,RN!$N$80:$N$82,$D27)+(SUMIFS(RN!X$71:X$73,RN!$C$71:$C$73,$E$1,RN!$N$71:$N$73,$D27))*INDEX(RN!X$20:X$22,MATCH($E$1,RN!$C$20:$C$22,0))+(SUMIFS(RL!X$83:X$85,RL!$C$83:$C$85,$E$1,RL!$N$83:$N$85,$D27)+SUMIFS(RL!X$74:X$76,RL!$C$74:$C$76,$E$1,RL!$N$74:$N$76,$D27))*INDEX(RL!X$20:X$22,MATCH($E$1,RL!$C$20:$C$22,0))+(SUMIFS(LU!X$83:X$85,LU!$C$83:$C$85,$E$1,LU!$N$83:$N$85,$D27)+SUMIFS(LU!X$74:X$76,LU!$C$74:$C$76,$E$1,LU!$N$74:$N$76,$D27))*INDEX(LU!X$20:X$22,MATCH($E$1,LU!$C$20:$C$22,0))</f>
        <v>1000</v>
      </c>
      <c r="Y27" s="621">
        <f>(SUMIFS(IP!Y$83:Y$85,IP!$C$83:$C$85,$E$1,IP!$N$83:$N$85,$D27)+SUMIFS(IP!Y$74:Y$76,IP!$C$74:$C$76,$E$1,IP!$O$74:$O$76,$D27))*INDEX(IP!Y$20:Y$22,MATCH($E$1,IP!$C$20:$C$22,0))+SUMIFS(RN!Y$80:Y$82,RN!$C$80:$C$82,$E$1,RN!$N$80:$N$82,$D27)+(SUMIFS(RN!Y$71:Y$73,RN!$C$71:$C$73,$E$1,RN!$N$71:$N$73,$D27))*INDEX(RN!Y$20:Y$22,MATCH($E$1,RN!$C$20:$C$22,0))+(SUMIFS(RL!Y$83:Y$85,RL!$C$83:$C$85,$E$1,RL!$N$83:$N$85,$D27)+SUMIFS(RL!Y$74:Y$76,RL!$C$74:$C$76,$E$1,RL!$N$74:$N$76,$D27))*INDEX(RL!Y$20:Y$22,MATCH($E$1,RL!$C$20:$C$22,0))+(SUMIFS(LU!Y$83:Y$85,LU!$C$83:$C$85,$E$1,LU!$N$83:$N$85,$D27)+SUMIFS(LU!Y$74:Y$76,LU!$C$74:$C$76,$E$1,LU!$N$74:$N$76,$D27))*INDEX(LU!Y$20:Y$22,MATCH($E$1,LU!$C$20:$C$22,0))</f>
        <v>1000</v>
      </c>
      <c r="Z27" s="621">
        <f>(SUMIFS(IP!Z$83:Z$85,IP!$C$83:$C$85,$E$1,IP!$N$83:$N$85,$D27)+SUMIFS(IP!Z$74:Z$76,IP!$C$74:$C$76,$E$1,IP!$O$74:$O$76,$D27))*INDEX(IP!Z$20:Z$22,MATCH($E$1,IP!$C$20:$C$22,0))+SUMIFS(RN!Z$80:Z$82,RN!$C$80:$C$82,$E$1,RN!$N$80:$N$82,$D27)+(SUMIFS(RN!Z$71:Z$73,RN!$C$71:$C$73,$E$1,RN!$N$71:$N$73,$D27))*INDEX(RN!Z$20:Z$22,MATCH($E$1,RN!$C$20:$C$22,0))+(SUMIFS(RL!Z$83:Z$85,RL!$C$83:$C$85,$E$1,RL!$N$83:$N$85,$D27)+SUMIFS(RL!Z$74:Z$76,RL!$C$74:$C$76,$E$1,RL!$N$74:$N$76,$D27))*INDEX(RL!Z$20:Z$22,MATCH($E$1,RL!$C$20:$C$22,0))+(SUMIFS(LU!Z$83:Z$85,LU!$C$83:$C$85,$E$1,LU!$N$83:$N$85,$D27)+SUMIFS(LU!Z$74:Z$76,LU!$C$74:$C$76,$E$1,LU!$N$74:$N$76,$D27))*INDEX(LU!Z$20:Z$22,MATCH($E$1,LU!$C$20:$C$22,0))</f>
        <v>1000</v>
      </c>
      <c r="AA27" s="621">
        <f>(SUMIFS(IP!AA$83:AA$85,IP!$C$83:$C$85,$E$1,IP!$N$83:$N$85,$D27)+SUMIFS(IP!AA$74:AA$76,IP!$C$74:$C$76,$E$1,IP!$O$74:$O$76,$D27))*INDEX(IP!AA$20:AA$22,MATCH($E$1,IP!$C$20:$C$22,0))+SUMIFS(RN!AA$80:AA$82,RN!$C$80:$C$82,$E$1,RN!$N$80:$N$82,$D27)+(SUMIFS(RN!AA$71:AA$73,RN!$C$71:$C$73,$E$1,RN!$N$71:$N$73,$D27))*INDEX(RN!AA$20:AA$22,MATCH($E$1,RN!$C$20:$C$22,0))+(SUMIFS(RL!AA$83:AA$85,RL!$C$83:$C$85,$E$1,RL!$N$83:$N$85,$D27)+SUMIFS(RL!AA$74:AA$76,RL!$C$74:$C$76,$E$1,RL!$N$74:$N$76,$D27))*INDEX(RL!AA$20:AA$22,MATCH($E$1,RL!$C$20:$C$22,0))+(SUMIFS(LU!AA$83:AA$85,LU!$C$83:$C$85,$E$1,LU!$N$83:$N$85,$D27)+SUMIFS(LU!AA$74:AA$76,LU!$C$74:$C$76,$E$1,LU!$N$74:$N$76,$D27))*INDEX(LU!AA$20:AA$22,MATCH($E$1,LU!$C$20:$C$22,0))</f>
        <v>1000</v>
      </c>
      <c r="AB27" s="621">
        <f>(SUMIFS(IP!AB$83:AB$85,IP!$C$83:$C$85,$E$1,IP!$N$83:$N$85,$D27)+SUMIFS(IP!AB$74:AB$76,IP!$C$74:$C$76,$E$1,IP!$O$74:$O$76,$D27))*INDEX(IP!AB$20:AB$22,MATCH($E$1,IP!$C$20:$C$22,0))+SUMIFS(RN!AB$80:AB$82,RN!$C$80:$C$82,$E$1,RN!$N$80:$N$82,$D27)+(SUMIFS(RN!AB$71:AB$73,RN!$C$71:$C$73,$E$1,RN!$N$71:$N$73,$D27))*INDEX(RN!AB$20:AB$22,MATCH($E$1,RN!$C$20:$C$22,0))+(SUMIFS(RL!AB$83:AB$85,RL!$C$83:$C$85,$E$1,RL!$N$83:$N$85,$D27)+SUMIFS(RL!AB$74:AB$76,RL!$C$74:$C$76,$E$1,RL!$N$74:$N$76,$D27))*INDEX(RL!AB$20:AB$22,MATCH($E$1,RL!$C$20:$C$22,0))+(SUMIFS(LU!AB$83:AB$85,LU!$C$83:$C$85,$E$1,LU!$N$83:$N$85,$D27)+SUMIFS(LU!AB$74:AB$76,LU!$C$74:$C$76,$E$1,LU!$N$74:$N$76,$D27))*INDEX(LU!AB$20:AB$22,MATCH($E$1,LU!$C$20:$C$22,0))</f>
        <v>1000</v>
      </c>
      <c r="AC27" s="621">
        <f>(SUMIFS(IP!AC$83:AC$85,IP!$C$83:$C$85,$E$1,IP!$N$83:$N$85,$D27)+SUMIFS(IP!AC$74:AC$76,IP!$C$74:$C$76,$E$1,IP!$O$74:$O$76,$D27))*INDEX(IP!AC$20:AC$22,MATCH($E$1,IP!$C$20:$C$22,0))+SUMIFS(RN!AC$80:AC$82,RN!$C$80:$C$82,$E$1,RN!$N$80:$N$82,$D27)+(SUMIFS(RN!AC$71:AC$73,RN!$C$71:$C$73,$E$1,RN!$N$71:$N$73,$D27))*INDEX(RN!AC$20:AC$22,MATCH($E$1,RN!$C$20:$C$22,0))+(SUMIFS(RL!AC$83:AC$85,RL!$C$83:$C$85,$E$1,RL!$N$83:$N$85,$D27)+SUMIFS(RL!AC$74:AC$76,RL!$C$74:$C$76,$E$1,RL!$N$74:$N$76,$D27))*INDEX(RL!AC$20:AC$22,MATCH($E$1,RL!$C$20:$C$22,0))+(SUMIFS(LU!AC$83:AC$85,LU!$C$83:$C$85,$E$1,LU!$N$83:$N$85,$D27)+SUMIFS(LU!AC$74:AC$76,LU!$C$74:$C$76,$E$1,LU!$N$74:$N$76,$D27))*INDEX(LU!AC$20:AC$22,MATCH($E$1,LU!$C$20:$C$22,0))</f>
        <v>1000</v>
      </c>
      <c r="AD27" s="621">
        <f>(SUMIFS(IP!AD$83:AD$85,IP!$C$83:$C$85,$E$1,IP!$N$83:$N$85,$D27)+SUMIFS(IP!AD$74:AD$76,IP!$C$74:$C$76,$E$1,IP!$O$74:$O$76,$D27))*INDEX(IP!AD$20:AD$22,MATCH($E$1,IP!$C$20:$C$22,0))+SUMIFS(RN!AD$80:AD$82,RN!$C$80:$C$82,$E$1,RN!$N$80:$N$82,$D27)+(SUMIFS(RN!AD$71:AD$73,RN!$C$71:$C$73,$E$1,RN!$N$71:$N$73,$D27))*INDEX(RN!AD$20:AD$22,MATCH($E$1,RN!$C$20:$C$22,0))+(SUMIFS(RL!AD$83:AD$85,RL!$C$83:$C$85,$E$1,RL!$N$83:$N$85,$D27)+SUMIFS(RL!AD$74:AD$76,RL!$C$74:$C$76,$E$1,RL!$N$74:$N$76,$D27))*INDEX(RL!AD$20:AD$22,MATCH($E$1,RL!$C$20:$C$22,0))+(SUMIFS(LU!AD$83:AD$85,LU!$C$83:$C$85,$E$1,LU!$N$83:$N$85,$D27)+SUMIFS(LU!AD$74:AD$76,LU!$C$74:$C$76,$E$1,LU!$N$74:$N$76,$D27))*INDEX(LU!AD$20:AD$22,MATCH($E$1,LU!$C$20:$C$22,0))</f>
        <v>1000</v>
      </c>
      <c r="AE27" s="621">
        <f>(SUMIFS(IP!AE$83:AE$85,IP!$C$83:$C$85,$E$1,IP!$N$83:$N$85,$D27)+SUMIFS(IP!AE$74:AE$76,IP!$C$74:$C$76,$E$1,IP!$O$74:$O$76,$D27))*INDEX(IP!AE$20:AE$22,MATCH($E$1,IP!$C$20:$C$22,0))+SUMIFS(RN!AE$80:AE$82,RN!$C$80:$C$82,$E$1,RN!$N$80:$N$82,$D27)+(SUMIFS(RN!AE$71:AE$73,RN!$C$71:$C$73,$E$1,RN!$N$71:$N$73,$D27))*INDEX(RN!AE$20:AE$22,MATCH($E$1,RN!$C$20:$C$22,0))+(SUMIFS(RL!AE$83:AE$85,RL!$C$83:$C$85,$E$1,RL!$N$83:$N$85,$D27)+SUMIFS(RL!AE$74:AE$76,RL!$C$74:$C$76,$E$1,RL!$N$74:$N$76,$D27))*INDEX(RL!AE$20:AE$22,MATCH($E$1,RL!$C$20:$C$22,0))+(SUMIFS(LU!AE$83:AE$85,LU!$C$83:$C$85,$E$1,LU!$N$83:$N$85,$D27)+SUMIFS(LU!AE$74:AE$76,LU!$C$74:$C$76,$E$1,LU!$N$74:$N$76,$D27))*INDEX(LU!AE$20:AE$22,MATCH($E$1,LU!$C$20:$C$22,0))</f>
        <v>1000</v>
      </c>
      <c r="AF27" s="621">
        <f>(SUMIFS(IP!AF$83:AF$85,IP!$C$83:$C$85,$E$1,IP!$N$83:$N$85,$D27)+SUMIFS(IP!AF$74:AF$76,IP!$C$74:$C$76,$E$1,IP!$O$74:$O$76,$D27))*INDEX(IP!AF$20:AF$22,MATCH($E$1,IP!$C$20:$C$22,0))+SUMIFS(RN!AF$80:AF$82,RN!$C$80:$C$82,$E$1,RN!$N$80:$N$82,$D27)+(SUMIFS(RN!AF$71:AF$73,RN!$C$71:$C$73,$E$1,RN!$N$71:$N$73,$D27))*INDEX(RN!AF$20:AF$22,MATCH($E$1,RN!$C$20:$C$22,0))+(SUMIFS(RL!AF$83:AF$85,RL!$C$83:$C$85,$E$1,RL!$N$83:$N$85,$D27)+SUMIFS(RL!AF$74:AF$76,RL!$C$74:$C$76,$E$1,RL!$N$74:$N$76,$D27))*INDEX(RL!AF$20:AF$22,MATCH($E$1,RL!$C$20:$C$22,0))+(SUMIFS(LU!AF$83:AF$85,LU!$C$83:$C$85,$E$1,LU!$N$83:$N$85,$D27)+SUMIFS(LU!AF$74:AF$76,LU!$C$74:$C$76,$E$1,LU!$N$74:$N$76,$D27))*INDEX(LU!AF$20:AF$22,MATCH($E$1,LU!$C$20:$C$22,0))</f>
        <v>0</v>
      </c>
      <c r="AG27" s="621">
        <f>(SUMIFS(IP!AG$83:AG$85,IP!$C$83:$C$85,$E$1,IP!$N$83:$N$85,$D27)+SUMIFS(IP!AG$74:AG$76,IP!$C$74:$C$76,$E$1,IP!$O$74:$O$76,$D27))*INDEX(IP!AG$20:AG$22,MATCH($E$1,IP!$C$20:$C$22,0))+SUMIFS(RN!AG$80:AG$82,RN!$C$80:$C$82,$E$1,RN!$N$80:$N$82,$D27)+(SUMIFS(RN!AG$71:AG$73,RN!$C$71:$C$73,$E$1,RN!$N$71:$N$73,$D27))*INDEX(RN!AG$20:AG$22,MATCH($E$1,RN!$C$20:$C$22,0))+(SUMIFS(RL!AG$83:AG$85,RL!$C$83:$C$85,$E$1,RL!$N$83:$N$85,$D27)+SUMIFS(RL!AG$74:AG$76,RL!$C$74:$C$76,$E$1,RL!$N$74:$N$76,$D27))*INDEX(RL!AG$20:AG$22,MATCH($E$1,RL!$C$20:$C$22,0))+(SUMIFS(LU!AG$83:AG$85,LU!$C$83:$C$85,$E$1,LU!$N$83:$N$85,$D27)+SUMIFS(LU!AG$74:AG$76,LU!$C$74:$C$76,$E$1,LU!$N$74:$N$76,$D27))*INDEX(LU!AG$20:AG$22,MATCH($E$1,LU!$C$20:$C$22,0))</f>
        <v>0</v>
      </c>
      <c r="AH27" s="621">
        <f>(SUMIFS(IP!AH$83:AH$85,IP!$C$83:$C$85,$E$1,IP!$N$83:$N$85,$D27)+SUMIFS(IP!AH$74:AH$76,IP!$C$74:$C$76,$E$1,IP!$O$74:$O$76,$D27))*INDEX(IP!AH$20:AH$22,MATCH($E$1,IP!$C$20:$C$22,0))+SUMIFS(RN!AH$80:AH$82,RN!$C$80:$C$82,$E$1,RN!$N$80:$N$82,$D27)+(SUMIFS(RN!AH$71:AH$73,RN!$C$71:$C$73,$E$1,RN!$N$71:$N$73,$D27))*INDEX(RN!AH$20:AH$22,MATCH($E$1,RN!$C$20:$C$22,0))+(SUMIFS(RL!AH$83:AH$85,RL!$C$83:$C$85,$E$1,RL!$N$83:$N$85,$D27)+SUMIFS(RL!AH$74:AH$76,RL!$C$74:$C$76,$E$1,RL!$N$74:$N$76,$D27))*INDEX(RL!AH$20:AH$22,MATCH($E$1,RL!$C$20:$C$22,0))+(SUMIFS(LU!AH$83:AH$85,LU!$C$83:$C$85,$E$1,LU!$N$83:$N$85,$D27)+SUMIFS(LU!AH$74:AH$76,LU!$C$74:$C$76,$E$1,LU!$N$74:$N$76,$D27))*INDEX(LU!AH$20:AH$22,MATCH($E$1,LU!$C$20:$C$22,0))</f>
        <v>0</v>
      </c>
      <c r="AI27" s="621">
        <f>(SUMIFS(IP!AI$83:AI$85,IP!$C$83:$C$85,$E$1,IP!$N$83:$N$85,$D27)+SUMIFS(IP!AI$74:AI$76,IP!$C$74:$C$76,$E$1,IP!$O$74:$O$76,$D27))*INDEX(IP!AI$20:AI$22,MATCH($E$1,IP!$C$20:$C$22,0))+SUMIFS(RN!AI$80:AI$82,RN!$C$80:$C$82,$E$1,RN!$N$80:$N$82,$D27)+(SUMIFS(RN!AI$71:AI$73,RN!$C$71:$C$73,$E$1,RN!$N$71:$N$73,$D27))*INDEX(RN!AI$20:AI$22,MATCH($E$1,RN!$C$20:$C$22,0))+(SUMIFS(RL!AI$83:AI$85,RL!$C$83:$C$85,$E$1,RL!$N$83:$N$85,$D27)+SUMIFS(RL!AI$74:AI$76,RL!$C$74:$C$76,$E$1,RL!$N$74:$N$76,$D27))*INDEX(RL!AI$20:AI$22,MATCH($E$1,RL!$C$20:$C$22,0))+(SUMIFS(LU!AI$83:AI$85,LU!$C$83:$C$85,$E$1,LU!$N$83:$N$85,$D27)+SUMIFS(LU!AI$74:AI$76,LU!$C$74:$C$76,$E$1,LU!$N$74:$N$76,$D27))*INDEX(LU!AI$20:AI$22,MATCH($E$1,LU!$C$20:$C$22,0))</f>
        <v>0</v>
      </c>
      <c r="AJ27" s="621">
        <f>(SUMIFS(IP!AJ$83:AJ$85,IP!$C$83:$C$85,$E$1,IP!$N$83:$N$85,$D27)+SUMIFS(IP!AJ$74:AJ$76,IP!$C$74:$C$76,$E$1,IP!$O$74:$O$76,$D27))*INDEX(IP!AJ$20:AJ$22,MATCH($E$1,IP!$C$20:$C$22,0))+SUMIFS(RN!AJ$80:AJ$82,RN!$C$80:$C$82,$E$1,RN!$N$80:$N$82,$D27)+(SUMIFS(RN!AJ$71:AJ$73,RN!$C$71:$C$73,$E$1,RN!$N$71:$N$73,$D27))*INDEX(RN!AJ$20:AJ$22,MATCH($E$1,RN!$C$20:$C$22,0))+(SUMIFS(RL!AJ$83:AJ$85,RL!$C$83:$C$85,$E$1,RL!$N$83:$N$85,$D27)+SUMIFS(RL!AJ$74:AJ$76,RL!$C$74:$C$76,$E$1,RL!$N$74:$N$76,$D27))*INDEX(RL!AJ$20:AJ$22,MATCH($E$1,RL!$C$20:$C$22,0))+(SUMIFS(LU!AJ$83:AJ$85,LU!$C$83:$C$85,$E$1,LU!$N$83:$N$85,$D27)+SUMIFS(LU!AJ$74:AJ$76,LU!$C$74:$C$76,$E$1,LU!$N$74:$N$76,$D27))*INDEX(LU!AJ$20:AJ$22,MATCH($E$1,LU!$C$20:$C$22,0))</f>
        <v>0</v>
      </c>
      <c r="AK27" s="621">
        <f>(SUMIFS(IP!AK$83:AK$85,IP!$C$83:$C$85,$E$1,IP!$N$83:$N$85,$D27)+SUMIFS(IP!AK$74:AK$76,IP!$C$74:$C$76,$E$1,IP!$O$74:$O$76,$D27))*INDEX(IP!AK$20:AK$22,MATCH($E$1,IP!$C$20:$C$22,0))+SUMIFS(RN!AK$80:AK$82,RN!$C$80:$C$82,$E$1,RN!$N$80:$N$82,$D27)+(SUMIFS(RN!AK$71:AK$73,RN!$C$71:$C$73,$E$1,RN!$N$71:$N$73,$D27))*INDEX(RN!AK$20:AK$22,MATCH($E$1,RN!$C$20:$C$22,0))+(SUMIFS(RL!AK$83:AK$85,RL!$C$83:$C$85,$E$1,RL!$N$83:$N$85,$D27)+SUMIFS(RL!AK$74:AK$76,RL!$C$74:$C$76,$E$1,RL!$N$74:$N$76,$D27))*INDEX(RL!AK$20:AK$22,MATCH($E$1,RL!$C$20:$C$22,0))+(SUMIFS(LU!AK$83:AK$85,LU!$C$83:$C$85,$E$1,LU!$N$83:$N$85,$D27)+SUMIFS(LU!AK$74:AK$76,LU!$C$74:$C$76,$E$1,LU!$N$74:$N$76,$D27))*INDEX(LU!AK$20:AK$22,MATCH($E$1,LU!$C$20:$C$22,0))</f>
        <v>0</v>
      </c>
      <c r="AL27" s="621">
        <f>(SUMIFS(IP!AL$83:AL$85,IP!$C$83:$C$85,$E$1,IP!$N$83:$N$85,$D27)+SUMIFS(IP!AL$74:AL$76,IP!$C$74:$C$76,$E$1,IP!$O$74:$O$76,$D27))*INDEX(IP!AL$20:AL$22,MATCH($E$1,IP!$C$20:$C$22,0))+SUMIFS(RN!AL$80:AL$82,RN!$C$80:$C$82,$E$1,RN!$N$80:$N$82,$D27)+(SUMIFS(RN!AL$71:AL$73,RN!$C$71:$C$73,$E$1,RN!$N$71:$N$73,$D27))*INDEX(RN!AL$20:AL$22,MATCH($E$1,RN!$C$20:$C$22,0))+(SUMIFS(RL!AL$83:AL$85,RL!$C$83:$C$85,$E$1,RL!$N$83:$N$85,$D27)+SUMIFS(RL!AL$74:AL$76,RL!$C$74:$C$76,$E$1,RL!$N$74:$N$76,$D27))*INDEX(RL!AL$20:AL$22,MATCH($E$1,RL!$C$20:$C$22,0))+(SUMIFS(LU!AL$83:AL$85,LU!$C$83:$C$85,$E$1,LU!$N$83:$N$85,$D27)+SUMIFS(LU!AL$74:AL$76,LU!$C$74:$C$76,$E$1,LU!$N$74:$N$76,$D27))*INDEX(LU!AL$20:AL$22,MATCH($E$1,LU!$C$20:$C$22,0))</f>
        <v>0</v>
      </c>
      <c r="AM27" s="621">
        <f>(SUMIFS(IP!AM$83:AM$85,IP!$C$83:$C$85,$E$1,IP!$N$83:$N$85,$D27)+SUMIFS(IP!AM$74:AM$76,IP!$C$74:$C$76,$E$1,IP!$O$74:$O$76,$D27))*INDEX(IP!AM$20:AM$22,MATCH($E$1,IP!$C$20:$C$22,0))+SUMIFS(RN!AM$80:AM$82,RN!$C$80:$C$82,$E$1,RN!$N$80:$N$82,$D27)+(SUMIFS(RN!AM$71:AM$73,RN!$C$71:$C$73,$E$1,RN!$N$71:$N$73,$D27))*INDEX(RN!AM$20:AM$22,MATCH($E$1,RN!$C$20:$C$22,0))+(SUMIFS(RL!AM$83:AM$85,RL!$C$83:$C$85,$E$1,RL!$N$83:$N$85,$D27)+SUMIFS(RL!AM$74:AM$76,RL!$C$74:$C$76,$E$1,RL!$N$74:$N$76,$D27))*INDEX(RL!AM$20:AM$22,MATCH($E$1,RL!$C$20:$C$22,0))+(SUMIFS(LU!AM$83:AM$85,LU!$C$83:$C$85,$E$1,LU!$N$83:$N$85,$D27)+SUMIFS(LU!AM$74:AM$76,LU!$C$74:$C$76,$E$1,LU!$N$74:$N$76,$D27))*INDEX(LU!AM$20:AM$22,MATCH($E$1,LU!$C$20:$C$22,0))</f>
        <v>0</v>
      </c>
      <c r="AN27" s="621">
        <f>(SUMIFS(IP!AN$83:AN$85,IP!$C$83:$C$85,$E$1,IP!$N$83:$N$85,$D27)+SUMIFS(IP!AN$74:AN$76,IP!$C$74:$C$76,$E$1,IP!$O$74:$O$76,$D27))*INDEX(IP!AN$20:AN$22,MATCH($E$1,IP!$C$20:$C$22,0))+SUMIFS(RN!AN$80:AN$82,RN!$C$80:$C$82,$E$1,RN!$N$80:$N$82,$D27)+(SUMIFS(RN!AN$71:AN$73,RN!$C$71:$C$73,$E$1,RN!$N$71:$N$73,$D27))*INDEX(RN!AN$20:AN$22,MATCH($E$1,RN!$C$20:$C$22,0))+(SUMIFS(RL!AN$83:AN$85,RL!$C$83:$C$85,$E$1,RL!$N$83:$N$85,$D27)+SUMIFS(RL!AN$74:AN$76,RL!$C$74:$C$76,$E$1,RL!$N$74:$N$76,$D27))*INDEX(RL!AN$20:AN$22,MATCH($E$1,RL!$C$20:$C$22,0))+(SUMIFS(LU!AN$83:AN$85,LU!$C$83:$C$85,$E$1,LU!$N$83:$N$85,$D27)+SUMIFS(LU!AN$74:AN$76,LU!$C$74:$C$76,$E$1,LU!$N$74:$N$76,$D27))*INDEX(LU!AN$20:AN$22,MATCH($E$1,LU!$C$20:$C$22,0))</f>
        <v>0</v>
      </c>
      <c r="AO27" s="621">
        <f>(SUMIFS(IP!AO$83:AO$85,IP!$C$83:$C$85,$E$1,IP!$N$83:$N$85,$D27)+SUMIFS(IP!AO$74:AO$76,IP!$C$74:$C$76,$E$1,IP!$O$74:$O$76,$D27))*INDEX(IP!AO$20:AO$22,MATCH($E$1,IP!$C$20:$C$22,0))+SUMIFS(RN!AO$80:AO$82,RN!$C$80:$C$82,$E$1,RN!$N$80:$N$82,$D27)+(SUMIFS(RN!AO$71:AO$73,RN!$C$71:$C$73,$E$1,RN!$N$71:$N$73,$D27))*INDEX(RN!AO$20:AO$22,MATCH($E$1,RN!$C$20:$C$22,0))+(SUMIFS(RL!AO$83:AO$85,RL!$C$83:$C$85,$E$1,RL!$N$83:$N$85,$D27)+SUMIFS(RL!AO$74:AO$76,RL!$C$74:$C$76,$E$1,RL!$N$74:$N$76,$D27))*INDEX(RL!AO$20:AO$22,MATCH($E$1,RL!$C$20:$C$22,0))+(SUMIFS(LU!AO$83:AO$85,LU!$C$83:$C$85,$E$1,LU!$N$83:$N$85,$D27)+SUMIFS(LU!AO$74:AO$76,LU!$C$74:$C$76,$E$1,LU!$N$74:$N$76,$D27))*INDEX(LU!AO$20:AO$22,MATCH($E$1,LU!$C$20:$C$22,0))</f>
        <v>0</v>
      </c>
      <c r="AP27" s="621">
        <f>(SUMIFS(IP!AP$83:AP$85,IP!$C$83:$C$85,$E$1,IP!$N$83:$N$85,$D27)+SUMIFS(IP!AP$74:AP$76,IP!$C$74:$C$76,$E$1,IP!$O$74:$O$76,$D27))*INDEX(IP!AP$20:AP$22,MATCH($E$1,IP!$C$20:$C$22,0))+SUMIFS(RN!AP$80:AP$82,RN!$C$80:$C$82,$E$1,RN!$N$80:$N$82,$D27)+(SUMIFS(RN!AP$71:AP$73,RN!$C$71:$C$73,$E$1,RN!$N$71:$N$73,$D27))*INDEX(RN!AP$20:AP$22,MATCH($E$1,RN!$C$20:$C$22,0))+(SUMIFS(RL!AP$83:AP$85,RL!$C$83:$C$85,$E$1,RL!$N$83:$N$85,$D27)+SUMIFS(RL!AP$74:AP$76,RL!$C$74:$C$76,$E$1,RL!$N$74:$N$76,$D27))*INDEX(RL!AP$20:AP$22,MATCH($E$1,RL!$C$20:$C$22,0))+(SUMIFS(LU!AP$83:AP$85,LU!$C$83:$C$85,$E$1,LU!$N$83:$N$85,$D27)+SUMIFS(LU!AP$74:AP$76,LU!$C$74:$C$76,$E$1,LU!$N$74:$N$76,$D27))*INDEX(LU!AP$20:AP$22,MATCH($E$1,LU!$C$20:$C$22,0))</f>
        <v>0</v>
      </c>
      <c r="AQ27" s="621">
        <f>(SUMIFS(IP!AQ$83:AQ$85,IP!$C$83:$C$85,$E$1,IP!$N$83:$N$85,$D27)+SUMIFS(IP!AQ$74:AQ$76,IP!$C$74:$C$76,$E$1,IP!$O$74:$O$76,$D27))*INDEX(IP!AQ$20:AQ$22,MATCH($E$1,IP!$C$20:$C$22,0))+SUMIFS(RN!AQ$80:AQ$82,RN!$C$80:$C$82,$E$1,RN!$N$80:$N$82,$D27)+(SUMIFS(RN!AQ$71:AQ$73,RN!$C$71:$C$73,$E$1,RN!$N$71:$N$73,$D27))*INDEX(RN!AQ$20:AQ$22,MATCH($E$1,RN!$C$20:$C$22,0))+(SUMIFS(RL!AQ$83:AQ$85,RL!$C$83:$C$85,$E$1,RL!$N$83:$N$85,$D27)+SUMIFS(RL!AQ$74:AQ$76,RL!$C$74:$C$76,$E$1,RL!$N$74:$N$76,$D27))*INDEX(RL!AQ$20:AQ$22,MATCH($E$1,RL!$C$20:$C$22,0))+(SUMIFS(LU!AQ$83:AQ$85,LU!$C$83:$C$85,$E$1,LU!$N$83:$N$85,$D27)+SUMIFS(LU!AQ$74:AQ$76,LU!$C$74:$C$76,$E$1,LU!$N$74:$N$76,$D27))*INDEX(LU!AQ$20:AQ$22,MATCH($E$1,LU!$C$20:$C$22,0))</f>
        <v>0</v>
      </c>
      <c r="AR27" s="621">
        <f>(SUMIFS(IP!AR$83:AR$85,IP!$C$83:$C$85,$E$1,IP!$N$83:$N$85,$D27)+SUMIFS(IP!AR$74:AR$76,IP!$C$74:$C$76,$E$1,IP!$O$74:$O$76,$D27))*INDEX(IP!AR$20:AR$22,MATCH($E$1,IP!$C$20:$C$22,0))+SUMIFS(RN!AR$80:AR$82,RN!$C$80:$C$82,$E$1,RN!$N$80:$N$82,$D27)+(SUMIFS(RN!AR$71:AR$73,RN!$C$71:$C$73,$E$1,RN!$N$71:$N$73,$D27))*INDEX(RN!AR$20:AR$22,MATCH($E$1,RN!$C$20:$C$22,0))+(SUMIFS(RL!AR$83:AR$85,RL!$C$83:$C$85,$E$1,RL!$N$83:$N$85,$D27)+SUMIFS(RL!AR$74:AR$76,RL!$C$74:$C$76,$E$1,RL!$N$74:$N$76,$D27))*INDEX(RL!AR$20:AR$22,MATCH($E$1,RL!$C$20:$C$22,0))+(SUMIFS(LU!AR$83:AR$85,LU!$C$83:$C$85,$E$1,LU!$N$83:$N$85,$D27)+SUMIFS(LU!AR$74:AR$76,LU!$C$74:$C$76,$E$1,LU!$N$74:$N$76,$D27))*INDEX(LU!AR$20:AR$22,MATCH($E$1,LU!$C$20:$C$22,0))</f>
        <v>0</v>
      </c>
      <c r="AS27" s="621">
        <f>(SUMIFS(IP!AS$83:AS$85,IP!$C$83:$C$85,$E$1,IP!$N$83:$N$85,$D27)+SUMIFS(IP!AS$74:AS$76,IP!$C$74:$C$76,$E$1,IP!$O$74:$O$76,$D27))*INDEX(IP!AS$20:AS$22,MATCH($E$1,IP!$C$20:$C$22,0))+SUMIFS(RN!AS$80:AS$82,RN!$C$80:$C$82,$E$1,RN!$N$80:$N$82,$D27)+(SUMIFS(RN!AS$71:AS$73,RN!$C$71:$C$73,$E$1,RN!$N$71:$N$73,$D27))*INDEX(RN!AS$20:AS$22,MATCH($E$1,RN!$C$20:$C$22,0))+(SUMIFS(RL!AS$83:AS$85,RL!$C$83:$C$85,$E$1,RL!$N$83:$N$85,$D27)+SUMIFS(RL!AS$74:AS$76,RL!$C$74:$C$76,$E$1,RL!$N$74:$N$76,$D27))*INDEX(RL!AS$20:AS$22,MATCH($E$1,RL!$C$20:$C$22,0))+(SUMIFS(LU!AS$83:AS$85,LU!$C$83:$C$85,$E$1,LU!$N$83:$N$85,$D27)+SUMIFS(LU!AS$74:AS$76,LU!$C$74:$C$76,$E$1,LU!$N$74:$N$76,$D27))*INDEX(LU!AS$20:AS$22,MATCH($E$1,LU!$C$20:$C$22,0))</f>
        <v>0</v>
      </c>
      <c r="AT27" s="621">
        <f>(SUMIFS(IP!AT$83:AT$85,IP!$C$83:$C$85,$E$1,IP!$N$83:$N$85,$D27)+SUMIFS(IP!AT$74:AT$76,IP!$C$74:$C$76,$E$1,IP!$O$74:$O$76,$D27))*INDEX(IP!AT$20:AT$22,MATCH($E$1,IP!$C$20:$C$22,0))+SUMIFS(RN!AT$80:AT$82,RN!$C$80:$C$82,$E$1,RN!$N$80:$N$82,$D27)+(SUMIFS(RN!AT$71:AT$73,RN!$C$71:$C$73,$E$1,RN!$N$71:$N$73,$D27))*INDEX(RN!AT$20:AT$22,MATCH($E$1,RN!$C$20:$C$22,0))+(SUMIFS(RL!AT$83:AT$85,RL!$C$83:$C$85,$E$1,RL!$N$83:$N$85,$D27)+SUMIFS(RL!AT$74:AT$76,RL!$C$74:$C$76,$E$1,RL!$N$74:$N$76,$D27))*INDEX(RL!AT$20:AT$22,MATCH($E$1,RL!$C$20:$C$22,0))+(SUMIFS(LU!AT$83:AT$85,LU!$C$83:$C$85,$E$1,LU!$N$83:$N$85,$D27)+SUMIFS(LU!AT$74:AT$76,LU!$C$74:$C$76,$E$1,LU!$N$74:$N$76,$D27))*INDEX(LU!AT$20:AT$22,MATCH($E$1,LU!$C$20:$C$22,0))</f>
        <v>0</v>
      </c>
      <c r="AU27" s="621">
        <f>(SUMIFS(IP!AU$83:AU$85,IP!$C$83:$C$85,$E$1,IP!$N$83:$N$85,$D27)+SUMIFS(IP!AU$74:AU$76,IP!$C$74:$C$76,$E$1,IP!$O$74:$O$76,$D27))*INDEX(IP!AU$20:AU$22,MATCH($E$1,IP!$C$20:$C$22,0))+SUMIFS(RN!AU$80:AU$82,RN!$C$80:$C$82,$E$1,RN!$N$80:$N$82,$D27)+(SUMIFS(RN!AU$71:AU$73,RN!$C$71:$C$73,$E$1,RN!$N$71:$N$73,$D27))*INDEX(RN!AU$20:AU$22,MATCH($E$1,RN!$C$20:$C$22,0))+(SUMIFS(RL!AU$83:AU$85,RL!$C$83:$C$85,$E$1,RL!$N$83:$N$85,$D27)+SUMIFS(RL!AU$74:AU$76,RL!$C$74:$C$76,$E$1,RL!$N$74:$N$76,$D27))*INDEX(RL!AU$20:AU$22,MATCH($E$1,RL!$C$20:$C$22,0))+(SUMIFS(LU!AU$83:AU$85,LU!$C$83:$C$85,$E$1,LU!$N$83:$N$85,$D27)+SUMIFS(LU!AU$74:AU$76,LU!$C$74:$C$76,$E$1,LU!$N$74:$N$76,$D27))*INDEX(LU!AU$20:AU$22,MATCH($E$1,LU!$C$20:$C$22,0))</f>
        <v>0</v>
      </c>
      <c r="AV27" s="621">
        <f>(SUMIFS(IP!AV$83:AV$85,IP!$C$83:$C$85,$E$1,IP!$N$83:$N$85,$D27)+SUMIFS(IP!AV$74:AV$76,IP!$C$74:$C$76,$E$1,IP!$O$74:$O$76,$D27))*INDEX(IP!AV$20:AV$22,MATCH($E$1,IP!$C$20:$C$22,0))+SUMIFS(RN!AV$80:AV$82,RN!$C$80:$C$82,$E$1,RN!$N$80:$N$82,$D27)+(SUMIFS(RN!AV$71:AV$73,RN!$C$71:$C$73,$E$1,RN!$N$71:$N$73,$D27))*INDEX(RN!AV$20:AV$22,MATCH($E$1,RN!$C$20:$C$22,0))+(SUMIFS(RL!AV$83:AV$85,RL!$C$83:$C$85,$E$1,RL!$N$83:$N$85,$D27)+SUMIFS(RL!AV$74:AV$76,RL!$C$74:$C$76,$E$1,RL!$N$74:$N$76,$D27))*INDEX(RL!AV$20:AV$22,MATCH($E$1,RL!$C$20:$C$22,0))+(SUMIFS(LU!AV$83:AV$85,LU!$C$83:$C$85,$E$1,LU!$N$83:$N$85,$D27)+SUMIFS(LU!AV$74:AV$76,LU!$C$74:$C$76,$E$1,LU!$N$74:$N$76,$D27))*INDEX(LU!AV$20:AV$22,MATCH($E$1,LU!$C$20:$C$22,0))</f>
        <v>0</v>
      </c>
      <c r="AW27" s="621">
        <f>(SUMIFS(IP!AW$83:AW$85,IP!$C$83:$C$85,$E$1,IP!$N$83:$N$85,$D27)+SUMIFS(IP!AW$74:AW$76,IP!$C$74:$C$76,$E$1,IP!$O$74:$O$76,$D27))*INDEX(IP!AW$20:AW$22,MATCH($E$1,IP!$C$20:$C$22,0))+SUMIFS(RN!AW$80:AW$82,RN!$C$80:$C$82,$E$1,RN!$N$80:$N$82,$D27)+(SUMIFS(RN!AW$71:AW$73,RN!$C$71:$C$73,$E$1,RN!$N$71:$N$73,$D27))*INDEX(RN!AW$20:AW$22,MATCH($E$1,RN!$C$20:$C$22,0))+(SUMIFS(RL!AW$83:AW$85,RL!$C$83:$C$85,$E$1,RL!$N$83:$N$85,$D27)+SUMIFS(RL!AW$74:AW$76,RL!$C$74:$C$76,$E$1,RL!$N$74:$N$76,$D27))*INDEX(RL!AW$20:AW$22,MATCH($E$1,RL!$C$20:$C$22,0))+(SUMIFS(LU!AW$83:AW$85,LU!$C$83:$C$85,$E$1,LU!$N$83:$N$85,$D27)+SUMIFS(LU!AW$74:AW$76,LU!$C$74:$C$76,$E$1,LU!$N$74:$N$76,$D27))*INDEX(LU!AW$20:AW$22,MATCH($E$1,LU!$C$20:$C$22,0))</f>
        <v>0</v>
      </c>
      <c r="AX27" s="621">
        <f>(SUMIFS(IP!AX$83:AX$85,IP!$C$83:$C$85,$E$1,IP!$N$83:$N$85,$D27)+SUMIFS(IP!AX$74:AX$76,IP!$C$74:$C$76,$E$1,IP!$O$74:$O$76,$D27))*INDEX(IP!AX$20:AX$22,MATCH($E$1,IP!$C$20:$C$22,0))+SUMIFS(RN!AX$80:AX$82,RN!$C$80:$C$82,$E$1,RN!$N$80:$N$82,$D27)+(SUMIFS(RN!AX$71:AX$73,RN!$C$71:$C$73,$E$1,RN!$N$71:$N$73,$D27))*INDEX(RN!AX$20:AX$22,MATCH($E$1,RN!$C$20:$C$22,0))+(SUMIFS(RL!AX$83:AX$85,RL!$C$83:$C$85,$E$1,RL!$N$83:$N$85,$D27)+SUMIFS(RL!AX$74:AX$76,RL!$C$74:$C$76,$E$1,RL!$N$74:$N$76,$D27))*INDEX(RL!AX$20:AX$22,MATCH($E$1,RL!$C$20:$C$22,0))+(SUMIFS(LU!AX$83:AX$85,LU!$C$83:$C$85,$E$1,LU!$N$83:$N$85,$D27)+SUMIFS(LU!AX$74:AX$76,LU!$C$74:$C$76,$E$1,LU!$N$74:$N$76,$D27))*INDEX(LU!AX$20:AX$22,MATCH($E$1,LU!$C$20:$C$22,0))</f>
        <v>0</v>
      </c>
      <c r="AY27" s="621">
        <f>(SUMIFS(IP!AY$83:AY$85,IP!$C$83:$C$85,$E$1,IP!$N$83:$N$85,$D27)+SUMIFS(IP!AY$74:AY$76,IP!$C$74:$C$76,$E$1,IP!$O$74:$O$76,$D27))*INDEX(IP!AY$20:AY$22,MATCH($E$1,IP!$C$20:$C$22,0))+SUMIFS(RN!AY$80:AY$82,RN!$C$80:$C$82,$E$1,RN!$N$80:$N$82,$D27)+(SUMIFS(RN!AY$71:AY$73,RN!$C$71:$C$73,$E$1,RN!$N$71:$N$73,$D27))*INDEX(RN!AY$20:AY$22,MATCH($E$1,RN!$C$20:$C$22,0))+(SUMIFS(RL!AY$83:AY$85,RL!$C$83:$C$85,$E$1,RL!$N$83:$N$85,$D27)+SUMIFS(RL!AY$74:AY$76,RL!$C$74:$C$76,$E$1,RL!$N$74:$N$76,$D27))*INDEX(RL!AY$20:AY$22,MATCH($E$1,RL!$C$20:$C$22,0))+(SUMIFS(LU!AY$83:AY$85,LU!$C$83:$C$85,$E$1,LU!$N$83:$N$85,$D27)+SUMIFS(LU!AY$74:AY$76,LU!$C$74:$C$76,$E$1,LU!$N$74:$N$76,$D27))*INDEX(LU!AY$20:AY$22,MATCH($E$1,LU!$C$20:$C$22,0))</f>
        <v>0</v>
      </c>
      <c r="AZ27" s="621">
        <f>(SUMIFS(IP!AZ$83:AZ$85,IP!$C$83:$C$85,$E$1,IP!$N$83:$N$85,$D27)+SUMIFS(IP!AZ$74:AZ$76,IP!$C$74:$C$76,$E$1,IP!$O$74:$O$76,$D27))*INDEX(IP!AZ$20:AZ$22,MATCH($E$1,IP!$C$20:$C$22,0))+SUMIFS(RN!AZ$80:AZ$82,RN!$C$80:$C$82,$E$1,RN!$N$80:$N$82,$D27)+(SUMIFS(RN!AZ$71:AZ$73,RN!$C$71:$C$73,$E$1,RN!$N$71:$N$73,$D27))*INDEX(RN!AZ$20:AZ$22,MATCH($E$1,RN!$C$20:$C$22,0))+(SUMIFS(RL!AZ$83:AZ$85,RL!$C$83:$C$85,$E$1,RL!$N$83:$N$85,$D27)+SUMIFS(RL!AZ$74:AZ$76,RL!$C$74:$C$76,$E$1,RL!$N$74:$N$76,$D27))*INDEX(RL!AZ$20:AZ$22,MATCH($E$1,RL!$C$20:$C$22,0))+(SUMIFS(LU!AZ$83:AZ$85,LU!$C$83:$C$85,$E$1,LU!$N$83:$N$85,$D27)+SUMIFS(LU!AZ$74:AZ$76,LU!$C$74:$C$76,$E$1,LU!$N$74:$N$76,$D27))*INDEX(LU!AZ$20:AZ$22,MATCH($E$1,LU!$C$20:$C$22,0))</f>
        <v>0</v>
      </c>
      <c r="BA27" s="621">
        <f>(SUMIFS(IP!BA$83:BA$85,IP!$C$83:$C$85,$E$1,IP!$N$83:$N$85,$D27)+SUMIFS(IP!BA$74:BA$76,IP!$C$74:$C$76,$E$1,IP!$O$74:$O$76,$D27))*INDEX(IP!BA$20:BA$22,MATCH($E$1,IP!$C$20:$C$22,0))+SUMIFS(RN!BA$80:BA$82,RN!$C$80:$C$82,$E$1,RN!$N$80:$N$82,$D27)+(SUMIFS(RN!BA$71:BA$73,RN!$C$71:$C$73,$E$1,RN!$N$71:$N$73,$D27))*INDEX(RN!BA$20:BA$22,MATCH($E$1,RN!$C$20:$C$22,0))+(SUMIFS(RL!BA$83:BA$85,RL!$C$83:$C$85,$E$1,RL!$N$83:$N$85,$D27)+SUMIFS(RL!BA$74:BA$76,RL!$C$74:$C$76,$E$1,RL!$N$74:$N$76,$D27))*INDEX(RL!BA$20:BA$22,MATCH($E$1,RL!$C$20:$C$22,0))+(SUMIFS(LU!BA$83:BA$85,LU!$C$83:$C$85,$E$1,LU!$N$83:$N$85,$D27)+SUMIFS(LU!BA$74:BA$76,LU!$C$74:$C$76,$E$1,LU!$N$74:$N$76,$D27))*INDEX(LU!BA$20:BA$22,MATCH($E$1,LU!$C$20:$C$22,0))</f>
        <v>0</v>
      </c>
      <c r="BB27" s="621">
        <f>(SUMIFS(IP!BB$83:BB$85,IP!$C$83:$C$85,$E$1,IP!$N$83:$N$85,$D27)+SUMIFS(IP!BB$74:BB$76,IP!$C$74:$C$76,$E$1,IP!$O$74:$O$76,$D27))*INDEX(IP!BB$20:BB$22,MATCH($E$1,IP!$C$20:$C$22,0))+SUMIFS(RN!BB$80:BB$82,RN!$C$80:$C$82,$E$1,RN!$N$80:$N$82,$D27)+(SUMIFS(RN!BB$71:BB$73,RN!$C$71:$C$73,$E$1,RN!$N$71:$N$73,$D27))*INDEX(RN!BB$20:BB$22,MATCH($E$1,RN!$C$20:$C$22,0))+(SUMIFS(RL!BB$83:BB$85,RL!$C$83:$C$85,$E$1,RL!$N$83:$N$85,$D27)+SUMIFS(RL!BB$74:BB$76,RL!$C$74:$C$76,$E$1,RL!$N$74:$N$76,$D27))*INDEX(RL!BB$20:BB$22,MATCH($E$1,RL!$C$20:$C$22,0))+(SUMIFS(LU!BB$83:BB$85,LU!$C$83:$C$85,$E$1,LU!$N$83:$N$85,$D27)+SUMIFS(LU!BB$74:BB$76,LU!$C$74:$C$76,$E$1,LU!$N$74:$N$76,$D27))*INDEX(LU!BB$20:BB$22,MATCH($E$1,LU!$C$20:$C$22,0))</f>
        <v>0</v>
      </c>
      <c r="BC27" s="621">
        <f>(SUMIFS(IP!BC$83:BC$85,IP!$C$83:$C$85,$E$1,IP!$N$83:$N$85,$D27)+SUMIFS(IP!BC$74:BC$76,IP!$C$74:$C$76,$E$1,IP!$O$74:$O$76,$D27))*INDEX(IP!BC$20:BC$22,MATCH($E$1,IP!$C$20:$C$22,0))+SUMIFS(RN!BC$80:BC$82,RN!$C$80:$C$82,$E$1,RN!$N$80:$N$82,$D27)+(SUMIFS(RN!BC$71:BC$73,RN!$C$71:$C$73,$E$1,RN!$N$71:$N$73,$D27))*INDEX(RN!BC$20:BC$22,MATCH($E$1,RN!$C$20:$C$22,0))+(SUMIFS(RL!BC$83:BC$85,RL!$C$83:$C$85,$E$1,RL!$N$83:$N$85,$D27)+SUMIFS(RL!BC$74:BC$76,RL!$C$74:$C$76,$E$1,RL!$N$74:$N$76,$D27))*INDEX(RL!BC$20:BC$22,MATCH($E$1,RL!$C$20:$C$22,0))+(SUMIFS(LU!BC$83:BC$85,LU!$C$83:$C$85,$E$1,LU!$N$83:$N$85,$D27)+SUMIFS(LU!BC$74:BC$76,LU!$C$74:$C$76,$E$1,LU!$N$74:$N$76,$D27))*INDEX(LU!BC$20:BC$22,MATCH($E$1,LU!$C$20:$C$22,0))</f>
        <v>0</v>
      </c>
      <c r="BD27" s="621">
        <f>(SUMIFS(IP!BD$83:BD$85,IP!$C$83:$C$85,$E$1,IP!$N$83:$N$85,$D27)+SUMIFS(IP!BD$74:BD$76,IP!$C$74:$C$76,$E$1,IP!$O$74:$O$76,$D27))*INDEX(IP!BD$20:BD$22,MATCH($E$1,IP!$C$20:$C$22,0))+SUMIFS(RN!BD$80:BD$82,RN!$C$80:$C$82,$E$1,RN!$N$80:$N$82,$D27)+(SUMIFS(RN!BD$71:BD$73,RN!$C$71:$C$73,$E$1,RN!$N$71:$N$73,$D27))*INDEX(RN!BD$20:BD$22,MATCH($E$1,RN!$C$20:$C$22,0))+(SUMIFS(RL!BD$83:BD$85,RL!$C$83:$C$85,$E$1,RL!$N$83:$N$85,$D27)+SUMIFS(RL!BD$74:BD$76,RL!$C$74:$C$76,$E$1,RL!$N$74:$N$76,$D27))*INDEX(RL!BD$20:BD$22,MATCH($E$1,RL!$C$20:$C$22,0))+(SUMIFS(LU!BD$83:BD$85,LU!$C$83:$C$85,$E$1,LU!$N$83:$N$85,$D27)+SUMIFS(LU!BD$74:BD$76,LU!$C$74:$C$76,$E$1,LU!$N$74:$N$76,$D27))*INDEX(LU!BD$20:BD$22,MATCH($E$1,LU!$C$20:$C$22,0))</f>
        <v>0</v>
      </c>
      <c r="BE27" s="621">
        <f>(SUMIFS(IP!BE$83:BE$85,IP!$C$83:$C$85,$E$1,IP!$N$83:$N$85,$D27)+SUMIFS(IP!BE$74:BE$76,IP!$C$74:$C$76,$E$1,IP!$O$74:$O$76,$D27))*INDEX(IP!BE$20:BE$22,MATCH($E$1,IP!$C$20:$C$22,0))+SUMIFS(RN!BE$80:BE$82,RN!$C$80:$C$82,$E$1,RN!$N$80:$N$82,$D27)+(SUMIFS(RN!BE$71:BE$73,RN!$C$71:$C$73,$E$1,RN!$N$71:$N$73,$D27))*INDEX(RN!BE$20:BE$22,MATCH($E$1,RN!$C$20:$C$22,0))+(SUMIFS(RL!BE$83:BE$85,RL!$C$83:$C$85,$E$1,RL!$N$83:$N$85,$D27)+SUMIFS(RL!BE$74:BE$76,RL!$C$74:$C$76,$E$1,RL!$N$74:$N$76,$D27))*INDEX(RL!BE$20:BE$22,MATCH($E$1,RL!$C$20:$C$22,0))+(SUMIFS(LU!BE$83:BE$85,LU!$C$83:$C$85,$E$1,LU!$N$83:$N$85,$D27)+SUMIFS(LU!BE$74:BE$76,LU!$C$74:$C$76,$E$1,LU!$N$74:$N$76,$D27))*INDEX(LU!BE$20:BE$22,MATCH($E$1,LU!$C$20:$C$22,0))</f>
        <v>0</v>
      </c>
      <c r="BF27" s="621">
        <f>(SUMIFS(IP!BF$83:BF$85,IP!$C$83:$C$85,$E$1,IP!$N$83:$N$85,$D27)+SUMIFS(IP!BF$74:BF$76,IP!$C$74:$C$76,$E$1,IP!$O$74:$O$76,$D27))*INDEX(IP!BF$20:BF$22,MATCH($E$1,IP!$C$20:$C$22,0))+SUMIFS(RN!BF$80:BF$82,RN!$C$80:$C$82,$E$1,RN!$N$80:$N$82,$D27)+(SUMIFS(RN!BF$71:BF$73,RN!$C$71:$C$73,$E$1,RN!$N$71:$N$73,$D27))*INDEX(RN!BF$20:BF$22,MATCH($E$1,RN!$C$20:$C$22,0))+(SUMIFS(RL!BF$83:BF$85,RL!$C$83:$C$85,$E$1,RL!$N$83:$N$85,$D27)+SUMIFS(RL!BF$74:BF$76,RL!$C$74:$C$76,$E$1,RL!$N$74:$N$76,$D27))*INDEX(RL!BF$20:BF$22,MATCH($E$1,RL!$C$20:$C$22,0))+(SUMIFS(LU!BF$83:BF$85,LU!$C$83:$C$85,$E$1,LU!$N$83:$N$85,$D27)+SUMIFS(LU!BF$74:BF$76,LU!$C$74:$C$76,$E$1,LU!$N$74:$N$76,$D27))*INDEX(LU!BF$20:BF$22,MATCH($E$1,LU!$C$20:$C$22,0))</f>
        <v>0</v>
      </c>
      <c r="BG27" s="621">
        <f>(SUMIFS(IP!BG$83:BG$85,IP!$C$83:$C$85,$E$1,IP!$N$83:$N$85,$D27)+SUMIFS(IP!BG$74:BG$76,IP!$C$74:$C$76,$E$1,IP!$O$74:$O$76,$D27))*INDEX(IP!BG$20:BG$22,MATCH($E$1,IP!$C$20:$C$22,0))+SUMIFS(RN!BG$80:BG$82,RN!$C$80:$C$82,$E$1,RN!$N$80:$N$82,$D27)+(SUMIFS(RN!BG$71:BG$73,RN!$C$71:$C$73,$E$1,RN!$N$71:$N$73,$D27))*INDEX(RN!BG$20:BG$22,MATCH($E$1,RN!$C$20:$C$22,0))+(SUMIFS(RL!BG$83:BG$85,RL!$C$83:$C$85,$E$1,RL!$N$83:$N$85,$D27)+SUMIFS(RL!BG$74:BG$76,RL!$C$74:$C$76,$E$1,RL!$N$74:$N$76,$D27))*INDEX(RL!BG$20:BG$22,MATCH($E$1,RL!$C$20:$C$22,0))+(SUMIFS(LU!BG$83:BG$85,LU!$C$83:$C$85,$E$1,LU!$N$83:$N$85,$D27)+SUMIFS(LU!BG$74:BG$76,LU!$C$74:$C$76,$E$1,LU!$N$74:$N$76,$D27))*INDEX(LU!BG$20:BG$22,MATCH($E$1,LU!$C$20:$C$22,0))</f>
        <v>0</v>
      </c>
      <c r="BI27" s="622" t="s">
        <v>153</v>
      </c>
      <c r="BM27" s="621">
        <f t="shared" ref="BM27:BV31" si="0">INDEX($T27:$BG27,MATCH(BM$12,$T$12:$BG$12))</f>
        <v>1000</v>
      </c>
      <c r="BN27" s="621">
        <f t="shared" si="0"/>
        <v>1000</v>
      </c>
      <c r="BO27" s="621">
        <f t="shared" si="0"/>
        <v>1000</v>
      </c>
      <c r="BP27" s="621">
        <f t="shared" si="0"/>
        <v>0</v>
      </c>
      <c r="BQ27" s="621">
        <f t="shared" si="0"/>
        <v>0</v>
      </c>
      <c r="BR27" s="621">
        <f t="shared" si="0"/>
        <v>0</v>
      </c>
      <c r="BS27" s="621">
        <f t="shared" si="0"/>
        <v>0</v>
      </c>
      <c r="BT27" s="621">
        <f t="shared" si="0"/>
        <v>0</v>
      </c>
      <c r="BU27" s="621">
        <f t="shared" si="0"/>
        <v>0</v>
      </c>
      <c r="BV27" s="621">
        <f t="shared" si="0"/>
        <v>0</v>
      </c>
      <c r="BX27" s="623" t="s">
        <v>153</v>
      </c>
    </row>
    <row r="28" spans="2:78">
      <c r="B28" s="607"/>
      <c r="D28" s="624" t="s">
        <v>1181</v>
      </c>
      <c r="T28" s="613">
        <f>(SUMIFS(IP!T$83:T$85,IP!$C$83:$C$85,$E$1,IP!$N$83:$N$85,$D28)+SUMIFS(IP!T$74:T$76,IP!$C$74:$C$76,$E$1,IP!$O$74:$O$76,$D28))*INDEX(IP!T$20:T$22,MATCH($E$1,IP!$C$20:$C$22,0))+SUMIFS(RN!T$80:T$82,RN!$C$80:$C$82,$E$1,RN!$N$80:$N$82,$D28)+(SUMIFS(RN!T$71:T$73,RN!$C$71:$C$73,$E$1,RN!$N$71:$N$73,$D28))*INDEX(RN!T$20:T$22,MATCH($E$1,RN!$C$20:$C$22,0))+(SUMIFS(RL!T$83:T$85,RL!$C$83:$C$85,$E$1,RL!$N$83:$N$85,$D28)+SUMIFS(RL!T$74:T$76,RL!$C$74:$C$76,$E$1,RL!$N$74:$N$76,$D28))*INDEX(RL!T$20:T$22,MATCH($E$1,RL!$C$20:$C$22,0))+(SUMIFS(LU!T$83:T$85,LU!$C$83:$C$85,$E$1,LU!$N$83:$N$85,$D28)+SUMIFS(LU!T$74:T$76,LU!$C$74:$C$76,$E$1,LU!$N$74:$N$76,$D28))*INDEX(LU!T$20:T$22,MATCH($E$1,LU!$C$20:$C$22,0))</f>
        <v>0</v>
      </c>
      <c r="U28" s="613">
        <f>(SUMIFS(IP!U$83:U$85,IP!$C$83:$C$85,$E$1,IP!$N$83:$N$85,$D28)+SUMIFS(IP!U$74:U$76,IP!$C$74:$C$76,$E$1,IP!$O$74:$O$76,$D28))*INDEX(IP!U$20:U$22,MATCH($E$1,IP!$C$20:$C$22,0))+SUMIFS(RN!U$80:U$82,RN!$C$80:$C$82,$E$1,RN!$N$80:$N$82,$D28)+(SUMIFS(RN!U$71:U$73,RN!$C$71:$C$73,$E$1,RN!$N$71:$N$73,$D28))*INDEX(RN!U$20:U$22,MATCH($E$1,RN!$C$20:$C$22,0))+(SUMIFS(RL!U$83:U$85,RL!$C$83:$C$85,$E$1,RL!$N$83:$N$85,$D28)+SUMIFS(RL!U$74:U$76,RL!$C$74:$C$76,$E$1,RL!$N$74:$N$76,$D28))*INDEX(RL!U$20:U$22,MATCH($E$1,RL!$C$20:$C$22,0))+(SUMIFS(LU!U$83:U$85,LU!$C$83:$C$85,$E$1,LU!$N$83:$N$85,$D28)+SUMIFS(LU!U$74:U$76,LU!$C$74:$C$76,$E$1,LU!$N$74:$N$76,$D28))*INDEX(LU!U$20:U$22,MATCH($E$1,LU!$C$20:$C$22,0))</f>
        <v>0</v>
      </c>
      <c r="V28" s="613">
        <f>(SUMIFS(IP!V$83:V$85,IP!$C$83:$C$85,$E$1,IP!$N$83:$N$85,$D28)+SUMIFS(IP!V$74:V$76,IP!$C$74:$C$76,$E$1,IP!$O$74:$O$76,$D28))*INDEX(IP!V$20:V$22,MATCH($E$1,IP!$C$20:$C$22,0))+SUMIFS(RN!V$80:V$82,RN!$C$80:$C$82,$E$1,RN!$N$80:$N$82,$D28)+(SUMIFS(RN!V$71:V$73,RN!$C$71:$C$73,$E$1,RN!$N$71:$N$73,$D28))*INDEX(RN!V$20:V$22,MATCH($E$1,RN!$C$20:$C$22,0))+(SUMIFS(RL!V$83:V$85,RL!$C$83:$C$85,$E$1,RL!$N$83:$N$85,$D28)+SUMIFS(RL!V$74:V$76,RL!$C$74:$C$76,$E$1,RL!$N$74:$N$76,$D28))*INDEX(RL!V$20:V$22,MATCH($E$1,RL!$C$20:$C$22,0))+(SUMIFS(LU!V$83:V$85,LU!$C$83:$C$85,$E$1,LU!$N$83:$N$85,$D28)+SUMIFS(LU!V$74:V$76,LU!$C$74:$C$76,$E$1,LU!$N$74:$N$76,$D28))*INDEX(LU!V$20:V$22,MATCH($E$1,LU!$C$20:$C$22,0))</f>
        <v>0</v>
      </c>
      <c r="W28" s="613">
        <f>(SUMIFS(IP!W$83:W$85,IP!$C$83:$C$85,$E$1,IP!$N$83:$N$85,$D28)+SUMIFS(IP!W$74:W$76,IP!$C$74:$C$76,$E$1,IP!$O$74:$O$76,$D28))*INDEX(IP!W$20:W$22,MATCH($E$1,IP!$C$20:$C$22,0))+SUMIFS(RN!W$80:W$82,RN!$C$80:$C$82,$E$1,RN!$N$80:$N$82,$D28)+(SUMIFS(RN!W$71:W$73,RN!$C$71:$C$73,$E$1,RN!$N$71:$N$73,$D28))*INDEX(RN!W$20:W$22,MATCH($E$1,RN!$C$20:$C$22,0))+(SUMIFS(RL!W$83:W$85,RL!$C$83:$C$85,$E$1,RL!$N$83:$N$85,$D28)+SUMIFS(RL!W$74:W$76,RL!$C$74:$C$76,$E$1,RL!$N$74:$N$76,$D28))*INDEX(RL!W$20:W$22,MATCH($E$1,RL!$C$20:$C$22,0))+(SUMIFS(LU!W$83:W$85,LU!$C$83:$C$85,$E$1,LU!$N$83:$N$85,$D28)+SUMIFS(LU!W$74:W$76,LU!$C$74:$C$76,$E$1,LU!$N$74:$N$76,$D28))*INDEX(LU!W$20:W$22,MATCH($E$1,LU!$C$20:$C$22,0))</f>
        <v>0</v>
      </c>
      <c r="X28" s="613">
        <f>(SUMIFS(IP!X$83:X$85,IP!$C$83:$C$85,$E$1,IP!$N$83:$N$85,$D28)+SUMIFS(IP!X$74:X$76,IP!$C$74:$C$76,$E$1,IP!$O$74:$O$76,$D28))*INDEX(IP!X$20:X$22,MATCH($E$1,IP!$C$20:$C$22,0))+SUMIFS(RN!X$80:X$82,RN!$C$80:$C$82,$E$1,RN!$N$80:$N$82,$D28)+(SUMIFS(RN!X$71:X$73,RN!$C$71:$C$73,$E$1,RN!$N$71:$N$73,$D28))*INDEX(RN!X$20:X$22,MATCH($E$1,RN!$C$20:$C$22,0))+(SUMIFS(RL!X$83:X$85,RL!$C$83:$C$85,$E$1,RL!$N$83:$N$85,$D28)+SUMIFS(RL!X$74:X$76,RL!$C$74:$C$76,$E$1,RL!$N$74:$N$76,$D28))*INDEX(RL!X$20:X$22,MATCH($E$1,RL!$C$20:$C$22,0))+(SUMIFS(LU!X$83:X$85,LU!$C$83:$C$85,$E$1,LU!$N$83:$N$85,$D28)+SUMIFS(LU!X$74:X$76,LU!$C$74:$C$76,$E$1,LU!$N$74:$N$76,$D28))*INDEX(LU!X$20:X$22,MATCH($E$1,LU!$C$20:$C$22,0))</f>
        <v>0</v>
      </c>
      <c r="Y28" s="613">
        <f>(SUMIFS(IP!Y$83:Y$85,IP!$C$83:$C$85,$E$1,IP!$N$83:$N$85,$D28)+SUMIFS(IP!Y$74:Y$76,IP!$C$74:$C$76,$E$1,IP!$O$74:$O$76,$D28))*INDEX(IP!Y$20:Y$22,MATCH($E$1,IP!$C$20:$C$22,0))+SUMIFS(RN!Y$80:Y$82,RN!$C$80:$C$82,$E$1,RN!$N$80:$N$82,$D28)+(SUMIFS(RN!Y$71:Y$73,RN!$C$71:$C$73,$E$1,RN!$N$71:$N$73,$D28))*INDEX(RN!Y$20:Y$22,MATCH($E$1,RN!$C$20:$C$22,0))+(SUMIFS(RL!Y$83:Y$85,RL!$C$83:$C$85,$E$1,RL!$N$83:$N$85,$D28)+SUMIFS(RL!Y$74:Y$76,RL!$C$74:$C$76,$E$1,RL!$N$74:$N$76,$D28))*INDEX(RL!Y$20:Y$22,MATCH($E$1,RL!$C$20:$C$22,0))+(SUMIFS(LU!Y$83:Y$85,LU!$C$83:$C$85,$E$1,LU!$N$83:$N$85,$D28)+SUMIFS(LU!Y$74:Y$76,LU!$C$74:$C$76,$E$1,LU!$N$74:$N$76,$D28))*INDEX(LU!Y$20:Y$22,MATCH($E$1,LU!$C$20:$C$22,0))</f>
        <v>0</v>
      </c>
      <c r="Z28" s="613">
        <f>(SUMIFS(IP!Z$83:Z$85,IP!$C$83:$C$85,$E$1,IP!$N$83:$N$85,$D28)+SUMIFS(IP!Z$74:Z$76,IP!$C$74:$C$76,$E$1,IP!$O$74:$O$76,$D28))*INDEX(IP!Z$20:Z$22,MATCH($E$1,IP!$C$20:$C$22,0))+SUMIFS(RN!Z$80:Z$82,RN!$C$80:$C$82,$E$1,RN!$N$80:$N$82,$D28)+(SUMIFS(RN!Z$71:Z$73,RN!$C$71:$C$73,$E$1,RN!$N$71:$N$73,$D28))*INDEX(RN!Z$20:Z$22,MATCH($E$1,RN!$C$20:$C$22,0))+(SUMIFS(RL!Z$83:Z$85,RL!$C$83:$C$85,$E$1,RL!$N$83:$N$85,$D28)+SUMIFS(RL!Z$74:Z$76,RL!$C$74:$C$76,$E$1,RL!$N$74:$N$76,$D28))*INDEX(RL!Z$20:Z$22,MATCH($E$1,RL!$C$20:$C$22,0))+(SUMIFS(LU!Z$83:Z$85,LU!$C$83:$C$85,$E$1,LU!$N$83:$N$85,$D28)+SUMIFS(LU!Z$74:Z$76,LU!$C$74:$C$76,$E$1,LU!$N$74:$N$76,$D28))*INDEX(LU!Z$20:Z$22,MATCH($E$1,LU!$C$20:$C$22,0))</f>
        <v>0</v>
      </c>
      <c r="AA28" s="613">
        <f>(SUMIFS(IP!AA$83:AA$85,IP!$C$83:$C$85,$E$1,IP!$N$83:$N$85,$D28)+SUMIFS(IP!AA$74:AA$76,IP!$C$74:$C$76,$E$1,IP!$O$74:$O$76,$D28))*INDEX(IP!AA$20:AA$22,MATCH($E$1,IP!$C$20:$C$22,0))+SUMIFS(RN!AA$80:AA$82,RN!$C$80:$C$82,$E$1,RN!$N$80:$N$82,$D28)+(SUMIFS(RN!AA$71:AA$73,RN!$C$71:$C$73,$E$1,RN!$N$71:$N$73,$D28))*INDEX(RN!AA$20:AA$22,MATCH($E$1,RN!$C$20:$C$22,0))+(SUMIFS(RL!AA$83:AA$85,RL!$C$83:$C$85,$E$1,RL!$N$83:$N$85,$D28)+SUMIFS(RL!AA$74:AA$76,RL!$C$74:$C$76,$E$1,RL!$N$74:$N$76,$D28))*INDEX(RL!AA$20:AA$22,MATCH($E$1,RL!$C$20:$C$22,0))+(SUMIFS(LU!AA$83:AA$85,LU!$C$83:$C$85,$E$1,LU!$N$83:$N$85,$D28)+SUMIFS(LU!AA$74:AA$76,LU!$C$74:$C$76,$E$1,LU!$N$74:$N$76,$D28))*INDEX(LU!AA$20:AA$22,MATCH($E$1,LU!$C$20:$C$22,0))</f>
        <v>0</v>
      </c>
      <c r="AB28" s="613">
        <f>(SUMIFS(IP!AB$83:AB$85,IP!$C$83:$C$85,$E$1,IP!$N$83:$N$85,$D28)+SUMIFS(IP!AB$74:AB$76,IP!$C$74:$C$76,$E$1,IP!$O$74:$O$76,$D28))*INDEX(IP!AB$20:AB$22,MATCH($E$1,IP!$C$20:$C$22,0))+SUMIFS(RN!AB$80:AB$82,RN!$C$80:$C$82,$E$1,RN!$N$80:$N$82,$D28)+(SUMIFS(RN!AB$71:AB$73,RN!$C$71:$C$73,$E$1,RN!$N$71:$N$73,$D28))*INDEX(RN!AB$20:AB$22,MATCH($E$1,RN!$C$20:$C$22,0))+(SUMIFS(RL!AB$83:AB$85,RL!$C$83:$C$85,$E$1,RL!$N$83:$N$85,$D28)+SUMIFS(RL!AB$74:AB$76,RL!$C$74:$C$76,$E$1,RL!$N$74:$N$76,$D28))*INDEX(RL!AB$20:AB$22,MATCH($E$1,RL!$C$20:$C$22,0))+(SUMIFS(LU!AB$83:AB$85,LU!$C$83:$C$85,$E$1,LU!$N$83:$N$85,$D28)+SUMIFS(LU!AB$74:AB$76,LU!$C$74:$C$76,$E$1,LU!$N$74:$N$76,$D28))*INDEX(LU!AB$20:AB$22,MATCH($E$1,LU!$C$20:$C$22,0))</f>
        <v>0</v>
      </c>
      <c r="AC28" s="613">
        <f>(SUMIFS(IP!AC$83:AC$85,IP!$C$83:$C$85,$E$1,IP!$N$83:$N$85,$D28)+SUMIFS(IP!AC$74:AC$76,IP!$C$74:$C$76,$E$1,IP!$O$74:$O$76,$D28))*INDEX(IP!AC$20:AC$22,MATCH($E$1,IP!$C$20:$C$22,0))+SUMIFS(RN!AC$80:AC$82,RN!$C$80:$C$82,$E$1,RN!$N$80:$N$82,$D28)+(SUMIFS(RN!AC$71:AC$73,RN!$C$71:$C$73,$E$1,RN!$N$71:$N$73,$D28))*INDEX(RN!AC$20:AC$22,MATCH($E$1,RN!$C$20:$C$22,0))+(SUMIFS(RL!AC$83:AC$85,RL!$C$83:$C$85,$E$1,RL!$N$83:$N$85,$D28)+SUMIFS(RL!AC$74:AC$76,RL!$C$74:$C$76,$E$1,RL!$N$74:$N$76,$D28))*INDEX(RL!AC$20:AC$22,MATCH($E$1,RL!$C$20:$C$22,0))+(SUMIFS(LU!AC$83:AC$85,LU!$C$83:$C$85,$E$1,LU!$N$83:$N$85,$D28)+SUMIFS(LU!AC$74:AC$76,LU!$C$74:$C$76,$E$1,LU!$N$74:$N$76,$D28))*INDEX(LU!AC$20:AC$22,MATCH($E$1,LU!$C$20:$C$22,0))</f>
        <v>0</v>
      </c>
      <c r="AD28" s="613">
        <f>(SUMIFS(IP!AD$83:AD$85,IP!$C$83:$C$85,$E$1,IP!$N$83:$N$85,$D28)+SUMIFS(IP!AD$74:AD$76,IP!$C$74:$C$76,$E$1,IP!$O$74:$O$76,$D28))*INDEX(IP!AD$20:AD$22,MATCH($E$1,IP!$C$20:$C$22,0))+SUMIFS(RN!AD$80:AD$82,RN!$C$80:$C$82,$E$1,RN!$N$80:$N$82,$D28)+(SUMIFS(RN!AD$71:AD$73,RN!$C$71:$C$73,$E$1,RN!$N$71:$N$73,$D28))*INDEX(RN!AD$20:AD$22,MATCH($E$1,RN!$C$20:$C$22,0))+(SUMIFS(RL!AD$83:AD$85,RL!$C$83:$C$85,$E$1,RL!$N$83:$N$85,$D28)+SUMIFS(RL!AD$74:AD$76,RL!$C$74:$C$76,$E$1,RL!$N$74:$N$76,$D28))*INDEX(RL!AD$20:AD$22,MATCH($E$1,RL!$C$20:$C$22,0))+(SUMIFS(LU!AD$83:AD$85,LU!$C$83:$C$85,$E$1,LU!$N$83:$N$85,$D28)+SUMIFS(LU!AD$74:AD$76,LU!$C$74:$C$76,$E$1,LU!$N$74:$N$76,$D28))*INDEX(LU!AD$20:AD$22,MATCH($E$1,LU!$C$20:$C$22,0))</f>
        <v>0</v>
      </c>
      <c r="AE28" s="613">
        <f>(SUMIFS(IP!AE$83:AE$85,IP!$C$83:$C$85,$E$1,IP!$N$83:$N$85,$D28)+SUMIFS(IP!AE$74:AE$76,IP!$C$74:$C$76,$E$1,IP!$O$74:$O$76,$D28))*INDEX(IP!AE$20:AE$22,MATCH($E$1,IP!$C$20:$C$22,0))+SUMIFS(RN!AE$80:AE$82,RN!$C$80:$C$82,$E$1,RN!$N$80:$N$82,$D28)+(SUMIFS(RN!AE$71:AE$73,RN!$C$71:$C$73,$E$1,RN!$N$71:$N$73,$D28))*INDEX(RN!AE$20:AE$22,MATCH($E$1,RN!$C$20:$C$22,0))+(SUMIFS(RL!AE$83:AE$85,RL!$C$83:$C$85,$E$1,RL!$N$83:$N$85,$D28)+SUMIFS(RL!AE$74:AE$76,RL!$C$74:$C$76,$E$1,RL!$N$74:$N$76,$D28))*INDEX(RL!AE$20:AE$22,MATCH($E$1,RL!$C$20:$C$22,0))+(SUMIFS(LU!AE$83:AE$85,LU!$C$83:$C$85,$E$1,LU!$N$83:$N$85,$D28)+SUMIFS(LU!AE$74:AE$76,LU!$C$74:$C$76,$E$1,LU!$N$74:$N$76,$D28))*INDEX(LU!AE$20:AE$22,MATCH($E$1,LU!$C$20:$C$22,0))</f>
        <v>0</v>
      </c>
      <c r="AF28" s="613">
        <f>(SUMIFS(IP!AF$83:AF$85,IP!$C$83:$C$85,$E$1,IP!$N$83:$N$85,$D28)+SUMIFS(IP!AF$74:AF$76,IP!$C$74:$C$76,$E$1,IP!$O$74:$O$76,$D28))*INDEX(IP!AF$20:AF$22,MATCH($E$1,IP!$C$20:$C$22,0))+SUMIFS(RN!AF$80:AF$82,RN!$C$80:$C$82,$E$1,RN!$N$80:$N$82,$D28)+(SUMIFS(RN!AF$71:AF$73,RN!$C$71:$C$73,$E$1,RN!$N$71:$N$73,$D28))*INDEX(RN!AF$20:AF$22,MATCH($E$1,RN!$C$20:$C$22,0))+(SUMIFS(RL!AF$83:AF$85,RL!$C$83:$C$85,$E$1,RL!$N$83:$N$85,$D28)+SUMIFS(RL!AF$74:AF$76,RL!$C$74:$C$76,$E$1,RL!$N$74:$N$76,$D28))*INDEX(RL!AF$20:AF$22,MATCH($E$1,RL!$C$20:$C$22,0))+(SUMIFS(LU!AF$83:AF$85,LU!$C$83:$C$85,$E$1,LU!$N$83:$N$85,$D28)+SUMIFS(LU!AF$74:AF$76,LU!$C$74:$C$76,$E$1,LU!$N$74:$N$76,$D28))*INDEX(LU!AF$20:AF$22,MATCH($E$1,LU!$C$20:$C$22,0))</f>
        <v>0</v>
      </c>
      <c r="AG28" s="613">
        <f>(SUMIFS(IP!AG$83:AG$85,IP!$C$83:$C$85,$E$1,IP!$N$83:$N$85,$D28)+SUMIFS(IP!AG$74:AG$76,IP!$C$74:$C$76,$E$1,IP!$O$74:$O$76,$D28))*INDEX(IP!AG$20:AG$22,MATCH($E$1,IP!$C$20:$C$22,0))+SUMIFS(RN!AG$80:AG$82,RN!$C$80:$C$82,$E$1,RN!$N$80:$N$82,$D28)+(SUMIFS(RN!AG$71:AG$73,RN!$C$71:$C$73,$E$1,RN!$N$71:$N$73,$D28))*INDEX(RN!AG$20:AG$22,MATCH($E$1,RN!$C$20:$C$22,0))+(SUMIFS(RL!AG$83:AG$85,RL!$C$83:$C$85,$E$1,RL!$N$83:$N$85,$D28)+SUMIFS(RL!AG$74:AG$76,RL!$C$74:$C$76,$E$1,RL!$N$74:$N$76,$D28))*INDEX(RL!AG$20:AG$22,MATCH($E$1,RL!$C$20:$C$22,0))+(SUMIFS(LU!AG$83:AG$85,LU!$C$83:$C$85,$E$1,LU!$N$83:$N$85,$D28)+SUMIFS(LU!AG$74:AG$76,LU!$C$74:$C$76,$E$1,LU!$N$74:$N$76,$D28))*INDEX(LU!AG$20:AG$22,MATCH($E$1,LU!$C$20:$C$22,0))</f>
        <v>0</v>
      </c>
      <c r="AH28" s="613">
        <f>(SUMIFS(IP!AH$83:AH$85,IP!$C$83:$C$85,$E$1,IP!$N$83:$N$85,$D28)+SUMIFS(IP!AH$74:AH$76,IP!$C$74:$C$76,$E$1,IP!$O$74:$O$76,$D28))*INDEX(IP!AH$20:AH$22,MATCH($E$1,IP!$C$20:$C$22,0))+SUMIFS(RN!AH$80:AH$82,RN!$C$80:$C$82,$E$1,RN!$N$80:$N$82,$D28)+(SUMIFS(RN!AH$71:AH$73,RN!$C$71:$C$73,$E$1,RN!$N$71:$N$73,$D28))*INDEX(RN!AH$20:AH$22,MATCH($E$1,RN!$C$20:$C$22,0))+(SUMIFS(RL!AH$83:AH$85,RL!$C$83:$C$85,$E$1,RL!$N$83:$N$85,$D28)+SUMIFS(RL!AH$74:AH$76,RL!$C$74:$C$76,$E$1,RL!$N$74:$N$76,$D28))*INDEX(RL!AH$20:AH$22,MATCH($E$1,RL!$C$20:$C$22,0))+(SUMIFS(LU!AH$83:AH$85,LU!$C$83:$C$85,$E$1,LU!$N$83:$N$85,$D28)+SUMIFS(LU!AH$74:AH$76,LU!$C$74:$C$76,$E$1,LU!$N$74:$N$76,$D28))*INDEX(LU!AH$20:AH$22,MATCH($E$1,LU!$C$20:$C$22,0))</f>
        <v>0</v>
      </c>
      <c r="AI28" s="613">
        <f>(SUMIFS(IP!AI$83:AI$85,IP!$C$83:$C$85,$E$1,IP!$N$83:$N$85,$D28)+SUMIFS(IP!AI$74:AI$76,IP!$C$74:$C$76,$E$1,IP!$O$74:$O$76,$D28))*INDEX(IP!AI$20:AI$22,MATCH($E$1,IP!$C$20:$C$22,0))+SUMIFS(RN!AI$80:AI$82,RN!$C$80:$C$82,$E$1,RN!$N$80:$N$82,$D28)+(SUMIFS(RN!AI$71:AI$73,RN!$C$71:$C$73,$E$1,RN!$N$71:$N$73,$D28))*INDEX(RN!AI$20:AI$22,MATCH($E$1,RN!$C$20:$C$22,0))+(SUMIFS(RL!AI$83:AI$85,RL!$C$83:$C$85,$E$1,RL!$N$83:$N$85,$D28)+SUMIFS(RL!AI$74:AI$76,RL!$C$74:$C$76,$E$1,RL!$N$74:$N$76,$D28))*INDEX(RL!AI$20:AI$22,MATCH($E$1,RL!$C$20:$C$22,0))+(SUMIFS(LU!AI$83:AI$85,LU!$C$83:$C$85,$E$1,LU!$N$83:$N$85,$D28)+SUMIFS(LU!AI$74:AI$76,LU!$C$74:$C$76,$E$1,LU!$N$74:$N$76,$D28))*INDEX(LU!AI$20:AI$22,MATCH($E$1,LU!$C$20:$C$22,0))</f>
        <v>0</v>
      </c>
      <c r="AJ28" s="613">
        <f>(SUMIFS(IP!AJ$83:AJ$85,IP!$C$83:$C$85,$E$1,IP!$N$83:$N$85,$D28)+SUMIFS(IP!AJ$74:AJ$76,IP!$C$74:$C$76,$E$1,IP!$O$74:$O$76,$D28))*INDEX(IP!AJ$20:AJ$22,MATCH($E$1,IP!$C$20:$C$22,0))+SUMIFS(RN!AJ$80:AJ$82,RN!$C$80:$C$82,$E$1,RN!$N$80:$N$82,$D28)+(SUMIFS(RN!AJ$71:AJ$73,RN!$C$71:$C$73,$E$1,RN!$N$71:$N$73,$D28))*INDEX(RN!AJ$20:AJ$22,MATCH($E$1,RN!$C$20:$C$22,0))+(SUMIFS(RL!AJ$83:AJ$85,RL!$C$83:$C$85,$E$1,RL!$N$83:$N$85,$D28)+SUMIFS(RL!AJ$74:AJ$76,RL!$C$74:$C$76,$E$1,RL!$N$74:$N$76,$D28))*INDEX(RL!AJ$20:AJ$22,MATCH($E$1,RL!$C$20:$C$22,0))+(SUMIFS(LU!AJ$83:AJ$85,LU!$C$83:$C$85,$E$1,LU!$N$83:$N$85,$D28)+SUMIFS(LU!AJ$74:AJ$76,LU!$C$74:$C$76,$E$1,LU!$N$74:$N$76,$D28))*INDEX(LU!AJ$20:AJ$22,MATCH($E$1,LU!$C$20:$C$22,0))</f>
        <v>0</v>
      </c>
      <c r="AK28" s="613">
        <f>(SUMIFS(IP!AK$83:AK$85,IP!$C$83:$C$85,$E$1,IP!$N$83:$N$85,$D28)+SUMIFS(IP!AK$74:AK$76,IP!$C$74:$C$76,$E$1,IP!$O$74:$O$76,$D28))*INDEX(IP!AK$20:AK$22,MATCH($E$1,IP!$C$20:$C$22,0))+SUMIFS(RN!AK$80:AK$82,RN!$C$80:$C$82,$E$1,RN!$N$80:$N$82,$D28)+(SUMIFS(RN!AK$71:AK$73,RN!$C$71:$C$73,$E$1,RN!$N$71:$N$73,$D28))*INDEX(RN!AK$20:AK$22,MATCH($E$1,RN!$C$20:$C$22,0))+(SUMIFS(RL!AK$83:AK$85,RL!$C$83:$C$85,$E$1,RL!$N$83:$N$85,$D28)+SUMIFS(RL!AK$74:AK$76,RL!$C$74:$C$76,$E$1,RL!$N$74:$N$76,$D28))*INDEX(RL!AK$20:AK$22,MATCH($E$1,RL!$C$20:$C$22,0))+(SUMIFS(LU!AK$83:AK$85,LU!$C$83:$C$85,$E$1,LU!$N$83:$N$85,$D28)+SUMIFS(LU!AK$74:AK$76,LU!$C$74:$C$76,$E$1,LU!$N$74:$N$76,$D28))*INDEX(LU!AK$20:AK$22,MATCH($E$1,LU!$C$20:$C$22,0))</f>
        <v>0</v>
      </c>
      <c r="AL28" s="613">
        <f>(SUMIFS(IP!AL$83:AL$85,IP!$C$83:$C$85,$E$1,IP!$N$83:$N$85,$D28)+SUMIFS(IP!AL$74:AL$76,IP!$C$74:$C$76,$E$1,IP!$O$74:$O$76,$D28))*INDEX(IP!AL$20:AL$22,MATCH($E$1,IP!$C$20:$C$22,0))+SUMIFS(RN!AL$80:AL$82,RN!$C$80:$C$82,$E$1,RN!$N$80:$N$82,$D28)+(SUMIFS(RN!AL$71:AL$73,RN!$C$71:$C$73,$E$1,RN!$N$71:$N$73,$D28))*INDEX(RN!AL$20:AL$22,MATCH($E$1,RN!$C$20:$C$22,0))+(SUMIFS(RL!AL$83:AL$85,RL!$C$83:$C$85,$E$1,RL!$N$83:$N$85,$D28)+SUMIFS(RL!AL$74:AL$76,RL!$C$74:$C$76,$E$1,RL!$N$74:$N$76,$D28))*INDEX(RL!AL$20:AL$22,MATCH($E$1,RL!$C$20:$C$22,0))+(SUMIFS(LU!AL$83:AL$85,LU!$C$83:$C$85,$E$1,LU!$N$83:$N$85,$D28)+SUMIFS(LU!AL$74:AL$76,LU!$C$74:$C$76,$E$1,LU!$N$74:$N$76,$D28))*INDEX(LU!AL$20:AL$22,MATCH($E$1,LU!$C$20:$C$22,0))</f>
        <v>0</v>
      </c>
      <c r="AM28" s="613">
        <f>(SUMIFS(IP!AM$83:AM$85,IP!$C$83:$C$85,$E$1,IP!$N$83:$N$85,$D28)+SUMIFS(IP!AM$74:AM$76,IP!$C$74:$C$76,$E$1,IP!$O$74:$O$76,$D28))*INDEX(IP!AM$20:AM$22,MATCH($E$1,IP!$C$20:$C$22,0))+SUMIFS(RN!AM$80:AM$82,RN!$C$80:$C$82,$E$1,RN!$N$80:$N$82,$D28)+(SUMIFS(RN!AM$71:AM$73,RN!$C$71:$C$73,$E$1,RN!$N$71:$N$73,$D28))*INDEX(RN!AM$20:AM$22,MATCH($E$1,RN!$C$20:$C$22,0))+(SUMIFS(RL!AM$83:AM$85,RL!$C$83:$C$85,$E$1,RL!$N$83:$N$85,$D28)+SUMIFS(RL!AM$74:AM$76,RL!$C$74:$C$76,$E$1,RL!$N$74:$N$76,$D28))*INDEX(RL!AM$20:AM$22,MATCH($E$1,RL!$C$20:$C$22,0))+(SUMIFS(LU!AM$83:AM$85,LU!$C$83:$C$85,$E$1,LU!$N$83:$N$85,$D28)+SUMIFS(LU!AM$74:AM$76,LU!$C$74:$C$76,$E$1,LU!$N$74:$N$76,$D28))*INDEX(LU!AM$20:AM$22,MATCH($E$1,LU!$C$20:$C$22,0))</f>
        <v>0</v>
      </c>
      <c r="AN28" s="613">
        <f>(SUMIFS(IP!AN$83:AN$85,IP!$C$83:$C$85,$E$1,IP!$N$83:$N$85,$D28)+SUMIFS(IP!AN$74:AN$76,IP!$C$74:$C$76,$E$1,IP!$O$74:$O$76,$D28))*INDEX(IP!AN$20:AN$22,MATCH($E$1,IP!$C$20:$C$22,0))+SUMIFS(RN!AN$80:AN$82,RN!$C$80:$C$82,$E$1,RN!$N$80:$N$82,$D28)+(SUMIFS(RN!AN$71:AN$73,RN!$C$71:$C$73,$E$1,RN!$N$71:$N$73,$D28))*INDEX(RN!AN$20:AN$22,MATCH($E$1,RN!$C$20:$C$22,0))+(SUMIFS(RL!AN$83:AN$85,RL!$C$83:$C$85,$E$1,RL!$N$83:$N$85,$D28)+SUMIFS(RL!AN$74:AN$76,RL!$C$74:$C$76,$E$1,RL!$N$74:$N$76,$D28))*INDEX(RL!AN$20:AN$22,MATCH($E$1,RL!$C$20:$C$22,0))+(SUMIFS(LU!AN$83:AN$85,LU!$C$83:$C$85,$E$1,LU!$N$83:$N$85,$D28)+SUMIFS(LU!AN$74:AN$76,LU!$C$74:$C$76,$E$1,LU!$N$74:$N$76,$D28))*INDEX(LU!AN$20:AN$22,MATCH($E$1,LU!$C$20:$C$22,0))</f>
        <v>0</v>
      </c>
      <c r="AO28" s="613">
        <f>(SUMIFS(IP!AO$83:AO$85,IP!$C$83:$C$85,$E$1,IP!$N$83:$N$85,$D28)+SUMIFS(IP!AO$74:AO$76,IP!$C$74:$C$76,$E$1,IP!$O$74:$O$76,$D28))*INDEX(IP!AO$20:AO$22,MATCH($E$1,IP!$C$20:$C$22,0))+SUMIFS(RN!AO$80:AO$82,RN!$C$80:$C$82,$E$1,RN!$N$80:$N$82,$D28)+(SUMIFS(RN!AO$71:AO$73,RN!$C$71:$C$73,$E$1,RN!$N$71:$N$73,$D28))*INDEX(RN!AO$20:AO$22,MATCH($E$1,RN!$C$20:$C$22,0))+(SUMIFS(RL!AO$83:AO$85,RL!$C$83:$C$85,$E$1,RL!$N$83:$N$85,$D28)+SUMIFS(RL!AO$74:AO$76,RL!$C$74:$C$76,$E$1,RL!$N$74:$N$76,$D28))*INDEX(RL!AO$20:AO$22,MATCH($E$1,RL!$C$20:$C$22,0))+(SUMIFS(LU!AO$83:AO$85,LU!$C$83:$C$85,$E$1,LU!$N$83:$N$85,$D28)+SUMIFS(LU!AO$74:AO$76,LU!$C$74:$C$76,$E$1,LU!$N$74:$N$76,$D28))*INDEX(LU!AO$20:AO$22,MATCH($E$1,LU!$C$20:$C$22,0))</f>
        <v>0</v>
      </c>
      <c r="AP28" s="613">
        <f>(SUMIFS(IP!AP$83:AP$85,IP!$C$83:$C$85,$E$1,IP!$N$83:$N$85,$D28)+SUMIFS(IP!AP$74:AP$76,IP!$C$74:$C$76,$E$1,IP!$O$74:$O$76,$D28))*INDEX(IP!AP$20:AP$22,MATCH($E$1,IP!$C$20:$C$22,0))+SUMIFS(RN!AP$80:AP$82,RN!$C$80:$C$82,$E$1,RN!$N$80:$N$82,$D28)+(SUMIFS(RN!AP$71:AP$73,RN!$C$71:$C$73,$E$1,RN!$N$71:$N$73,$D28))*INDEX(RN!AP$20:AP$22,MATCH($E$1,RN!$C$20:$C$22,0))+(SUMIFS(RL!AP$83:AP$85,RL!$C$83:$C$85,$E$1,RL!$N$83:$N$85,$D28)+SUMIFS(RL!AP$74:AP$76,RL!$C$74:$C$76,$E$1,RL!$N$74:$N$76,$D28))*INDEX(RL!AP$20:AP$22,MATCH($E$1,RL!$C$20:$C$22,0))+(SUMIFS(LU!AP$83:AP$85,LU!$C$83:$C$85,$E$1,LU!$N$83:$N$85,$D28)+SUMIFS(LU!AP$74:AP$76,LU!$C$74:$C$76,$E$1,LU!$N$74:$N$76,$D28))*INDEX(LU!AP$20:AP$22,MATCH($E$1,LU!$C$20:$C$22,0))</f>
        <v>0</v>
      </c>
      <c r="AQ28" s="613">
        <f>(SUMIFS(IP!AQ$83:AQ$85,IP!$C$83:$C$85,$E$1,IP!$N$83:$N$85,$D28)+SUMIFS(IP!AQ$74:AQ$76,IP!$C$74:$C$76,$E$1,IP!$O$74:$O$76,$D28))*INDEX(IP!AQ$20:AQ$22,MATCH($E$1,IP!$C$20:$C$22,0))+SUMIFS(RN!AQ$80:AQ$82,RN!$C$80:$C$82,$E$1,RN!$N$80:$N$82,$D28)+(SUMIFS(RN!AQ$71:AQ$73,RN!$C$71:$C$73,$E$1,RN!$N$71:$N$73,$D28))*INDEX(RN!AQ$20:AQ$22,MATCH($E$1,RN!$C$20:$C$22,0))+(SUMIFS(RL!AQ$83:AQ$85,RL!$C$83:$C$85,$E$1,RL!$N$83:$N$85,$D28)+SUMIFS(RL!AQ$74:AQ$76,RL!$C$74:$C$76,$E$1,RL!$N$74:$N$76,$D28))*INDEX(RL!AQ$20:AQ$22,MATCH($E$1,RL!$C$20:$C$22,0))+(SUMIFS(LU!AQ$83:AQ$85,LU!$C$83:$C$85,$E$1,LU!$N$83:$N$85,$D28)+SUMIFS(LU!AQ$74:AQ$76,LU!$C$74:$C$76,$E$1,LU!$N$74:$N$76,$D28))*INDEX(LU!AQ$20:AQ$22,MATCH($E$1,LU!$C$20:$C$22,0))</f>
        <v>0</v>
      </c>
      <c r="AR28" s="613">
        <f>(SUMIFS(IP!AR$83:AR$85,IP!$C$83:$C$85,$E$1,IP!$N$83:$N$85,$D28)+SUMIFS(IP!AR$74:AR$76,IP!$C$74:$C$76,$E$1,IP!$O$74:$O$76,$D28))*INDEX(IP!AR$20:AR$22,MATCH($E$1,IP!$C$20:$C$22,0))+SUMIFS(RN!AR$80:AR$82,RN!$C$80:$C$82,$E$1,RN!$N$80:$N$82,$D28)+(SUMIFS(RN!AR$71:AR$73,RN!$C$71:$C$73,$E$1,RN!$N$71:$N$73,$D28))*INDEX(RN!AR$20:AR$22,MATCH($E$1,RN!$C$20:$C$22,0))+(SUMIFS(RL!AR$83:AR$85,RL!$C$83:$C$85,$E$1,RL!$N$83:$N$85,$D28)+SUMIFS(RL!AR$74:AR$76,RL!$C$74:$C$76,$E$1,RL!$N$74:$N$76,$D28))*INDEX(RL!AR$20:AR$22,MATCH($E$1,RL!$C$20:$C$22,0))+(SUMIFS(LU!AR$83:AR$85,LU!$C$83:$C$85,$E$1,LU!$N$83:$N$85,$D28)+SUMIFS(LU!AR$74:AR$76,LU!$C$74:$C$76,$E$1,LU!$N$74:$N$76,$D28))*INDEX(LU!AR$20:AR$22,MATCH($E$1,LU!$C$20:$C$22,0))</f>
        <v>0</v>
      </c>
      <c r="AS28" s="613">
        <f>(SUMIFS(IP!AS$83:AS$85,IP!$C$83:$C$85,$E$1,IP!$N$83:$N$85,$D28)+SUMIFS(IP!AS$74:AS$76,IP!$C$74:$C$76,$E$1,IP!$O$74:$O$76,$D28))*INDEX(IP!AS$20:AS$22,MATCH($E$1,IP!$C$20:$C$22,0))+SUMIFS(RN!AS$80:AS$82,RN!$C$80:$C$82,$E$1,RN!$N$80:$N$82,$D28)+(SUMIFS(RN!AS$71:AS$73,RN!$C$71:$C$73,$E$1,RN!$N$71:$N$73,$D28))*INDEX(RN!AS$20:AS$22,MATCH($E$1,RN!$C$20:$C$22,0))+(SUMIFS(RL!AS$83:AS$85,RL!$C$83:$C$85,$E$1,RL!$N$83:$N$85,$D28)+SUMIFS(RL!AS$74:AS$76,RL!$C$74:$C$76,$E$1,RL!$N$74:$N$76,$D28))*INDEX(RL!AS$20:AS$22,MATCH($E$1,RL!$C$20:$C$22,0))+(SUMIFS(LU!AS$83:AS$85,LU!$C$83:$C$85,$E$1,LU!$N$83:$N$85,$D28)+SUMIFS(LU!AS$74:AS$76,LU!$C$74:$C$76,$E$1,LU!$N$74:$N$76,$D28))*INDEX(LU!AS$20:AS$22,MATCH($E$1,LU!$C$20:$C$22,0))</f>
        <v>0</v>
      </c>
      <c r="AT28" s="613">
        <f>(SUMIFS(IP!AT$83:AT$85,IP!$C$83:$C$85,$E$1,IP!$N$83:$N$85,$D28)+SUMIFS(IP!AT$74:AT$76,IP!$C$74:$C$76,$E$1,IP!$O$74:$O$76,$D28))*INDEX(IP!AT$20:AT$22,MATCH($E$1,IP!$C$20:$C$22,0))+SUMIFS(RN!AT$80:AT$82,RN!$C$80:$C$82,$E$1,RN!$N$80:$N$82,$D28)+(SUMIFS(RN!AT$71:AT$73,RN!$C$71:$C$73,$E$1,RN!$N$71:$N$73,$D28))*INDEX(RN!AT$20:AT$22,MATCH($E$1,RN!$C$20:$C$22,0))+(SUMIFS(RL!AT$83:AT$85,RL!$C$83:$C$85,$E$1,RL!$N$83:$N$85,$D28)+SUMIFS(RL!AT$74:AT$76,RL!$C$74:$C$76,$E$1,RL!$N$74:$N$76,$D28))*INDEX(RL!AT$20:AT$22,MATCH($E$1,RL!$C$20:$C$22,0))+(SUMIFS(LU!AT$83:AT$85,LU!$C$83:$C$85,$E$1,LU!$N$83:$N$85,$D28)+SUMIFS(LU!AT$74:AT$76,LU!$C$74:$C$76,$E$1,LU!$N$74:$N$76,$D28))*INDEX(LU!AT$20:AT$22,MATCH($E$1,LU!$C$20:$C$22,0))</f>
        <v>0</v>
      </c>
      <c r="AU28" s="613">
        <f>(SUMIFS(IP!AU$83:AU$85,IP!$C$83:$C$85,$E$1,IP!$N$83:$N$85,$D28)+SUMIFS(IP!AU$74:AU$76,IP!$C$74:$C$76,$E$1,IP!$O$74:$O$76,$D28))*INDEX(IP!AU$20:AU$22,MATCH($E$1,IP!$C$20:$C$22,0))+SUMIFS(RN!AU$80:AU$82,RN!$C$80:$C$82,$E$1,RN!$N$80:$N$82,$D28)+(SUMIFS(RN!AU$71:AU$73,RN!$C$71:$C$73,$E$1,RN!$N$71:$N$73,$D28))*INDEX(RN!AU$20:AU$22,MATCH($E$1,RN!$C$20:$C$22,0))+(SUMIFS(RL!AU$83:AU$85,RL!$C$83:$C$85,$E$1,RL!$N$83:$N$85,$D28)+SUMIFS(RL!AU$74:AU$76,RL!$C$74:$C$76,$E$1,RL!$N$74:$N$76,$D28))*INDEX(RL!AU$20:AU$22,MATCH($E$1,RL!$C$20:$C$22,0))+(SUMIFS(LU!AU$83:AU$85,LU!$C$83:$C$85,$E$1,LU!$N$83:$N$85,$D28)+SUMIFS(LU!AU$74:AU$76,LU!$C$74:$C$76,$E$1,LU!$N$74:$N$76,$D28))*INDEX(LU!AU$20:AU$22,MATCH($E$1,LU!$C$20:$C$22,0))</f>
        <v>0</v>
      </c>
      <c r="AV28" s="613">
        <f>(SUMIFS(IP!AV$83:AV$85,IP!$C$83:$C$85,$E$1,IP!$N$83:$N$85,$D28)+SUMIFS(IP!AV$74:AV$76,IP!$C$74:$C$76,$E$1,IP!$O$74:$O$76,$D28))*INDEX(IP!AV$20:AV$22,MATCH($E$1,IP!$C$20:$C$22,0))+SUMIFS(RN!AV$80:AV$82,RN!$C$80:$C$82,$E$1,RN!$N$80:$N$82,$D28)+(SUMIFS(RN!AV$71:AV$73,RN!$C$71:$C$73,$E$1,RN!$N$71:$N$73,$D28))*INDEX(RN!AV$20:AV$22,MATCH($E$1,RN!$C$20:$C$22,0))+(SUMIFS(RL!AV$83:AV$85,RL!$C$83:$C$85,$E$1,RL!$N$83:$N$85,$D28)+SUMIFS(RL!AV$74:AV$76,RL!$C$74:$C$76,$E$1,RL!$N$74:$N$76,$D28))*INDEX(RL!AV$20:AV$22,MATCH($E$1,RL!$C$20:$C$22,0))+(SUMIFS(LU!AV$83:AV$85,LU!$C$83:$C$85,$E$1,LU!$N$83:$N$85,$D28)+SUMIFS(LU!AV$74:AV$76,LU!$C$74:$C$76,$E$1,LU!$N$74:$N$76,$D28))*INDEX(LU!AV$20:AV$22,MATCH($E$1,LU!$C$20:$C$22,0))</f>
        <v>0</v>
      </c>
      <c r="AW28" s="613">
        <f>(SUMIFS(IP!AW$83:AW$85,IP!$C$83:$C$85,$E$1,IP!$N$83:$N$85,$D28)+SUMIFS(IP!AW$74:AW$76,IP!$C$74:$C$76,$E$1,IP!$O$74:$O$76,$D28))*INDEX(IP!AW$20:AW$22,MATCH($E$1,IP!$C$20:$C$22,0))+SUMIFS(RN!AW$80:AW$82,RN!$C$80:$C$82,$E$1,RN!$N$80:$N$82,$D28)+(SUMIFS(RN!AW$71:AW$73,RN!$C$71:$C$73,$E$1,RN!$N$71:$N$73,$D28))*INDEX(RN!AW$20:AW$22,MATCH($E$1,RN!$C$20:$C$22,0))+(SUMIFS(RL!AW$83:AW$85,RL!$C$83:$C$85,$E$1,RL!$N$83:$N$85,$D28)+SUMIFS(RL!AW$74:AW$76,RL!$C$74:$C$76,$E$1,RL!$N$74:$N$76,$D28))*INDEX(RL!AW$20:AW$22,MATCH($E$1,RL!$C$20:$C$22,0))+(SUMIFS(LU!AW$83:AW$85,LU!$C$83:$C$85,$E$1,LU!$N$83:$N$85,$D28)+SUMIFS(LU!AW$74:AW$76,LU!$C$74:$C$76,$E$1,LU!$N$74:$N$76,$D28))*INDEX(LU!AW$20:AW$22,MATCH($E$1,LU!$C$20:$C$22,0))</f>
        <v>0</v>
      </c>
      <c r="AX28" s="613">
        <f>(SUMIFS(IP!AX$83:AX$85,IP!$C$83:$C$85,$E$1,IP!$N$83:$N$85,$D28)+SUMIFS(IP!AX$74:AX$76,IP!$C$74:$C$76,$E$1,IP!$O$74:$O$76,$D28))*INDEX(IP!AX$20:AX$22,MATCH($E$1,IP!$C$20:$C$22,0))+SUMIFS(RN!AX$80:AX$82,RN!$C$80:$C$82,$E$1,RN!$N$80:$N$82,$D28)+(SUMIFS(RN!AX$71:AX$73,RN!$C$71:$C$73,$E$1,RN!$N$71:$N$73,$D28))*INDEX(RN!AX$20:AX$22,MATCH($E$1,RN!$C$20:$C$22,0))+(SUMIFS(RL!AX$83:AX$85,RL!$C$83:$C$85,$E$1,RL!$N$83:$N$85,$D28)+SUMIFS(RL!AX$74:AX$76,RL!$C$74:$C$76,$E$1,RL!$N$74:$N$76,$D28))*INDEX(RL!AX$20:AX$22,MATCH($E$1,RL!$C$20:$C$22,0))+(SUMIFS(LU!AX$83:AX$85,LU!$C$83:$C$85,$E$1,LU!$N$83:$N$85,$D28)+SUMIFS(LU!AX$74:AX$76,LU!$C$74:$C$76,$E$1,LU!$N$74:$N$76,$D28))*INDEX(LU!AX$20:AX$22,MATCH($E$1,LU!$C$20:$C$22,0))</f>
        <v>0</v>
      </c>
      <c r="AY28" s="613">
        <f>(SUMIFS(IP!AY$83:AY$85,IP!$C$83:$C$85,$E$1,IP!$N$83:$N$85,$D28)+SUMIFS(IP!AY$74:AY$76,IP!$C$74:$C$76,$E$1,IP!$O$74:$O$76,$D28))*INDEX(IP!AY$20:AY$22,MATCH($E$1,IP!$C$20:$C$22,0))+SUMIFS(RN!AY$80:AY$82,RN!$C$80:$C$82,$E$1,RN!$N$80:$N$82,$D28)+(SUMIFS(RN!AY$71:AY$73,RN!$C$71:$C$73,$E$1,RN!$N$71:$N$73,$D28))*INDEX(RN!AY$20:AY$22,MATCH($E$1,RN!$C$20:$C$22,0))+(SUMIFS(RL!AY$83:AY$85,RL!$C$83:$C$85,$E$1,RL!$N$83:$N$85,$D28)+SUMIFS(RL!AY$74:AY$76,RL!$C$74:$C$76,$E$1,RL!$N$74:$N$76,$D28))*INDEX(RL!AY$20:AY$22,MATCH($E$1,RL!$C$20:$C$22,0))+(SUMIFS(LU!AY$83:AY$85,LU!$C$83:$C$85,$E$1,LU!$N$83:$N$85,$D28)+SUMIFS(LU!AY$74:AY$76,LU!$C$74:$C$76,$E$1,LU!$N$74:$N$76,$D28))*INDEX(LU!AY$20:AY$22,MATCH($E$1,LU!$C$20:$C$22,0))</f>
        <v>0</v>
      </c>
      <c r="AZ28" s="613">
        <f>(SUMIFS(IP!AZ$83:AZ$85,IP!$C$83:$C$85,$E$1,IP!$N$83:$N$85,$D28)+SUMIFS(IP!AZ$74:AZ$76,IP!$C$74:$C$76,$E$1,IP!$O$74:$O$76,$D28))*INDEX(IP!AZ$20:AZ$22,MATCH($E$1,IP!$C$20:$C$22,0))+SUMIFS(RN!AZ$80:AZ$82,RN!$C$80:$C$82,$E$1,RN!$N$80:$N$82,$D28)+(SUMIFS(RN!AZ$71:AZ$73,RN!$C$71:$C$73,$E$1,RN!$N$71:$N$73,$D28))*INDEX(RN!AZ$20:AZ$22,MATCH($E$1,RN!$C$20:$C$22,0))+(SUMIFS(RL!AZ$83:AZ$85,RL!$C$83:$C$85,$E$1,RL!$N$83:$N$85,$D28)+SUMIFS(RL!AZ$74:AZ$76,RL!$C$74:$C$76,$E$1,RL!$N$74:$N$76,$D28))*INDEX(RL!AZ$20:AZ$22,MATCH($E$1,RL!$C$20:$C$22,0))+(SUMIFS(LU!AZ$83:AZ$85,LU!$C$83:$C$85,$E$1,LU!$N$83:$N$85,$D28)+SUMIFS(LU!AZ$74:AZ$76,LU!$C$74:$C$76,$E$1,LU!$N$74:$N$76,$D28))*INDEX(LU!AZ$20:AZ$22,MATCH($E$1,LU!$C$20:$C$22,0))</f>
        <v>0</v>
      </c>
      <c r="BA28" s="613">
        <f>(SUMIFS(IP!BA$83:BA$85,IP!$C$83:$C$85,$E$1,IP!$N$83:$N$85,$D28)+SUMIFS(IP!BA$74:BA$76,IP!$C$74:$C$76,$E$1,IP!$O$74:$O$76,$D28))*INDEX(IP!BA$20:BA$22,MATCH($E$1,IP!$C$20:$C$22,0))+SUMIFS(RN!BA$80:BA$82,RN!$C$80:$C$82,$E$1,RN!$N$80:$N$82,$D28)+(SUMIFS(RN!BA$71:BA$73,RN!$C$71:$C$73,$E$1,RN!$N$71:$N$73,$D28))*INDEX(RN!BA$20:BA$22,MATCH($E$1,RN!$C$20:$C$22,0))+(SUMIFS(RL!BA$83:BA$85,RL!$C$83:$C$85,$E$1,RL!$N$83:$N$85,$D28)+SUMIFS(RL!BA$74:BA$76,RL!$C$74:$C$76,$E$1,RL!$N$74:$N$76,$D28))*INDEX(RL!BA$20:BA$22,MATCH($E$1,RL!$C$20:$C$22,0))+(SUMIFS(LU!BA$83:BA$85,LU!$C$83:$C$85,$E$1,LU!$N$83:$N$85,$D28)+SUMIFS(LU!BA$74:BA$76,LU!$C$74:$C$76,$E$1,LU!$N$74:$N$76,$D28))*INDEX(LU!BA$20:BA$22,MATCH($E$1,LU!$C$20:$C$22,0))</f>
        <v>0</v>
      </c>
      <c r="BB28" s="613">
        <f>(SUMIFS(IP!BB$83:BB$85,IP!$C$83:$C$85,$E$1,IP!$N$83:$N$85,$D28)+SUMIFS(IP!BB$74:BB$76,IP!$C$74:$C$76,$E$1,IP!$O$74:$O$76,$D28))*INDEX(IP!BB$20:BB$22,MATCH($E$1,IP!$C$20:$C$22,0))+SUMIFS(RN!BB$80:BB$82,RN!$C$80:$C$82,$E$1,RN!$N$80:$N$82,$D28)+(SUMIFS(RN!BB$71:BB$73,RN!$C$71:$C$73,$E$1,RN!$N$71:$N$73,$D28))*INDEX(RN!BB$20:BB$22,MATCH($E$1,RN!$C$20:$C$22,0))+(SUMIFS(RL!BB$83:BB$85,RL!$C$83:$C$85,$E$1,RL!$N$83:$N$85,$D28)+SUMIFS(RL!BB$74:BB$76,RL!$C$74:$C$76,$E$1,RL!$N$74:$N$76,$D28))*INDEX(RL!BB$20:BB$22,MATCH($E$1,RL!$C$20:$C$22,0))+(SUMIFS(LU!BB$83:BB$85,LU!$C$83:$C$85,$E$1,LU!$N$83:$N$85,$D28)+SUMIFS(LU!BB$74:BB$76,LU!$C$74:$C$76,$E$1,LU!$N$74:$N$76,$D28))*INDEX(LU!BB$20:BB$22,MATCH($E$1,LU!$C$20:$C$22,0))</f>
        <v>0</v>
      </c>
      <c r="BC28" s="613">
        <f>(SUMIFS(IP!BC$83:BC$85,IP!$C$83:$C$85,$E$1,IP!$N$83:$N$85,$D28)+SUMIFS(IP!BC$74:BC$76,IP!$C$74:$C$76,$E$1,IP!$O$74:$O$76,$D28))*INDEX(IP!BC$20:BC$22,MATCH($E$1,IP!$C$20:$C$22,0))+SUMIFS(RN!BC$80:BC$82,RN!$C$80:$C$82,$E$1,RN!$N$80:$N$82,$D28)+(SUMIFS(RN!BC$71:BC$73,RN!$C$71:$C$73,$E$1,RN!$N$71:$N$73,$D28))*INDEX(RN!BC$20:BC$22,MATCH($E$1,RN!$C$20:$C$22,0))+(SUMIFS(RL!BC$83:BC$85,RL!$C$83:$C$85,$E$1,RL!$N$83:$N$85,$D28)+SUMIFS(RL!BC$74:BC$76,RL!$C$74:$C$76,$E$1,RL!$N$74:$N$76,$D28))*INDEX(RL!BC$20:BC$22,MATCH($E$1,RL!$C$20:$C$22,0))+(SUMIFS(LU!BC$83:BC$85,LU!$C$83:$C$85,$E$1,LU!$N$83:$N$85,$D28)+SUMIFS(LU!BC$74:BC$76,LU!$C$74:$C$76,$E$1,LU!$N$74:$N$76,$D28))*INDEX(LU!BC$20:BC$22,MATCH($E$1,LU!$C$20:$C$22,0))</f>
        <v>0</v>
      </c>
      <c r="BD28" s="613">
        <f>(SUMIFS(IP!BD$83:BD$85,IP!$C$83:$C$85,$E$1,IP!$N$83:$N$85,$D28)+SUMIFS(IP!BD$74:BD$76,IP!$C$74:$C$76,$E$1,IP!$O$74:$O$76,$D28))*INDEX(IP!BD$20:BD$22,MATCH($E$1,IP!$C$20:$C$22,0))+SUMIFS(RN!BD$80:BD$82,RN!$C$80:$C$82,$E$1,RN!$N$80:$N$82,$D28)+(SUMIFS(RN!BD$71:BD$73,RN!$C$71:$C$73,$E$1,RN!$N$71:$N$73,$D28))*INDEX(RN!BD$20:BD$22,MATCH($E$1,RN!$C$20:$C$22,0))+(SUMIFS(RL!BD$83:BD$85,RL!$C$83:$C$85,$E$1,RL!$N$83:$N$85,$D28)+SUMIFS(RL!BD$74:BD$76,RL!$C$74:$C$76,$E$1,RL!$N$74:$N$76,$D28))*INDEX(RL!BD$20:BD$22,MATCH($E$1,RL!$C$20:$C$22,0))+(SUMIFS(LU!BD$83:BD$85,LU!$C$83:$C$85,$E$1,LU!$N$83:$N$85,$D28)+SUMIFS(LU!BD$74:BD$76,LU!$C$74:$C$76,$E$1,LU!$N$74:$N$76,$D28))*INDEX(LU!BD$20:BD$22,MATCH($E$1,LU!$C$20:$C$22,0))</f>
        <v>0</v>
      </c>
      <c r="BE28" s="613">
        <f>(SUMIFS(IP!BE$83:BE$85,IP!$C$83:$C$85,$E$1,IP!$N$83:$N$85,$D28)+SUMIFS(IP!BE$74:BE$76,IP!$C$74:$C$76,$E$1,IP!$O$74:$O$76,$D28))*INDEX(IP!BE$20:BE$22,MATCH($E$1,IP!$C$20:$C$22,0))+SUMIFS(RN!BE$80:BE$82,RN!$C$80:$C$82,$E$1,RN!$N$80:$N$82,$D28)+(SUMIFS(RN!BE$71:BE$73,RN!$C$71:$C$73,$E$1,RN!$N$71:$N$73,$D28))*INDEX(RN!BE$20:BE$22,MATCH($E$1,RN!$C$20:$C$22,0))+(SUMIFS(RL!BE$83:BE$85,RL!$C$83:$C$85,$E$1,RL!$N$83:$N$85,$D28)+SUMIFS(RL!BE$74:BE$76,RL!$C$74:$C$76,$E$1,RL!$N$74:$N$76,$D28))*INDEX(RL!BE$20:BE$22,MATCH($E$1,RL!$C$20:$C$22,0))+(SUMIFS(LU!BE$83:BE$85,LU!$C$83:$C$85,$E$1,LU!$N$83:$N$85,$D28)+SUMIFS(LU!BE$74:BE$76,LU!$C$74:$C$76,$E$1,LU!$N$74:$N$76,$D28))*INDEX(LU!BE$20:BE$22,MATCH($E$1,LU!$C$20:$C$22,0))</f>
        <v>0</v>
      </c>
      <c r="BF28" s="613">
        <f>(SUMIFS(IP!BF$83:BF$85,IP!$C$83:$C$85,$E$1,IP!$N$83:$N$85,$D28)+SUMIFS(IP!BF$74:BF$76,IP!$C$74:$C$76,$E$1,IP!$O$74:$O$76,$D28))*INDEX(IP!BF$20:BF$22,MATCH($E$1,IP!$C$20:$C$22,0))+SUMIFS(RN!BF$80:BF$82,RN!$C$80:$C$82,$E$1,RN!$N$80:$N$82,$D28)+(SUMIFS(RN!BF$71:BF$73,RN!$C$71:$C$73,$E$1,RN!$N$71:$N$73,$D28))*INDEX(RN!BF$20:BF$22,MATCH($E$1,RN!$C$20:$C$22,0))+(SUMIFS(RL!BF$83:BF$85,RL!$C$83:$C$85,$E$1,RL!$N$83:$N$85,$D28)+SUMIFS(RL!BF$74:BF$76,RL!$C$74:$C$76,$E$1,RL!$N$74:$N$76,$D28))*INDEX(RL!BF$20:BF$22,MATCH($E$1,RL!$C$20:$C$22,0))+(SUMIFS(LU!BF$83:BF$85,LU!$C$83:$C$85,$E$1,LU!$N$83:$N$85,$D28)+SUMIFS(LU!BF$74:BF$76,LU!$C$74:$C$76,$E$1,LU!$N$74:$N$76,$D28))*INDEX(LU!BF$20:BF$22,MATCH($E$1,LU!$C$20:$C$22,0))</f>
        <v>0</v>
      </c>
      <c r="BG28" s="613">
        <f>(SUMIFS(IP!BG$83:BG$85,IP!$C$83:$C$85,$E$1,IP!$N$83:$N$85,$D28)+SUMIFS(IP!BG$74:BG$76,IP!$C$74:$C$76,$E$1,IP!$O$74:$O$76,$D28))*INDEX(IP!BG$20:BG$22,MATCH($E$1,IP!$C$20:$C$22,0))+SUMIFS(RN!BG$80:BG$82,RN!$C$80:$C$82,$E$1,RN!$N$80:$N$82,$D28)+(SUMIFS(RN!BG$71:BG$73,RN!$C$71:$C$73,$E$1,RN!$N$71:$N$73,$D28))*INDEX(RN!BG$20:BG$22,MATCH($E$1,RN!$C$20:$C$22,0))+(SUMIFS(RL!BG$83:BG$85,RL!$C$83:$C$85,$E$1,RL!$N$83:$N$85,$D28)+SUMIFS(RL!BG$74:BG$76,RL!$C$74:$C$76,$E$1,RL!$N$74:$N$76,$D28))*INDEX(RL!BG$20:BG$22,MATCH($E$1,RL!$C$20:$C$22,0))+(SUMIFS(LU!BG$83:BG$85,LU!$C$83:$C$85,$E$1,LU!$N$83:$N$85,$D28)+SUMIFS(LU!BG$74:BG$76,LU!$C$74:$C$76,$E$1,LU!$N$74:$N$76,$D28))*INDEX(LU!BG$20:BG$22,MATCH($E$1,LU!$C$20:$C$22,0))</f>
        <v>0</v>
      </c>
      <c r="BI28" s="614" t="s">
        <v>153</v>
      </c>
      <c r="BM28" s="613">
        <f t="shared" si="0"/>
        <v>0</v>
      </c>
      <c r="BN28" s="613">
        <f t="shared" si="0"/>
        <v>0</v>
      </c>
      <c r="BO28" s="613">
        <f t="shared" si="0"/>
        <v>0</v>
      </c>
      <c r="BP28" s="613">
        <f t="shared" si="0"/>
        <v>0</v>
      </c>
      <c r="BQ28" s="613">
        <f t="shared" si="0"/>
        <v>0</v>
      </c>
      <c r="BR28" s="613">
        <f t="shared" si="0"/>
        <v>0</v>
      </c>
      <c r="BS28" s="613">
        <f t="shared" si="0"/>
        <v>0</v>
      </c>
      <c r="BT28" s="613">
        <f t="shared" si="0"/>
        <v>0</v>
      </c>
      <c r="BU28" s="613">
        <f t="shared" si="0"/>
        <v>0</v>
      </c>
      <c r="BV28" s="613">
        <f t="shared" si="0"/>
        <v>0</v>
      </c>
      <c r="BX28" s="615" t="s">
        <v>153</v>
      </c>
    </row>
    <row r="29" spans="2:78">
      <c r="B29" s="607"/>
      <c r="D29" s="624" t="s">
        <v>48</v>
      </c>
      <c r="T29" s="613">
        <f>(SUMIFS(IP!T$83:T$85,IP!$C$83:$C$85,$E$1,IP!$N$83:$N$85,$D29)+SUMIFS(IP!T$74:T$76,IP!$C$74:$C$76,$E$1,IP!$O$74:$O$76,$D29))*INDEX(IP!T$20:T$22,MATCH($E$1,IP!$C$20:$C$22,0))+SUMIFS(RN!T$80:T$82,RN!$C$80:$C$82,$E$1,RN!$N$80:$N$82,$D29)+(SUMIFS(RN!T$71:T$73,RN!$C$71:$C$73,$E$1,RN!$N$71:$N$73,$D29))*INDEX(RN!T$20:T$22,MATCH($E$1,RN!$C$20:$C$22,0))+(SUMIFS(RL!T$83:T$85,RL!$C$83:$C$85,$E$1,RL!$N$83:$N$85,$D29)+SUMIFS(RL!T$74:T$76,RL!$C$74:$C$76,$E$1,RL!$N$74:$N$76,$D29))*INDEX(RL!T$20:T$22,MATCH($E$1,RL!$C$20:$C$22,0))+(SUMIFS(LU!T$83:T$85,LU!$C$83:$C$85,$E$1,LU!$N$83:$N$85,$D29)+SUMIFS(LU!T$74:T$76,LU!$C$74:$C$76,$E$1,LU!$N$74:$N$76,$D29))*INDEX(LU!T$20:T$22,MATCH($E$1,LU!$C$20:$C$22,0))</f>
        <v>0</v>
      </c>
      <c r="U29" s="613">
        <f>(SUMIFS(IP!U$83:U$85,IP!$C$83:$C$85,$E$1,IP!$N$83:$N$85,$D29)+SUMIFS(IP!U$74:U$76,IP!$C$74:$C$76,$E$1,IP!$O$74:$O$76,$D29))*INDEX(IP!U$20:U$22,MATCH($E$1,IP!$C$20:$C$22,0))+SUMIFS(RN!U$80:U$82,RN!$C$80:$C$82,$E$1,RN!$N$80:$N$82,$D29)+(SUMIFS(RN!U$71:U$73,RN!$C$71:$C$73,$E$1,RN!$N$71:$N$73,$D29))*INDEX(RN!U$20:U$22,MATCH($E$1,RN!$C$20:$C$22,0))+(SUMIFS(RL!U$83:U$85,RL!$C$83:$C$85,$E$1,RL!$N$83:$N$85,$D29)+SUMIFS(RL!U$74:U$76,RL!$C$74:$C$76,$E$1,RL!$N$74:$N$76,$D29))*INDEX(RL!U$20:U$22,MATCH($E$1,RL!$C$20:$C$22,0))+(SUMIFS(LU!U$83:U$85,LU!$C$83:$C$85,$E$1,LU!$N$83:$N$85,$D29)+SUMIFS(LU!U$74:U$76,LU!$C$74:$C$76,$E$1,LU!$N$74:$N$76,$D29))*INDEX(LU!U$20:U$22,MATCH($E$1,LU!$C$20:$C$22,0))</f>
        <v>0</v>
      </c>
      <c r="V29" s="613">
        <f>(SUMIFS(IP!V$83:V$85,IP!$C$83:$C$85,$E$1,IP!$N$83:$N$85,$D29)+SUMIFS(IP!V$74:V$76,IP!$C$74:$C$76,$E$1,IP!$O$74:$O$76,$D29))*INDEX(IP!V$20:V$22,MATCH($E$1,IP!$C$20:$C$22,0))+SUMIFS(RN!V$80:V$82,RN!$C$80:$C$82,$E$1,RN!$N$80:$N$82,$D29)+(SUMIFS(RN!V$71:V$73,RN!$C$71:$C$73,$E$1,RN!$N$71:$N$73,$D29))*INDEX(RN!V$20:V$22,MATCH($E$1,RN!$C$20:$C$22,0))+(SUMIFS(RL!V$83:V$85,RL!$C$83:$C$85,$E$1,RL!$N$83:$N$85,$D29)+SUMIFS(RL!V$74:V$76,RL!$C$74:$C$76,$E$1,RL!$N$74:$N$76,$D29))*INDEX(RL!V$20:V$22,MATCH($E$1,RL!$C$20:$C$22,0))+(SUMIFS(LU!V$83:V$85,LU!$C$83:$C$85,$E$1,LU!$N$83:$N$85,$D29)+SUMIFS(LU!V$74:V$76,LU!$C$74:$C$76,$E$1,LU!$N$74:$N$76,$D29))*INDEX(LU!V$20:V$22,MATCH($E$1,LU!$C$20:$C$22,0))</f>
        <v>0</v>
      </c>
      <c r="W29" s="613">
        <f>(SUMIFS(IP!W$83:W$85,IP!$C$83:$C$85,$E$1,IP!$N$83:$N$85,$D29)+SUMIFS(IP!W$74:W$76,IP!$C$74:$C$76,$E$1,IP!$O$74:$O$76,$D29))*INDEX(IP!W$20:W$22,MATCH($E$1,IP!$C$20:$C$22,0))+SUMIFS(RN!W$80:W$82,RN!$C$80:$C$82,$E$1,RN!$N$80:$N$82,$D29)+(SUMIFS(RN!W$71:W$73,RN!$C$71:$C$73,$E$1,RN!$N$71:$N$73,$D29))*INDEX(RN!W$20:W$22,MATCH($E$1,RN!$C$20:$C$22,0))+(SUMIFS(RL!W$83:W$85,RL!$C$83:$C$85,$E$1,RL!$N$83:$N$85,$D29)+SUMIFS(RL!W$74:W$76,RL!$C$74:$C$76,$E$1,RL!$N$74:$N$76,$D29))*INDEX(RL!W$20:W$22,MATCH($E$1,RL!$C$20:$C$22,0))+(SUMIFS(LU!W$83:W$85,LU!$C$83:$C$85,$E$1,LU!$N$83:$N$85,$D29)+SUMIFS(LU!W$74:W$76,LU!$C$74:$C$76,$E$1,LU!$N$74:$N$76,$D29))*INDEX(LU!W$20:W$22,MATCH($E$1,LU!$C$20:$C$22,0))</f>
        <v>0</v>
      </c>
      <c r="X29" s="613">
        <f>(SUMIFS(IP!X$83:X$85,IP!$C$83:$C$85,$E$1,IP!$N$83:$N$85,$D29)+SUMIFS(IP!X$74:X$76,IP!$C$74:$C$76,$E$1,IP!$O$74:$O$76,$D29))*INDEX(IP!X$20:X$22,MATCH($E$1,IP!$C$20:$C$22,0))+SUMIFS(RN!X$80:X$82,RN!$C$80:$C$82,$E$1,RN!$N$80:$N$82,$D29)+(SUMIFS(RN!X$71:X$73,RN!$C$71:$C$73,$E$1,RN!$N$71:$N$73,$D29))*INDEX(RN!X$20:X$22,MATCH($E$1,RN!$C$20:$C$22,0))+(SUMIFS(RL!X$83:X$85,RL!$C$83:$C$85,$E$1,RL!$N$83:$N$85,$D29)+SUMIFS(RL!X$74:X$76,RL!$C$74:$C$76,$E$1,RL!$N$74:$N$76,$D29))*INDEX(RL!X$20:X$22,MATCH($E$1,RL!$C$20:$C$22,0))+(SUMIFS(LU!X$83:X$85,LU!$C$83:$C$85,$E$1,LU!$N$83:$N$85,$D29)+SUMIFS(LU!X$74:X$76,LU!$C$74:$C$76,$E$1,LU!$N$74:$N$76,$D29))*INDEX(LU!X$20:X$22,MATCH($E$1,LU!$C$20:$C$22,0))</f>
        <v>0</v>
      </c>
      <c r="Y29" s="613">
        <f>(SUMIFS(IP!Y$83:Y$85,IP!$C$83:$C$85,$E$1,IP!$N$83:$N$85,$D29)+SUMIFS(IP!Y$74:Y$76,IP!$C$74:$C$76,$E$1,IP!$O$74:$O$76,$D29))*INDEX(IP!Y$20:Y$22,MATCH($E$1,IP!$C$20:$C$22,0))+SUMIFS(RN!Y$80:Y$82,RN!$C$80:$C$82,$E$1,RN!$N$80:$N$82,$D29)+(SUMIFS(RN!Y$71:Y$73,RN!$C$71:$C$73,$E$1,RN!$N$71:$N$73,$D29))*INDEX(RN!Y$20:Y$22,MATCH($E$1,RN!$C$20:$C$22,0))+(SUMIFS(RL!Y$83:Y$85,RL!$C$83:$C$85,$E$1,RL!$N$83:$N$85,$D29)+SUMIFS(RL!Y$74:Y$76,RL!$C$74:$C$76,$E$1,RL!$N$74:$N$76,$D29))*INDEX(RL!Y$20:Y$22,MATCH($E$1,RL!$C$20:$C$22,0))+(SUMIFS(LU!Y$83:Y$85,LU!$C$83:$C$85,$E$1,LU!$N$83:$N$85,$D29)+SUMIFS(LU!Y$74:Y$76,LU!$C$74:$C$76,$E$1,LU!$N$74:$N$76,$D29))*INDEX(LU!Y$20:Y$22,MATCH($E$1,LU!$C$20:$C$22,0))</f>
        <v>0</v>
      </c>
      <c r="Z29" s="613">
        <f>(SUMIFS(IP!Z$83:Z$85,IP!$C$83:$C$85,$E$1,IP!$N$83:$N$85,$D29)+SUMIFS(IP!Z$74:Z$76,IP!$C$74:$C$76,$E$1,IP!$O$74:$O$76,$D29))*INDEX(IP!Z$20:Z$22,MATCH($E$1,IP!$C$20:$C$22,0))+SUMIFS(RN!Z$80:Z$82,RN!$C$80:$C$82,$E$1,RN!$N$80:$N$82,$D29)+(SUMIFS(RN!Z$71:Z$73,RN!$C$71:$C$73,$E$1,RN!$N$71:$N$73,$D29))*INDEX(RN!Z$20:Z$22,MATCH($E$1,RN!$C$20:$C$22,0))+(SUMIFS(RL!Z$83:Z$85,RL!$C$83:$C$85,$E$1,RL!$N$83:$N$85,$D29)+SUMIFS(RL!Z$74:Z$76,RL!$C$74:$C$76,$E$1,RL!$N$74:$N$76,$D29))*INDEX(RL!Z$20:Z$22,MATCH($E$1,RL!$C$20:$C$22,0))+(SUMIFS(LU!Z$83:Z$85,LU!$C$83:$C$85,$E$1,LU!$N$83:$N$85,$D29)+SUMIFS(LU!Z$74:Z$76,LU!$C$74:$C$76,$E$1,LU!$N$74:$N$76,$D29))*INDEX(LU!Z$20:Z$22,MATCH($E$1,LU!$C$20:$C$22,0))</f>
        <v>0</v>
      </c>
      <c r="AA29" s="613">
        <f>(SUMIFS(IP!AA$83:AA$85,IP!$C$83:$C$85,$E$1,IP!$N$83:$N$85,$D29)+SUMIFS(IP!AA$74:AA$76,IP!$C$74:$C$76,$E$1,IP!$O$74:$O$76,$D29))*INDEX(IP!AA$20:AA$22,MATCH($E$1,IP!$C$20:$C$22,0))+SUMIFS(RN!AA$80:AA$82,RN!$C$80:$C$82,$E$1,RN!$N$80:$N$82,$D29)+(SUMIFS(RN!AA$71:AA$73,RN!$C$71:$C$73,$E$1,RN!$N$71:$N$73,$D29))*INDEX(RN!AA$20:AA$22,MATCH($E$1,RN!$C$20:$C$22,0))+(SUMIFS(RL!AA$83:AA$85,RL!$C$83:$C$85,$E$1,RL!$N$83:$N$85,$D29)+SUMIFS(RL!AA$74:AA$76,RL!$C$74:$C$76,$E$1,RL!$N$74:$N$76,$D29))*INDEX(RL!AA$20:AA$22,MATCH($E$1,RL!$C$20:$C$22,0))+(SUMIFS(LU!AA$83:AA$85,LU!$C$83:$C$85,$E$1,LU!$N$83:$N$85,$D29)+SUMIFS(LU!AA$74:AA$76,LU!$C$74:$C$76,$E$1,LU!$N$74:$N$76,$D29))*INDEX(LU!AA$20:AA$22,MATCH($E$1,LU!$C$20:$C$22,0))</f>
        <v>0</v>
      </c>
      <c r="AB29" s="613">
        <f>(SUMIFS(IP!AB$83:AB$85,IP!$C$83:$C$85,$E$1,IP!$N$83:$N$85,$D29)+SUMIFS(IP!AB$74:AB$76,IP!$C$74:$C$76,$E$1,IP!$O$74:$O$76,$D29))*INDEX(IP!AB$20:AB$22,MATCH($E$1,IP!$C$20:$C$22,0))+SUMIFS(RN!AB$80:AB$82,RN!$C$80:$C$82,$E$1,RN!$N$80:$N$82,$D29)+(SUMIFS(RN!AB$71:AB$73,RN!$C$71:$C$73,$E$1,RN!$N$71:$N$73,$D29))*INDEX(RN!AB$20:AB$22,MATCH($E$1,RN!$C$20:$C$22,0))+(SUMIFS(RL!AB$83:AB$85,RL!$C$83:$C$85,$E$1,RL!$N$83:$N$85,$D29)+SUMIFS(RL!AB$74:AB$76,RL!$C$74:$C$76,$E$1,RL!$N$74:$N$76,$D29))*INDEX(RL!AB$20:AB$22,MATCH($E$1,RL!$C$20:$C$22,0))+(SUMIFS(LU!AB$83:AB$85,LU!$C$83:$C$85,$E$1,LU!$N$83:$N$85,$D29)+SUMIFS(LU!AB$74:AB$76,LU!$C$74:$C$76,$E$1,LU!$N$74:$N$76,$D29))*INDEX(LU!AB$20:AB$22,MATCH($E$1,LU!$C$20:$C$22,0))</f>
        <v>0</v>
      </c>
      <c r="AC29" s="613">
        <f>(SUMIFS(IP!AC$83:AC$85,IP!$C$83:$C$85,$E$1,IP!$N$83:$N$85,$D29)+SUMIFS(IP!AC$74:AC$76,IP!$C$74:$C$76,$E$1,IP!$O$74:$O$76,$D29))*INDEX(IP!AC$20:AC$22,MATCH($E$1,IP!$C$20:$C$22,0))+SUMIFS(RN!AC$80:AC$82,RN!$C$80:$C$82,$E$1,RN!$N$80:$N$82,$D29)+(SUMIFS(RN!AC$71:AC$73,RN!$C$71:$C$73,$E$1,RN!$N$71:$N$73,$D29))*INDEX(RN!AC$20:AC$22,MATCH($E$1,RN!$C$20:$C$22,0))+(SUMIFS(RL!AC$83:AC$85,RL!$C$83:$C$85,$E$1,RL!$N$83:$N$85,$D29)+SUMIFS(RL!AC$74:AC$76,RL!$C$74:$C$76,$E$1,RL!$N$74:$N$76,$D29))*INDEX(RL!AC$20:AC$22,MATCH($E$1,RL!$C$20:$C$22,0))+(SUMIFS(LU!AC$83:AC$85,LU!$C$83:$C$85,$E$1,LU!$N$83:$N$85,$D29)+SUMIFS(LU!AC$74:AC$76,LU!$C$74:$C$76,$E$1,LU!$N$74:$N$76,$D29))*INDEX(LU!AC$20:AC$22,MATCH($E$1,LU!$C$20:$C$22,0))</f>
        <v>0</v>
      </c>
      <c r="AD29" s="613">
        <f>(SUMIFS(IP!AD$83:AD$85,IP!$C$83:$C$85,$E$1,IP!$N$83:$N$85,$D29)+SUMIFS(IP!AD$74:AD$76,IP!$C$74:$C$76,$E$1,IP!$O$74:$O$76,$D29))*INDEX(IP!AD$20:AD$22,MATCH($E$1,IP!$C$20:$C$22,0))+SUMIFS(RN!AD$80:AD$82,RN!$C$80:$C$82,$E$1,RN!$N$80:$N$82,$D29)+(SUMIFS(RN!AD$71:AD$73,RN!$C$71:$C$73,$E$1,RN!$N$71:$N$73,$D29))*INDEX(RN!AD$20:AD$22,MATCH($E$1,RN!$C$20:$C$22,0))+(SUMIFS(RL!AD$83:AD$85,RL!$C$83:$C$85,$E$1,RL!$N$83:$N$85,$D29)+SUMIFS(RL!AD$74:AD$76,RL!$C$74:$C$76,$E$1,RL!$N$74:$N$76,$D29))*INDEX(RL!AD$20:AD$22,MATCH($E$1,RL!$C$20:$C$22,0))+(SUMIFS(LU!AD$83:AD$85,LU!$C$83:$C$85,$E$1,LU!$N$83:$N$85,$D29)+SUMIFS(LU!AD$74:AD$76,LU!$C$74:$C$76,$E$1,LU!$N$74:$N$76,$D29))*INDEX(LU!AD$20:AD$22,MATCH($E$1,LU!$C$20:$C$22,0))</f>
        <v>0</v>
      </c>
      <c r="AE29" s="613">
        <f>(SUMIFS(IP!AE$83:AE$85,IP!$C$83:$C$85,$E$1,IP!$N$83:$N$85,$D29)+SUMIFS(IP!AE$74:AE$76,IP!$C$74:$C$76,$E$1,IP!$O$74:$O$76,$D29))*INDEX(IP!AE$20:AE$22,MATCH($E$1,IP!$C$20:$C$22,0))+SUMIFS(RN!AE$80:AE$82,RN!$C$80:$C$82,$E$1,RN!$N$80:$N$82,$D29)+(SUMIFS(RN!AE$71:AE$73,RN!$C$71:$C$73,$E$1,RN!$N$71:$N$73,$D29))*INDEX(RN!AE$20:AE$22,MATCH($E$1,RN!$C$20:$C$22,0))+(SUMIFS(RL!AE$83:AE$85,RL!$C$83:$C$85,$E$1,RL!$N$83:$N$85,$D29)+SUMIFS(RL!AE$74:AE$76,RL!$C$74:$C$76,$E$1,RL!$N$74:$N$76,$D29))*INDEX(RL!AE$20:AE$22,MATCH($E$1,RL!$C$20:$C$22,0))+(SUMIFS(LU!AE$83:AE$85,LU!$C$83:$C$85,$E$1,LU!$N$83:$N$85,$D29)+SUMIFS(LU!AE$74:AE$76,LU!$C$74:$C$76,$E$1,LU!$N$74:$N$76,$D29))*INDEX(LU!AE$20:AE$22,MATCH($E$1,LU!$C$20:$C$22,0))</f>
        <v>0</v>
      </c>
      <c r="AF29" s="613">
        <f>(SUMIFS(IP!AF$83:AF$85,IP!$C$83:$C$85,$E$1,IP!$N$83:$N$85,$D29)+SUMIFS(IP!AF$74:AF$76,IP!$C$74:$C$76,$E$1,IP!$O$74:$O$76,$D29))*INDEX(IP!AF$20:AF$22,MATCH($E$1,IP!$C$20:$C$22,0))+SUMIFS(RN!AF$80:AF$82,RN!$C$80:$C$82,$E$1,RN!$N$80:$N$82,$D29)+(SUMIFS(RN!AF$71:AF$73,RN!$C$71:$C$73,$E$1,RN!$N$71:$N$73,$D29))*INDEX(RN!AF$20:AF$22,MATCH($E$1,RN!$C$20:$C$22,0))+(SUMIFS(RL!AF$83:AF$85,RL!$C$83:$C$85,$E$1,RL!$N$83:$N$85,$D29)+SUMIFS(RL!AF$74:AF$76,RL!$C$74:$C$76,$E$1,RL!$N$74:$N$76,$D29))*INDEX(RL!AF$20:AF$22,MATCH($E$1,RL!$C$20:$C$22,0))+(SUMIFS(LU!AF$83:AF$85,LU!$C$83:$C$85,$E$1,LU!$N$83:$N$85,$D29)+SUMIFS(LU!AF$74:AF$76,LU!$C$74:$C$76,$E$1,LU!$N$74:$N$76,$D29))*INDEX(LU!AF$20:AF$22,MATCH($E$1,LU!$C$20:$C$22,0))</f>
        <v>0</v>
      </c>
      <c r="AG29" s="613">
        <f>(SUMIFS(IP!AG$83:AG$85,IP!$C$83:$C$85,$E$1,IP!$N$83:$N$85,$D29)+SUMIFS(IP!AG$74:AG$76,IP!$C$74:$C$76,$E$1,IP!$O$74:$O$76,$D29))*INDEX(IP!AG$20:AG$22,MATCH($E$1,IP!$C$20:$C$22,0))+SUMIFS(RN!AG$80:AG$82,RN!$C$80:$C$82,$E$1,RN!$N$80:$N$82,$D29)+(SUMIFS(RN!AG$71:AG$73,RN!$C$71:$C$73,$E$1,RN!$N$71:$N$73,$D29))*INDEX(RN!AG$20:AG$22,MATCH($E$1,RN!$C$20:$C$22,0))+(SUMIFS(RL!AG$83:AG$85,RL!$C$83:$C$85,$E$1,RL!$N$83:$N$85,$D29)+SUMIFS(RL!AG$74:AG$76,RL!$C$74:$C$76,$E$1,RL!$N$74:$N$76,$D29))*INDEX(RL!AG$20:AG$22,MATCH($E$1,RL!$C$20:$C$22,0))+(SUMIFS(LU!AG$83:AG$85,LU!$C$83:$C$85,$E$1,LU!$N$83:$N$85,$D29)+SUMIFS(LU!AG$74:AG$76,LU!$C$74:$C$76,$E$1,LU!$N$74:$N$76,$D29))*INDEX(LU!AG$20:AG$22,MATCH($E$1,LU!$C$20:$C$22,0))</f>
        <v>0</v>
      </c>
      <c r="AH29" s="613">
        <f>(SUMIFS(IP!AH$83:AH$85,IP!$C$83:$C$85,$E$1,IP!$N$83:$N$85,$D29)+SUMIFS(IP!AH$74:AH$76,IP!$C$74:$C$76,$E$1,IP!$O$74:$O$76,$D29))*INDEX(IP!AH$20:AH$22,MATCH($E$1,IP!$C$20:$C$22,0))+SUMIFS(RN!AH$80:AH$82,RN!$C$80:$C$82,$E$1,RN!$N$80:$N$82,$D29)+(SUMIFS(RN!AH$71:AH$73,RN!$C$71:$C$73,$E$1,RN!$N$71:$N$73,$D29))*INDEX(RN!AH$20:AH$22,MATCH($E$1,RN!$C$20:$C$22,0))+(SUMIFS(RL!AH$83:AH$85,RL!$C$83:$C$85,$E$1,RL!$N$83:$N$85,$D29)+SUMIFS(RL!AH$74:AH$76,RL!$C$74:$C$76,$E$1,RL!$N$74:$N$76,$D29))*INDEX(RL!AH$20:AH$22,MATCH($E$1,RL!$C$20:$C$22,0))+(SUMIFS(LU!AH$83:AH$85,LU!$C$83:$C$85,$E$1,LU!$N$83:$N$85,$D29)+SUMIFS(LU!AH$74:AH$76,LU!$C$74:$C$76,$E$1,LU!$N$74:$N$76,$D29))*INDEX(LU!AH$20:AH$22,MATCH($E$1,LU!$C$20:$C$22,0))</f>
        <v>0</v>
      </c>
      <c r="AI29" s="613">
        <f>(SUMIFS(IP!AI$83:AI$85,IP!$C$83:$C$85,$E$1,IP!$N$83:$N$85,$D29)+SUMIFS(IP!AI$74:AI$76,IP!$C$74:$C$76,$E$1,IP!$O$74:$O$76,$D29))*INDEX(IP!AI$20:AI$22,MATCH($E$1,IP!$C$20:$C$22,0))+SUMIFS(RN!AI$80:AI$82,RN!$C$80:$C$82,$E$1,RN!$N$80:$N$82,$D29)+(SUMIFS(RN!AI$71:AI$73,RN!$C$71:$C$73,$E$1,RN!$N$71:$N$73,$D29))*INDEX(RN!AI$20:AI$22,MATCH($E$1,RN!$C$20:$C$22,0))+(SUMIFS(RL!AI$83:AI$85,RL!$C$83:$C$85,$E$1,RL!$N$83:$N$85,$D29)+SUMIFS(RL!AI$74:AI$76,RL!$C$74:$C$76,$E$1,RL!$N$74:$N$76,$D29))*INDEX(RL!AI$20:AI$22,MATCH($E$1,RL!$C$20:$C$22,0))+(SUMIFS(LU!AI$83:AI$85,LU!$C$83:$C$85,$E$1,LU!$N$83:$N$85,$D29)+SUMIFS(LU!AI$74:AI$76,LU!$C$74:$C$76,$E$1,LU!$N$74:$N$76,$D29))*INDEX(LU!AI$20:AI$22,MATCH($E$1,LU!$C$20:$C$22,0))</f>
        <v>0</v>
      </c>
      <c r="AJ29" s="613">
        <f>(SUMIFS(IP!AJ$83:AJ$85,IP!$C$83:$C$85,$E$1,IP!$N$83:$N$85,$D29)+SUMIFS(IP!AJ$74:AJ$76,IP!$C$74:$C$76,$E$1,IP!$O$74:$O$76,$D29))*INDEX(IP!AJ$20:AJ$22,MATCH($E$1,IP!$C$20:$C$22,0))+SUMIFS(RN!AJ$80:AJ$82,RN!$C$80:$C$82,$E$1,RN!$N$80:$N$82,$D29)+(SUMIFS(RN!AJ$71:AJ$73,RN!$C$71:$C$73,$E$1,RN!$N$71:$N$73,$D29))*INDEX(RN!AJ$20:AJ$22,MATCH($E$1,RN!$C$20:$C$22,0))+(SUMIFS(RL!AJ$83:AJ$85,RL!$C$83:$C$85,$E$1,RL!$N$83:$N$85,$D29)+SUMIFS(RL!AJ$74:AJ$76,RL!$C$74:$C$76,$E$1,RL!$N$74:$N$76,$D29))*INDEX(RL!AJ$20:AJ$22,MATCH($E$1,RL!$C$20:$C$22,0))+(SUMIFS(LU!AJ$83:AJ$85,LU!$C$83:$C$85,$E$1,LU!$N$83:$N$85,$D29)+SUMIFS(LU!AJ$74:AJ$76,LU!$C$74:$C$76,$E$1,LU!$N$74:$N$76,$D29))*INDEX(LU!AJ$20:AJ$22,MATCH($E$1,LU!$C$20:$C$22,0))</f>
        <v>0</v>
      </c>
      <c r="AK29" s="613">
        <f>(SUMIFS(IP!AK$83:AK$85,IP!$C$83:$C$85,$E$1,IP!$N$83:$N$85,$D29)+SUMIFS(IP!AK$74:AK$76,IP!$C$74:$C$76,$E$1,IP!$O$74:$O$76,$D29))*INDEX(IP!AK$20:AK$22,MATCH($E$1,IP!$C$20:$C$22,0))+SUMIFS(RN!AK$80:AK$82,RN!$C$80:$C$82,$E$1,RN!$N$80:$N$82,$D29)+(SUMIFS(RN!AK$71:AK$73,RN!$C$71:$C$73,$E$1,RN!$N$71:$N$73,$D29))*INDEX(RN!AK$20:AK$22,MATCH($E$1,RN!$C$20:$C$22,0))+(SUMIFS(RL!AK$83:AK$85,RL!$C$83:$C$85,$E$1,RL!$N$83:$N$85,$D29)+SUMIFS(RL!AK$74:AK$76,RL!$C$74:$C$76,$E$1,RL!$N$74:$N$76,$D29))*INDEX(RL!AK$20:AK$22,MATCH($E$1,RL!$C$20:$C$22,0))+(SUMIFS(LU!AK$83:AK$85,LU!$C$83:$C$85,$E$1,LU!$N$83:$N$85,$D29)+SUMIFS(LU!AK$74:AK$76,LU!$C$74:$C$76,$E$1,LU!$N$74:$N$76,$D29))*INDEX(LU!AK$20:AK$22,MATCH($E$1,LU!$C$20:$C$22,0))</f>
        <v>0</v>
      </c>
      <c r="AL29" s="613">
        <f>(SUMIFS(IP!AL$83:AL$85,IP!$C$83:$C$85,$E$1,IP!$N$83:$N$85,$D29)+SUMIFS(IP!AL$74:AL$76,IP!$C$74:$C$76,$E$1,IP!$O$74:$O$76,$D29))*INDEX(IP!AL$20:AL$22,MATCH($E$1,IP!$C$20:$C$22,0))+SUMIFS(RN!AL$80:AL$82,RN!$C$80:$C$82,$E$1,RN!$N$80:$N$82,$D29)+(SUMIFS(RN!AL$71:AL$73,RN!$C$71:$C$73,$E$1,RN!$N$71:$N$73,$D29))*INDEX(RN!AL$20:AL$22,MATCH($E$1,RN!$C$20:$C$22,0))+(SUMIFS(RL!AL$83:AL$85,RL!$C$83:$C$85,$E$1,RL!$N$83:$N$85,$D29)+SUMIFS(RL!AL$74:AL$76,RL!$C$74:$C$76,$E$1,RL!$N$74:$N$76,$D29))*INDEX(RL!AL$20:AL$22,MATCH($E$1,RL!$C$20:$C$22,0))+(SUMIFS(LU!AL$83:AL$85,LU!$C$83:$C$85,$E$1,LU!$N$83:$N$85,$D29)+SUMIFS(LU!AL$74:AL$76,LU!$C$74:$C$76,$E$1,LU!$N$74:$N$76,$D29))*INDEX(LU!AL$20:AL$22,MATCH($E$1,LU!$C$20:$C$22,0))</f>
        <v>0</v>
      </c>
      <c r="AM29" s="613">
        <f>(SUMIFS(IP!AM$83:AM$85,IP!$C$83:$C$85,$E$1,IP!$N$83:$N$85,$D29)+SUMIFS(IP!AM$74:AM$76,IP!$C$74:$C$76,$E$1,IP!$O$74:$O$76,$D29))*INDEX(IP!AM$20:AM$22,MATCH($E$1,IP!$C$20:$C$22,0))+SUMIFS(RN!AM$80:AM$82,RN!$C$80:$C$82,$E$1,RN!$N$80:$N$82,$D29)+(SUMIFS(RN!AM$71:AM$73,RN!$C$71:$C$73,$E$1,RN!$N$71:$N$73,$D29))*INDEX(RN!AM$20:AM$22,MATCH($E$1,RN!$C$20:$C$22,0))+(SUMIFS(RL!AM$83:AM$85,RL!$C$83:$C$85,$E$1,RL!$N$83:$N$85,$D29)+SUMIFS(RL!AM$74:AM$76,RL!$C$74:$C$76,$E$1,RL!$N$74:$N$76,$D29))*INDEX(RL!AM$20:AM$22,MATCH($E$1,RL!$C$20:$C$22,0))+(SUMIFS(LU!AM$83:AM$85,LU!$C$83:$C$85,$E$1,LU!$N$83:$N$85,$D29)+SUMIFS(LU!AM$74:AM$76,LU!$C$74:$C$76,$E$1,LU!$N$74:$N$76,$D29))*INDEX(LU!AM$20:AM$22,MATCH($E$1,LU!$C$20:$C$22,0))</f>
        <v>0</v>
      </c>
      <c r="AN29" s="613">
        <f>(SUMIFS(IP!AN$83:AN$85,IP!$C$83:$C$85,$E$1,IP!$N$83:$N$85,$D29)+SUMIFS(IP!AN$74:AN$76,IP!$C$74:$C$76,$E$1,IP!$O$74:$O$76,$D29))*INDEX(IP!AN$20:AN$22,MATCH($E$1,IP!$C$20:$C$22,0))+SUMIFS(RN!AN$80:AN$82,RN!$C$80:$C$82,$E$1,RN!$N$80:$N$82,$D29)+(SUMIFS(RN!AN$71:AN$73,RN!$C$71:$C$73,$E$1,RN!$N$71:$N$73,$D29))*INDEX(RN!AN$20:AN$22,MATCH($E$1,RN!$C$20:$C$22,0))+(SUMIFS(RL!AN$83:AN$85,RL!$C$83:$C$85,$E$1,RL!$N$83:$N$85,$D29)+SUMIFS(RL!AN$74:AN$76,RL!$C$74:$C$76,$E$1,RL!$N$74:$N$76,$D29))*INDEX(RL!AN$20:AN$22,MATCH($E$1,RL!$C$20:$C$22,0))+(SUMIFS(LU!AN$83:AN$85,LU!$C$83:$C$85,$E$1,LU!$N$83:$N$85,$D29)+SUMIFS(LU!AN$74:AN$76,LU!$C$74:$C$76,$E$1,LU!$N$74:$N$76,$D29))*INDEX(LU!AN$20:AN$22,MATCH($E$1,LU!$C$20:$C$22,0))</f>
        <v>0</v>
      </c>
      <c r="AO29" s="613">
        <f>(SUMIFS(IP!AO$83:AO$85,IP!$C$83:$C$85,$E$1,IP!$N$83:$N$85,$D29)+SUMIFS(IP!AO$74:AO$76,IP!$C$74:$C$76,$E$1,IP!$O$74:$O$76,$D29))*INDEX(IP!AO$20:AO$22,MATCH($E$1,IP!$C$20:$C$22,0))+SUMIFS(RN!AO$80:AO$82,RN!$C$80:$C$82,$E$1,RN!$N$80:$N$82,$D29)+(SUMIFS(RN!AO$71:AO$73,RN!$C$71:$C$73,$E$1,RN!$N$71:$N$73,$D29))*INDEX(RN!AO$20:AO$22,MATCH($E$1,RN!$C$20:$C$22,0))+(SUMIFS(RL!AO$83:AO$85,RL!$C$83:$C$85,$E$1,RL!$N$83:$N$85,$D29)+SUMIFS(RL!AO$74:AO$76,RL!$C$74:$C$76,$E$1,RL!$N$74:$N$76,$D29))*INDEX(RL!AO$20:AO$22,MATCH($E$1,RL!$C$20:$C$22,0))+(SUMIFS(LU!AO$83:AO$85,LU!$C$83:$C$85,$E$1,LU!$N$83:$N$85,$D29)+SUMIFS(LU!AO$74:AO$76,LU!$C$74:$C$76,$E$1,LU!$N$74:$N$76,$D29))*INDEX(LU!AO$20:AO$22,MATCH($E$1,LU!$C$20:$C$22,0))</f>
        <v>0</v>
      </c>
      <c r="AP29" s="613">
        <f>(SUMIFS(IP!AP$83:AP$85,IP!$C$83:$C$85,$E$1,IP!$N$83:$N$85,$D29)+SUMIFS(IP!AP$74:AP$76,IP!$C$74:$C$76,$E$1,IP!$O$74:$O$76,$D29))*INDEX(IP!AP$20:AP$22,MATCH($E$1,IP!$C$20:$C$22,0))+SUMIFS(RN!AP$80:AP$82,RN!$C$80:$C$82,$E$1,RN!$N$80:$N$82,$D29)+(SUMIFS(RN!AP$71:AP$73,RN!$C$71:$C$73,$E$1,RN!$N$71:$N$73,$D29))*INDEX(RN!AP$20:AP$22,MATCH($E$1,RN!$C$20:$C$22,0))+(SUMIFS(RL!AP$83:AP$85,RL!$C$83:$C$85,$E$1,RL!$N$83:$N$85,$D29)+SUMIFS(RL!AP$74:AP$76,RL!$C$74:$C$76,$E$1,RL!$N$74:$N$76,$D29))*INDEX(RL!AP$20:AP$22,MATCH($E$1,RL!$C$20:$C$22,0))+(SUMIFS(LU!AP$83:AP$85,LU!$C$83:$C$85,$E$1,LU!$N$83:$N$85,$D29)+SUMIFS(LU!AP$74:AP$76,LU!$C$74:$C$76,$E$1,LU!$N$74:$N$76,$D29))*INDEX(LU!AP$20:AP$22,MATCH($E$1,LU!$C$20:$C$22,0))</f>
        <v>0</v>
      </c>
      <c r="AQ29" s="613">
        <f>(SUMIFS(IP!AQ$83:AQ$85,IP!$C$83:$C$85,$E$1,IP!$N$83:$N$85,$D29)+SUMIFS(IP!AQ$74:AQ$76,IP!$C$74:$C$76,$E$1,IP!$O$74:$O$76,$D29))*INDEX(IP!AQ$20:AQ$22,MATCH($E$1,IP!$C$20:$C$22,0))+SUMIFS(RN!AQ$80:AQ$82,RN!$C$80:$C$82,$E$1,RN!$N$80:$N$82,$D29)+(SUMIFS(RN!AQ$71:AQ$73,RN!$C$71:$C$73,$E$1,RN!$N$71:$N$73,$D29))*INDEX(RN!AQ$20:AQ$22,MATCH($E$1,RN!$C$20:$C$22,0))+(SUMIFS(RL!AQ$83:AQ$85,RL!$C$83:$C$85,$E$1,RL!$N$83:$N$85,$D29)+SUMIFS(RL!AQ$74:AQ$76,RL!$C$74:$C$76,$E$1,RL!$N$74:$N$76,$D29))*INDEX(RL!AQ$20:AQ$22,MATCH($E$1,RL!$C$20:$C$22,0))+(SUMIFS(LU!AQ$83:AQ$85,LU!$C$83:$C$85,$E$1,LU!$N$83:$N$85,$D29)+SUMIFS(LU!AQ$74:AQ$76,LU!$C$74:$C$76,$E$1,LU!$N$74:$N$76,$D29))*INDEX(LU!AQ$20:AQ$22,MATCH($E$1,LU!$C$20:$C$22,0))</f>
        <v>0</v>
      </c>
      <c r="AR29" s="613">
        <f>(SUMIFS(IP!AR$83:AR$85,IP!$C$83:$C$85,$E$1,IP!$N$83:$N$85,$D29)+SUMIFS(IP!AR$74:AR$76,IP!$C$74:$C$76,$E$1,IP!$O$74:$O$76,$D29))*INDEX(IP!AR$20:AR$22,MATCH($E$1,IP!$C$20:$C$22,0))+SUMIFS(RN!AR$80:AR$82,RN!$C$80:$C$82,$E$1,RN!$N$80:$N$82,$D29)+(SUMIFS(RN!AR$71:AR$73,RN!$C$71:$C$73,$E$1,RN!$N$71:$N$73,$D29))*INDEX(RN!AR$20:AR$22,MATCH($E$1,RN!$C$20:$C$22,0))+(SUMIFS(RL!AR$83:AR$85,RL!$C$83:$C$85,$E$1,RL!$N$83:$N$85,$D29)+SUMIFS(RL!AR$74:AR$76,RL!$C$74:$C$76,$E$1,RL!$N$74:$N$76,$D29))*INDEX(RL!AR$20:AR$22,MATCH($E$1,RL!$C$20:$C$22,0))+(SUMIFS(LU!AR$83:AR$85,LU!$C$83:$C$85,$E$1,LU!$N$83:$N$85,$D29)+SUMIFS(LU!AR$74:AR$76,LU!$C$74:$C$76,$E$1,LU!$N$74:$N$76,$D29))*INDEX(LU!AR$20:AR$22,MATCH($E$1,LU!$C$20:$C$22,0))</f>
        <v>0</v>
      </c>
      <c r="AS29" s="613">
        <f>(SUMIFS(IP!AS$83:AS$85,IP!$C$83:$C$85,$E$1,IP!$N$83:$N$85,$D29)+SUMIFS(IP!AS$74:AS$76,IP!$C$74:$C$76,$E$1,IP!$O$74:$O$76,$D29))*INDEX(IP!AS$20:AS$22,MATCH($E$1,IP!$C$20:$C$22,0))+SUMIFS(RN!AS$80:AS$82,RN!$C$80:$C$82,$E$1,RN!$N$80:$N$82,$D29)+(SUMIFS(RN!AS$71:AS$73,RN!$C$71:$C$73,$E$1,RN!$N$71:$N$73,$D29))*INDEX(RN!AS$20:AS$22,MATCH($E$1,RN!$C$20:$C$22,0))+(SUMIFS(RL!AS$83:AS$85,RL!$C$83:$C$85,$E$1,RL!$N$83:$N$85,$D29)+SUMIFS(RL!AS$74:AS$76,RL!$C$74:$C$76,$E$1,RL!$N$74:$N$76,$D29))*INDEX(RL!AS$20:AS$22,MATCH($E$1,RL!$C$20:$C$22,0))+(SUMIFS(LU!AS$83:AS$85,LU!$C$83:$C$85,$E$1,LU!$N$83:$N$85,$D29)+SUMIFS(LU!AS$74:AS$76,LU!$C$74:$C$76,$E$1,LU!$N$74:$N$76,$D29))*INDEX(LU!AS$20:AS$22,MATCH($E$1,LU!$C$20:$C$22,0))</f>
        <v>0</v>
      </c>
      <c r="AT29" s="613">
        <f>(SUMIFS(IP!AT$83:AT$85,IP!$C$83:$C$85,$E$1,IP!$N$83:$N$85,$D29)+SUMIFS(IP!AT$74:AT$76,IP!$C$74:$C$76,$E$1,IP!$O$74:$O$76,$D29))*INDEX(IP!AT$20:AT$22,MATCH($E$1,IP!$C$20:$C$22,0))+SUMIFS(RN!AT$80:AT$82,RN!$C$80:$C$82,$E$1,RN!$N$80:$N$82,$D29)+(SUMIFS(RN!AT$71:AT$73,RN!$C$71:$C$73,$E$1,RN!$N$71:$N$73,$D29))*INDEX(RN!AT$20:AT$22,MATCH($E$1,RN!$C$20:$C$22,0))+(SUMIFS(RL!AT$83:AT$85,RL!$C$83:$C$85,$E$1,RL!$N$83:$N$85,$D29)+SUMIFS(RL!AT$74:AT$76,RL!$C$74:$C$76,$E$1,RL!$N$74:$N$76,$D29))*INDEX(RL!AT$20:AT$22,MATCH($E$1,RL!$C$20:$C$22,0))+(SUMIFS(LU!AT$83:AT$85,LU!$C$83:$C$85,$E$1,LU!$N$83:$N$85,$D29)+SUMIFS(LU!AT$74:AT$76,LU!$C$74:$C$76,$E$1,LU!$N$74:$N$76,$D29))*INDEX(LU!AT$20:AT$22,MATCH($E$1,LU!$C$20:$C$22,0))</f>
        <v>0</v>
      </c>
      <c r="AU29" s="613">
        <f>(SUMIFS(IP!AU$83:AU$85,IP!$C$83:$C$85,$E$1,IP!$N$83:$N$85,$D29)+SUMIFS(IP!AU$74:AU$76,IP!$C$74:$C$76,$E$1,IP!$O$74:$O$76,$D29))*INDEX(IP!AU$20:AU$22,MATCH($E$1,IP!$C$20:$C$22,0))+SUMIFS(RN!AU$80:AU$82,RN!$C$80:$C$82,$E$1,RN!$N$80:$N$82,$D29)+(SUMIFS(RN!AU$71:AU$73,RN!$C$71:$C$73,$E$1,RN!$N$71:$N$73,$D29))*INDEX(RN!AU$20:AU$22,MATCH($E$1,RN!$C$20:$C$22,0))+(SUMIFS(RL!AU$83:AU$85,RL!$C$83:$C$85,$E$1,RL!$N$83:$N$85,$D29)+SUMIFS(RL!AU$74:AU$76,RL!$C$74:$C$76,$E$1,RL!$N$74:$N$76,$D29))*INDEX(RL!AU$20:AU$22,MATCH($E$1,RL!$C$20:$C$22,0))+(SUMIFS(LU!AU$83:AU$85,LU!$C$83:$C$85,$E$1,LU!$N$83:$N$85,$D29)+SUMIFS(LU!AU$74:AU$76,LU!$C$74:$C$76,$E$1,LU!$N$74:$N$76,$D29))*INDEX(LU!AU$20:AU$22,MATCH($E$1,LU!$C$20:$C$22,0))</f>
        <v>0</v>
      </c>
      <c r="AV29" s="613">
        <f>(SUMIFS(IP!AV$83:AV$85,IP!$C$83:$C$85,$E$1,IP!$N$83:$N$85,$D29)+SUMIFS(IP!AV$74:AV$76,IP!$C$74:$C$76,$E$1,IP!$O$74:$O$76,$D29))*INDEX(IP!AV$20:AV$22,MATCH($E$1,IP!$C$20:$C$22,0))+SUMIFS(RN!AV$80:AV$82,RN!$C$80:$C$82,$E$1,RN!$N$80:$N$82,$D29)+(SUMIFS(RN!AV$71:AV$73,RN!$C$71:$C$73,$E$1,RN!$N$71:$N$73,$D29))*INDEX(RN!AV$20:AV$22,MATCH($E$1,RN!$C$20:$C$22,0))+(SUMIFS(RL!AV$83:AV$85,RL!$C$83:$C$85,$E$1,RL!$N$83:$N$85,$D29)+SUMIFS(RL!AV$74:AV$76,RL!$C$74:$C$76,$E$1,RL!$N$74:$N$76,$D29))*INDEX(RL!AV$20:AV$22,MATCH($E$1,RL!$C$20:$C$22,0))+(SUMIFS(LU!AV$83:AV$85,LU!$C$83:$C$85,$E$1,LU!$N$83:$N$85,$D29)+SUMIFS(LU!AV$74:AV$76,LU!$C$74:$C$76,$E$1,LU!$N$74:$N$76,$D29))*INDEX(LU!AV$20:AV$22,MATCH($E$1,LU!$C$20:$C$22,0))</f>
        <v>0</v>
      </c>
      <c r="AW29" s="613">
        <f>(SUMIFS(IP!AW$83:AW$85,IP!$C$83:$C$85,$E$1,IP!$N$83:$N$85,$D29)+SUMIFS(IP!AW$74:AW$76,IP!$C$74:$C$76,$E$1,IP!$O$74:$O$76,$D29))*INDEX(IP!AW$20:AW$22,MATCH($E$1,IP!$C$20:$C$22,0))+SUMIFS(RN!AW$80:AW$82,RN!$C$80:$C$82,$E$1,RN!$N$80:$N$82,$D29)+(SUMIFS(RN!AW$71:AW$73,RN!$C$71:$C$73,$E$1,RN!$N$71:$N$73,$D29))*INDEX(RN!AW$20:AW$22,MATCH($E$1,RN!$C$20:$C$22,0))+(SUMIFS(RL!AW$83:AW$85,RL!$C$83:$C$85,$E$1,RL!$N$83:$N$85,$D29)+SUMIFS(RL!AW$74:AW$76,RL!$C$74:$C$76,$E$1,RL!$N$74:$N$76,$D29))*INDEX(RL!AW$20:AW$22,MATCH($E$1,RL!$C$20:$C$22,0))+(SUMIFS(LU!AW$83:AW$85,LU!$C$83:$C$85,$E$1,LU!$N$83:$N$85,$D29)+SUMIFS(LU!AW$74:AW$76,LU!$C$74:$C$76,$E$1,LU!$N$74:$N$76,$D29))*INDEX(LU!AW$20:AW$22,MATCH($E$1,LU!$C$20:$C$22,0))</f>
        <v>0</v>
      </c>
      <c r="AX29" s="613">
        <f>(SUMIFS(IP!AX$83:AX$85,IP!$C$83:$C$85,$E$1,IP!$N$83:$N$85,$D29)+SUMIFS(IP!AX$74:AX$76,IP!$C$74:$C$76,$E$1,IP!$O$74:$O$76,$D29))*INDEX(IP!AX$20:AX$22,MATCH($E$1,IP!$C$20:$C$22,0))+SUMIFS(RN!AX$80:AX$82,RN!$C$80:$C$82,$E$1,RN!$N$80:$N$82,$D29)+(SUMIFS(RN!AX$71:AX$73,RN!$C$71:$C$73,$E$1,RN!$N$71:$N$73,$D29))*INDEX(RN!AX$20:AX$22,MATCH($E$1,RN!$C$20:$C$22,0))+(SUMIFS(RL!AX$83:AX$85,RL!$C$83:$C$85,$E$1,RL!$N$83:$N$85,$D29)+SUMIFS(RL!AX$74:AX$76,RL!$C$74:$C$76,$E$1,RL!$N$74:$N$76,$D29))*INDEX(RL!AX$20:AX$22,MATCH($E$1,RL!$C$20:$C$22,0))+(SUMIFS(LU!AX$83:AX$85,LU!$C$83:$C$85,$E$1,LU!$N$83:$N$85,$D29)+SUMIFS(LU!AX$74:AX$76,LU!$C$74:$C$76,$E$1,LU!$N$74:$N$76,$D29))*INDEX(LU!AX$20:AX$22,MATCH($E$1,LU!$C$20:$C$22,0))</f>
        <v>0</v>
      </c>
      <c r="AY29" s="613">
        <f>(SUMIFS(IP!AY$83:AY$85,IP!$C$83:$C$85,$E$1,IP!$N$83:$N$85,$D29)+SUMIFS(IP!AY$74:AY$76,IP!$C$74:$C$76,$E$1,IP!$O$74:$O$76,$D29))*INDEX(IP!AY$20:AY$22,MATCH($E$1,IP!$C$20:$C$22,0))+SUMIFS(RN!AY$80:AY$82,RN!$C$80:$C$82,$E$1,RN!$N$80:$N$82,$D29)+(SUMIFS(RN!AY$71:AY$73,RN!$C$71:$C$73,$E$1,RN!$N$71:$N$73,$D29))*INDEX(RN!AY$20:AY$22,MATCH($E$1,RN!$C$20:$C$22,0))+(SUMIFS(RL!AY$83:AY$85,RL!$C$83:$C$85,$E$1,RL!$N$83:$N$85,$D29)+SUMIFS(RL!AY$74:AY$76,RL!$C$74:$C$76,$E$1,RL!$N$74:$N$76,$D29))*INDEX(RL!AY$20:AY$22,MATCH($E$1,RL!$C$20:$C$22,0))+(SUMIFS(LU!AY$83:AY$85,LU!$C$83:$C$85,$E$1,LU!$N$83:$N$85,$D29)+SUMIFS(LU!AY$74:AY$76,LU!$C$74:$C$76,$E$1,LU!$N$74:$N$76,$D29))*INDEX(LU!AY$20:AY$22,MATCH($E$1,LU!$C$20:$C$22,0))</f>
        <v>0</v>
      </c>
      <c r="AZ29" s="613">
        <f>(SUMIFS(IP!AZ$83:AZ$85,IP!$C$83:$C$85,$E$1,IP!$N$83:$N$85,$D29)+SUMIFS(IP!AZ$74:AZ$76,IP!$C$74:$C$76,$E$1,IP!$O$74:$O$76,$D29))*INDEX(IP!AZ$20:AZ$22,MATCH($E$1,IP!$C$20:$C$22,0))+SUMIFS(RN!AZ$80:AZ$82,RN!$C$80:$C$82,$E$1,RN!$N$80:$N$82,$D29)+(SUMIFS(RN!AZ$71:AZ$73,RN!$C$71:$C$73,$E$1,RN!$N$71:$N$73,$D29))*INDEX(RN!AZ$20:AZ$22,MATCH($E$1,RN!$C$20:$C$22,0))+(SUMIFS(RL!AZ$83:AZ$85,RL!$C$83:$C$85,$E$1,RL!$N$83:$N$85,$D29)+SUMIFS(RL!AZ$74:AZ$76,RL!$C$74:$C$76,$E$1,RL!$N$74:$N$76,$D29))*INDEX(RL!AZ$20:AZ$22,MATCH($E$1,RL!$C$20:$C$22,0))+(SUMIFS(LU!AZ$83:AZ$85,LU!$C$83:$C$85,$E$1,LU!$N$83:$N$85,$D29)+SUMIFS(LU!AZ$74:AZ$76,LU!$C$74:$C$76,$E$1,LU!$N$74:$N$76,$D29))*INDEX(LU!AZ$20:AZ$22,MATCH($E$1,LU!$C$20:$C$22,0))</f>
        <v>0</v>
      </c>
      <c r="BA29" s="613">
        <f>(SUMIFS(IP!BA$83:BA$85,IP!$C$83:$C$85,$E$1,IP!$N$83:$N$85,$D29)+SUMIFS(IP!BA$74:BA$76,IP!$C$74:$C$76,$E$1,IP!$O$74:$O$76,$D29))*INDEX(IP!BA$20:BA$22,MATCH($E$1,IP!$C$20:$C$22,0))+SUMIFS(RN!BA$80:BA$82,RN!$C$80:$C$82,$E$1,RN!$N$80:$N$82,$D29)+(SUMIFS(RN!BA$71:BA$73,RN!$C$71:$C$73,$E$1,RN!$N$71:$N$73,$D29))*INDEX(RN!BA$20:BA$22,MATCH($E$1,RN!$C$20:$C$22,0))+(SUMIFS(RL!BA$83:BA$85,RL!$C$83:$C$85,$E$1,RL!$N$83:$N$85,$D29)+SUMIFS(RL!BA$74:BA$76,RL!$C$74:$C$76,$E$1,RL!$N$74:$N$76,$D29))*INDEX(RL!BA$20:BA$22,MATCH($E$1,RL!$C$20:$C$22,0))+(SUMIFS(LU!BA$83:BA$85,LU!$C$83:$C$85,$E$1,LU!$N$83:$N$85,$D29)+SUMIFS(LU!BA$74:BA$76,LU!$C$74:$C$76,$E$1,LU!$N$74:$N$76,$D29))*INDEX(LU!BA$20:BA$22,MATCH($E$1,LU!$C$20:$C$22,0))</f>
        <v>0</v>
      </c>
      <c r="BB29" s="613">
        <f>(SUMIFS(IP!BB$83:BB$85,IP!$C$83:$C$85,$E$1,IP!$N$83:$N$85,$D29)+SUMIFS(IP!BB$74:BB$76,IP!$C$74:$C$76,$E$1,IP!$O$74:$O$76,$D29))*INDEX(IP!BB$20:BB$22,MATCH($E$1,IP!$C$20:$C$22,0))+SUMIFS(RN!BB$80:BB$82,RN!$C$80:$C$82,$E$1,RN!$N$80:$N$82,$D29)+(SUMIFS(RN!BB$71:BB$73,RN!$C$71:$C$73,$E$1,RN!$N$71:$N$73,$D29))*INDEX(RN!BB$20:BB$22,MATCH($E$1,RN!$C$20:$C$22,0))+(SUMIFS(RL!BB$83:BB$85,RL!$C$83:$C$85,$E$1,RL!$N$83:$N$85,$D29)+SUMIFS(RL!BB$74:BB$76,RL!$C$74:$C$76,$E$1,RL!$N$74:$N$76,$D29))*INDEX(RL!BB$20:BB$22,MATCH($E$1,RL!$C$20:$C$22,0))+(SUMIFS(LU!BB$83:BB$85,LU!$C$83:$C$85,$E$1,LU!$N$83:$N$85,$D29)+SUMIFS(LU!BB$74:BB$76,LU!$C$74:$C$76,$E$1,LU!$N$74:$N$76,$D29))*INDEX(LU!BB$20:BB$22,MATCH($E$1,LU!$C$20:$C$22,0))</f>
        <v>0</v>
      </c>
      <c r="BC29" s="613">
        <f>(SUMIFS(IP!BC$83:BC$85,IP!$C$83:$C$85,$E$1,IP!$N$83:$N$85,$D29)+SUMIFS(IP!BC$74:BC$76,IP!$C$74:$C$76,$E$1,IP!$O$74:$O$76,$D29))*INDEX(IP!BC$20:BC$22,MATCH($E$1,IP!$C$20:$C$22,0))+SUMIFS(RN!BC$80:BC$82,RN!$C$80:$C$82,$E$1,RN!$N$80:$N$82,$D29)+(SUMIFS(RN!BC$71:BC$73,RN!$C$71:$C$73,$E$1,RN!$N$71:$N$73,$D29))*INDEX(RN!BC$20:BC$22,MATCH($E$1,RN!$C$20:$C$22,0))+(SUMIFS(RL!BC$83:BC$85,RL!$C$83:$C$85,$E$1,RL!$N$83:$N$85,$D29)+SUMIFS(RL!BC$74:BC$76,RL!$C$74:$C$76,$E$1,RL!$N$74:$N$76,$D29))*INDEX(RL!BC$20:BC$22,MATCH($E$1,RL!$C$20:$C$22,0))+(SUMIFS(LU!BC$83:BC$85,LU!$C$83:$C$85,$E$1,LU!$N$83:$N$85,$D29)+SUMIFS(LU!BC$74:BC$76,LU!$C$74:$C$76,$E$1,LU!$N$74:$N$76,$D29))*INDEX(LU!BC$20:BC$22,MATCH($E$1,LU!$C$20:$C$22,0))</f>
        <v>0</v>
      </c>
      <c r="BD29" s="613">
        <f>(SUMIFS(IP!BD$83:BD$85,IP!$C$83:$C$85,$E$1,IP!$N$83:$N$85,$D29)+SUMIFS(IP!BD$74:BD$76,IP!$C$74:$C$76,$E$1,IP!$O$74:$O$76,$D29))*INDEX(IP!BD$20:BD$22,MATCH($E$1,IP!$C$20:$C$22,0))+SUMIFS(RN!BD$80:BD$82,RN!$C$80:$C$82,$E$1,RN!$N$80:$N$82,$D29)+(SUMIFS(RN!BD$71:BD$73,RN!$C$71:$C$73,$E$1,RN!$N$71:$N$73,$D29))*INDEX(RN!BD$20:BD$22,MATCH($E$1,RN!$C$20:$C$22,0))+(SUMIFS(RL!BD$83:BD$85,RL!$C$83:$C$85,$E$1,RL!$N$83:$N$85,$D29)+SUMIFS(RL!BD$74:BD$76,RL!$C$74:$C$76,$E$1,RL!$N$74:$N$76,$D29))*INDEX(RL!BD$20:BD$22,MATCH($E$1,RL!$C$20:$C$22,0))+(SUMIFS(LU!BD$83:BD$85,LU!$C$83:$C$85,$E$1,LU!$N$83:$N$85,$D29)+SUMIFS(LU!BD$74:BD$76,LU!$C$74:$C$76,$E$1,LU!$N$74:$N$76,$D29))*INDEX(LU!BD$20:BD$22,MATCH($E$1,LU!$C$20:$C$22,0))</f>
        <v>0</v>
      </c>
      <c r="BE29" s="613">
        <f>(SUMIFS(IP!BE$83:BE$85,IP!$C$83:$C$85,$E$1,IP!$N$83:$N$85,$D29)+SUMIFS(IP!BE$74:BE$76,IP!$C$74:$C$76,$E$1,IP!$O$74:$O$76,$D29))*INDEX(IP!BE$20:BE$22,MATCH($E$1,IP!$C$20:$C$22,0))+SUMIFS(RN!BE$80:BE$82,RN!$C$80:$C$82,$E$1,RN!$N$80:$N$82,$D29)+(SUMIFS(RN!BE$71:BE$73,RN!$C$71:$C$73,$E$1,RN!$N$71:$N$73,$D29))*INDEX(RN!BE$20:BE$22,MATCH($E$1,RN!$C$20:$C$22,0))+(SUMIFS(RL!BE$83:BE$85,RL!$C$83:$C$85,$E$1,RL!$N$83:$N$85,$D29)+SUMIFS(RL!BE$74:BE$76,RL!$C$74:$C$76,$E$1,RL!$N$74:$N$76,$D29))*INDEX(RL!BE$20:BE$22,MATCH($E$1,RL!$C$20:$C$22,0))+(SUMIFS(LU!BE$83:BE$85,LU!$C$83:$C$85,$E$1,LU!$N$83:$N$85,$D29)+SUMIFS(LU!BE$74:BE$76,LU!$C$74:$C$76,$E$1,LU!$N$74:$N$76,$D29))*INDEX(LU!BE$20:BE$22,MATCH($E$1,LU!$C$20:$C$22,0))</f>
        <v>0</v>
      </c>
      <c r="BF29" s="613">
        <f>(SUMIFS(IP!BF$83:BF$85,IP!$C$83:$C$85,$E$1,IP!$N$83:$N$85,$D29)+SUMIFS(IP!BF$74:BF$76,IP!$C$74:$C$76,$E$1,IP!$O$74:$O$76,$D29))*INDEX(IP!BF$20:BF$22,MATCH($E$1,IP!$C$20:$C$22,0))+SUMIFS(RN!BF$80:BF$82,RN!$C$80:$C$82,$E$1,RN!$N$80:$N$82,$D29)+(SUMIFS(RN!BF$71:BF$73,RN!$C$71:$C$73,$E$1,RN!$N$71:$N$73,$D29))*INDEX(RN!BF$20:BF$22,MATCH($E$1,RN!$C$20:$C$22,0))+(SUMIFS(RL!BF$83:BF$85,RL!$C$83:$C$85,$E$1,RL!$N$83:$N$85,$D29)+SUMIFS(RL!BF$74:BF$76,RL!$C$74:$C$76,$E$1,RL!$N$74:$N$76,$D29))*INDEX(RL!BF$20:BF$22,MATCH($E$1,RL!$C$20:$C$22,0))+(SUMIFS(LU!BF$83:BF$85,LU!$C$83:$C$85,$E$1,LU!$N$83:$N$85,$D29)+SUMIFS(LU!BF$74:BF$76,LU!$C$74:$C$76,$E$1,LU!$N$74:$N$76,$D29))*INDEX(LU!BF$20:BF$22,MATCH($E$1,LU!$C$20:$C$22,0))</f>
        <v>0</v>
      </c>
      <c r="BG29" s="613">
        <f>(SUMIFS(IP!BG$83:BG$85,IP!$C$83:$C$85,$E$1,IP!$N$83:$N$85,$D29)+SUMIFS(IP!BG$74:BG$76,IP!$C$74:$C$76,$E$1,IP!$O$74:$O$76,$D29))*INDEX(IP!BG$20:BG$22,MATCH($E$1,IP!$C$20:$C$22,0))+SUMIFS(RN!BG$80:BG$82,RN!$C$80:$C$82,$E$1,RN!$N$80:$N$82,$D29)+(SUMIFS(RN!BG$71:BG$73,RN!$C$71:$C$73,$E$1,RN!$N$71:$N$73,$D29))*INDEX(RN!BG$20:BG$22,MATCH($E$1,RN!$C$20:$C$22,0))+(SUMIFS(RL!BG$83:BG$85,RL!$C$83:$C$85,$E$1,RL!$N$83:$N$85,$D29)+SUMIFS(RL!BG$74:BG$76,RL!$C$74:$C$76,$E$1,RL!$N$74:$N$76,$D29))*INDEX(RL!BG$20:BG$22,MATCH($E$1,RL!$C$20:$C$22,0))+(SUMIFS(LU!BG$83:BG$85,LU!$C$83:$C$85,$E$1,LU!$N$83:$N$85,$D29)+SUMIFS(LU!BG$74:BG$76,LU!$C$74:$C$76,$E$1,LU!$N$74:$N$76,$D29))*INDEX(LU!BG$20:BG$22,MATCH($E$1,LU!$C$20:$C$22,0))</f>
        <v>0</v>
      </c>
      <c r="BI29" s="614" t="s">
        <v>153</v>
      </c>
      <c r="BM29" s="613">
        <f t="shared" si="0"/>
        <v>0</v>
      </c>
      <c r="BN29" s="613">
        <f t="shared" si="0"/>
        <v>0</v>
      </c>
      <c r="BO29" s="613">
        <f t="shared" si="0"/>
        <v>0</v>
      </c>
      <c r="BP29" s="613">
        <f t="shared" si="0"/>
        <v>0</v>
      </c>
      <c r="BQ29" s="613">
        <f t="shared" si="0"/>
        <v>0</v>
      </c>
      <c r="BR29" s="613">
        <f t="shared" si="0"/>
        <v>0</v>
      </c>
      <c r="BS29" s="613">
        <f t="shared" si="0"/>
        <v>0</v>
      </c>
      <c r="BT29" s="613">
        <f t="shared" si="0"/>
        <v>0</v>
      </c>
      <c r="BU29" s="613">
        <f t="shared" si="0"/>
        <v>0</v>
      </c>
      <c r="BV29" s="613">
        <f t="shared" si="0"/>
        <v>0</v>
      </c>
      <c r="BX29" s="615" t="s">
        <v>153</v>
      </c>
    </row>
    <row r="30" spans="2:78">
      <c r="B30" s="607"/>
      <c r="D30" s="625" t="s">
        <v>47</v>
      </c>
      <c r="E30" s="626"/>
      <c r="F30" s="626"/>
      <c r="G30" s="626"/>
      <c r="H30" s="626"/>
      <c r="I30" s="626"/>
      <c r="J30" s="626"/>
      <c r="K30" s="626"/>
      <c r="L30" s="626"/>
      <c r="M30" s="626"/>
      <c r="N30" s="626"/>
      <c r="O30" s="626"/>
      <c r="P30" s="626"/>
      <c r="Q30" s="626"/>
      <c r="R30" s="626"/>
      <c r="S30" s="626"/>
      <c r="T30" s="613">
        <f>(SUMIFS(IP!T$83:T$85,IP!$C$83:$C$85,$E$1,IP!$N$83:$N$85,$D30)+SUMIFS(IP!T$74:T$76,IP!$C$74:$C$76,$E$1,IP!$O$74:$O$76,$D30))*INDEX(IP!T$20:T$22,MATCH($E$1,IP!$C$20:$C$22,0))+SUMIFS(RN!T$80:T$82,RN!$C$80:$C$82,$E$1,RN!$N$80:$N$82,$D30)+(SUMIFS(RN!T$71:T$73,RN!$C$71:$C$73,$E$1,RN!$N$71:$N$73,$D30))*INDEX(RN!T$20:T$22,MATCH($E$1,RN!$C$20:$C$22,0))+(SUMIFS(RL!T$83:T$85,RL!$C$83:$C$85,$E$1,RL!$N$83:$N$85,$D30)+SUMIFS(RL!T$74:T$76,RL!$C$74:$C$76,$E$1,RL!$N$74:$N$76,$D30))*INDEX(RL!T$20:T$22,MATCH($E$1,RL!$C$20:$C$22,0))+(SUMIFS(LU!T$83:T$85,LU!$C$83:$C$85,$E$1,LU!$N$83:$N$85,$D30)+SUMIFS(LU!T$74:T$76,LU!$C$74:$C$76,$E$1,LU!$N$74:$N$76,$D30))*INDEX(LU!T$20:T$22,MATCH($E$1,LU!$C$20:$C$22,0))</f>
        <v>0</v>
      </c>
      <c r="U30" s="613">
        <f>(SUMIFS(IP!U$83:U$85,IP!$C$83:$C$85,$E$1,IP!$N$83:$N$85,$D30)+SUMIFS(IP!U$74:U$76,IP!$C$74:$C$76,$E$1,IP!$O$74:$O$76,$D30))*INDEX(IP!U$20:U$22,MATCH($E$1,IP!$C$20:$C$22,0))+SUMIFS(RN!U$80:U$82,RN!$C$80:$C$82,$E$1,RN!$N$80:$N$82,$D30)+(SUMIFS(RN!U$71:U$73,RN!$C$71:$C$73,$E$1,RN!$N$71:$N$73,$D30))*INDEX(RN!U$20:U$22,MATCH($E$1,RN!$C$20:$C$22,0))+(SUMIFS(RL!U$83:U$85,RL!$C$83:$C$85,$E$1,RL!$N$83:$N$85,$D30)+SUMIFS(RL!U$74:U$76,RL!$C$74:$C$76,$E$1,RL!$N$74:$N$76,$D30))*INDEX(RL!U$20:U$22,MATCH($E$1,RL!$C$20:$C$22,0))+(SUMIFS(LU!U$83:U$85,LU!$C$83:$C$85,$E$1,LU!$N$83:$N$85,$D30)+SUMIFS(LU!U$74:U$76,LU!$C$74:$C$76,$E$1,LU!$N$74:$N$76,$D30))*INDEX(LU!U$20:U$22,MATCH($E$1,LU!$C$20:$C$22,0))</f>
        <v>0</v>
      </c>
      <c r="V30" s="613">
        <f>(SUMIFS(IP!V$83:V$85,IP!$C$83:$C$85,$E$1,IP!$N$83:$N$85,$D30)+SUMIFS(IP!V$74:V$76,IP!$C$74:$C$76,$E$1,IP!$O$74:$O$76,$D30))*INDEX(IP!V$20:V$22,MATCH($E$1,IP!$C$20:$C$22,0))+SUMIFS(RN!V$80:V$82,RN!$C$80:$C$82,$E$1,RN!$N$80:$N$82,$D30)+(SUMIFS(RN!V$71:V$73,RN!$C$71:$C$73,$E$1,RN!$N$71:$N$73,$D30))*INDEX(RN!V$20:V$22,MATCH($E$1,RN!$C$20:$C$22,0))+(SUMIFS(RL!V$83:V$85,RL!$C$83:$C$85,$E$1,RL!$N$83:$N$85,$D30)+SUMIFS(RL!V$74:V$76,RL!$C$74:$C$76,$E$1,RL!$N$74:$N$76,$D30))*INDEX(RL!V$20:V$22,MATCH($E$1,RL!$C$20:$C$22,0))+(SUMIFS(LU!V$83:V$85,LU!$C$83:$C$85,$E$1,LU!$N$83:$N$85,$D30)+SUMIFS(LU!V$74:V$76,LU!$C$74:$C$76,$E$1,LU!$N$74:$N$76,$D30))*INDEX(LU!V$20:V$22,MATCH($E$1,LU!$C$20:$C$22,0))</f>
        <v>0</v>
      </c>
      <c r="W30" s="613">
        <f>(SUMIFS(IP!W$83:W$85,IP!$C$83:$C$85,$E$1,IP!$N$83:$N$85,$D30)+SUMIFS(IP!W$74:W$76,IP!$C$74:$C$76,$E$1,IP!$O$74:$O$76,$D30))*INDEX(IP!W$20:W$22,MATCH($E$1,IP!$C$20:$C$22,0))+SUMIFS(RN!W$80:W$82,RN!$C$80:$C$82,$E$1,RN!$N$80:$N$82,$D30)+(SUMIFS(RN!W$71:W$73,RN!$C$71:$C$73,$E$1,RN!$N$71:$N$73,$D30))*INDEX(RN!W$20:W$22,MATCH($E$1,RN!$C$20:$C$22,0))+(SUMIFS(RL!W$83:W$85,RL!$C$83:$C$85,$E$1,RL!$N$83:$N$85,$D30)+SUMIFS(RL!W$74:W$76,RL!$C$74:$C$76,$E$1,RL!$N$74:$N$76,$D30))*INDEX(RL!W$20:W$22,MATCH($E$1,RL!$C$20:$C$22,0))+(SUMIFS(LU!W$83:W$85,LU!$C$83:$C$85,$E$1,LU!$N$83:$N$85,$D30)+SUMIFS(LU!W$74:W$76,LU!$C$74:$C$76,$E$1,LU!$N$74:$N$76,$D30))*INDEX(LU!W$20:W$22,MATCH($E$1,LU!$C$20:$C$22,0))</f>
        <v>0</v>
      </c>
      <c r="X30" s="613">
        <f>(SUMIFS(IP!X$83:X$85,IP!$C$83:$C$85,$E$1,IP!$N$83:$N$85,$D30)+SUMIFS(IP!X$74:X$76,IP!$C$74:$C$76,$E$1,IP!$O$74:$O$76,$D30))*INDEX(IP!X$20:X$22,MATCH($E$1,IP!$C$20:$C$22,0))+SUMIFS(RN!X$80:X$82,RN!$C$80:$C$82,$E$1,RN!$N$80:$N$82,$D30)+(SUMIFS(RN!X$71:X$73,RN!$C$71:$C$73,$E$1,RN!$N$71:$N$73,$D30))*INDEX(RN!X$20:X$22,MATCH($E$1,RN!$C$20:$C$22,0))+(SUMIFS(RL!X$83:X$85,RL!$C$83:$C$85,$E$1,RL!$N$83:$N$85,$D30)+SUMIFS(RL!X$74:X$76,RL!$C$74:$C$76,$E$1,RL!$N$74:$N$76,$D30))*INDEX(RL!X$20:X$22,MATCH($E$1,RL!$C$20:$C$22,0))+(SUMIFS(LU!X$83:X$85,LU!$C$83:$C$85,$E$1,LU!$N$83:$N$85,$D30)+SUMIFS(LU!X$74:X$76,LU!$C$74:$C$76,$E$1,LU!$N$74:$N$76,$D30))*INDEX(LU!X$20:X$22,MATCH($E$1,LU!$C$20:$C$22,0))</f>
        <v>0</v>
      </c>
      <c r="Y30" s="613">
        <f>(SUMIFS(IP!Y$83:Y$85,IP!$C$83:$C$85,$E$1,IP!$N$83:$N$85,$D30)+SUMIFS(IP!Y$74:Y$76,IP!$C$74:$C$76,$E$1,IP!$O$74:$O$76,$D30))*INDEX(IP!Y$20:Y$22,MATCH($E$1,IP!$C$20:$C$22,0))+SUMIFS(RN!Y$80:Y$82,RN!$C$80:$C$82,$E$1,RN!$N$80:$N$82,$D30)+(SUMIFS(RN!Y$71:Y$73,RN!$C$71:$C$73,$E$1,RN!$N$71:$N$73,$D30))*INDEX(RN!Y$20:Y$22,MATCH($E$1,RN!$C$20:$C$22,0))+(SUMIFS(RL!Y$83:Y$85,RL!$C$83:$C$85,$E$1,RL!$N$83:$N$85,$D30)+SUMIFS(RL!Y$74:Y$76,RL!$C$74:$C$76,$E$1,RL!$N$74:$N$76,$D30))*INDEX(RL!Y$20:Y$22,MATCH($E$1,RL!$C$20:$C$22,0))+(SUMIFS(LU!Y$83:Y$85,LU!$C$83:$C$85,$E$1,LU!$N$83:$N$85,$D30)+SUMIFS(LU!Y$74:Y$76,LU!$C$74:$C$76,$E$1,LU!$N$74:$N$76,$D30))*INDEX(LU!Y$20:Y$22,MATCH($E$1,LU!$C$20:$C$22,0))</f>
        <v>0</v>
      </c>
      <c r="Z30" s="613">
        <f>(SUMIFS(IP!Z$83:Z$85,IP!$C$83:$C$85,$E$1,IP!$N$83:$N$85,$D30)+SUMIFS(IP!Z$74:Z$76,IP!$C$74:$C$76,$E$1,IP!$O$74:$O$76,$D30))*INDEX(IP!Z$20:Z$22,MATCH($E$1,IP!$C$20:$C$22,0))+SUMIFS(RN!Z$80:Z$82,RN!$C$80:$C$82,$E$1,RN!$N$80:$N$82,$D30)+(SUMIFS(RN!Z$71:Z$73,RN!$C$71:$C$73,$E$1,RN!$N$71:$N$73,$D30))*INDEX(RN!Z$20:Z$22,MATCH($E$1,RN!$C$20:$C$22,0))+(SUMIFS(RL!Z$83:Z$85,RL!$C$83:$C$85,$E$1,RL!$N$83:$N$85,$D30)+SUMIFS(RL!Z$74:Z$76,RL!$C$74:$C$76,$E$1,RL!$N$74:$N$76,$D30))*INDEX(RL!Z$20:Z$22,MATCH($E$1,RL!$C$20:$C$22,0))+(SUMIFS(LU!Z$83:Z$85,LU!$C$83:$C$85,$E$1,LU!$N$83:$N$85,$D30)+SUMIFS(LU!Z$74:Z$76,LU!$C$74:$C$76,$E$1,LU!$N$74:$N$76,$D30))*INDEX(LU!Z$20:Z$22,MATCH($E$1,LU!$C$20:$C$22,0))</f>
        <v>0</v>
      </c>
      <c r="AA30" s="613">
        <f>(SUMIFS(IP!AA$83:AA$85,IP!$C$83:$C$85,$E$1,IP!$N$83:$N$85,$D30)+SUMIFS(IP!AA$74:AA$76,IP!$C$74:$C$76,$E$1,IP!$O$74:$O$76,$D30))*INDEX(IP!AA$20:AA$22,MATCH($E$1,IP!$C$20:$C$22,0))+SUMIFS(RN!AA$80:AA$82,RN!$C$80:$C$82,$E$1,RN!$N$80:$N$82,$D30)+(SUMIFS(RN!AA$71:AA$73,RN!$C$71:$C$73,$E$1,RN!$N$71:$N$73,$D30))*INDEX(RN!AA$20:AA$22,MATCH($E$1,RN!$C$20:$C$22,0))+(SUMIFS(RL!AA$83:AA$85,RL!$C$83:$C$85,$E$1,RL!$N$83:$N$85,$D30)+SUMIFS(RL!AA$74:AA$76,RL!$C$74:$C$76,$E$1,RL!$N$74:$N$76,$D30))*INDEX(RL!AA$20:AA$22,MATCH($E$1,RL!$C$20:$C$22,0))+(SUMIFS(LU!AA$83:AA$85,LU!$C$83:$C$85,$E$1,LU!$N$83:$N$85,$D30)+SUMIFS(LU!AA$74:AA$76,LU!$C$74:$C$76,$E$1,LU!$N$74:$N$76,$D30))*INDEX(LU!AA$20:AA$22,MATCH($E$1,LU!$C$20:$C$22,0))</f>
        <v>0</v>
      </c>
      <c r="AB30" s="613">
        <f>(SUMIFS(IP!AB$83:AB$85,IP!$C$83:$C$85,$E$1,IP!$N$83:$N$85,$D30)+SUMIFS(IP!AB$74:AB$76,IP!$C$74:$C$76,$E$1,IP!$O$74:$O$76,$D30))*INDEX(IP!AB$20:AB$22,MATCH($E$1,IP!$C$20:$C$22,0))+SUMIFS(RN!AB$80:AB$82,RN!$C$80:$C$82,$E$1,RN!$N$80:$N$82,$D30)+(SUMIFS(RN!AB$71:AB$73,RN!$C$71:$C$73,$E$1,RN!$N$71:$N$73,$D30))*INDEX(RN!AB$20:AB$22,MATCH($E$1,RN!$C$20:$C$22,0))+(SUMIFS(RL!AB$83:AB$85,RL!$C$83:$C$85,$E$1,RL!$N$83:$N$85,$D30)+SUMIFS(RL!AB$74:AB$76,RL!$C$74:$C$76,$E$1,RL!$N$74:$N$76,$D30))*INDEX(RL!AB$20:AB$22,MATCH($E$1,RL!$C$20:$C$22,0))+(SUMIFS(LU!AB$83:AB$85,LU!$C$83:$C$85,$E$1,LU!$N$83:$N$85,$D30)+SUMIFS(LU!AB$74:AB$76,LU!$C$74:$C$76,$E$1,LU!$N$74:$N$76,$D30))*INDEX(LU!AB$20:AB$22,MATCH($E$1,LU!$C$20:$C$22,0))</f>
        <v>0</v>
      </c>
      <c r="AC30" s="613">
        <f>(SUMIFS(IP!AC$83:AC$85,IP!$C$83:$C$85,$E$1,IP!$N$83:$N$85,$D30)+SUMIFS(IP!AC$74:AC$76,IP!$C$74:$C$76,$E$1,IP!$O$74:$O$76,$D30))*INDEX(IP!AC$20:AC$22,MATCH($E$1,IP!$C$20:$C$22,0))+SUMIFS(RN!AC$80:AC$82,RN!$C$80:$C$82,$E$1,RN!$N$80:$N$82,$D30)+(SUMIFS(RN!AC$71:AC$73,RN!$C$71:$C$73,$E$1,RN!$N$71:$N$73,$D30))*INDEX(RN!AC$20:AC$22,MATCH($E$1,RN!$C$20:$C$22,0))+(SUMIFS(RL!AC$83:AC$85,RL!$C$83:$C$85,$E$1,RL!$N$83:$N$85,$D30)+SUMIFS(RL!AC$74:AC$76,RL!$C$74:$C$76,$E$1,RL!$N$74:$N$76,$D30))*INDEX(RL!AC$20:AC$22,MATCH($E$1,RL!$C$20:$C$22,0))+(SUMIFS(LU!AC$83:AC$85,LU!$C$83:$C$85,$E$1,LU!$N$83:$N$85,$D30)+SUMIFS(LU!AC$74:AC$76,LU!$C$74:$C$76,$E$1,LU!$N$74:$N$76,$D30))*INDEX(LU!AC$20:AC$22,MATCH($E$1,LU!$C$20:$C$22,0))</f>
        <v>0</v>
      </c>
      <c r="AD30" s="613">
        <f>(SUMIFS(IP!AD$83:AD$85,IP!$C$83:$C$85,$E$1,IP!$N$83:$N$85,$D30)+SUMIFS(IP!AD$74:AD$76,IP!$C$74:$C$76,$E$1,IP!$O$74:$O$76,$D30))*INDEX(IP!AD$20:AD$22,MATCH($E$1,IP!$C$20:$C$22,0))+SUMIFS(RN!AD$80:AD$82,RN!$C$80:$C$82,$E$1,RN!$N$80:$N$82,$D30)+(SUMIFS(RN!AD$71:AD$73,RN!$C$71:$C$73,$E$1,RN!$N$71:$N$73,$D30))*INDEX(RN!AD$20:AD$22,MATCH($E$1,RN!$C$20:$C$22,0))+(SUMIFS(RL!AD$83:AD$85,RL!$C$83:$C$85,$E$1,RL!$N$83:$N$85,$D30)+SUMIFS(RL!AD$74:AD$76,RL!$C$74:$C$76,$E$1,RL!$N$74:$N$76,$D30))*INDEX(RL!AD$20:AD$22,MATCH($E$1,RL!$C$20:$C$22,0))+(SUMIFS(LU!AD$83:AD$85,LU!$C$83:$C$85,$E$1,LU!$N$83:$N$85,$D30)+SUMIFS(LU!AD$74:AD$76,LU!$C$74:$C$76,$E$1,LU!$N$74:$N$76,$D30))*INDEX(LU!AD$20:AD$22,MATCH($E$1,LU!$C$20:$C$22,0))</f>
        <v>0</v>
      </c>
      <c r="AE30" s="613">
        <f>(SUMIFS(IP!AE$83:AE$85,IP!$C$83:$C$85,$E$1,IP!$N$83:$N$85,$D30)+SUMIFS(IP!AE$74:AE$76,IP!$C$74:$C$76,$E$1,IP!$O$74:$O$76,$D30))*INDEX(IP!AE$20:AE$22,MATCH($E$1,IP!$C$20:$C$22,0))+SUMIFS(RN!AE$80:AE$82,RN!$C$80:$C$82,$E$1,RN!$N$80:$N$82,$D30)+(SUMIFS(RN!AE$71:AE$73,RN!$C$71:$C$73,$E$1,RN!$N$71:$N$73,$D30))*INDEX(RN!AE$20:AE$22,MATCH($E$1,RN!$C$20:$C$22,0))+(SUMIFS(RL!AE$83:AE$85,RL!$C$83:$C$85,$E$1,RL!$N$83:$N$85,$D30)+SUMIFS(RL!AE$74:AE$76,RL!$C$74:$C$76,$E$1,RL!$N$74:$N$76,$D30))*INDEX(RL!AE$20:AE$22,MATCH($E$1,RL!$C$20:$C$22,0))+(SUMIFS(LU!AE$83:AE$85,LU!$C$83:$C$85,$E$1,LU!$N$83:$N$85,$D30)+SUMIFS(LU!AE$74:AE$76,LU!$C$74:$C$76,$E$1,LU!$N$74:$N$76,$D30))*INDEX(LU!AE$20:AE$22,MATCH($E$1,LU!$C$20:$C$22,0))</f>
        <v>0</v>
      </c>
      <c r="AF30" s="613">
        <f>(SUMIFS(IP!AF$83:AF$85,IP!$C$83:$C$85,$E$1,IP!$N$83:$N$85,$D30)+SUMIFS(IP!AF$74:AF$76,IP!$C$74:$C$76,$E$1,IP!$O$74:$O$76,$D30))*INDEX(IP!AF$20:AF$22,MATCH($E$1,IP!$C$20:$C$22,0))+SUMIFS(RN!AF$80:AF$82,RN!$C$80:$C$82,$E$1,RN!$N$80:$N$82,$D30)+(SUMIFS(RN!AF$71:AF$73,RN!$C$71:$C$73,$E$1,RN!$N$71:$N$73,$D30))*INDEX(RN!AF$20:AF$22,MATCH($E$1,RN!$C$20:$C$22,0))+(SUMIFS(RL!AF$83:AF$85,RL!$C$83:$C$85,$E$1,RL!$N$83:$N$85,$D30)+SUMIFS(RL!AF$74:AF$76,RL!$C$74:$C$76,$E$1,RL!$N$74:$N$76,$D30))*INDEX(RL!AF$20:AF$22,MATCH($E$1,RL!$C$20:$C$22,0))+(SUMIFS(LU!AF$83:AF$85,LU!$C$83:$C$85,$E$1,LU!$N$83:$N$85,$D30)+SUMIFS(LU!AF$74:AF$76,LU!$C$74:$C$76,$E$1,LU!$N$74:$N$76,$D30))*INDEX(LU!AF$20:AF$22,MATCH($E$1,LU!$C$20:$C$22,0))</f>
        <v>0</v>
      </c>
      <c r="AG30" s="613">
        <f>(SUMIFS(IP!AG$83:AG$85,IP!$C$83:$C$85,$E$1,IP!$N$83:$N$85,$D30)+SUMIFS(IP!AG$74:AG$76,IP!$C$74:$C$76,$E$1,IP!$O$74:$O$76,$D30))*INDEX(IP!AG$20:AG$22,MATCH($E$1,IP!$C$20:$C$22,0))+SUMIFS(RN!AG$80:AG$82,RN!$C$80:$C$82,$E$1,RN!$N$80:$N$82,$D30)+(SUMIFS(RN!AG$71:AG$73,RN!$C$71:$C$73,$E$1,RN!$N$71:$N$73,$D30))*INDEX(RN!AG$20:AG$22,MATCH($E$1,RN!$C$20:$C$22,0))+(SUMIFS(RL!AG$83:AG$85,RL!$C$83:$C$85,$E$1,RL!$N$83:$N$85,$D30)+SUMIFS(RL!AG$74:AG$76,RL!$C$74:$C$76,$E$1,RL!$N$74:$N$76,$D30))*INDEX(RL!AG$20:AG$22,MATCH($E$1,RL!$C$20:$C$22,0))+(SUMIFS(LU!AG$83:AG$85,LU!$C$83:$C$85,$E$1,LU!$N$83:$N$85,$D30)+SUMIFS(LU!AG$74:AG$76,LU!$C$74:$C$76,$E$1,LU!$N$74:$N$76,$D30))*INDEX(LU!AG$20:AG$22,MATCH($E$1,LU!$C$20:$C$22,0))</f>
        <v>0</v>
      </c>
      <c r="AH30" s="613">
        <f>(SUMIFS(IP!AH$83:AH$85,IP!$C$83:$C$85,$E$1,IP!$N$83:$N$85,$D30)+SUMIFS(IP!AH$74:AH$76,IP!$C$74:$C$76,$E$1,IP!$O$74:$O$76,$D30))*INDEX(IP!AH$20:AH$22,MATCH($E$1,IP!$C$20:$C$22,0))+SUMIFS(RN!AH$80:AH$82,RN!$C$80:$C$82,$E$1,RN!$N$80:$N$82,$D30)+(SUMIFS(RN!AH$71:AH$73,RN!$C$71:$C$73,$E$1,RN!$N$71:$N$73,$D30))*INDEX(RN!AH$20:AH$22,MATCH($E$1,RN!$C$20:$C$22,0))+(SUMIFS(RL!AH$83:AH$85,RL!$C$83:$C$85,$E$1,RL!$N$83:$N$85,$D30)+SUMIFS(RL!AH$74:AH$76,RL!$C$74:$C$76,$E$1,RL!$N$74:$N$76,$D30))*INDEX(RL!AH$20:AH$22,MATCH($E$1,RL!$C$20:$C$22,0))+(SUMIFS(LU!AH$83:AH$85,LU!$C$83:$C$85,$E$1,LU!$N$83:$N$85,$D30)+SUMIFS(LU!AH$74:AH$76,LU!$C$74:$C$76,$E$1,LU!$N$74:$N$76,$D30))*INDEX(LU!AH$20:AH$22,MATCH($E$1,LU!$C$20:$C$22,0))</f>
        <v>0</v>
      </c>
      <c r="AI30" s="613">
        <f>(SUMIFS(IP!AI$83:AI$85,IP!$C$83:$C$85,$E$1,IP!$N$83:$N$85,$D30)+SUMIFS(IP!AI$74:AI$76,IP!$C$74:$C$76,$E$1,IP!$O$74:$O$76,$D30))*INDEX(IP!AI$20:AI$22,MATCH($E$1,IP!$C$20:$C$22,0))+SUMIFS(RN!AI$80:AI$82,RN!$C$80:$C$82,$E$1,RN!$N$80:$N$82,$D30)+(SUMIFS(RN!AI$71:AI$73,RN!$C$71:$C$73,$E$1,RN!$N$71:$N$73,$D30))*INDEX(RN!AI$20:AI$22,MATCH($E$1,RN!$C$20:$C$22,0))+(SUMIFS(RL!AI$83:AI$85,RL!$C$83:$C$85,$E$1,RL!$N$83:$N$85,$D30)+SUMIFS(RL!AI$74:AI$76,RL!$C$74:$C$76,$E$1,RL!$N$74:$N$76,$D30))*INDEX(RL!AI$20:AI$22,MATCH($E$1,RL!$C$20:$C$22,0))+(SUMIFS(LU!AI$83:AI$85,LU!$C$83:$C$85,$E$1,LU!$N$83:$N$85,$D30)+SUMIFS(LU!AI$74:AI$76,LU!$C$74:$C$76,$E$1,LU!$N$74:$N$76,$D30))*INDEX(LU!AI$20:AI$22,MATCH($E$1,LU!$C$20:$C$22,0))</f>
        <v>0</v>
      </c>
      <c r="AJ30" s="613">
        <f>(SUMIFS(IP!AJ$83:AJ$85,IP!$C$83:$C$85,$E$1,IP!$N$83:$N$85,$D30)+SUMIFS(IP!AJ$74:AJ$76,IP!$C$74:$C$76,$E$1,IP!$O$74:$O$76,$D30))*INDEX(IP!AJ$20:AJ$22,MATCH($E$1,IP!$C$20:$C$22,0))+SUMIFS(RN!AJ$80:AJ$82,RN!$C$80:$C$82,$E$1,RN!$N$80:$N$82,$D30)+(SUMIFS(RN!AJ$71:AJ$73,RN!$C$71:$C$73,$E$1,RN!$N$71:$N$73,$D30))*INDEX(RN!AJ$20:AJ$22,MATCH($E$1,RN!$C$20:$C$22,0))+(SUMIFS(RL!AJ$83:AJ$85,RL!$C$83:$C$85,$E$1,RL!$N$83:$N$85,$D30)+SUMIFS(RL!AJ$74:AJ$76,RL!$C$74:$C$76,$E$1,RL!$N$74:$N$76,$D30))*INDEX(RL!AJ$20:AJ$22,MATCH($E$1,RL!$C$20:$C$22,0))+(SUMIFS(LU!AJ$83:AJ$85,LU!$C$83:$C$85,$E$1,LU!$N$83:$N$85,$D30)+SUMIFS(LU!AJ$74:AJ$76,LU!$C$74:$C$76,$E$1,LU!$N$74:$N$76,$D30))*INDEX(LU!AJ$20:AJ$22,MATCH($E$1,LU!$C$20:$C$22,0))</f>
        <v>0</v>
      </c>
      <c r="AK30" s="613">
        <f>(SUMIFS(IP!AK$83:AK$85,IP!$C$83:$C$85,$E$1,IP!$N$83:$N$85,$D30)+SUMIFS(IP!AK$74:AK$76,IP!$C$74:$C$76,$E$1,IP!$O$74:$O$76,$D30))*INDEX(IP!AK$20:AK$22,MATCH($E$1,IP!$C$20:$C$22,0))+SUMIFS(RN!AK$80:AK$82,RN!$C$80:$C$82,$E$1,RN!$N$80:$N$82,$D30)+(SUMIFS(RN!AK$71:AK$73,RN!$C$71:$C$73,$E$1,RN!$N$71:$N$73,$D30))*INDEX(RN!AK$20:AK$22,MATCH($E$1,RN!$C$20:$C$22,0))+(SUMIFS(RL!AK$83:AK$85,RL!$C$83:$C$85,$E$1,RL!$N$83:$N$85,$D30)+SUMIFS(RL!AK$74:AK$76,RL!$C$74:$C$76,$E$1,RL!$N$74:$N$76,$D30))*INDEX(RL!AK$20:AK$22,MATCH($E$1,RL!$C$20:$C$22,0))+(SUMIFS(LU!AK$83:AK$85,LU!$C$83:$C$85,$E$1,LU!$N$83:$N$85,$D30)+SUMIFS(LU!AK$74:AK$76,LU!$C$74:$C$76,$E$1,LU!$N$74:$N$76,$D30))*INDEX(LU!AK$20:AK$22,MATCH($E$1,LU!$C$20:$C$22,0))</f>
        <v>0</v>
      </c>
      <c r="AL30" s="613">
        <f>(SUMIFS(IP!AL$83:AL$85,IP!$C$83:$C$85,$E$1,IP!$N$83:$N$85,$D30)+SUMIFS(IP!AL$74:AL$76,IP!$C$74:$C$76,$E$1,IP!$O$74:$O$76,$D30))*INDEX(IP!AL$20:AL$22,MATCH($E$1,IP!$C$20:$C$22,0))+SUMIFS(RN!AL$80:AL$82,RN!$C$80:$C$82,$E$1,RN!$N$80:$N$82,$D30)+(SUMIFS(RN!AL$71:AL$73,RN!$C$71:$C$73,$E$1,RN!$N$71:$N$73,$D30))*INDEX(RN!AL$20:AL$22,MATCH($E$1,RN!$C$20:$C$22,0))+(SUMIFS(RL!AL$83:AL$85,RL!$C$83:$C$85,$E$1,RL!$N$83:$N$85,$D30)+SUMIFS(RL!AL$74:AL$76,RL!$C$74:$C$76,$E$1,RL!$N$74:$N$76,$D30))*INDEX(RL!AL$20:AL$22,MATCH($E$1,RL!$C$20:$C$22,0))+(SUMIFS(LU!AL$83:AL$85,LU!$C$83:$C$85,$E$1,LU!$N$83:$N$85,$D30)+SUMIFS(LU!AL$74:AL$76,LU!$C$74:$C$76,$E$1,LU!$N$74:$N$76,$D30))*INDEX(LU!AL$20:AL$22,MATCH($E$1,LU!$C$20:$C$22,0))</f>
        <v>0</v>
      </c>
      <c r="AM30" s="613">
        <f>(SUMIFS(IP!AM$83:AM$85,IP!$C$83:$C$85,$E$1,IP!$N$83:$N$85,$D30)+SUMIFS(IP!AM$74:AM$76,IP!$C$74:$C$76,$E$1,IP!$O$74:$O$76,$D30))*INDEX(IP!AM$20:AM$22,MATCH($E$1,IP!$C$20:$C$22,0))+SUMIFS(RN!AM$80:AM$82,RN!$C$80:$C$82,$E$1,RN!$N$80:$N$82,$D30)+(SUMIFS(RN!AM$71:AM$73,RN!$C$71:$C$73,$E$1,RN!$N$71:$N$73,$D30))*INDEX(RN!AM$20:AM$22,MATCH($E$1,RN!$C$20:$C$22,0))+(SUMIFS(RL!AM$83:AM$85,RL!$C$83:$C$85,$E$1,RL!$N$83:$N$85,$D30)+SUMIFS(RL!AM$74:AM$76,RL!$C$74:$C$76,$E$1,RL!$N$74:$N$76,$D30))*INDEX(RL!AM$20:AM$22,MATCH($E$1,RL!$C$20:$C$22,0))+(SUMIFS(LU!AM$83:AM$85,LU!$C$83:$C$85,$E$1,LU!$N$83:$N$85,$D30)+SUMIFS(LU!AM$74:AM$76,LU!$C$74:$C$76,$E$1,LU!$N$74:$N$76,$D30))*INDEX(LU!AM$20:AM$22,MATCH($E$1,LU!$C$20:$C$22,0))</f>
        <v>0</v>
      </c>
      <c r="AN30" s="613">
        <f>(SUMIFS(IP!AN$83:AN$85,IP!$C$83:$C$85,$E$1,IP!$N$83:$N$85,$D30)+SUMIFS(IP!AN$74:AN$76,IP!$C$74:$C$76,$E$1,IP!$O$74:$O$76,$D30))*INDEX(IP!AN$20:AN$22,MATCH($E$1,IP!$C$20:$C$22,0))+SUMIFS(RN!AN$80:AN$82,RN!$C$80:$C$82,$E$1,RN!$N$80:$N$82,$D30)+(SUMIFS(RN!AN$71:AN$73,RN!$C$71:$C$73,$E$1,RN!$N$71:$N$73,$D30))*INDEX(RN!AN$20:AN$22,MATCH($E$1,RN!$C$20:$C$22,0))+(SUMIFS(RL!AN$83:AN$85,RL!$C$83:$C$85,$E$1,RL!$N$83:$N$85,$D30)+SUMIFS(RL!AN$74:AN$76,RL!$C$74:$C$76,$E$1,RL!$N$74:$N$76,$D30))*INDEX(RL!AN$20:AN$22,MATCH($E$1,RL!$C$20:$C$22,0))+(SUMIFS(LU!AN$83:AN$85,LU!$C$83:$C$85,$E$1,LU!$N$83:$N$85,$D30)+SUMIFS(LU!AN$74:AN$76,LU!$C$74:$C$76,$E$1,LU!$N$74:$N$76,$D30))*INDEX(LU!AN$20:AN$22,MATCH($E$1,LU!$C$20:$C$22,0))</f>
        <v>0</v>
      </c>
      <c r="AO30" s="613">
        <f>(SUMIFS(IP!AO$83:AO$85,IP!$C$83:$C$85,$E$1,IP!$N$83:$N$85,$D30)+SUMIFS(IP!AO$74:AO$76,IP!$C$74:$C$76,$E$1,IP!$O$74:$O$76,$D30))*INDEX(IP!AO$20:AO$22,MATCH($E$1,IP!$C$20:$C$22,0))+SUMIFS(RN!AO$80:AO$82,RN!$C$80:$C$82,$E$1,RN!$N$80:$N$82,$D30)+(SUMIFS(RN!AO$71:AO$73,RN!$C$71:$C$73,$E$1,RN!$N$71:$N$73,$D30))*INDEX(RN!AO$20:AO$22,MATCH($E$1,RN!$C$20:$C$22,0))+(SUMIFS(RL!AO$83:AO$85,RL!$C$83:$C$85,$E$1,RL!$N$83:$N$85,$D30)+SUMIFS(RL!AO$74:AO$76,RL!$C$74:$C$76,$E$1,RL!$N$74:$N$76,$D30))*INDEX(RL!AO$20:AO$22,MATCH($E$1,RL!$C$20:$C$22,0))+(SUMIFS(LU!AO$83:AO$85,LU!$C$83:$C$85,$E$1,LU!$N$83:$N$85,$D30)+SUMIFS(LU!AO$74:AO$76,LU!$C$74:$C$76,$E$1,LU!$N$74:$N$76,$D30))*INDEX(LU!AO$20:AO$22,MATCH($E$1,LU!$C$20:$C$22,0))</f>
        <v>0</v>
      </c>
      <c r="AP30" s="613">
        <f>(SUMIFS(IP!AP$83:AP$85,IP!$C$83:$C$85,$E$1,IP!$N$83:$N$85,$D30)+SUMIFS(IP!AP$74:AP$76,IP!$C$74:$C$76,$E$1,IP!$O$74:$O$76,$D30))*INDEX(IP!AP$20:AP$22,MATCH($E$1,IP!$C$20:$C$22,0))+SUMIFS(RN!AP$80:AP$82,RN!$C$80:$C$82,$E$1,RN!$N$80:$N$82,$D30)+(SUMIFS(RN!AP$71:AP$73,RN!$C$71:$C$73,$E$1,RN!$N$71:$N$73,$D30))*INDEX(RN!AP$20:AP$22,MATCH($E$1,RN!$C$20:$C$22,0))+(SUMIFS(RL!AP$83:AP$85,RL!$C$83:$C$85,$E$1,RL!$N$83:$N$85,$D30)+SUMIFS(RL!AP$74:AP$76,RL!$C$74:$C$76,$E$1,RL!$N$74:$N$76,$D30))*INDEX(RL!AP$20:AP$22,MATCH($E$1,RL!$C$20:$C$22,0))+(SUMIFS(LU!AP$83:AP$85,LU!$C$83:$C$85,$E$1,LU!$N$83:$N$85,$D30)+SUMIFS(LU!AP$74:AP$76,LU!$C$74:$C$76,$E$1,LU!$N$74:$N$76,$D30))*INDEX(LU!AP$20:AP$22,MATCH($E$1,LU!$C$20:$C$22,0))</f>
        <v>0</v>
      </c>
      <c r="AQ30" s="613">
        <f>(SUMIFS(IP!AQ$83:AQ$85,IP!$C$83:$C$85,$E$1,IP!$N$83:$N$85,$D30)+SUMIFS(IP!AQ$74:AQ$76,IP!$C$74:$C$76,$E$1,IP!$O$74:$O$76,$D30))*INDEX(IP!AQ$20:AQ$22,MATCH($E$1,IP!$C$20:$C$22,0))+SUMIFS(RN!AQ$80:AQ$82,RN!$C$80:$C$82,$E$1,RN!$N$80:$N$82,$D30)+(SUMIFS(RN!AQ$71:AQ$73,RN!$C$71:$C$73,$E$1,RN!$N$71:$N$73,$D30))*INDEX(RN!AQ$20:AQ$22,MATCH($E$1,RN!$C$20:$C$22,0))+(SUMIFS(RL!AQ$83:AQ$85,RL!$C$83:$C$85,$E$1,RL!$N$83:$N$85,$D30)+SUMIFS(RL!AQ$74:AQ$76,RL!$C$74:$C$76,$E$1,RL!$N$74:$N$76,$D30))*INDEX(RL!AQ$20:AQ$22,MATCH($E$1,RL!$C$20:$C$22,0))+(SUMIFS(LU!AQ$83:AQ$85,LU!$C$83:$C$85,$E$1,LU!$N$83:$N$85,$D30)+SUMIFS(LU!AQ$74:AQ$76,LU!$C$74:$C$76,$E$1,LU!$N$74:$N$76,$D30))*INDEX(LU!AQ$20:AQ$22,MATCH($E$1,LU!$C$20:$C$22,0))</f>
        <v>0</v>
      </c>
      <c r="AR30" s="613">
        <f>(SUMIFS(IP!AR$83:AR$85,IP!$C$83:$C$85,$E$1,IP!$N$83:$N$85,$D30)+SUMIFS(IP!AR$74:AR$76,IP!$C$74:$C$76,$E$1,IP!$O$74:$O$76,$D30))*INDEX(IP!AR$20:AR$22,MATCH($E$1,IP!$C$20:$C$22,0))+SUMIFS(RN!AR$80:AR$82,RN!$C$80:$C$82,$E$1,RN!$N$80:$N$82,$D30)+(SUMIFS(RN!AR$71:AR$73,RN!$C$71:$C$73,$E$1,RN!$N$71:$N$73,$D30))*INDEX(RN!AR$20:AR$22,MATCH($E$1,RN!$C$20:$C$22,0))+(SUMIFS(RL!AR$83:AR$85,RL!$C$83:$C$85,$E$1,RL!$N$83:$N$85,$D30)+SUMIFS(RL!AR$74:AR$76,RL!$C$74:$C$76,$E$1,RL!$N$74:$N$76,$D30))*INDEX(RL!AR$20:AR$22,MATCH($E$1,RL!$C$20:$C$22,0))+(SUMIFS(LU!AR$83:AR$85,LU!$C$83:$C$85,$E$1,LU!$N$83:$N$85,$D30)+SUMIFS(LU!AR$74:AR$76,LU!$C$74:$C$76,$E$1,LU!$N$74:$N$76,$D30))*INDEX(LU!AR$20:AR$22,MATCH($E$1,LU!$C$20:$C$22,0))</f>
        <v>0</v>
      </c>
      <c r="AS30" s="613">
        <f>(SUMIFS(IP!AS$83:AS$85,IP!$C$83:$C$85,$E$1,IP!$N$83:$N$85,$D30)+SUMIFS(IP!AS$74:AS$76,IP!$C$74:$C$76,$E$1,IP!$O$74:$O$76,$D30))*INDEX(IP!AS$20:AS$22,MATCH($E$1,IP!$C$20:$C$22,0))+SUMIFS(RN!AS$80:AS$82,RN!$C$80:$C$82,$E$1,RN!$N$80:$N$82,$D30)+(SUMIFS(RN!AS$71:AS$73,RN!$C$71:$C$73,$E$1,RN!$N$71:$N$73,$D30))*INDEX(RN!AS$20:AS$22,MATCH($E$1,RN!$C$20:$C$22,0))+(SUMIFS(RL!AS$83:AS$85,RL!$C$83:$C$85,$E$1,RL!$N$83:$N$85,$D30)+SUMIFS(RL!AS$74:AS$76,RL!$C$74:$C$76,$E$1,RL!$N$74:$N$76,$D30))*INDEX(RL!AS$20:AS$22,MATCH($E$1,RL!$C$20:$C$22,0))+(SUMIFS(LU!AS$83:AS$85,LU!$C$83:$C$85,$E$1,LU!$N$83:$N$85,$D30)+SUMIFS(LU!AS$74:AS$76,LU!$C$74:$C$76,$E$1,LU!$N$74:$N$76,$D30))*INDEX(LU!AS$20:AS$22,MATCH($E$1,LU!$C$20:$C$22,0))</f>
        <v>0</v>
      </c>
      <c r="AT30" s="613">
        <f>(SUMIFS(IP!AT$83:AT$85,IP!$C$83:$C$85,$E$1,IP!$N$83:$N$85,$D30)+SUMIFS(IP!AT$74:AT$76,IP!$C$74:$C$76,$E$1,IP!$O$74:$O$76,$D30))*INDEX(IP!AT$20:AT$22,MATCH($E$1,IP!$C$20:$C$22,0))+SUMIFS(RN!AT$80:AT$82,RN!$C$80:$C$82,$E$1,RN!$N$80:$N$82,$D30)+(SUMIFS(RN!AT$71:AT$73,RN!$C$71:$C$73,$E$1,RN!$N$71:$N$73,$D30))*INDEX(RN!AT$20:AT$22,MATCH($E$1,RN!$C$20:$C$22,0))+(SUMIFS(RL!AT$83:AT$85,RL!$C$83:$C$85,$E$1,RL!$N$83:$N$85,$D30)+SUMIFS(RL!AT$74:AT$76,RL!$C$74:$C$76,$E$1,RL!$N$74:$N$76,$D30))*INDEX(RL!AT$20:AT$22,MATCH($E$1,RL!$C$20:$C$22,0))+(SUMIFS(LU!AT$83:AT$85,LU!$C$83:$C$85,$E$1,LU!$N$83:$N$85,$D30)+SUMIFS(LU!AT$74:AT$76,LU!$C$74:$C$76,$E$1,LU!$N$74:$N$76,$D30))*INDEX(LU!AT$20:AT$22,MATCH($E$1,LU!$C$20:$C$22,0))</f>
        <v>0</v>
      </c>
      <c r="AU30" s="613">
        <f>(SUMIFS(IP!AU$83:AU$85,IP!$C$83:$C$85,$E$1,IP!$N$83:$N$85,$D30)+SUMIFS(IP!AU$74:AU$76,IP!$C$74:$C$76,$E$1,IP!$O$74:$O$76,$D30))*INDEX(IP!AU$20:AU$22,MATCH($E$1,IP!$C$20:$C$22,0))+SUMIFS(RN!AU$80:AU$82,RN!$C$80:$C$82,$E$1,RN!$N$80:$N$82,$D30)+(SUMIFS(RN!AU$71:AU$73,RN!$C$71:$C$73,$E$1,RN!$N$71:$N$73,$D30))*INDEX(RN!AU$20:AU$22,MATCH($E$1,RN!$C$20:$C$22,0))+(SUMIFS(RL!AU$83:AU$85,RL!$C$83:$C$85,$E$1,RL!$N$83:$N$85,$D30)+SUMIFS(RL!AU$74:AU$76,RL!$C$74:$C$76,$E$1,RL!$N$74:$N$76,$D30))*INDEX(RL!AU$20:AU$22,MATCH($E$1,RL!$C$20:$C$22,0))+(SUMIFS(LU!AU$83:AU$85,LU!$C$83:$C$85,$E$1,LU!$N$83:$N$85,$D30)+SUMIFS(LU!AU$74:AU$76,LU!$C$74:$C$76,$E$1,LU!$N$74:$N$76,$D30))*INDEX(LU!AU$20:AU$22,MATCH($E$1,LU!$C$20:$C$22,0))</f>
        <v>0</v>
      </c>
      <c r="AV30" s="613">
        <f>(SUMIFS(IP!AV$83:AV$85,IP!$C$83:$C$85,$E$1,IP!$N$83:$N$85,$D30)+SUMIFS(IP!AV$74:AV$76,IP!$C$74:$C$76,$E$1,IP!$O$74:$O$76,$D30))*INDEX(IP!AV$20:AV$22,MATCH($E$1,IP!$C$20:$C$22,0))+SUMIFS(RN!AV$80:AV$82,RN!$C$80:$C$82,$E$1,RN!$N$80:$N$82,$D30)+(SUMIFS(RN!AV$71:AV$73,RN!$C$71:$C$73,$E$1,RN!$N$71:$N$73,$D30))*INDEX(RN!AV$20:AV$22,MATCH($E$1,RN!$C$20:$C$22,0))+(SUMIFS(RL!AV$83:AV$85,RL!$C$83:$C$85,$E$1,RL!$N$83:$N$85,$D30)+SUMIFS(RL!AV$74:AV$76,RL!$C$74:$C$76,$E$1,RL!$N$74:$N$76,$D30))*INDEX(RL!AV$20:AV$22,MATCH($E$1,RL!$C$20:$C$22,0))+(SUMIFS(LU!AV$83:AV$85,LU!$C$83:$C$85,$E$1,LU!$N$83:$N$85,$D30)+SUMIFS(LU!AV$74:AV$76,LU!$C$74:$C$76,$E$1,LU!$N$74:$N$76,$D30))*INDEX(LU!AV$20:AV$22,MATCH($E$1,LU!$C$20:$C$22,0))</f>
        <v>0</v>
      </c>
      <c r="AW30" s="613">
        <f>(SUMIFS(IP!AW$83:AW$85,IP!$C$83:$C$85,$E$1,IP!$N$83:$N$85,$D30)+SUMIFS(IP!AW$74:AW$76,IP!$C$74:$C$76,$E$1,IP!$O$74:$O$76,$D30))*INDEX(IP!AW$20:AW$22,MATCH($E$1,IP!$C$20:$C$22,0))+SUMIFS(RN!AW$80:AW$82,RN!$C$80:$C$82,$E$1,RN!$N$80:$N$82,$D30)+(SUMIFS(RN!AW$71:AW$73,RN!$C$71:$C$73,$E$1,RN!$N$71:$N$73,$D30))*INDEX(RN!AW$20:AW$22,MATCH($E$1,RN!$C$20:$C$22,0))+(SUMIFS(RL!AW$83:AW$85,RL!$C$83:$C$85,$E$1,RL!$N$83:$N$85,$D30)+SUMIFS(RL!AW$74:AW$76,RL!$C$74:$C$76,$E$1,RL!$N$74:$N$76,$D30))*INDEX(RL!AW$20:AW$22,MATCH($E$1,RL!$C$20:$C$22,0))+(SUMIFS(LU!AW$83:AW$85,LU!$C$83:$C$85,$E$1,LU!$N$83:$N$85,$D30)+SUMIFS(LU!AW$74:AW$76,LU!$C$74:$C$76,$E$1,LU!$N$74:$N$76,$D30))*INDEX(LU!AW$20:AW$22,MATCH($E$1,LU!$C$20:$C$22,0))</f>
        <v>0</v>
      </c>
      <c r="AX30" s="613">
        <f>(SUMIFS(IP!AX$83:AX$85,IP!$C$83:$C$85,$E$1,IP!$N$83:$N$85,$D30)+SUMIFS(IP!AX$74:AX$76,IP!$C$74:$C$76,$E$1,IP!$O$74:$O$76,$D30))*INDEX(IP!AX$20:AX$22,MATCH($E$1,IP!$C$20:$C$22,0))+SUMIFS(RN!AX$80:AX$82,RN!$C$80:$C$82,$E$1,RN!$N$80:$N$82,$D30)+(SUMIFS(RN!AX$71:AX$73,RN!$C$71:$C$73,$E$1,RN!$N$71:$N$73,$D30))*INDEX(RN!AX$20:AX$22,MATCH($E$1,RN!$C$20:$C$22,0))+(SUMIFS(RL!AX$83:AX$85,RL!$C$83:$C$85,$E$1,RL!$N$83:$N$85,$D30)+SUMIFS(RL!AX$74:AX$76,RL!$C$74:$C$76,$E$1,RL!$N$74:$N$76,$D30))*INDEX(RL!AX$20:AX$22,MATCH($E$1,RL!$C$20:$C$22,0))+(SUMIFS(LU!AX$83:AX$85,LU!$C$83:$C$85,$E$1,LU!$N$83:$N$85,$D30)+SUMIFS(LU!AX$74:AX$76,LU!$C$74:$C$76,$E$1,LU!$N$74:$N$76,$D30))*INDEX(LU!AX$20:AX$22,MATCH($E$1,LU!$C$20:$C$22,0))</f>
        <v>0</v>
      </c>
      <c r="AY30" s="613">
        <f>(SUMIFS(IP!AY$83:AY$85,IP!$C$83:$C$85,$E$1,IP!$N$83:$N$85,$D30)+SUMIFS(IP!AY$74:AY$76,IP!$C$74:$C$76,$E$1,IP!$O$74:$O$76,$D30))*INDEX(IP!AY$20:AY$22,MATCH($E$1,IP!$C$20:$C$22,0))+SUMIFS(RN!AY$80:AY$82,RN!$C$80:$C$82,$E$1,RN!$N$80:$N$82,$D30)+(SUMIFS(RN!AY$71:AY$73,RN!$C$71:$C$73,$E$1,RN!$N$71:$N$73,$D30))*INDEX(RN!AY$20:AY$22,MATCH($E$1,RN!$C$20:$C$22,0))+(SUMIFS(RL!AY$83:AY$85,RL!$C$83:$C$85,$E$1,RL!$N$83:$N$85,$D30)+SUMIFS(RL!AY$74:AY$76,RL!$C$74:$C$76,$E$1,RL!$N$74:$N$76,$D30))*INDEX(RL!AY$20:AY$22,MATCH($E$1,RL!$C$20:$C$22,0))+(SUMIFS(LU!AY$83:AY$85,LU!$C$83:$C$85,$E$1,LU!$N$83:$N$85,$D30)+SUMIFS(LU!AY$74:AY$76,LU!$C$74:$C$76,$E$1,LU!$N$74:$N$76,$D30))*INDEX(LU!AY$20:AY$22,MATCH($E$1,LU!$C$20:$C$22,0))</f>
        <v>0</v>
      </c>
      <c r="AZ30" s="613">
        <f>(SUMIFS(IP!AZ$83:AZ$85,IP!$C$83:$C$85,$E$1,IP!$N$83:$N$85,$D30)+SUMIFS(IP!AZ$74:AZ$76,IP!$C$74:$C$76,$E$1,IP!$O$74:$O$76,$D30))*INDEX(IP!AZ$20:AZ$22,MATCH($E$1,IP!$C$20:$C$22,0))+SUMIFS(RN!AZ$80:AZ$82,RN!$C$80:$C$82,$E$1,RN!$N$80:$N$82,$D30)+(SUMIFS(RN!AZ$71:AZ$73,RN!$C$71:$C$73,$E$1,RN!$N$71:$N$73,$D30))*INDEX(RN!AZ$20:AZ$22,MATCH($E$1,RN!$C$20:$C$22,0))+(SUMIFS(RL!AZ$83:AZ$85,RL!$C$83:$C$85,$E$1,RL!$N$83:$N$85,$D30)+SUMIFS(RL!AZ$74:AZ$76,RL!$C$74:$C$76,$E$1,RL!$N$74:$N$76,$D30))*INDEX(RL!AZ$20:AZ$22,MATCH($E$1,RL!$C$20:$C$22,0))+(SUMIFS(LU!AZ$83:AZ$85,LU!$C$83:$C$85,$E$1,LU!$N$83:$N$85,$D30)+SUMIFS(LU!AZ$74:AZ$76,LU!$C$74:$C$76,$E$1,LU!$N$74:$N$76,$D30))*INDEX(LU!AZ$20:AZ$22,MATCH($E$1,LU!$C$20:$C$22,0))</f>
        <v>0</v>
      </c>
      <c r="BA30" s="613">
        <f>(SUMIFS(IP!BA$83:BA$85,IP!$C$83:$C$85,$E$1,IP!$N$83:$N$85,$D30)+SUMIFS(IP!BA$74:BA$76,IP!$C$74:$C$76,$E$1,IP!$O$74:$O$76,$D30))*INDEX(IP!BA$20:BA$22,MATCH($E$1,IP!$C$20:$C$22,0))+SUMIFS(RN!BA$80:BA$82,RN!$C$80:$C$82,$E$1,RN!$N$80:$N$82,$D30)+(SUMIFS(RN!BA$71:BA$73,RN!$C$71:$C$73,$E$1,RN!$N$71:$N$73,$D30))*INDEX(RN!BA$20:BA$22,MATCH($E$1,RN!$C$20:$C$22,0))+(SUMIFS(RL!BA$83:BA$85,RL!$C$83:$C$85,$E$1,RL!$N$83:$N$85,$D30)+SUMIFS(RL!BA$74:BA$76,RL!$C$74:$C$76,$E$1,RL!$N$74:$N$76,$D30))*INDEX(RL!BA$20:BA$22,MATCH($E$1,RL!$C$20:$C$22,0))+(SUMIFS(LU!BA$83:BA$85,LU!$C$83:$C$85,$E$1,LU!$N$83:$N$85,$D30)+SUMIFS(LU!BA$74:BA$76,LU!$C$74:$C$76,$E$1,LU!$N$74:$N$76,$D30))*INDEX(LU!BA$20:BA$22,MATCH($E$1,LU!$C$20:$C$22,0))</f>
        <v>0</v>
      </c>
      <c r="BB30" s="613">
        <f>(SUMIFS(IP!BB$83:BB$85,IP!$C$83:$C$85,$E$1,IP!$N$83:$N$85,$D30)+SUMIFS(IP!BB$74:BB$76,IP!$C$74:$C$76,$E$1,IP!$O$74:$O$76,$D30))*INDEX(IP!BB$20:BB$22,MATCH($E$1,IP!$C$20:$C$22,0))+SUMIFS(RN!BB$80:BB$82,RN!$C$80:$C$82,$E$1,RN!$N$80:$N$82,$D30)+(SUMIFS(RN!BB$71:BB$73,RN!$C$71:$C$73,$E$1,RN!$N$71:$N$73,$D30))*INDEX(RN!BB$20:BB$22,MATCH($E$1,RN!$C$20:$C$22,0))+(SUMIFS(RL!BB$83:BB$85,RL!$C$83:$C$85,$E$1,RL!$N$83:$N$85,$D30)+SUMIFS(RL!BB$74:BB$76,RL!$C$74:$C$76,$E$1,RL!$N$74:$N$76,$D30))*INDEX(RL!BB$20:BB$22,MATCH($E$1,RL!$C$20:$C$22,0))+(SUMIFS(LU!BB$83:BB$85,LU!$C$83:$C$85,$E$1,LU!$N$83:$N$85,$D30)+SUMIFS(LU!BB$74:BB$76,LU!$C$74:$C$76,$E$1,LU!$N$74:$N$76,$D30))*INDEX(LU!BB$20:BB$22,MATCH($E$1,LU!$C$20:$C$22,0))</f>
        <v>0</v>
      </c>
      <c r="BC30" s="613">
        <f>(SUMIFS(IP!BC$83:BC$85,IP!$C$83:$C$85,$E$1,IP!$N$83:$N$85,$D30)+SUMIFS(IP!BC$74:BC$76,IP!$C$74:$C$76,$E$1,IP!$O$74:$O$76,$D30))*INDEX(IP!BC$20:BC$22,MATCH($E$1,IP!$C$20:$C$22,0))+SUMIFS(RN!BC$80:BC$82,RN!$C$80:$C$82,$E$1,RN!$N$80:$N$82,$D30)+(SUMIFS(RN!BC$71:BC$73,RN!$C$71:$C$73,$E$1,RN!$N$71:$N$73,$D30))*INDEX(RN!BC$20:BC$22,MATCH($E$1,RN!$C$20:$C$22,0))+(SUMIFS(RL!BC$83:BC$85,RL!$C$83:$C$85,$E$1,RL!$N$83:$N$85,$D30)+SUMIFS(RL!BC$74:BC$76,RL!$C$74:$C$76,$E$1,RL!$N$74:$N$76,$D30))*INDEX(RL!BC$20:BC$22,MATCH($E$1,RL!$C$20:$C$22,0))+(SUMIFS(LU!BC$83:BC$85,LU!$C$83:$C$85,$E$1,LU!$N$83:$N$85,$D30)+SUMIFS(LU!BC$74:BC$76,LU!$C$74:$C$76,$E$1,LU!$N$74:$N$76,$D30))*INDEX(LU!BC$20:BC$22,MATCH($E$1,LU!$C$20:$C$22,0))</f>
        <v>0</v>
      </c>
      <c r="BD30" s="613">
        <f>(SUMIFS(IP!BD$83:BD$85,IP!$C$83:$C$85,$E$1,IP!$N$83:$N$85,$D30)+SUMIFS(IP!BD$74:BD$76,IP!$C$74:$C$76,$E$1,IP!$O$74:$O$76,$D30))*INDEX(IP!BD$20:BD$22,MATCH($E$1,IP!$C$20:$C$22,0))+SUMIFS(RN!BD$80:BD$82,RN!$C$80:$C$82,$E$1,RN!$N$80:$N$82,$D30)+(SUMIFS(RN!BD$71:BD$73,RN!$C$71:$C$73,$E$1,RN!$N$71:$N$73,$D30))*INDEX(RN!BD$20:BD$22,MATCH($E$1,RN!$C$20:$C$22,0))+(SUMIFS(RL!BD$83:BD$85,RL!$C$83:$C$85,$E$1,RL!$N$83:$N$85,$D30)+SUMIFS(RL!BD$74:BD$76,RL!$C$74:$C$76,$E$1,RL!$N$74:$N$76,$D30))*INDEX(RL!BD$20:BD$22,MATCH($E$1,RL!$C$20:$C$22,0))+(SUMIFS(LU!BD$83:BD$85,LU!$C$83:$C$85,$E$1,LU!$N$83:$N$85,$D30)+SUMIFS(LU!BD$74:BD$76,LU!$C$74:$C$76,$E$1,LU!$N$74:$N$76,$D30))*INDEX(LU!BD$20:BD$22,MATCH($E$1,LU!$C$20:$C$22,0))</f>
        <v>0</v>
      </c>
      <c r="BE30" s="613">
        <f>(SUMIFS(IP!BE$83:BE$85,IP!$C$83:$C$85,$E$1,IP!$N$83:$N$85,$D30)+SUMIFS(IP!BE$74:BE$76,IP!$C$74:$C$76,$E$1,IP!$O$74:$O$76,$D30))*INDEX(IP!BE$20:BE$22,MATCH($E$1,IP!$C$20:$C$22,0))+SUMIFS(RN!BE$80:BE$82,RN!$C$80:$C$82,$E$1,RN!$N$80:$N$82,$D30)+(SUMIFS(RN!BE$71:BE$73,RN!$C$71:$C$73,$E$1,RN!$N$71:$N$73,$D30))*INDEX(RN!BE$20:BE$22,MATCH($E$1,RN!$C$20:$C$22,0))+(SUMIFS(RL!BE$83:BE$85,RL!$C$83:$C$85,$E$1,RL!$N$83:$N$85,$D30)+SUMIFS(RL!BE$74:BE$76,RL!$C$74:$C$76,$E$1,RL!$N$74:$N$76,$D30))*INDEX(RL!BE$20:BE$22,MATCH($E$1,RL!$C$20:$C$22,0))+(SUMIFS(LU!BE$83:BE$85,LU!$C$83:$C$85,$E$1,LU!$N$83:$N$85,$D30)+SUMIFS(LU!BE$74:BE$76,LU!$C$74:$C$76,$E$1,LU!$N$74:$N$76,$D30))*INDEX(LU!BE$20:BE$22,MATCH($E$1,LU!$C$20:$C$22,0))</f>
        <v>0</v>
      </c>
      <c r="BF30" s="613">
        <f>(SUMIFS(IP!BF$83:BF$85,IP!$C$83:$C$85,$E$1,IP!$N$83:$N$85,$D30)+SUMIFS(IP!BF$74:BF$76,IP!$C$74:$C$76,$E$1,IP!$O$74:$O$76,$D30))*INDEX(IP!BF$20:BF$22,MATCH($E$1,IP!$C$20:$C$22,0))+SUMIFS(RN!BF$80:BF$82,RN!$C$80:$C$82,$E$1,RN!$N$80:$N$82,$D30)+(SUMIFS(RN!BF$71:BF$73,RN!$C$71:$C$73,$E$1,RN!$N$71:$N$73,$D30))*INDEX(RN!BF$20:BF$22,MATCH($E$1,RN!$C$20:$C$22,0))+(SUMIFS(RL!BF$83:BF$85,RL!$C$83:$C$85,$E$1,RL!$N$83:$N$85,$D30)+SUMIFS(RL!BF$74:BF$76,RL!$C$74:$C$76,$E$1,RL!$N$74:$N$76,$D30))*INDEX(RL!BF$20:BF$22,MATCH($E$1,RL!$C$20:$C$22,0))+(SUMIFS(LU!BF$83:BF$85,LU!$C$83:$C$85,$E$1,LU!$N$83:$N$85,$D30)+SUMIFS(LU!BF$74:BF$76,LU!$C$74:$C$76,$E$1,LU!$N$74:$N$76,$D30))*INDEX(LU!BF$20:BF$22,MATCH($E$1,LU!$C$20:$C$22,0))</f>
        <v>0</v>
      </c>
      <c r="BG30" s="613">
        <f>(SUMIFS(IP!BG$83:BG$85,IP!$C$83:$C$85,$E$1,IP!$N$83:$N$85,$D30)+SUMIFS(IP!BG$74:BG$76,IP!$C$74:$C$76,$E$1,IP!$O$74:$O$76,$D30))*INDEX(IP!BG$20:BG$22,MATCH($E$1,IP!$C$20:$C$22,0))+SUMIFS(RN!BG$80:BG$82,RN!$C$80:$C$82,$E$1,RN!$N$80:$N$82,$D30)+(SUMIFS(RN!BG$71:BG$73,RN!$C$71:$C$73,$E$1,RN!$N$71:$N$73,$D30))*INDEX(RN!BG$20:BG$22,MATCH($E$1,RN!$C$20:$C$22,0))+(SUMIFS(RL!BG$83:BG$85,RL!$C$83:$C$85,$E$1,RL!$N$83:$N$85,$D30)+SUMIFS(RL!BG$74:BG$76,RL!$C$74:$C$76,$E$1,RL!$N$74:$N$76,$D30))*INDEX(RL!BG$20:BG$22,MATCH($E$1,RL!$C$20:$C$22,0))+(SUMIFS(LU!BG$83:BG$85,LU!$C$83:$C$85,$E$1,LU!$N$83:$N$85,$D30)+SUMIFS(LU!BG$74:BG$76,LU!$C$74:$C$76,$E$1,LU!$N$74:$N$76,$D30))*INDEX(LU!BG$20:BG$22,MATCH($E$1,LU!$C$20:$C$22,0))</f>
        <v>0</v>
      </c>
      <c r="BI30" s="627" t="s">
        <v>153</v>
      </c>
      <c r="BM30" s="628">
        <f t="shared" si="0"/>
        <v>0</v>
      </c>
      <c r="BN30" s="628">
        <f t="shared" si="0"/>
        <v>0</v>
      </c>
      <c r="BO30" s="628">
        <f t="shared" si="0"/>
        <v>0</v>
      </c>
      <c r="BP30" s="628">
        <f t="shared" si="0"/>
        <v>0</v>
      </c>
      <c r="BQ30" s="628">
        <f t="shared" si="0"/>
        <v>0</v>
      </c>
      <c r="BR30" s="628">
        <f t="shared" si="0"/>
        <v>0</v>
      </c>
      <c r="BS30" s="628">
        <f t="shared" si="0"/>
        <v>0</v>
      </c>
      <c r="BT30" s="628">
        <f t="shared" si="0"/>
        <v>0</v>
      </c>
      <c r="BU30" s="628">
        <f t="shared" si="0"/>
        <v>0</v>
      </c>
      <c r="BV30" s="628">
        <f t="shared" si="0"/>
        <v>0</v>
      </c>
      <c r="BX30" s="629" t="s">
        <v>153</v>
      </c>
    </row>
    <row r="31" spans="2:78">
      <c r="B31" s="607"/>
      <c r="D31" s="630" t="s">
        <v>152</v>
      </c>
      <c r="E31" s="253"/>
      <c r="F31" s="253"/>
      <c r="G31" s="253"/>
      <c r="H31" s="253"/>
      <c r="I31" s="253"/>
      <c r="J31" s="253"/>
      <c r="K31" s="253"/>
      <c r="L31" s="253"/>
      <c r="M31" s="253"/>
      <c r="N31" s="253"/>
      <c r="O31" s="253"/>
      <c r="P31" s="253"/>
      <c r="Q31" s="253"/>
      <c r="R31" s="253"/>
      <c r="S31" s="253"/>
      <c r="T31" s="631">
        <f>SUMIFS(PCF!T$36:T$38,PCF!$C$36:$C$38,$E$1)</f>
        <v>0</v>
      </c>
      <c r="U31" s="631">
        <f>SUMIFS(PCF!U$36:U$38,PCF!$C$36:$C$38,$E$1)</f>
        <v>0</v>
      </c>
      <c r="V31" s="631">
        <f>SUMIFS(PCF!V$36:V$38,PCF!$C$36:$C$38,$E$1)</f>
        <v>1000</v>
      </c>
      <c r="W31" s="631">
        <f>SUMIFS(PCF!W$36:W$38,PCF!$C$36:$C$38,$E$1)</f>
        <v>1000</v>
      </c>
      <c r="X31" s="631">
        <f>SUMIFS(PCF!X$36:X$38,PCF!$C$36:$C$38,$E$1)</f>
        <v>1000</v>
      </c>
      <c r="Y31" s="631">
        <f>SUMIFS(PCF!Y$36:Y$38,PCF!$C$36:$C$38,$E$1)</f>
        <v>1000</v>
      </c>
      <c r="Z31" s="631">
        <f>SUMIFS(PCF!Z$36:Z$38,PCF!$C$36:$C$38,$E$1)</f>
        <v>1000</v>
      </c>
      <c r="AA31" s="631">
        <f>SUMIFS(PCF!AA$36:AA$38,PCF!$C$36:$C$38,$E$1)</f>
        <v>1000</v>
      </c>
      <c r="AB31" s="631">
        <f>SUMIFS(PCF!AB$36:AB$38,PCF!$C$36:$C$38,$E$1)</f>
        <v>1000</v>
      </c>
      <c r="AC31" s="631">
        <f>SUMIFS(PCF!AC$36:AC$38,PCF!$C$36:$C$38,$E$1)</f>
        <v>1000</v>
      </c>
      <c r="AD31" s="631">
        <f>SUMIFS(PCF!AD$36:AD$38,PCF!$C$36:$C$38,$E$1)</f>
        <v>1000</v>
      </c>
      <c r="AE31" s="631">
        <f>SUMIFS(PCF!AE$36:AE$38,PCF!$C$36:$C$38,$E$1)</f>
        <v>1000</v>
      </c>
      <c r="AF31" s="631">
        <f>SUMIFS(PCF!AF$36:AF$38,PCF!$C$36:$C$38,$E$1)</f>
        <v>0</v>
      </c>
      <c r="AG31" s="631">
        <f>SUMIFS(PCF!AG$36:AG$38,PCF!$C$36:$C$38,$E$1)</f>
        <v>0</v>
      </c>
      <c r="AH31" s="631">
        <f>SUMIFS(PCF!AH$36:AH$38,PCF!$C$36:$C$38,$E$1)</f>
        <v>0</v>
      </c>
      <c r="AI31" s="631">
        <f>SUMIFS(PCF!AI$36:AI$38,PCF!$C$36:$C$38,$E$1)</f>
        <v>0</v>
      </c>
      <c r="AJ31" s="631">
        <f>SUMIFS(PCF!AJ$36:AJ$38,PCF!$C$36:$C$38,$E$1)</f>
        <v>0</v>
      </c>
      <c r="AK31" s="631">
        <f>SUMIFS(PCF!AK$36:AK$38,PCF!$C$36:$C$38,$E$1)</f>
        <v>0</v>
      </c>
      <c r="AL31" s="631">
        <f>SUMIFS(PCF!AL$36:AL$38,PCF!$C$36:$C$38,$E$1)</f>
        <v>0</v>
      </c>
      <c r="AM31" s="631">
        <f>SUMIFS(PCF!AM$36:AM$38,PCF!$C$36:$C$38,$E$1)</f>
        <v>0</v>
      </c>
      <c r="AN31" s="631">
        <f>SUMIFS(PCF!AN$36:AN$38,PCF!$C$36:$C$38,$E$1)</f>
        <v>0</v>
      </c>
      <c r="AO31" s="631">
        <f>SUMIFS(PCF!AO$36:AO$38,PCF!$C$36:$C$38,$E$1)</f>
        <v>0</v>
      </c>
      <c r="AP31" s="631">
        <f>SUMIFS(PCF!AP$36:AP$38,PCF!$C$36:$C$38,$E$1)</f>
        <v>0</v>
      </c>
      <c r="AQ31" s="631">
        <f>SUMIFS(PCF!AQ$36:AQ$38,PCF!$C$36:$C$38,$E$1)</f>
        <v>0</v>
      </c>
      <c r="AR31" s="631">
        <f>SUMIFS(PCF!AR$36:AR$38,PCF!$C$36:$C$38,$E$1)</f>
        <v>0</v>
      </c>
      <c r="AS31" s="631">
        <f>SUMIFS(PCF!AS$36:AS$38,PCF!$C$36:$C$38,$E$1)</f>
        <v>0</v>
      </c>
      <c r="AT31" s="631">
        <f>SUMIFS(PCF!AT$36:AT$38,PCF!$C$36:$C$38,$E$1)</f>
        <v>0</v>
      </c>
      <c r="AU31" s="631">
        <f>SUMIFS(PCF!AU$36:AU$38,PCF!$C$36:$C$38,$E$1)</f>
        <v>0</v>
      </c>
      <c r="AV31" s="631">
        <f>SUMIFS(PCF!AV$36:AV$38,PCF!$C$36:$C$38,$E$1)</f>
        <v>0</v>
      </c>
      <c r="AW31" s="631">
        <f>SUMIFS(PCF!AW$36:AW$38,PCF!$C$36:$C$38,$E$1)</f>
        <v>0</v>
      </c>
      <c r="AX31" s="631">
        <f>SUMIFS(PCF!AX$36:AX$38,PCF!$C$36:$C$38,$E$1)</f>
        <v>0</v>
      </c>
      <c r="AY31" s="631">
        <f>SUMIFS(PCF!AY$36:AY$38,PCF!$C$36:$C$38,$E$1)</f>
        <v>0</v>
      </c>
      <c r="AZ31" s="631">
        <f>SUMIFS(PCF!AZ$36:AZ$38,PCF!$C$36:$C$38,$E$1)</f>
        <v>0</v>
      </c>
      <c r="BA31" s="631">
        <f>SUMIFS(PCF!BA$36:BA$38,PCF!$C$36:$C$38,$E$1)</f>
        <v>0</v>
      </c>
      <c r="BB31" s="631">
        <f>SUMIFS(PCF!BB$36:BB$38,PCF!$C$36:$C$38,$E$1)</f>
        <v>0</v>
      </c>
      <c r="BC31" s="631">
        <f>SUMIFS(PCF!BC$36:BC$38,PCF!$C$36:$C$38,$E$1)</f>
        <v>0</v>
      </c>
      <c r="BD31" s="631">
        <f>SUMIFS(PCF!BD$36:BD$38,PCF!$C$36:$C$38,$E$1)</f>
        <v>0</v>
      </c>
      <c r="BE31" s="631">
        <f>SUMIFS(PCF!BE$36:BE$38,PCF!$C$36:$C$38,$E$1)</f>
        <v>0</v>
      </c>
      <c r="BF31" s="631">
        <f>SUMIFS(PCF!BF$36:BF$38,PCF!$C$36:$C$38,$E$1)</f>
        <v>0</v>
      </c>
      <c r="BG31" s="631">
        <f>SUMIFS(PCF!BG$36:BG$38,PCF!$C$36:$C$38,$E$1)</f>
        <v>0</v>
      </c>
      <c r="BI31" s="632" t="s">
        <v>153</v>
      </c>
      <c r="BM31" s="633">
        <f t="shared" si="0"/>
        <v>1000</v>
      </c>
      <c r="BN31" s="633">
        <f t="shared" si="0"/>
        <v>1000</v>
      </c>
      <c r="BO31" s="633">
        <f t="shared" si="0"/>
        <v>1000</v>
      </c>
      <c r="BP31" s="633">
        <f t="shared" si="0"/>
        <v>0</v>
      </c>
      <c r="BQ31" s="633">
        <f t="shared" si="0"/>
        <v>0</v>
      </c>
      <c r="BR31" s="633">
        <f t="shared" si="0"/>
        <v>0</v>
      </c>
      <c r="BS31" s="633">
        <f t="shared" si="0"/>
        <v>0</v>
      </c>
      <c r="BT31" s="633">
        <f t="shared" si="0"/>
        <v>0</v>
      </c>
      <c r="BU31" s="633">
        <f t="shared" si="0"/>
        <v>0</v>
      </c>
      <c r="BV31" s="633">
        <f t="shared" si="0"/>
        <v>0</v>
      </c>
      <c r="BX31" s="634" t="s">
        <v>153</v>
      </c>
    </row>
    <row r="32" spans="2:78">
      <c r="B32" s="607"/>
      <c r="D32" s="761" t="s">
        <v>1086</v>
      </c>
      <c r="T32" s="670">
        <f>IF(T31&gt;0,T31-$T$31,0)</f>
        <v>0</v>
      </c>
      <c r="U32" s="670">
        <f t="shared" ref="U32:BG32" si="1">IF(U31&gt;0,U31-$T$31,0)</f>
        <v>0</v>
      </c>
      <c r="V32" s="670">
        <f t="shared" si="1"/>
        <v>1000</v>
      </c>
      <c r="W32" s="670">
        <f t="shared" si="1"/>
        <v>1000</v>
      </c>
      <c r="X32" s="670">
        <f t="shared" si="1"/>
        <v>1000</v>
      </c>
      <c r="Y32" s="670">
        <f t="shared" si="1"/>
        <v>1000</v>
      </c>
      <c r="Z32" s="670">
        <f t="shared" si="1"/>
        <v>1000</v>
      </c>
      <c r="AA32" s="670">
        <f t="shared" si="1"/>
        <v>1000</v>
      </c>
      <c r="AB32" s="670">
        <f t="shared" si="1"/>
        <v>1000</v>
      </c>
      <c r="AC32" s="670">
        <f t="shared" si="1"/>
        <v>1000</v>
      </c>
      <c r="AD32" s="670">
        <f t="shared" si="1"/>
        <v>1000</v>
      </c>
      <c r="AE32" s="670">
        <f t="shared" si="1"/>
        <v>1000</v>
      </c>
      <c r="AF32" s="670">
        <f t="shared" si="1"/>
        <v>0</v>
      </c>
      <c r="AG32" s="670">
        <f t="shared" si="1"/>
        <v>0</v>
      </c>
      <c r="AH32" s="670">
        <f t="shared" si="1"/>
        <v>0</v>
      </c>
      <c r="AI32" s="670">
        <f t="shared" si="1"/>
        <v>0</v>
      </c>
      <c r="AJ32" s="670">
        <f t="shared" si="1"/>
        <v>0</v>
      </c>
      <c r="AK32" s="670">
        <f t="shared" si="1"/>
        <v>0</v>
      </c>
      <c r="AL32" s="670">
        <f t="shared" si="1"/>
        <v>0</v>
      </c>
      <c r="AM32" s="670">
        <f t="shared" si="1"/>
        <v>0</v>
      </c>
      <c r="AN32" s="670">
        <f t="shared" si="1"/>
        <v>0</v>
      </c>
      <c r="AO32" s="670">
        <f t="shared" si="1"/>
        <v>0</v>
      </c>
      <c r="AP32" s="670">
        <f t="shared" si="1"/>
        <v>0</v>
      </c>
      <c r="AQ32" s="670">
        <f t="shared" si="1"/>
        <v>0</v>
      </c>
      <c r="AR32" s="670">
        <f t="shared" si="1"/>
        <v>0</v>
      </c>
      <c r="AS32" s="670">
        <f t="shared" si="1"/>
        <v>0</v>
      </c>
      <c r="AT32" s="670">
        <f t="shared" si="1"/>
        <v>0</v>
      </c>
      <c r="AU32" s="670">
        <f t="shared" si="1"/>
        <v>0</v>
      </c>
      <c r="AV32" s="670">
        <f t="shared" si="1"/>
        <v>0</v>
      </c>
      <c r="AW32" s="670">
        <f t="shared" si="1"/>
        <v>0</v>
      </c>
      <c r="AX32" s="670">
        <f t="shared" si="1"/>
        <v>0</v>
      </c>
      <c r="AY32" s="670">
        <f t="shared" si="1"/>
        <v>0</v>
      </c>
      <c r="AZ32" s="670">
        <f t="shared" si="1"/>
        <v>0</v>
      </c>
      <c r="BA32" s="670">
        <f t="shared" si="1"/>
        <v>0</v>
      </c>
      <c r="BB32" s="670">
        <f t="shared" si="1"/>
        <v>0</v>
      </c>
      <c r="BC32" s="670">
        <f t="shared" si="1"/>
        <v>0</v>
      </c>
      <c r="BD32" s="670">
        <f t="shared" si="1"/>
        <v>0</v>
      </c>
      <c r="BE32" s="670">
        <f t="shared" si="1"/>
        <v>0</v>
      </c>
      <c r="BF32" s="670">
        <f t="shared" si="1"/>
        <v>0</v>
      </c>
      <c r="BG32" s="670">
        <f t="shared" si="1"/>
        <v>0</v>
      </c>
      <c r="BI32" s="614"/>
      <c r="BM32" s="613"/>
      <c r="BN32" s="613"/>
      <c r="BO32" s="613"/>
      <c r="BP32" s="613"/>
      <c r="BQ32" s="613"/>
      <c r="BR32" s="613"/>
      <c r="BS32" s="613"/>
      <c r="BT32" s="613"/>
      <c r="BU32" s="613"/>
      <c r="BV32" s="613"/>
      <c r="BX32" s="615"/>
    </row>
    <row r="33" spans="2:76">
      <c r="B33" s="607"/>
      <c r="D33" s="624"/>
      <c r="T33" s="613"/>
      <c r="U33" s="613"/>
      <c r="V33" s="613"/>
      <c r="W33" s="613"/>
      <c r="X33" s="613"/>
      <c r="Y33" s="613"/>
      <c r="Z33" s="613"/>
      <c r="AA33" s="613"/>
      <c r="AB33" s="613"/>
      <c r="AC33" s="613"/>
      <c r="AD33" s="613"/>
      <c r="AE33" s="613"/>
      <c r="AF33" s="613"/>
      <c r="AG33" s="613"/>
      <c r="AH33" s="613"/>
      <c r="AI33" s="613"/>
      <c r="AJ33" s="613"/>
      <c r="AK33" s="613"/>
      <c r="AL33" s="613"/>
      <c r="AM33" s="613"/>
      <c r="AN33" s="613"/>
      <c r="AO33" s="613"/>
      <c r="AP33" s="613"/>
      <c r="AQ33" s="613"/>
      <c r="AR33" s="613"/>
      <c r="AS33" s="613"/>
      <c r="AT33" s="613"/>
      <c r="AU33" s="613"/>
      <c r="AV33" s="613"/>
      <c r="AW33" s="613"/>
      <c r="AX33" s="613"/>
      <c r="AY33" s="613"/>
      <c r="AZ33" s="613"/>
      <c r="BA33" s="613"/>
      <c r="BB33" s="613"/>
      <c r="BC33" s="613"/>
      <c r="BD33" s="613"/>
      <c r="BE33" s="613"/>
      <c r="BF33" s="613"/>
      <c r="BG33" s="613"/>
      <c r="BI33" s="614"/>
      <c r="BM33" s="613"/>
      <c r="BN33" s="613"/>
      <c r="BO33" s="613"/>
      <c r="BP33" s="613"/>
      <c r="BQ33" s="613"/>
      <c r="BR33" s="613"/>
      <c r="BS33" s="613"/>
      <c r="BT33" s="613"/>
      <c r="BU33" s="613"/>
      <c r="BV33" s="613"/>
      <c r="BX33" s="615"/>
    </row>
    <row r="34" spans="2:76">
      <c r="B34" s="607"/>
      <c r="D34" s="635" t="s">
        <v>1052</v>
      </c>
      <c r="E34" s="626"/>
      <c r="F34" s="626"/>
      <c r="G34" s="626"/>
      <c r="H34" s="626"/>
      <c r="I34" s="626"/>
      <c r="J34" s="626"/>
      <c r="K34" s="626"/>
      <c r="L34" s="626"/>
      <c r="M34" s="626"/>
      <c r="N34" s="626"/>
      <c r="O34" s="626"/>
      <c r="P34" s="626"/>
      <c r="Q34" s="626"/>
      <c r="R34" s="626"/>
      <c r="S34" s="626"/>
      <c r="T34" s="628"/>
      <c r="U34" s="628"/>
      <c r="V34" s="628"/>
      <c r="W34" s="628"/>
      <c r="X34" s="628"/>
      <c r="Y34" s="628"/>
      <c r="Z34" s="628"/>
      <c r="AA34" s="628"/>
      <c r="AB34" s="628"/>
      <c r="AC34" s="628"/>
      <c r="AD34" s="628"/>
      <c r="AE34" s="628"/>
      <c r="AF34" s="628"/>
      <c r="AG34" s="628"/>
      <c r="AH34" s="628"/>
      <c r="AI34" s="628"/>
      <c r="AJ34" s="628"/>
      <c r="AK34" s="628"/>
      <c r="AL34" s="628"/>
      <c r="AM34" s="628"/>
      <c r="AN34" s="628"/>
      <c r="AO34" s="628"/>
      <c r="AP34" s="628"/>
      <c r="AQ34" s="628"/>
      <c r="AR34" s="628"/>
      <c r="AS34" s="628"/>
      <c r="AT34" s="628"/>
      <c r="AU34" s="628"/>
      <c r="AV34" s="628"/>
      <c r="AW34" s="628"/>
      <c r="AX34" s="628"/>
      <c r="AY34" s="628"/>
      <c r="AZ34" s="628"/>
      <c r="BA34" s="628"/>
      <c r="BB34" s="628"/>
      <c r="BC34" s="628"/>
      <c r="BD34" s="628"/>
      <c r="BE34" s="628"/>
      <c r="BF34" s="628"/>
      <c r="BG34" s="628"/>
      <c r="BI34" s="627"/>
      <c r="BM34" s="613"/>
      <c r="BN34" s="613"/>
      <c r="BO34" s="613"/>
      <c r="BP34" s="613"/>
      <c r="BQ34" s="613"/>
      <c r="BR34" s="613"/>
      <c r="BS34" s="613"/>
      <c r="BT34" s="613"/>
      <c r="BU34" s="613"/>
      <c r="BV34" s="613"/>
      <c r="BX34" s="629"/>
    </row>
    <row r="35" spans="2:76">
      <c r="B35" s="607"/>
      <c r="D35" s="1123" t="str">
        <f>D27</f>
        <v>FMCG-F</v>
      </c>
      <c r="T35" s="613">
        <f>SUMPRODUCT(--(IP!$C$83:$C$85=$E$1),--(IP!$N$83:$N$85=$D35),(IP!T$83:T$85),(IP!T$29:T$31))+SUMPRODUCT(--(RN!$C$80:$C$82=$E$1),--(RN!$N$80:$N$82=$D35),(RN!T$80:T$82),(RN!T$29:T$31))+SUMPRODUCT(--(RL!$C$74:$C$76=$E$1),--(RL!$N$74:$N$76=$D35),(RL!T$74:T$76),(RL!T$29:T$31))+SUMPRODUCT(--(LU!$C$74:$C$76=$E$1),--(LU!$N$74:$N$76=$D35),(LU!T$74:T$76),(LU!T$29:T$31))</f>
        <v>0</v>
      </c>
      <c r="U35" s="613">
        <f>SUMPRODUCT(--(IP!$C$83:$C$85=$E$1),--(IP!$N$83:$N$85=$D35),(IP!U$83:U$85),(IP!U$29:U$31))+SUMPRODUCT(--(RN!$C$80:$C$82=$E$1),--(RN!$N$80:$N$82=$D35),(RN!U$80:U$82),(RN!U$29:U$31))+SUMPRODUCT(--(RL!$C$74:$C$76=$E$1),--(RL!$N$74:$N$76=$D35),(RL!U$74:U$76),(RL!U$29:U$31))+SUMPRODUCT(--(LU!$C$74:$C$76=$E$1),--(LU!$N$74:$N$76=$D35),(LU!U$74:U$76),(LU!U$29:U$31))</f>
        <v>0</v>
      </c>
      <c r="V35" s="613">
        <f>SUMPRODUCT(--(IP!$C$83:$C$85=$E$1),--(IP!$N$83:$N$85=$D35),(IP!V$83:V$85),(IP!V$29:V$31))+SUMPRODUCT(--(RN!$C$80:$C$82=$E$1),--(RN!$N$80:$N$82=$D35),(RN!V$80:V$82),(RN!V$29:V$31))+SUMPRODUCT(--(RL!$C$74:$C$76=$E$1),--(RL!$N$74:$N$76=$D35),(RL!V$74:V$76),(RL!V$29:V$31))+SUMPRODUCT(--(LU!$C$74:$C$76=$E$1),--(LU!$N$74:$N$76=$D35),(LU!V$74:V$76),(LU!V$29:V$31))</f>
        <v>1000</v>
      </c>
      <c r="W35" s="613">
        <f>SUMPRODUCT(--(IP!$C$83:$C$85=$E$1),--(IP!$N$83:$N$85=$D35),(IP!W$83:W$85),(IP!W$29:W$31))+SUMPRODUCT(--(RN!$C$80:$C$82=$E$1),--(RN!$N$80:$N$82=$D35),(RN!W$80:W$82),(RN!W$29:W$31))+SUMPRODUCT(--(RL!$C$74:$C$76=$E$1),--(RL!$N$74:$N$76=$D35),(RL!W$74:W$76),(RL!W$29:W$31))+SUMPRODUCT(--(LU!$C$74:$C$76=$E$1),--(LU!$N$74:$N$76=$D35),(LU!W$74:W$76),(LU!W$29:W$31))</f>
        <v>1000</v>
      </c>
      <c r="X35" s="613">
        <f>SUMPRODUCT(--(IP!$C$83:$C$85=$E$1),--(IP!$N$83:$N$85=$D35),(IP!X$83:X$85),(IP!X$29:X$31))+SUMPRODUCT(--(RN!$C$80:$C$82=$E$1),--(RN!$N$80:$N$82=$D35),(RN!X$80:X$82),(RN!X$29:X$31))+SUMPRODUCT(--(RL!$C$74:$C$76=$E$1),--(RL!$N$74:$N$76=$D35),(RL!X$74:X$76),(RL!X$29:X$31))+SUMPRODUCT(--(LU!$C$74:$C$76=$E$1),--(LU!$N$74:$N$76=$D35),(LU!X$74:X$76),(LU!X$29:X$31))</f>
        <v>1000</v>
      </c>
      <c r="Y35" s="613">
        <f>SUMPRODUCT(--(IP!$C$83:$C$85=$E$1),--(IP!$N$83:$N$85=$D35),(IP!Y$83:Y$85),(IP!Y$29:Y$31))+SUMPRODUCT(--(RN!$C$80:$C$82=$E$1),--(RN!$N$80:$N$82=$D35),(RN!Y$80:Y$82),(RN!Y$29:Y$31))+SUMPRODUCT(--(RL!$C$74:$C$76=$E$1),--(RL!$N$74:$N$76=$D35),(RL!Y$74:Y$76),(RL!Y$29:Y$31))+SUMPRODUCT(--(LU!$C$74:$C$76=$E$1),--(LU!$N$74:$N$76=$D35),(LU!Y$74:Y$76),(LU!Y$29:Y$31))</f>
        <v>1000</v>
      </c>
      <c r="Z35" s="613">
        <f>SUMPRODUCT(--(IP!$C$83:$C$85=$E$1),--(IP!$N$83:$N$85=$D35),(IP!Z$83:Z$85),(IP!Z$29:Z$31))+SUMPRODUCT(--(RN!$C$80:$C$82=$E$1),--(RN!$N$80:$N$82=$D35),(RN!Z$80:Z$82),(RN!Z$29:Z$31))+SUMPRODUCT(--(RL!$C$74:$C$76=$E$1),--(RL!$N$74:$N$76=$D35),(RL!Z$74:Z$76),(RL!Z$29:Z$31))+SUMPRODUCT(--(LU!$C$74:$C$76=$E$1),--(LU!$N$74:$N$76=$D35),(LU!Z$74:Z$76),(LU!Z$29:Z$31))</f>
        <v>1000</v>
      </c>
      <c r="AA35" s="613">
        <f>SUMPRODUCT(--(IP!$C$83:$C$85=$E$1),--(IP!$N$83:$N$85=$D35),(IP!AA$83:AA$85),(IP!AA$29:AA$31))+SUMPRODUCT(--(RN!$C$80:$C$82=$E$1),--(RN!$N$80:$N$82=$D35),(RN!AA$80:AA$82),(RN!AA$29:AA$31))+SUMPRODUCT(--(RL!$C$74:$C$76=$E$1),--(RL!$N$74:$N$76=$D35),(RL!AA$74:AA$76),(RL!AA$29:AA$31))+SUMPRODUCT(--(LU!$C$74:$C$76=$E$1),--(LU!$N$74:$N$76=$D35),(LU!AA$74:AA$76),(LU!AA$29:AA$31))</f>
        <v>1000</v>
      </c>
      <c r="AB35" s="613">
        <f>SUMPRODUCT(--(IP!$C$83:$C$85=$E$1),--(IP!$N$83:$N$85=$D35),(IP!AB$83:AB$85),(IP!AB$29:AB$31))+SUMPRODUCT(--(RN!$C$80:$C$82=$E$1),--(RN!$N$80:$N$82=$D35),(RN!AB$80:AB$82),(RN!AB$29:AB$31))+SUMPRODUCT(--(RL!$C$74:$C$76=$E$1),--(RL!$N$74:$N$76=$D35),(RL!AB$74:AB$76),(RL!AB$29:AB$31))+SUMPRODUCT(--(LU!$C$74:$C$76=$E$1),--(LU!$N$74:$N$76=$D35),(LU!AB$74:AB$76),(LU!AB$29:AB$31))</f>
        <v>1000</v>
      </c>
      <c r="AC35" s="613">
        <f>SUMPRODUCT(--(IP!$C$83:$C$85=$E$1),--(IP!$N$83:$N$85=$D35),(IP!AC$83:AC$85),(IP!AC$29:AC$31))+SUMPRODUCT(--(RN!$C$80:$C$82=$E$1),--(RN!$N$80:$N$82=$D35),(RN!AC$80:AC$82),(RN!AC$29:AC$31))+SUMPRODUCT(--(RL!$C$74:$C$76=$E$1),--(RL!$N$74:$N$76=$D35),(RL!AC$74:AC$76),(RL!AC$29:AC$31))+SUMPRODUCT(--(LU!$C$74:$C$76=$E$1),--(LU!$N$74:$N$76=$D35),(LU!AC$74:AC$76),(LU!AC$29:AC$31))</f>
        <v>1000</v>
      </c>
      <c r="AD35" s="613">
        <f>SUMPRODUCT(--(IP!$C$83:$C$85=$E$1),--(IP!$N$83:$N$85=$D35),(IP!AD$83:AD$85),(IP!AD$29:AD$31))+SUMPRODUCT(--(RN!$C$80:$C$82=$E$1),--(RN!$N$80:$N$82=$D35),(RN!AD$80:AD$82),(RN!AD$29:AD$31))+SUMPRODUCT(--(RL!$C$74:$C$76=$E$1),--(RL!$N$74:$N$76=$D35),(RL!AD$74:AD$76),(RL!AD$29:AD$31))+SUMPRODUCT(--(LU!$C$74:$C$76=$E$1),--(LU!$N$74:$N$76=$D35),(LU!AD$74:AD$76),(LU!AD$29:AD$31))</f>
        <v>1000</v>
      </c>
      <c r="AE35" s="613">
        <f>SUMPRODUCT(--(IP!$C$83:$C$85=$E$1),--(IP!$N$83:$N$85=$D35),(IP!AE$83:AE$85),(IP!AE$29:AE$31))+SUMPRODUCT(--(RN!$C$80:$C$82=$E$1),--(RN!$N$80:$N$82=$D35),(RN!AE$80:AE$82),(RN!AE$29:AE$31))+SUMPRODUCT(--(RL!$C$74:$C$76=$E$1),--(RL!$N$74:$N$76=$D35),(RL!AE$74:AE$76),(RL!AE$29:AE$31))+SUMPRODUCT(--(LU!$C$74:$C$76=$E$1),--(LU!$N$74:$N$76=$D35),(LU!AE$74:AE$76),(LU!AE$29:AE$31))</f>
        <v>1000</v>
      </c>
      <c r="AF35" s="613">
        <f>SUMPRODUCT(--(IP!$C$83:$C$85=$E$1),--(IP!$N$83:$N$85=$D35),(IP!AF$83:AF$85),(IP!AF$29:AF$31))+SUMPRODUCT(--(RN!$C$80:$C$82=$E$1),--(RN!$N$80:$N$82=$D35),(RN!AF$80:AF$82),(RN!AF$29:AF$31))+SUMPRODUCT(--(RL!$C$74:$C$76=$E$1),--(RL!$N$74:$N$76=$D35),(RL!AF$74:AF$76),(RL!AF$29:AF$31))+SUMPRODUCT(--(LU!$C$74:$C$76=$E$1),--(LU!$N$74:$N$76=$D35),(LU!AF$74:AF$76),(LU!AF$29:AF$31))</f>
        <v>0</v>
      </c>
      <c r="AG35" s="613">
        <f>SUMPRODUCT(--(IP!$C$83:$C$85=$E$1),--(IP!$N$83:$N$85=$D35),(IP!AG$83:AG$85),(IP!AG$20:AG$22))+SUMPRODUCT(--(RN!$C$80:$C$82=$E$1),--(RN!$N$80:$N$82=$D35),(RN!AG$80:AG$82),(RN!AG$20:AG$22))+SUMPRODUCT(--(RL!$C$74:$C$76=$E$1),--(RL!$N$74:$N$76=$D35),(RL!AG$74:AG$76),(RL!AG$20:AG$22))+SUMPRODUCT(--(LU!$C$74:$C$76=$E$1),--(LU!$N$74:$N$76=$D35),(LU!AG$74:AG$76),(LU!AG$20:AG$22))</f>
        <v>0</v>
      </c>
      <c r="AH35" s="613">
        <f>SUMPRODUCT(--(IP!$C$83:$C$85=$E$1),--(IP!$N$83:$N$85=$D35),(IP!AH$83:AH$85),(IP!AH$20:AH$22))+SUMPRODUCT(--(RN!$C$80:$C$82=$E$1),--(RN!$N$80:$N$82=$D35),(RN!AH$80:AH$82),(RN!AH$20:AH$22))+SUMPRODUCT(--(RL!$C$74:$C$76=$E$1),--(RL!$N$74:$N$76=$D35),(RL!AH$74:AH$76),(RL!AH$20:AH$22))+SUMPRODUCT(--(LU!$C$74:$C$76=$E$1),--(LU!$N$74:$N$76=$D35),(LU!AH$74:AH$76),(LU!AH$20:AH$22))</f>
        <v>0</v>
      </c>
      <c r="AI35" s="613">
        <f>SUMPRODUCT(--(IP!$C$83:$C$85=$E$1),--(IP!$N$83:$N$85=$D35),(IP!AI$83:AI$85),(IP!AI$20:AI$22))+SUMPRODUCT(--(RN!$C$80:$C$82=$E$1),--(RN!$N$80:$N$82=$D35),(RN!AI$80:AI$82),(RN!AI$20:AI$22))+SUMPRODUCT(--(RL!$C$74:$C$76=$E$1),--(RL!$N$74:$N$76=$D35),(RL!AI$74:AI$76),(RL!AI$20:AI$22))+SUMPRODUCT(--(LU!$C$74:$C$76=$E$1),--(LU!$N$74:$N$76=$D35),(LU!AI$74:AI$76),(LU!AI$20:AI$22))</f>
        <v>0</v>
      </c>
      <c r="AJ35" s="613">
        <f>SUMPRODUCT(--(IP!$C$83:$C$85=$E$1),--(IP!$N$83:$N$85=$D35),(IP!AJ$83:AJ$85),(IP!AJ$20:AJ$22))+SUMPRODUCT(--(RN!$C$80:$C$82=$E$1),--(RN!$N$80:$N$82=$D35),(RN!AJ$80:AJ$82),(RN!AJ$20:AJ$22))+SUMPRODUCT(--(RL!$C$74:$C$76=$E$1),--(RL!$N$74:$N$76=$D35),(RL!AJ$74:AJ$76),(RL!AJ$20:AJ$22))+SUMPRODUCT(--(LU!$C$74:$C$76=$E$1),--(LU!$N$74:$N$76=$D35),(LU!AJ$74:AJ$76),(LU!AJ$20:AJ$22))</f>
        <v>0</v>
      </c>
      <c r="AK35" s="613">
        <f>SUMPRODUCT(--(IP!$C$83:$C$85=$E$1),--(IP!$N$83:$N$85=$D35),(IP!AK$83:AK$85),(IP!AK$20:AK$22))+SUMPRODUCT(--(RN!$C$80:$C$82=$E$1),--(RN!$N$80:$N$82=$D35),(RN!AK$80:AK$82),(RN!AK$20:AK$22))+SUMPRODUCT(--(RL!$C$74:$C$76=$E$1),--(RL!$N$74:$N$76=$D35),(RL!AK$74:AK$76),(RL!AK$20:AK$22))+SUMPRODUCT(--(LU!$C$74:$C$76=$E$1),--(LU!$N$74:$N$76=$D35),(LU!AK$74:AK$76),(LU!AK$20:AK$22))</f>
        <v>0</v>
      </c>
      <c r="AL35" s="613">
        <f>SUMPRODUCT(--(IP!$C$83:$C$85=$E$1),--(IP!$N$83:$N$85=$D35),(IP!AL$83:AL$85),(IP!AL$20:AL$22))+SUMPRODUCT(--(RN!$C$80:$C$82=$E$1),--(RN!$N$80:$N$82=$D35),(RN!AL$80:AL$82),(RN!AL$20:AL$22))+SUMPRODUCT(--(RL!$C$74:$C$76=$E$1),--(RL!$N$74:$N$76=$D35),(RL!AL$74:AL$76),(RL!AL$20:AL$22))+SUMPRODUCT(--(LU!$C$74:$C$76=$E$1),--(LU!$N$74:$N$76=$D35),(LU!AL$74:AL$76),(LU!AL$20:AL$22))</f>
        <v>0</v>
      </c>
      <c r="AM35" s="613">
        <f>SUMPRODUCT(--(IP!$C$83:$C$85=$E$1),--(IP!$N$83:$N$85=$D35),(IP!AM$83:AM$85),(IP!AM$20:AM$22))+SUMPRODUCT(--(RN!$C$80:$C$82=$E$1),--(RN!$N$80:$N$82=$D35),(RN!AM$80:AM$82),(RN!AM$20:AM$22))+SUMPRODUCT(--(RL!$C$74:$C$76=$E$1),--(RL!$N$74:$N$76=$D35),(RL!AM$74:AM$76),(RL!AM$20:AM$22))+SUMPRODUCT(--(LU!$C$74:$C$76=$E$1),--(LU!$N$74:$N$76=$D35),(LU!AM$74:AM$76),(LU!AM$20:AM$22))</f>
        <v>0</v>
      </c>
      <c r="AN35" s="613">
        <f>SUMPRODUCT(--(IP!$C$83:$C$85=$E$1),--(IP!$N$83:$N$85=$D35),(IP!AN$83:AN$85),(IP!AN$20:AN$22))+SUMPRODUCT(--(RN!$C$80:$C$82=$E$1),--(RN!$N$80:$N$82=$D35),(RN!AN$80:AN$82),(RN!AN$20:AN$22))+SUMPRODUCT(--(RL!$C$74:$C$76=$E$1),--(RL!$N$74:$N$76=$D35),(RL!AN$74:AN$76),(RL!AN$20:AN$22))+SUMPRODUCT(--(LU!$C$74:$C$76=$E$1),--(LU!$N$74:$N$76=$D35),(LU!AN$74:AN$76),(LU!AN$20:AN$22))</f>
        <v>0</v>
      </c>
      <c r="AO35" s="613">
        <f>SUMPRODUCT(--(IP!$C$83:$C$85=$E$1),--(IP!$N$83:$N$85=$D35),(IP!AO$83:AO$85),(IP!AO$20:AO$22))+SUMPRODUCT(--(RN!$C$80:$C$82=$E$1),--(RN!$N$80:$N$82=$D35),(RN!AO$80:AO$82),(RN!AO$20:AO$22))+SUMPRODUCT(--(RL!$C$74:$C$76=$E$1),--(RL!$N$74:$N$76=$D35),(RL!AO$74:AO$76),(RL!AO$20:AO$22))+SUMPRODUCT(--(LU!$C$74:$C$76=$E$1),--(LU!$N$74:$N$76=$D35),(LU!AO$74:AO$76),(LU!AO$20:AO$22))</f>
        <v>0</v>
      </c>
      <c r="AP35" s="613">
        <f>SUMPRODUCT(--(IP!$C$83:$C$85=$E$1),--(IP!$N$83:$N$85=$D35),(IP!AP$83:AP$85),(IP!AP$20:AP$22))+SUMPRODUCT(--(RN!$C$80:$C$82=$E$1),--(RN!$N$80:$N$82=$D35),(RN!AP$80:AP$82),(RN!AP$20:AP$22))+SUMPRODUCT(--(RL!$C$74:$C$76=$E$1),--(RL!$N$74:$N$76=$D35),(RL!AP$74:AP$76),(RL!AP$20:AP$22))+SUMPRODUCT(--(LU!$C$74:$C$76=$E$1),--(LU!$N$74:$N$76=$D35),(LU!AP$74:AP$76),(LU!AP$20:AP$22))</f>
        <v>0</v>
      </c>
      <c r="AQ35" s="613">
        <f>SUMPRODUCT(--(IP!$C$83:$C$85=$E$1),--(IP!$N$83:$N$85=$D35),(IP!AQ$83:AQ$85),(IP!AQ$20:AQ$22))+SUMPRODUCT(--(RN!$C$80:$C$82=$E$1),--(RN!$N$80:$N$82=$D35),(RN!AQ$80:AQ$82),(RN!AQ$20:AQ$22))+SUMPRODUCT(--(RL!$C$74:$C$76=$E$1),--(RL!$N$74:$N$76=$D35),(RL!AQ$74:AQ$76),(RL!AQ$20:AQ$22))+SUMPRODUCT(--(LU!$C$74:$C$76=$E$1),--(LU!$N$74:$N$76=$D35),(LU!AQ$74:AQ$76),(LU!AQ$20:AQ$22))</f>
        <v>0</v>
      </c>
      <c r="AR35" s="613">
        <f>SUMPRODUCT(--(IP!$C$83:$C$85=$E$1),--(IP!$N$83:$N$85=$D35),(IP!AR$83:AR$85),(IP!AR$20:AR$22))+SUMPRODUCT(--(RN!$C$80:$C$82=$E$1),--(RN!$N$80:$N$82=$D35),(RN!AR$80:AR$82),(RN!AR$20:AR$22))+SUMPRODUCT(--(RL!$C$74:$C$76=$E$1),--(RL!$N$74:$N$76=$D35),(RL!AR$74:AR$76),(RL!AR$20:AR$22))+SUMPRODUCT(--(LU!$C$74:$C$76=$E$1),--(LU!$N$74:$N$76=$D35),(LU!AR$74:AR$76),(LU!AR$20:AR$22))</f>
        <v>0</v>
      </c>
      <c r="AS35" s="613">
        <f>SUMPRODUCT(--(IP!$C$83:$C$85=$E$1),--(IP!$N$83:$N$85=$D35),(IP!AS$83:AS$85),(IP!AS$20:AS$22))+SUMPRODUCT(--(RN!$C$80:$C$82=$E$1),--(RN!$N$80:$N$82=$D35),(RN!AS$80:AS$82),(RN!AS$20:AS$22))+SUMPRODUCT(--(RL!$C$74:$C$76=$E$1),--(RL!$N$74:$N$76=$D35),(RL!AS$74:AS$76),(RL!AS$20:AS$22))+SUMPRODUCT(--(LU!$C$74:$C$76=$E$1),--(LU!$N$74:$N$76=$D35),(LU!AS$74:AS$76),(LU!AS$20:AS$22))</f>
        <v>0</v>
      </c>
      <c r="AT35" s="613">
        <f>SUMPRODUCT(--(IP!$C$83:$C$85=$E$1),--(IP!$N$83:$N$85=$D35),(IP!AT$83:AT$85),(IP!AT$20:AT$22))+SUMPRODUCT(--(RN!$C$80:$C$82=$E$1),--(RN!$N$80:$N$82=$D35),(RN!AT$80:AT$82),(RN!AT$20:AT$22))+SUMPRODUCT(--(RL!$C$74:$C$76=$E$1),--(RL!$N$74:$N$76=$D35),(RL!AT$74:AT$76),(RL!AT$20:AT$22))+SUMPRODUCT(--(LU!$C$74:$C$76=$E$1),--(LU!$N$74:$N$76=$D35),(LU!AT$74:AT$76),(LU!AT$20:AT$22))</f>
        <v>0</v>
      </c>
      <c r="AU35" s="613">
        <f>SUMPRODUCT(--(IP!$C$83:$C$85=$E$1),--(IP!$N$83:$N$85=$D35),(IP!AU$83:AU$85),(IP!AU$20:AU$22))+SUMPRODUCT(--(RN!$C$80:$C$82=$E$1),--(RN!$N$80:$N$82=$D35),(RN!AU$80:AU$82),(RN!AU$20:AU$22))+SUMPRODUCT(--(RL!$C$74:$C$76=$E$1),--(RL!$N$74:$N$76=$D35),(RL!AU$74:AU$76),(RL!AU$20:AU$22))+SUMPRODUCT(--(LU!$C$74:$C$76=$E$1),--(LU!$N$74:$N$76=$D35),(LU!AU$74:AU$76),(LU!AU$20:AU$22))</f>
        <v>0</v>
      </c>
      <c r="AV35" s="613">
        <f>SUMPRODUCT(--(IP!$C$83:$C$85=$E$1),--(IP!$N$83:$N$85=$D35),(IP!AV$83:AV$85),(IP!AV$20:AV$22))+SUMPRODUCT(--(RN!$C$80:$C$82=$E$1),--(RN!$N$80:$N$82=$D35),(RN!AV$80:AV$82),(RN!AV$20:AV$22))+SUMPRODUCT(--(RL!$C$74:$C$76=$E$1),--(RL!$N$74:$N$76=$D35),(RL!AV$74:AV$76),(RL!AV$20:AV$22))+SUMPRODUCT(--(LU!$C$74:$C$76=$E$1),--(LU!$N$74:$N$76=$D35),(LU!AV$74:AV$76),(LU!AV$20:AV$22))</f>
        <v>0</v>
      </c>
      <c r="AW35" s="613">
        <f>SUMPRODUCT(--(IP!$C$83:$C$85=$E$1),--(IP!$N$83:$N$85=$D35),(IP!AW$83:AW$85),(IP!AW$20:AW$22))+SUMPRODUCT(--(RN!$C$80:$C$82=$E$1),--(RN!$N$80:$N$82=$D35),(RN!AW$80:AW$82),(RN!AW$20:AW$22))+SUMPRODUCT(--(RL!$C$74:$C$76=$E$1),--(RL!$N$74:$N$76=$D35),(RL!AW$74:AW$76),(RL!AW$20:AW$22))+SUMPRODUCT(--(LU!$C$74:$C$76=$E$1),--(LU!$N$74:$N$76=$D35),(LU!AW$74:AW$76),(LU!AW$20:AW$22))</f>
        <v>0</v>
      </c>
      <c r="AX35" s="613">
        <f>SUMPRODUCT(--(IP!$C$83:$C$85=$E$1),--(IP!$N$83:$N$85=$D35),(IP!AX$83:AX$85),(IP!AX$20:AX$22))+SUMPRODUCT(--(RN!$C$80:$C$82=$E$1),--(RN!$N$80:$N$82=$D35),(RN!AX$80:AX$82),(RN!AX$20:AX$22))+SUMPRODUCT(--(RL!$C$74:$C$76=$E$1),--(RL!$N$74:$N$76=$D35),(RL!AX$74:AX$76),(RL!AX$20:AX$22))+SUMPRODUCT(--(LU!$C$74:$C$76=$E$1),--(LU!$N$74:$N$76=$D35),(LU!AX$74:AX$76),(LU!AX$20:AX$22))</f>
        <v>0</v>
      </c>
      <c r="AY35" s="613">
        <f>SUMPRODUCT(--(IP!$C$83:$C$85=$E$1),--(IP!$N$83:$N$85=$D35),(IP!AY$83:AY$85),(IP!AY$20:AY$22))+SUMPRODUCT(--(RN!$C$80:$C$82=$E$1),--(RN!$N$80:$N$82=$D35),(RN!AY$80:AY$82),(RN!AY$20:AY$22))+SUMPRODUCT(--(RL!$C$74:$C$76=$E$1),--(RL!$N$74:$N$76=$D35),(RL!AY$74:AY$76),(RL!AY$20:AY$22))+SUMPRODUCT(--(LU!$C$74:$C$76=$E$1),--(LU!$N$74:$N$76=$D35),(LU!AY$74:AY$76),(LU!AY$20:AY$22))</f>
        <v>0</v>
      </c>
      <c r="AZ35" s="613">
        <f>SUMPRODUCT(--(IP!$C$83:$C$85=$E$1),--(IP!$N$83:$N$85=$D35),(IP!AZ$83:AZ$85),(IP!AZ$20:AZ$22))+SUMPRODUCT(--(RN!$C$80:$C$82=$E$1),--(RN!$N$80:$N$82=$D35),(RN!AZ$80:AZ$82),(RN!AZ$20:AZ$22))+SUMPRODUCT(--(RL!$C$74:$C$76=$E$1),--(RL!$N$74:$N$76=$D35),(RL!AZ$74:AZ$76),(RL!AZ$20:AZ$22))+SUMPRODUCT(--(LU!$C$74:$C$76=$E$1),--(LU!$N$74:$N$76=$D35),(LU!AZ$74:AZ$76),(LU!AZ$20:AZ$22))</f>
        <v>0</v>
      </c>
      <c r="BA35" s="613">
        <f>SUMPRODUCT(--(IP!$C$83:$C$85=$E$1),--(IP!$N$83:$N$85=$D35),(IP!BA$83:BA$85),(IP!BA$20:BA$22))+SUMPRODUCT(--(RN!$C$80:$C$82=$E$1),--(RN!$N$80:$N$82=$D35),(RN!BA$80:BA$82),(RN!BA$20:BA$22))+SUMPRODUCT(--(RL!$C$74:$C$76=$E$1),--(RL!$N$74:$N$76=$D35),(RL!BA$74:BA$76),(RL!BA$20:BA$22))+SUMPRODUCT(--(LU!$C$74:$C$76=$E$1),--(LU!$N$74:$N$76=$D35),(LU!BA$74:BA$76),(LU!BA$20:BA$22))</f>
        <v>0</v>
      </c>
      <c r="BB35" s="613">
        <f>SUMPRODUCT(--(IP!$C$83:$C$85=$E$1),--(IP!$N$83:$N$85=$D35),(IP!BB$83:BB$85),(IP!BB$20:BB$22))+SUMPRODUCT(--(RN!$C$80:$C$82=$E$1),--(RN!$N$80:$N$82=$D35),(RN!BB$80:BB$82),(RN!BB$20:BB$22))+SUMPRODUCT(--(RL!$C$74:$C$76=$E$1),--(RL!$N$74:$N$76=$D35),(RL!BB$74:BB$76),(RL!BB$20:BB$22))+SUMPRODUCT(--(LU!$C$74:$C$76=$E$1),--(LU!$N$74:$N$76=$D35),(LU!BB$74:BB$76),(LU!BB$20:BB$22))</f>
        <v>0</v>
      </c>
      <c r="BC35" s="613">
        <f>SUMPRODUCT(--(IP!$C$83:$C$85=$E$1),--(IP!$N$83:$N$85=$D35),(IP!BC$83:BC$85),(IP!BC$20:BC$22))+SUMPRODUCT(--(RN!$C$80:$C$82=$E$1),--(RN!$N$80:$N$82=$D35),(RN!BC$80:BC$82),(RN!BC$20:BC$22))+SUMPRODUCT(--(RL!$C$74:$C$76=$E$1),--(RL!$N$74:$N$76=$D35),(RL!BC$74:BC$76),(RL!BC$20:BC$22))+SUMPRODUCT(--(LU!$C$74:$C$76=$E$1),--(LU!$N$74:$N$76=$D35),(LU!BC$74:BC$76),(LU!BC$20:BC$22))</f>
        <v>0</v>
      </c>
      <c r="BD35" s="613">
        <f>SUMPRODUCT(--(IP!$C$83:$C$85=$E$1),--(IP!$N$83:$N$85=$D35),(IP!BD$83:BD$85),(IP!BD$20:BD$22))+SUMPRODUCT(--(RN!$C$80:$C$82=$E$1),--(RN!$N$80:$N$82=$D35),(RN!BD$80:BD$82),(RN!BD$20:BD$22))+SUMPRODUCT(--(RL!$C$74:$C$76=$E$1),--(RL!$N$74:$N$76=$D35),(RL!BD$74:BD$76),(RL!BD$20:BD$22))+SUMPRODUCT(--(LU!$C$74:$C$76=$E$1),--(LU!$N$74:$N$76=$D35),(LU!BD$74:BD$76),(LU!BD$20:BD$22))</f>
        <v>0</v>
      </c>
      <c r="BE35" s="613">
        <f>SUMPRODUCT(--(IP!$C$83:$C$85=$E$1),--(IP!$N$83:$N$85=$D35),(IP!BE$83:BE$85),(IP!BE$20:BE$22))+SUMPRODUCT(--(RN!$C$80:$C$82=$E$1),--(RN!$N$80:$N$82=$D35),(RN!BE$80:BE$82),(RN!BE$20:BE$22))+SUMPRODUCT(--(RL!$C$74:$C$76=$E$1),--(RL!$N$74:$N$76=$D35),(RL!BE$74:BE$76),(RL!BE$20:BE$22))+SUMPRODUCT(--(LU!$C$74:$C$76=$E$1),--(LU!$N$74:$N$76=$D35),(LU!BE$74:BE$76),(LU!BE$20:BE$22))</f>
        <v>0</v>
      </c>
      <c r="BF35" s="613">
        <f>SUMPRODUCT(--(IP!$C$83:$C$85=$E$1),--(IP!$N$83:$N$85=$D35),(IP!BF$83:BF$85),(IP!BF$20:BF$22))+SUMPRODUCT(--(RN!$C$80:$C$82=$E$1),--(RN!$N$80:$N$82=$D35),(RN!BF$80:BF$82),(RN!BF$20:BF$22))+SUMPRODUCT(--(RL!$C$74:$C$76=$E$1),--(RL!$N$74:$N$76=$D35),(RL!BF$74:BF$76),(RL!BF$20:BF$22))+SUMPRODUCT(--(LU!$C$74:$C$76=$E$1),--(LU!$N$74:$N$76=$D35),(LU!BF$74:BF$76),(LU!BF$20:BF$22))</f>
        <v>0</v>
      </c>
      <c r="BG35" s="613">
        <f>SUMPRODUCT(--(IP!$C$83:$C$85=$E$1),--(IP!$N$83:$N$85=$D35),(IP!BG$83:BG$85),(IP!BG$20:BG$22))+SUMPRODUCT(--(RN!$C$80:$C$82=$E$1),--(RN!$N$80:$N$82=$D35),(RN!BG$80:BG$82),(RN!BG$20:BG$22))+SUMPRODUCT(--(RL!$C$74:$C$76=$E$1),--(RL!$N$74:$N$76=$D35),(RL!BG$74:BG$76),(RL!BG$20:BG$22))+SUMPRODUCT(--(LU!$C$74:$C$76=$E$1),--(LU!$N$74:$N$76=$D35),(LU!BG$74:BG$76),(LU!BG$20:BG$22))</f>
        <v>0</v>
      </c>
      <c r="BI35" s="614" t="s">
        <v>153</v>
      </c>
      <c r="BM35" s="621">
        <f t="shared" ref="BM35:BV35" si="2">INDEX($T35:$BG35,MATCH(BM$12,$T$12:$BG$12))</f>
        <v>1000</v>
      </c>
      <c r="BN35" s="621">
        <f t="shared" si="2"/>
        <v>1000</v>
      </c>
      <c r="BO35" s="621">
        <f t="shared" si="2"/>
        <v>1000</v>
      </c>
      <c r="BP35" s="621">
        <f t="shared" si="2"/>
        <v>0</v>
      </c>
      <c r="BQ35" s="621">
        <f t="shared" si="2"/>
        <v>0</v>
      </c>
      <c r="BR35" s="621">
        <f t="shared" si="2"/>
        <v>0</v>
      </c>
      <c r="BS35" s="621">
        <f t="shared" si="2"/>
        <v>0</v>
      </c>
      <c r="BT35" s="621">
        <f t="shared" si="2"/>
        <v>0</v>
      </c>
      <c r="BU35" s="621">
        <f t="shared" si="2"/>
        <v>0</v>
      </c>
      <c r="BV35" s="621">
        <f t="shared" si="2"/>
        <v>0</v>
      </c>
      <c r="BX35" s="615" t="s">
        <v>153</v>
      </c>
    </row>
    <row r="36" spans="2:76" s="398" customFormat="1">
      <c r="B36" s="636"/>
      <c r="D36" s="637" t="s">
        <v>649</v>
      </c>
      <c r="T36" s="638">
        <f>IF(T27=0,0,T35/T27)</f>
        <v>0</v>
      </c>
      <c r="U36" s="638">
        <f t="shared" ref="U36:BG36" si="3">IF(U27=0,0,U35/U27)</f>
        <v>0</v>
      </c>
      <c r="V36" s="638">
        <f t="shared" si="3"/>
        <v>1</v>
      </c>
      <c r="W36" s="638">
        <f t="shared" si="3"/>
        <v>1</v>
      </c>
      <c r="X36" s="638">
        <f t="shared" si="3"/>
        <v>1</v>
      </c>
      <c r="Y36" s="638">
        <f t="shared" si="3"/>
        <v>1</v>
      </c>
      <c r="Z36" s="638">
        <f t="shared" si="3"/>
        <v>1</v>
      </c>
      <c r="AA36" s="638">
        <f t="shared" si="3"/>
        <v>1</v>
      </c>
      <c r="AB36" s="638">
        <f t="shared" si="3"/>
        <v>1</v>
      </c>
      <c r="AC36" s="638">
        <f t="shared" si="3"/>
        <v>1</v>
      </c>
      <c r="AD36" s="638">
        <f t="shared" si="3"/>
        <v>1</v>
      </c>
      <c r="AE36" s="638">
        <f t="shared" si="3"/>
        <v>1</v>
      </c>
      <c r="AF36" s="638">
        <f t="shared" si="3"/>
        <v>0</v>
      </c>
      <c r="AG36" s="638">
        <f t="shared" si="3"/>
        <v>0</v>
      </c>
      <c r="AH36" s="638">
        <f t="shared" si="3"/>
        <v>0</v>
      </c>
      <c r="AI36" s="638">
        <f t="shared" si="3"/>
        <v>0</v>
      </c>
      <c r="AJ36" s="638">
        <f t="shared" si="3"/>
        <v>0</v>
      </c>
      <c r="AK36" s="638">
        <f t="shared" si="3"/>
        <v>0</v>
      </c>
      <c r="AL36" s="638">
        <f t="shared" si="3"/>
        <v>0</v>
      </c>
      <c r="AM36" s="638">
        <f t="shared" si="3"/>
        <v>0</v>
      </c>
      <c r="AN36" s="638">
        <f t="shared" si="3"/>
        <v>0</v>
      </c>
      <c r="AO36" s="638">
        <f t="shared" si="3"/>
        <v>0</v>
      </c>
      <c r="AP36" s="638">
        <f t="shared" si="3"/>
        <v>0</v>
      </c>
      <c r="AQ36" s="638">
        <f t="shared" si="3"/>
        <v>0</v>
      </c>
      <c r="AR36" s="638">
        <f t="shared" si="3"/>
        <v>0</v>
      </c>
      <c r="AS36" s="638">
        <f t="shared" si="3"/>
        <v>0</v>
      </c>
      <c r="AT36" s="638">
        <f t="shared" si="3"/>
        <v>0</v>
      </c>
      <c r="AU36" s="638">
        <f t="shared" si="3"/>
        <v>0</v>
      </c>
      <c r="AV36" s="638">
        <f t="shared" si="3"/>
        <v>0</v>
      </c>
      <c r="AW36" s="638">
        <f t="shared" si="3"/>
        <v>0</v>
      </c>
      <c r="AX36" s="638">
        <f t="shared" si="3"/>
        <v>0</v>
      </c>
      <c r="AY36" s="638">
        <f t="shared" si="3"/>
        <v>0</v>
      </c>
      <c r="AZ36" s="638">
        <f t="shared" si="3"/>
        <v>0</v>
      </c>
      <c r="BA36" s="638">
        <f t="shared" si="3"/>
        <v>0</v>
      </c>
      <c r="BB36" s="638">
        <f t="shared" si="3"/>
        <v>0</v>
      </c>
      <c r="BC36" s="638">
        <f t="shared" si="3"/>
        <v>0</v>
      </c>
      <c r="BD36" s="638">
        <f t="shared" si="3"/>
        <v>0</v>
      </c>
      <c r="BE36" s="638">
        <f t="shared" si="3"/>
        <v>0</v>
      </c>
      <c r="BF36" s="638">
        <f t="shared" si="3"/>
        <v>0</v>
      </c>
      <c r="BG36" s="638">
        <f t="shared" si="3"/>
        <v>0</v>
      </c>
      <c r="BI36" s="639" t="s">
        <v>153</v>
      </c>
      <c r="BM36" s="638">
        <f t="shared" ref="BM36:BV36" si="4">IFERROR(BM35/BM27,0)</f>
        <v>1</v>
      </c>
      <c r="BN36" s="638">
        <f t="shared" si="4"/>
        <v>1</v>
      </c>
      <c r="BO36" s="638">
        <f t="shared" si="4"/>
        <v>1</v>
      </c>
      <c r="BP36" s="638">
        <f t="shared" si="4"/>
        <v>0</v>
      </c>
      <c r="BQ36" s="638">
        <f t="shared" si="4"/>
        <v>0</v>
      </c>
      <c r="BR36" s="638">
        <f t="shared" si="4"/>
        <v>0</v>
      </c>
      <c r="BS36" s="638">
        <f t="shared" si="4"/>
        <v>0</v>
      </c>
      <c r="BT36" s="638">
        <f t="shared" si="4"/>
        <v>0</v>
      </c>
      <c r="BU36" s="638">
        <f t="shared" si="4"/>
        <v>0</v>
      </c>
      <c r="BV36" s="638">
        <f t="shared" si="4"/>
        <v>0</v>
      </c>
      <c r="BX36" s="640" t="s">
        <v>153</v>
      </c>
    </row>
    <row r="37" spans="2:76" s="398" customFormat="1">
      <c r="B37" s="636"/>
      <c r="D37" s="1124" t="str">
        <f>D28</f>
        <v>FMCG-N</v>
      </c>
      <c r="T37" s="613">
        <f>SUMPRODUCT(--(IP!$C$83:$C$85=$E$1),--(IP!$N$83:$N$85=$D37),(IP!T$83:T$85),(IP!T$29:T$31))+SUMPRODUCT(--(RN!$C$80:$C$82=$E$1),--(RN!$N$80:$N$82=$D37),(RN!T$80:T$82),(RN!T$29:T$31))+SUMPRODUCT(--(RL!$C$74:$C$76=$E$1),--(RL!$N$74:$N$76=$D37),(RL!T$74:T$76),(RL!T$29:T$31))+SUMPRODUCT(--(LU!$C$74:$C$76=$E$1),--(LU!$N$74:$N$76=$D37),(LU!T$74:T$76),(LU!T$29:T$31))</f>
        <v>0</v>
      </c>
      <c r="U37" s="613">
        <f>SUMPRODUCT(--(IP!$C$83:$C$85=$E$1),--(IP!$N$83:$N$85=$D37),(IP!U$83:U$85),(IP!U$29:U$31))+SUMPRODUCT(--(RN!$C$80:$C$82=$E$1),--(RN!$N$80:$N$82=$D37),(RN!U$80:U$82),(RN!U$29:U$31))+SUMPRODUCT(--(RL!$C$74:$C$76=$E$1),--(RL!$N$74:$N$76=$D37),(RL!U$74:U$76),(RL!U$29:U$31))+SUMPRODUCT(--(LU!$C$74:$C$76=$E$1),--(LU!$N$74:$N$76=$D37),(LU!U$74:U$76),(LU!U$29:U$31))</f>
        <v>0</v>
      </c>
      <c r="V37" s="613">
        <f>SUMPRODUCT(--(IP!$C$83:$C$85=$E$1),--(IP!$N$83:$N$85=$D37),(IP!V$83:V$85),(IP!V$29:V$31))+SUMPRODUCT(--(RN!$C$80:$C$82=$E$1),--(RN!$N$80:$N$82=$D37),(RN!V$80:V$82),(RN!V$29:V$31))+SUMPRODUCT(--(RL!$C$74:$C$76=$E$1),--(RL!$N$74:$N$76=$D37),(RL!V$74:V$76),(RL!V$29:V$31))+SUMPRODUCT(--(LU!$C$74:$C$76=$E$1),--(LU!$N$74:$N$76=$D37),(LU!V$74:V$76),(LU!V$29:V$31))</f>
        <v>0</v>
      </c>
      <c r="W37" s="613">
        <f>SUMPRODUCT(--(IP!$C$83:$C$85=$E$1),--(IP!$N$83:$N$85=$D37),(IP!W$83:W$85),(IP!W$29:W$31))+SUMPRODUCT(--(RN!$C$80:$C$82=$E$1),--(RN!$N$80:$N$82=$D37),(RN!W$80:W$82),(RN!W$29:W$31))+SUMPRODUCT(--(RL!$C$74:$C$76=$E$1),--(RL!$N$74:$N$76=$D37),(RL!W$74:W$76),(RL!W$29:W$31))+SUMPRODUCT(--(LU!$C$74:$C$76=$E$1),--(LU!$N$74:$N$76=$D37),(LU!W$74:W$76),(LU!W$29:W$31))</f>
        <v>0</v>
      </c>
      <c r="X37" s="613">
        <f>SUMPRODUCT(--(IP!$C$83:$C$85=$E$1),--(IP!$N$83:$N$85=$D37),(IP!X$83:X$85),(IP!X$29:X$31))+SUMPRODUCT(--(RN!$C$80:$C$82=$E$1),--(RN!$N$80:$N$82=$D37),(RN!X$80:X$82),(RN!X$29:X$31))+SUMPRODUCT(--(RL!$C$74:$C$76=$E$1),--(RL!$N$74:$N$76=$D37),(RL!X$74:X$76),(RL!X$29:X$31))+SUMPRODUCT(--(LU!$C$74:$C$76=$E$1),--(LU!$N$74:$N$76=$D37),(LU!X$74:X$76),(LU!X$29:X$31))</f>
        <v>0</v>
      </c>
      <c r="Y37" s="613">
        <f>SUMPRODUCT(--(IP!$C$83:$C$85=$E$1),--(IP!$N$83:$N$85=$D37),(IP!Y$83:Y$85),(IP!Y$29:Y$31))+SUMPRODUCT(--(RN!$C$80:$C$82=$E$1),--(RN!$N$80:$N$82=$D37),(RN!Y$80:Y$82),(RN!Y$29:Y$31))+SUMPRODUCT(--(RL!$C$74:$C$76=$E$1),--(RL!$N$74:$N$76=$D37),(RL!Y$74:Y$76),(RL!Y$29:Y$31))+SUMPRODUCT(--(LU!$C$74:$C$76=$E$1),--(LU!$N$74:$N$76=$D37),(LU!Y$74:Y$76),(LU!Y$29:Y$31))</f>
        <v>0</v>
      </c>
      <c r="Z37" s="613">
        <f>SUMPRODUCT(--(IP!$C$83:$C$85=$E$1),--(IP!$N$83:$N$85=$D37),(IP!Z$83:Z$85),(IP!Z$29:Z$31))+SUMPRODUCT(--(RN!$C$80:$C$82=$E$1),--(RN!$N$80:$N$82=$D37),(RN!Z$80:Z$82),(RN!Z$29:Z$31))+SUMPRODUCT(--(RL!$C$74:$C$76=$E$1),--(RL!$N$74:$N$76=$D37),(RL!Z$74:Z$76),(RL!Z$29:Z$31))+SUMPRODUCT(--(LU!$C$74:$C$76=$E$1),--(LU!$N$74:$N$76=$D37),(LU!Z$74:Z$76),(LU!Z$29:Z$31))</f>
        <v>0</v>
      </c>
      <c r="AA37" s="613">
        <f>SUMPRODUCT(--(IP!$C$83:$C$85=$E$1),--(IP!$N$83:$N$85=$D37),(IP!AA$83:AA$85),(IP!AA$29:AA$31))+SUMPRODUCT(--(RN!$C$80:$C$82=$E$1),--(RN!$N$80:$N$82=$D37),(RN!AA$80:AA$82),(RN!AA$29:AA$31))+SUMPRODUCT(--(RL!$C$74:$C$76=$E$1),--(RL!$N$74:$N$76=$D37),(RL!AA$74:AA$76),(RL!AA$29:AA$31))+SUMPRODUCT(--(LU!$C$74:$C$76=$E$1),--(LU!$N$74:$N$76=$D37),(LU!AA$74:AA$76),(LU!AA$29:AA$31))</f>
        <v>0</v>
      </c>
      <c r="AB37" s="613">
        <f>SUMPRODUCT(--(IP!$C$83:$C$85=$E$1),--(IP!$N$83:$N$85=$D37),(IP!AB$83:AB$85),(IP!AB$29:AB$31))+SUMPRODUCT(--(RN!$C$80:$C$82=$E$1),--(RN!$N$80:$N$82=$D37),(RN!AB$80:AB$82),(RN!AB$29:AB$31))+SUMPRODUCT(--(RL!$C$74:$C$76=$E$1),--(RL!$N$74:$N$76=$D37),(RL!AB$74:AB$76),(RL!AB$29:AB$31))+SUMPRODUCT(--(LU!$C$74:$C$76=$E$1),--(LU!$N$74:$N$76=$D37),(LU!AB$74:AB$76),(LU!AB$29:AB$31))</f>
        <v>0</v>
      </c>
      <c r="AC37" s="613">
        <f>SUMPRODUCT(--(IP!$C$83:$C$85=$E$1),--(IP!$N$83:$N$85=$D37),(IP!AC$83:AC$85),(IP!AC$29:AC$31))+SUMPRODUCT(--(RN!$C$80:$C$82=$E$1),--(RN!$N$80:$N$82=$D37),(RN!AC$80:AC$82),(RN!AC$29:AC$31))+SUMPRODUCT(--(RL!$C$74:$C$76=$E$1),--(RL!$N$74:$N$76=$D37),(RL!AC$74:AC$76),(RL!AC$29:AC$31))+SUMPRODUCT(--(LU!$C$74:$C$76=$E$1),--(LU!$N$74:$N$76=$D37),(LU!AC$74:AC$76),(LU!AC$29:AC$31))</f>
        <v>0</v>
      </c>
      <c r="AD37" s="613">
        <f>SUMPRODUCT(--(IP!$C$83:$C$85=$E$1),--(IP!$N$83:$N$85=$D37),(IP!AD$83:AD$85),(IP!AD$29:AD$31))+SUMPRODUCT(--(RN!$C$80:$C$82=$E$1),--(RN!$N$80:$N$82=$D37),(RN!AD$80:AD$82),(RN!AD$29:AD$31))+SUMPRODUCT(--(RL!$C$74:$C$76=$E$1),--(RL!$N$74:$N$76=$D37),(RL!AD$74:AD$76),(RL!AD$29:AD$31))+SUMPRODUCT(--(LU!$C$74:$C$76=$E$1),--(LU!$N$74:$N$76=$D37),(LU!AD$74:AD$76),(LU!AD$29:AD$31))</f>
        <v>0</v>
      </c>
      <c r="AE37" s="613">
        <f>SUMPRODUCT(--(IP!$C$83:$C$85=$E$1),--(IP!$N$83:$N$85=$D37),(IP!AE$83:AE$85),(IP!AE$29:AE$31))+SUMPRODUCT(--(RN!$C$80:$C$82=$E$1),--(RN!$N$80:$N$82=$D37),(RN!AE$80:AE$82),(RN!AE$29:AE$31))+SUMPRODUCT(--(RL!$C$74:$C$76=$E$1),--(RL!$N$74:$N$76=$D37),(RL!AE$74:AE$76),(RL!AE$29:AE$31))+SUMPRODUCT(--(LU!$C$74:$C$76=$E$1),--(LU!$N$74:$N$76=$D37),(LU!AE$74:AE$76),(LU!AE$29:AE$31))</f>
        <v>0</v>
      </c>
      <c r="AF37" s="613">
        <f>SUMPRODUCT(--(IP!$C$83:$C$85=$E$1),--(IP!$N$83:$N$85=$D37),(IP!AF$83:AF$85),(IP!AF$29:AF$31))+SUMPRODUCT(--(RN!$C$80:$C$82=$E$1),--(RN!$N$80:$N$82=$D37),(RN!AF$80:AF$82),(RN!AF$29:AF$31))+SUMPRODUCT(--(RL!$C$74:$C$76=$E$1),--(RL!$N$74:$N$76=$D37),(RL!AF$74:AF$76),(RL!AF$29:AF$31))+SUMPRODUCT(--(LU!$C$74:$C$76=$E$1),--(LU!$N$74:$N$76=$D37),(LU!AF$74:AF$76),(LU!AF$29:AF$31))</f>
        <v>0</v>
      </c>
      <c r="AG37" s="613">
        <f>SUMPRODUCT(--(IP!$C$83:$C$85=$E$1),--(IP!$N$83:$N$85=$D37),(IP!AG$83:AG$85),(IP!AG$20:AG$22))+SUMPRODUCT(--(RN!$C$80:$C$82=$E$1),--(RN!$N$80:$N$82=$D37),(RN!AG$80:AG$82),(RN!AG$20:AG$22))+SUMPRODUCT(--(RL!$C$74:$C$76=$E$1),--(RL!$N$74:$N$76=$D37),(RL!AG$74:AG$76),(RL!AG$20:AG$22))+SUMPRODUCT(--(LU!$C$74:$C$76=$E$1),--(LU!$N$74:$N$76=$D37),(LU!AG$74:AG$76),(LU!AG$20:AG$22))</f>
        <v>0</v>
      </c>
      <c r="AH37" s="613">
        <f>SUMPRODUCT(--(IP!$C$83:$C$85=$E$1),--(IP!$N$83:$N$85=$D37),(IP!AH$83:AH$85),(IP!AH$20:AH$22))+SUMPRODUCT(--(RN!$C$80:$C$82=$E$1),--(RN!$N$80:$N$82=$D37),(RN!AH$80:AH$82),(RN!AH$20:AH$22))+SUMPRODUCT(--(RL!$C$74:$C$76=$E$1),--(RL!$N$74:$N$76=$D37),(RL!AH$74:AH$76),(RL!AH$20:AH$22))+SUMPRODUCT(--(LU!$C$74:$C$76=$E$1),--(LU!$N$74:$N$76=$D37),(LU!AH$74:AH$76),(LU!AH$20:AH$22))</f>
        <v>0</v>
      </c>
      <c r="AI37" s="613">
        <f>SUMPRODUCT(--(IP!$C$83:$C$85=$E$1),--(IP!$N$83:$N$85=$D37),(IP!AI$83:AI$85),(IP!AI$20:AI$22))+SUMPRODUCT(--(RN!$C$80:$C$82=$E$1),--(RN!$N$80:$N$82=$D37),(RN!AI$80:AI$82),(RN!AI$20:AI$22))+SUMPRODUCT(--(RL!$C$74:$C$76=$E$1),--(RL!$N$74:$N$76=$D37),(RL!AI$74:AI$76),(RL!AI$20:AI$22))+SUMPRODUCT(--(LU!$C$74:$C$76=$E$1),--(LU!$N$74:$N$76=$D37),(LU!AI$74:AI$76),(LU!AI$20:AI$22))</f>
        <v>0</v>
      </c>
      <c r="AJ37" s="613">
        <f>SUMPRODUCT(--(IP!$C$83:$C$85=$E$1),--(IP!$N$83:$N$85=$D37),(IP!AJ$83:AJ$85),(IP!AJ$20:AJ$22))+SUMPRODUCT(--(RN!$C$80:$C$82=$E$1),--(RN!$N$80:$N$82=$D37),(RN!AJ$80:AJ$82),(RN!AJ$20:AJ$22))+SUMPRODUCT(--(RL!$C$74:$C$76=$E$1),--(RL!$N$74:$N$76=$D37),(RL!AJ$74:AJ$76),(RL!AJ$20:AJ$22))+SUMPRODUCT(--(LU!$C$74:$C$76=$E$1),--(LU!$N$74:$N$76=$D37),(LU!AJ$74:AJ$76),(LU!AJ$20:AJ$22))</f>
        <v>0</v>
      </c>
      <c r="AK37" s="613">
        <f>SUMPRODUCT(--(IP!$C$83:$C$85=$E$1),--(IP!$N$83:$N$85=$D37),(IP!AK$83:AK$85),(IP!AK$20:AK$22))+SUMPRODUCT(--(RN!$C$80:$C$82=$E$1),--(RN!$N$80:$N$82=$D37),(RN!AK$80:AK$82),(RN!AK$20:AK$22))+SUMPRODUCT(--(RL!$C$74:$C$76=$E$1),--(RL!$N$74:$N$76=$D37),(RL!AK$74:AK$76),(RL!AK$20:AK$22))+SUMPRODUCT(--(LU!$C$74:$C$76=$E$1),--(LU!$N$74:$N$76=$D37),(LU!AK$74:AK$76),(LU!AK$20:AK$22))</f>
        <v>0</v>
      </c>
      <c r="AL37" s="613">
        <f>SUMPRODUCT(--(IP!$C$83:$C$85=$E$1),--(IP!$N$83:$N$85=$D37),(IP!AL$83:AL$85),(IP!AL$20:AL$22))+SUMPRODUCT(--(RN!$C$80:$C$82=$E$1),--(RN!$N$80:$N$82=$D37),(RN!AL$80:AL$82),(RN!AL$20:AL$22))+SUMPRODUCT(--(RL!$C$74:$C$76=$E$1),--(RL!$N$74:$N$76=$D37),(RL!AL$74:AL$76),(RL!AL$20:AL$22))+SUMPRODUCT(--(LU!$C$74:$C$76=$E$1),--(LU!$N$74:$N$76=$D37),(LU!AL$74:AL$76),(LU!AL$20:AL$22))</f>
        <v>0</v>
      </c>
      <c r="AM37" s="613">
        <f>SUMPRODUCT(--(IP!$C$83:$C$85=$E$1),--(IP!$N$83:$N$85=$D37),(IP!AM$83:AM$85),(IP!AM$20:AM$22))+SUMPRODUCT(--(RN!$C$80:$C$82=$E$1),--(RN!$N$80:$N$82=$D37),(RN!AM$80:AM$82),(RN!AM$20:AM$22))+SUMPRODUCT(--(RL!$C$74:$C$76=$E$1),--(RL!$N$74:$N$76=$D37),(RL!AM$74:AM$76),(RL!AM$20:AM$22))+SUMPRODUCT(--(LU!$C$74:$C$76=$E$1),--(LU!$N$74:$N$76=$D37),(LU!AM$74:AM$76),(LU!AM$20:AM$22))</f>
        <v>0</v>
      </c>
      <c r="AN37" s="613">
        <f>SUMPRODUCT(--(IP!$C$83:$C$85=$E$1),--(IP!$N$83:$N$85=$D37),(IP!AN$83:AN$85),(IP!AN$20:AN$22))+SUMPRODUCT(--(RN!$C$80:$C$82=$E$1),--(RN!$N$80:$N$82=$D37),(RN!AN$80:AN$82),(RN!AN$20:AN$22))+SUMPRODUCT(--(RL!$C$74:$C$76=$E$1),--(RL!$N$74:$N$76=$D37),(RL!AN$74:AN$76),(RL!AN$20:AN$22))+SUMPRODUCT(--(LU!$C$74:$C$76=$E$1),--(LU!$N$74:$N$76=$D37),(LU!AN$74:AN$76),(LU!AN$20:AN$22))</f>
        <v>0</v>
      </c>
      <c r="AO37" s="613">
        <f>SUMPRODUCT(--(IP!$C$83:$C$85=$E$1),--(IP!$N$83:$N$85=$D37),(IP!AO$83:AO$85),(IP!AO$20:AO$22))+SUMPRODUCT(--(RN!$C$80:$C$82=$E$1),--(RN!$N$80:$N$82=$D37),(RN!AO$80:AO$82),(RN!AO$20:AO$22))+SUMPRODUCT(--(RL!$C$74:$C$76=$E$1),--(RL!$N$74:$N$76=$D37),(RL!AO$74:AO$76),(RL!AO$20:AO$22))+SUMPRODUCT(--(LU!$C$74:$C$76=$E$1),--(LU!$N$74:$N$76=$D37),(LU!AO$74:AO$76),(LU!AO$20:AO$22))</f>
        <v>0</v>
      </c>
      <c r="AP37" s="613">
        <f>SUMPRODUCT(--(IP!$C$83:$C$85=$E$1),--(IP!$N$83:$N$85=$D37),(IP!AP$83:AP$85),(IP!AP$20:AP$22))+SUMPRODUCT(--(RN!$C$80:$C$82=$E$1),--(RN!$N$80:$N$82=$D37),(RN!AP$80:AP$82),(RN!AP$20:AP$22))+SUMPRODUCT(--(RL!$C$74:$C$76=$E$1),--(RL!$N$74:$N$76=$D37),(RL!AP$74:AP$76),(RL!AP$20:AP$22))+SUMPRODUCT(--(LU!$C$74:$C$76=$E$1),--(LU!$N$74:$N$76=$D37),(LU!AP$74:AP$76),(LU!AP$20:AP$22))</f>
        <v>0</v>
      </c>
      <c r="AQ37" s="613">
        <f>SUMPRODUCT(--(IP!$C$83:$C$85=$E$1),--(IP!$N$83:$N$85=$D37),(IP!AQ$83:AQ$85),(IP!AQ$20:AQ$22))+SUMPRODUCT(--(RN!$C$80:$C$82=$E$1),--(RN!$N$80:$N$82=$D37),(RN!AQ$80:AQ$82),(RN!AQ$20:AQ$22))+SUMPRODUCT(--(RL!$C$74:$C$76=$E$1),--(RL!$N$74:$N$76=$D37),(RL!AQ$74:AQ$76),(RL!AQ$20:AQ$22))+SUMPRODUCT(--(LU!$C$74:$C$76=$E$1),--(LU!$N$74:$N$76=$D37),(LU!AQ$74:AQ$76),(LU!AQ$20:AQ$22))</f>
        <v>0</v>
      </c>
      <c r="AR37" s="613">
        <f>SUMPRODUCT(--(IP!$C$83:$C$85=$E$1),--(IP!$N$83:$N$85=$D37),(IP!AR$83:AR$85),(IP!AR$20:AR$22))+SUMPRODUCT(--(RN!$C$80:$C$82=$E$1),--(RN!$N$80:$N$82=$D37),(RN!AR$80:AR$82),(RN!AR$20:AR$22))+SUMPRODUCT(--(RL!$C$74:$C$76=$E$1),--(RL!$N$74:$N$76=$D37),(RL!AR$74:AR$76),(RL!AR$20:AR$22))+SUMPRODUCT(--(LU!$C$74:$C$76=$E$1),--(LU!$N$74:$N$76=$D37),(LU!AR$74:AR$76),(LU!AR$20:AR$22))</f>
        <v>0</v>
      </c>
      <c r="AS37" s="613">
        <f>SUMPRODUCT(--(IP!$C$83:$C$85=$E$1),--(IP!$N$83:$N$85=$D37),(IP!AS$83:AS$85),(IP!AS$20:AS$22))+SUMPRODUCT(--(RN!$C$80:$C$82=$E$1),--(RN!$N$80:$N$82=$D37),(RN!AS$80:AS$82),(RN!AS$20:AS$22))+SUMPRODUCT(--(RL!$C$74:$C$76=$E$1),--(RL!$N$74:$N$76=$D37),(RL!AS$74:AS$76),(RL!AS$20:AS$22))+SUMPRODUCT(--(LU!$C$74:$C$76=$E$1),--(LU!$N$74:$N$76=$D37),(LU!AS$74:AS$76),(LU!AS$20:AS$22))</f>
        <v>0</v>
      </c>
      <c r="AT37" s="613">
        <f>SUMPRODUCT(--(IP!$C$83:$C$85=$E$1),--(IP!$N$83:$N$85=$D37),(IP!AT$83:AT$85),(IP!AT$20:AT$22))+SUMPRODUCT(--(RN!$C$80:$C$82=$E$1),--(RN!$N$80:$N$82=$D37),(RN!AT$80:AT$82),(RN!AT$20:AT$22))+SUMPRODUCT(--(RL!$C$74:$C$76=$E$1),--(RL!$N$74:$N$76=$D37),(RL!AT$74:AT$76),(RL!AT$20:AT$22))+SUMPRODUCT(--(LU!$C$74:$C$76=$E$1),--(LU!$N$74:$N$76=$D37),(LU!AT$74:AT$76),(LU!AT$20:AT$22))</f>
        <v>0</v>
      </c>
      <c r="AU37" s="613">
        <f>SUMPRODUCT(--(IP!$C$83:$C$85=$E$1),--(IP!$N$83:$N$85=$D37),(IP!AU$83:AU$85),(IP!AU$20:AU$22))+SUMPRODUCT(--(RN!$C$80:$C$82=$E$1),--(RN!$N$80:$N$82=$D37),(RN!AU$80:AU$82),(RN!AU$20:AU$22))+SUMPRODUCT(--(RL!$C$74:$C$76=$E$1),--(RL!$N$74:$N$76=$D37),(RL!AU$74:AU$76),(RL!AU$20:AU$22))+SUMPRODUCT(--(LU!$C$74:$C$76=$E$1),--(LU!$N$74:$N$76=$D37),(LU!AU$74:AU$76),(LU!AU$20:AU$22))</f>
        <v>0</v>
      </c>
      <c r="AV37" s="613">
        <f>SUMPRODUCT(--(IP!$C$83:$C$85=$E$1),--(IP!$N$83:$N$85=$D37),(IP!AV$83:AV$85),(IP!AV$20:AV$22))+SUMPRODUCT(--(RN!$C$80:$C$82=$E$1),--(RN!$N$80:$N$82=$D37),(RN!AV$80:AV$82),(RN!AV$20:AV$22))+SUMPRODUCT(--(RL!$C$74:$C$76=$E$1),--(RL!$N$74:$N$76=$D37),(RL!AV$74:AV$76),(RL!AV$20:AV$22))+SUMPRODUCT(--(LU!$C$74:$C$76=$E$1),--(LU!$N$74:$N$76=$D37),(LU!AV$74:AV$76),(LU!AV$20:AV$22))</f>
        <v>0</v>
      </c>
      <c r="AW37" s="613">
        <f>SUMPRODUCT(--(IP!$C$83:$C$85=$E$1),--(IP!$N$83:$N$85=$D37),(IP!AW$83:AW$85),(IP!AW$20:AW$22))+SUMPRODUCT(--(RN!$C$80:$C$82=$E$1),--(RN!$N$80:$N$82=$D37),(RN!AW$80:AW$82),(RN!AW$20:AW$22))+SUMPRODUCT(--(RL!$C$74:$C$76=$E$1),--(RL!$N$74:$N$76=$D37),(RL!AW$74:AW$76),(RL!AW$20:AW$22))+SUMPRODUCT(--(LU!$C$74:$C$76=$E$1),--(LU!$N$74:$N$76=$D37),(LU!AW$74:AW$76),(LU!AW$20:AW$22))</f>
        <v>0</v>
      </c>
      <c r="AX37" s="613">
        <f>SUMPRODUCT(--(IP!$C$83:$C$85=$E$1),--(IP!$N$83:$N$85=$D37),(IP!AX$83:AX$85),(IP!AX$20:AX$22))+SUMPRODUCT(--(RN!$C$80:$C$82=$E$1),--(RN!$N$80:$N$82=$D37),(RN!AX$80:AX$82),(RN!AX$20:AX$22))+SUMPRODUCT(--(RL!$C$74:$C$76=$E$1),--(RL!$N$74:$N$76=$D37),(RL!AX$74:AX$76),(RL!AX$20:AX$22))+SUMPRODUCT(--(LU!$C$74:$C$76=$E$1),--(LU!$N$74:$N$76=$D37),(LU!AX$74:AX$76),(LU!AX$20:AX$22))</f>
        <v>0</v>
      </c>
      <c r="AY37" s="613">
        <f>SUMPRODUCT(--(IP!$C$83:$C$85=$E$1),--(IP!$N$83:$N$85=$D37),(IP!AY$83:AY$85),(IP!AY$20:AY$22))+SUMPRODUCT(--(RN!$C$80:$C$82=$E$1),--(RN!$N$80:$N$82=$D37),(RN!AY$80:AY$82),(RN!AY$20:AY$22))+SUMPRODUCT(--(RL!$C$74:$C$76=$E$1),--(RL!$N$74:$N$76=$D37),(RL!AY$74:AY$76),(RL!AY$20:AY$22))+SUMPRODUCT(--(LU!$C$74:$C$76=$E$1),--(LU!$N$74:$N$76=$D37),(LU!AY$74:AY$76),(LU!AY$20:AY$22))</f>
        <v>0</v>
      </c>
      <c r="AZ37" s="613">
        <f>SUMPRODUCT(--(IP!$C$83:$C$85=$E$1),--(IP!$N$83:$N$85=$D37),(IP!AZ$83:AZ$85),(IP!AZ$20:AZ$22))+SUMPRODUCT(--(RN!$C$80:$C$82=$E$1),--(RN!$N$80:$N$82=$D37),(RN!AZ$80:AZ$82),(RN!AZ$20:AZ$22))+SUMPRODUCT(--(RL!$C$74:$C$76=$E$1),--(RL!$N$74:$N$76=$D37),(RL!AZ$74:AZ$76),(RL!AZ$20:AZ$22))+SUMPRODUCT(--(LU!$C$74:$C$76=$E$1),--(LU!$N$74:$N$76=$D37),(LU!AZ$74:AZ$76),(LU!AZ$20:AZ$22))</f>
        <v>0</v>
      </c>
      <c r="BA37" s="613">
        <f>SUMPRODUCT(--(IP!$C$83:$C$85=$E$1),--(IP!$N$83:$N$85=$D37),(IP!BA$83:BA$85),(IP!BA$20:BA$22))+SUMPRODUCT(--(RN!$C$80:$C$82=$E$1),--(RN!$N$80:$N$82=$D37),(RN!BA$80:BA$82),(RN!BA$20:BA$22))+SUMPRODUCT(--(RL!$C$74:$C$76=$E$1),--(RL!$N$74:$N$76=$D37),(RL!BA$74:BA$76),(RL!BA$20:BA$22))+SUMPRODUCT(--(LU!$C$74:$C$76=$E$1),--(LU!$N$74:$N$76=$D37),(LU!BA$74:BA$76),(LU!BA$20:BA$22))</f>
        <v>0</v>
      </c>
      <c r="BB37" s="613">
        <f>SUMPRODUCT(--(IP!$C$83:$C$85=$E$1),--(IP!$N$83:$N$85=$D37),(IP!BB$83:BB$85),(IP!BB$20:BB$22))+SUMPRODUCT(--(RN!$C$80:$C$82=$E$1),--(RN!$N$80:$N$82=$D37),(RN!BB$80:BB$82),(RN!BB$20:BB$22))+SUMPRODUCT(--(RL!$C$74:$C$76=$E$1),--(RL!$N$74:$N$76=$D37),(RL!BB$74:BB$76),(RL!BB$20:BB$22))+SUMPRODUCT(--(LU!$C$74:$C$76=$E$1),--(LU!$N$74:$N$76=$D37),(LU!BB$74:BB$76),(LU!BB$20:BB$22))</f>
        <v>0</v>
      </c>
      <c r="BC37" s="613">
        <f>SUMPRODUCT(--(IP!$C$83:$C$85=$E$1),--(IP!$N$83:$N$85=$D37),(IP!BC$83:BC$85),(IP!BC$20:BC$22))+SUMPRODUCT(--(RN!$C$80:$C$82=$E$1),--(RN!$N$80:$N$82=$D37),(RN!BC$80:BC$82),(RN!BC$20:BC$22))+SUMPRODUCT(--(RL!$C$74:$C$76=$E$1),--(RL!$N$74:$N$76=$D37),(RL!BC$74:BC$76),(RL!BC$20:BC$22))+SUMPRODUCT(--(LU!$C$74:$C$76=$E$1),--(LU!$N$74:$N$76=$D37),(LU!BC$74:BC$76),(LU!BC$20:BC$22))</f>
        <v>0</v>
      </c>
      <c r="BD37" s="613">
        <f>SUMPRODUCT(--(IP!$C$83:$C$85=$E$1),--(IP!$N$83:$N$85=$D37),(IP!BD$83:BD$85),(IP!BD$20:BD$22))+SUMPRODUCT(--(RN!$C$80:$C$82=$E$1),--(RN!$N$80:$N$82=$D37),(RN!BD$80:BD$82),(RN!BD$20:BD$22))+SUMPRODUCT(--(RL!$C$74:$C$76=$E$1),--(RL!$N$74:$N$76=$D37),(RL!BD$74:BD$76),(RL!BD$20:BD$22))+SUMPRODUCT(--(LU!$C$74:$C$76=$E$1),--(LU!$N$74:$N$76=$D37),(LU!BD$74:BD$76),(LU!BD$20:BD$22))</f>
        <v>0</v>
      </c>
      <c r="BE37" s="613">
        <f>SUMPRODUCT(--(IP!$C$83:$C$85=$E$1),--(IP!$N$83:$N$85=$D37),(IP!BE$83:BE$85),(IP!BE$20:BE$22))+SUMPRODUCT(--(RN!$C$80:$C$82=$E$1),--(RN!$N$80:$N$82=$D37),(RN!BE$80:BE$82),(RN!BE$20:BE$22))+SUMPRODUCT(--(RL!$C$74:$C$76=$E$1),--(RL!$N$74:$N$76=$D37),(RL!BE$74:BE$76),(RL!BE$20:BE$22))+SUMPRODUCT(--(LU!$C$74:$C$76=$E$1),--(LU!$N$74:$N$76=$D37),(LU!BE$74:BE$76),(LU!BE$20:BE$22))</f>
        <v>0</v>
      </c>
      <c r="BF37" s="613">
        <f>SUMPRODUCT(--(IP!$C$83:$C$85=$E$1),--(IP!$N$83:$N$85=$D37),(IP!BF$83:BF$85),(IP!BF$20:BF$22))+SUMPRODUCT(--(RN!$C$80:$C$82=$E$1),--(RN!$N$80:$N$82=$D37),(RN!BF$80:BF$82),(RN!BF$20:BF$22))+SUMPRODUCT(--(RL!$C$74:$C$76=$E$1),--(RL!$N$74:$N$76=$D37),(RL!BF$74:BF$76),(RL!BF$20:BF$22))+SUMPRODUCT(--(LU!$C$74:$C$76=$E$1),--(LU!$N$74:$N$76=$D37),(LU!BF$74:BF$76),(LU!BF$20:BF$22))</f>
        <v>0</v>
      </c>
      <c r="BG37" s="613">
        <f>SUMPRODUCT(--(IP!$C$83:$C$85=$E$1),--(IP!$N$83:$N$85=$D37),(IP!BG$83:BG$85),(IP!BG$20:BG$22))+SUMPRODUCT(--(RN!$C$80:$C$82=$E$1),--(RN!$N$80:$N$82=$D37),(RN!BG$80:BG$82),(RN!BG$20:BG$22))+SUMPRODUCT(--(RL!$C$74:$C$76=$E$1),--(RL!$N$74:$N$76=$D37),(RL!BG$74:BG$76),(RL!BG$20:BG$22))+SUMPRODUCT(--(LU!$C$74:$C$76=$E$1),--(LU!$N$74:$N$76=$D37),(LU!BG$74:BG$76),(LU!BG$20:BG$22))</f>
        <v>0</v>
      </c>
      <c r="BH37" s="586"/>
      <c r="BI37" s="614" t="s">
        <v>153</v>
      </c>
      <c r="BJ37" s="586"/>
      <c r="BK37" s="586"/>
      <c r="BL37" s="586"/>
      <c r="BM37" s="613">
        <f t="shared" ref="BM37:BV39" si="5">INDEX($T37:$BG37,MATCH(BM$12,$T$12:$BG$12))</f>
        <v>0</v>
      </c>
      <c r="BN37" s="613">
        <f t="shared" si="5"/>
        <v>0</v>
      </c>
      <c r="BO37" s="613">
        <f t="shared" si="5"/>
        <v>0</v>
      </c>
      <c r="BP37" s="613">
        <f t="shared" si="5"/>
        <v>0</v>
      </c>
      <c r="BQ37" s="613">
        <f t="shared" si="5"/>
        <v>0</v>
      </c>
      <c r="BR37" s="613">
        <f t="shared" si="5"/>
        <v>0</v>
      </c>
      <c r="BS37" s="613">
        <f t="shared" si="5"/>
        <v>0</v>
      </c>
      <c r="BT37" s="613">
        <f t="shared" si="5"/>
        <v>0</v>
      </c>
      <c r="BU37" s="613">
        <f t="shared" si="5"/>
        <v>0</v>
      </c>
      <c r="BV37" s="613">
        <f t="shared" si="5"/>
        <v>0</v>
      </c>
      <c r="BW37" s="586"/>
      <c r="BX37" s="615" t="s">
        <v>153</v>
      </c>
    </row>
    <row r="38" spans="2:76" s="398" customFormat="1">
      <c r="B38" s="636"/>
      <c r="D38" s="637" t="s">
        <v>649</v>
      </c>
      <c r="T38" s="638">
        <f>IF(T28=0,0,T37/T28)</f>
        <v>0</v>
      </c>
      <c r="U38" s="638">
        <f t="shared" ref="U38:BG38" si="6">IF(U28=0,0,U37/U28)</f>
        <v>0</v>
      </c>
      <c r="V38" s="638">
        <f t="shared" si="6"/>
        <v>0</v>
      </c>
      <c r="W38" s="638">
        <f t="shared" si="6"/>
        <v>0</v>
      </c>
      <c r="X38" s="638">
        <f t="shared" si="6"/>
        <v>0</v>
      </c>
      <c r="Y38" s="638">
        <f t="shared" si="6"/>
        <v>0</v>
      </c>
      <c r="Z38" s="638">
        <f t="shared" si="6"/>
        <v>0</v>
      </c>
      <c r="AA38" s="638">
        <f t="shared" si="6"/>
        <v>0</v>
      </c>
      <c r="AB38" s="638">
        <f t="shared" si="6"/>
        <v>0</v>
      </c>
      <c r="AC38" s="638">
        <f t="shared" si="6"/>
        <v>0</v>
      </c>
      <c r="AD38" s="638">
        <f t="shared" si="6"/>
        <v>0</v>
      </c>
      <c r="AE38" s="638">
        <f t="shared" si="6"/>
        <v>0</v>
      </c>
      <c r="AF38" s="638">
        <f t="shared" si="6"/>
        <v>0</v>
      </c>
      <c r="AG38" s="638">
        <f t="shared" si="6"/>
        <v>0</v>
      </c>
      <c r="AH38" s="638">
        <f t="shared" si="6"/>
        <v>0</v>
      </c>
      <c r="AI38" s="638">
        <f t="shared" si="6"/>
        <v>0</v>
      </c>
      <c r="AJ38" s="638">
        <f t="shared" si="6"/>
        <v>0</v>
      </c>
      <c r="AK38" s="638">
        <f t="shared" si="6"/>
        <v>0</v>
      </c>
      <c r="AL38" s="638">
        <f t="shared" si="6"/>
        <v>0</v>
      </c>
      <c r="AM38" s="638">
        <f t="shared" si="6"/>
        <v>0</v>
      </c>
      <c r="AN38" s="638">
        <f t="shared" si="6"/>
        <v>0</v>
      </c>
      <c r="AO38" s="638">
        <f t="shared" si="6"/>
        <v>0</v>
      </c>
      <c r="AP38" s="638">
        <f t="shared" si="6"/>
        <v>0</v>
      </c>
      <c r="AQ38" s="638">
        <f t="shared" si="6"/>
        <v>0</v>
      </c>
      <c r="AR38" s="638">
        <f t="shared" si="6"/>
        <v>0</v>
      </c>
      <c r="AS38" s="638">
        <f t="shared" si="6"/>
        <v>0</v>
      </c>
      <c r="AT38" s="638">
        <f t="shared" si="6"/>
        <v>0</v>
      </c>
      <c r="AU38" s="638">
        <f t="shared" si="6"/>
        <v>0</v>
      </c>
      <c r="AV38" s="638">
        <f t="shared" si="6"/>
        <v>0</v>
      </c>
      <c r="AW38" s="638">
        <f t="shared" si="6"/>
        <v>0</v>
      </c>
      <c r="AX38" s="638">
        <f t="shared" si="6"/>
        <v>0</v>
      </c>
      <c r="AY38" s="638">
        <f t="shared" si="6"/>
        <v>0</v>
      </c>
      <c r="AZ38" s="638">
        <f t="shared" si="6"/>
        <v>0</v>
      </c>
      <c r="BA38" s="638">
        <f t="shared" si="6"/>
        <v>0</v>
      </c>
      <c r="BB38" s="638">
        <f t="shared" si="6"/>
        <v>0</v>
      </c>
      <c r="BC38" s="638">
        <f t="shared" si="6"/>
        <v>0</v>
      </c>
      <c r="BD38" s="638">
        <f t="shared" si="6"/>
        <v>0</v>
      </c>
      <c r="BE38" s="638">
        <f t="shared" si="6"/>
        <v>0</v>
      </c>
      <c r="BF38" s="638">
        <f t="shared" si="6"/>
        <v>0</v>
      </c>
      <c r="BG38" s="638">
        <f t="shared" si="6"/>
        <v>0</v>
      </c>
      <c r="BI38" s="639" t="s">
        <v>153</v>
      </c>
      <c r="BM38" s="638">
        <f t="shared" ref="BM38:BV38" si="7">IFERROR(BM37/BM27,0)</f>
        <v>0</v>
      </c>
      <c r="BN38" s="638">
        <f t="shared" si="7"/>
        <v>0</v>
      </c>
      <c r="BO38" s="638">
        <f t="shared" si="7"/>
        <v>0</v>
      </c>
      <c r="BP38" s="638">
        <f t="shared" si="7"/>
        <v>0</v>
      </c>
      <c r="BQ38" s="638">
        <f t="shared" si="7"/>
        <v>0</v>
      </c>
      <c r="BR38" s="638">
        <f t="shared" si="7"/>
        <v>0</v>
      </c>
      <c r="BS38" s="638">
        <f t="shared" si="7"/>
        <v>0</v>
      </c>
      <c r="BT38" s="638">
        <f t="shared" si="7"/>
        <v>0</v>
      </c>
      <c r="BU38" s="638">
        <f t="shared" si="7"/>
        <v>0</v>
      </c>
      <c r="BV38" s="638">
        <f t="shared" si="7"/>
        <v>0</v>
      </c>
      <c r="BX38" s="640" t="s">
        <v>153</v>
      </c>
    </row>
    <row r="39" spans="2:76">
      <c r="B39" s="607"/>
      <c r="D39" s="624" t="s">
        <v>48</v>
      </c>
      <c r="T39" s="613">
        <f>SUMPRODUCT(--(IP!$C$83:$C$85=$E$1),--(IP!$N$83:$N$85=$D39),(IP!T$83:T$85),(IP!T$29:T$31))+SUMPRODUCT(--(RN!$C$80:$C$82=$E$1),--(RN!$N$80:$N$82=$D39),(RN!T$80:T$82),(RN!T$29:T$31))+SUMPRODUCT(--(RL!$C$74:$C$76=$E$1),--(RL!$N$74:$N$76=$D39),(RL!T$74:T$76),(RL!T$29:T$31))+SUMPRODUCT(--(LU!$C$74:$C$76=$E$1),--(LU!$N$74:$N$76=$D39),(LU!T$74:T$76),(LU!T$29:T$31))</f>
        <v>0</v>
      </c>
      <c r="U39" s="613">
        <f>SUMPRODUCT(--(IP!$C$83:$C$85=$E$1),--(IP!$N$83:$N$85=$D39),(IP!U$83:U$85),(IP!U$29:U$31))+SUMPRODUCT(--(RN!$C$80:$C$82=$E$1),--(RN!$N$80:$N$82=$D39),(RN!U$80:U$82),(RN!U$29:U$31))+SUMPRODUCT(--(RL!$C$74:$C$76=$E$1),--(RL!$N$74:$N$76=$D39),(RL!U$74:U$76),(RL!U$29:U$31))+SUMPRODUCT(--(LU!$C$74:$C$76=$E$1),--(LU!$N$74:$N$76=$D39),(LU!U$74:U$76),(LU!U$29:U$31))</f>
        <v>0</v>
      </c>
      <c r="V39" s="613">
        <f>SUMPRODUCT(--(IP!$C$83:$C$85=$E$1),--(IP!$N$83:$N$85=$D39),(IP!V$83:V$85),(IP!V$29:V$31))+SUMPRODUCT(--(RN!$C$80:$C$82=$E$1),--(RN!$N$80:$N$82=$D39),(RN!V$80:V$82),(RN!V$29:V$31))+SUMPRODUCT(--(RL!$C$74:$C$76=$E$1),--(RL!$N$74:$N$76=$D39),(RL!V$74:V$76),(RL!V$29:V$31))+SUMPRODUCT(--(LU!$C$74:$C$76=$E$1),--(LU!$N$74:$N$76=$D39),(LU!V$74:V$76),(LU!V$29:V$31))</f>
        <v>0</v>
      </c>
      <c r="W39" s="613">
        <f>SUMPRODUCT(--(IP!$C$83:$C$85=$E$1),--(IP!$N$83:$N$85=$D39),(IP!W$83:W$85),(IP!W$29:W$31))+SUMPRODUCT(--(RN!$C$80:$C$82=$E$1),--(RN!$N$80:$N$82=$D39),(RN!W$80:W$82),(RN!W$29:W$31))+SUMPRODUCT(--(RL!$C$74:$C$76=$E$1),--(RL!$N$74:$N$76=$D39),(RL!W$74:W$76),(RL!W$29:W$31))+SUMPRODUCT(--(LU!$C$74:$C$76=$E$1),--(LU!$N$74:$N$76=$D39),(LU!W$74:W$76),(LU!W$29:W$31))</f>
        <v>0</v>
      </c>
      <c r="X39" s="613">
        <f>SUMPRODUCT(--(IP!$C$83:$C$85=$E$1),--(IP!$N$83:$N$85=$D39),(IP!X$83:X$85),(IP!X$29:X$31))+SUMPRODUCT(--(RN!$C$80:$C$82=$E$1),--(RN!$N$80:$N$82=$D39),(RN!X$80:X$82),(RN!X$29:X$31))+SUMPRODUCT(--(RL!$C$74:$C$76=$E$1),--(RL!$N$74:$N$76=$D39),(RL!X$74:X$76),(RL!X$29:X$31))+SUMPRODUCT(--(LU!$C$74:$C$76=$E$1),--(LU!$N$74:$N$76=$D39),(LU!X$74:X$76),(LU!X$29:X$31))</f>
        <v>0</v>
      </c>
      <c r="Y39" s="613">
        <f>SUMPRODUCT(--(IP!$C$83:$C$85=$E$1),--(IP!$N$83:$N$85=$D39),(IP!Y$83:Y$85),(IP!Y$29:Y$31))+SUMPRODUCT(--(RN!$C$80:$C$82=$E$1),--(RN!$N$80:$N$82=$D39),(RN!Y$80:Y$82),(RN!Y$29:Y$31))+SUMPRODUCT(--(RL!$C$74:$C$76=$E$1),--(RL!$N$74:$N$76=$D39),(RL!Y$74:Y$76),(RL!Y$29:Y$31))+SUMPRODUCT(--(LU!$C$74:$C$76=$E$1),--(LU!$N$74:$N$76=$D39),(LU!Y$74:Y$76),(LU!Y$29:Y$31))</f>
        <v>0</v>
      </c>
      <c r="Z39" s="613">
        <f>SUMPRODUCT(--(IP!$C$83:$C$85=$E$1),--(IP!$N$83:$N$85=$D39),(IP!Z$83:Z$85),(IP!Z$29:Z$31))+SUMPRODUCT(--(RN!$C$80:$C$82=$E$1),--(RN!$N$80:$N$82=$D39),(RN!Z$80:Z$82),(RN!Z$29:Z$31))+SUMPRODUCT(--(RL!$C$74:$C$76=$E$1),--(RL!$N$74:$N$76=$D39),(RL!Z$74:Z$76),(RL!Z$29:Z$31))+SUMPRODUCT(--(LU!$C$74:$C$76=$E$1),--(LU!$N$74:$N$76=$D39),(LU!Z$74:Z$76),(LU!Z$29:Z$31))</f>
        <v>0</v>
      </c>
      <c r="AA39" s="613">
        <f>SUMPRODUCT(--(IP!$C$83:$C$85=$E$1),--(IP!$N$83:$N$85=$D39),(IP!AA$83:AA$85),(IP!AA$29:AA$31))+SUMPRODUCT(--(RN!$C$80:$C$82=$E$1),--(RN!$N$80:$N$82=$D39),(RN!AA$80:AA$82),(RN!AA$29:AA$31))+SUMPRODUCT(--(RL!$C$74:$C$76=$E$1),--(RL!$N$74:$N$76=$D39),(RL!AA$74:AA$76),(RL!AA$29:AA$31))+SUMPRODUCT(--(LU!$C$74:$C$76=$E$1),--(LU!$N$74:$N$76=$D39),(LU!AA$74:AA$76),(LU!AA$29:AA$31))</f>
        <v>0</v>
      </c>
      <c r="AB39" s="613">
        <f>SUMPRODUCT(--(IP!$C$83:$C$85=$E$1),--(IP!$N$83:$N$85=$D39),(IP!AB$83:AB$85),(IP!AB$29:AB$31))+SUMPRODUCT(--(RN!$C$80:$C$82=$E$1),--(RN!$N$80:$N$82=$D39),(RN!AB$80:AB$82),(RN!AB$29:AB$31))+SUMPRODUCT(--(RL!$C$74:$C$76=$E$1),--(RL!$N$74:$N$76=$D39),(RL!AB$74:AB$76),(RL!AB$29:AB$31))+SUMPRODUCT(--(LU!$C$74:$C$76=$E$1),--(LU!$N$74:$N$76=$D39),(LU!AB$74:AB$76),(LU!AB$29:AB$31))</f>
        <v>0</v>
      </c>
      <c r="AC39" s="613">
        <f>SUMPRODUCT(--(IP!$C$83:$C$85=$E$1),--(IP!$N$83:$N$85=$D39),(IP!AC$83:AC$85),(IP!AC$29:AC$31))+SUMPRODUCT(--(RN!$C$80:$C$82=$E$1),--(RN!$N$80:$N$82=$D39),(RN!AC$80:AC$82),(RN!AC$29:AC$31))+SUMPRODUCT(--(RL!$C$74:$C$76=$E$1),--(RL!$N$74:$N$76=$D39),(RL!AC$74:AC$76),(RL!AC$29:AC$31))+SUMPRODUCT(--(LU!$C$74:$C$76=$E$1),--(LU!$N$74:$N$76=$D39),(LU!AC$74:AC$76),(LU!AC$29:AC$31))</f>
        <v>0</v>
      </c>
      <c r="AD39" s="613">
        <f>SUMPRODUCT(--(IP!$C$83:$C$85=$E$1),--(IP!$N$83:$N$85=$D39),(IP!AD$83:AD$85),(IP!AD$29:AD$31))+SUMPRODUCT(--(RN!$C$80:$C$82=$E$1),--(RN!$N$80:$N$82=$D39),(RN!AD$80:AD$82),(RN!AD$29:AD$31))+SUMPRODUCT(--(RL!$C$74:$C$76=$E$1),--(RL!$N$74:$N$76=$D39),(RL!AD$74:AD$76),(RL!AD$29:AD$31))+SUMPRODUCT(--(LU!$C$74:$C$76=$E$1),--(LU!$N$74:$N$76=$D39),(LU!AD$74:AD$76),(LU!AD$29:AD$31))</f>
        <v>0</v>
      </c>
      <c r="AE39" s="613">
        <f>SUMPRODUCT(--(IP!$C$83:$C$85=$E$1),--(IP!$N$83:$N$85=$D39),(IP!AE$83:AE$85),(IP!AE$29:AE$31))+SUMPRODUCT(--(RN!$C$80:$C$82=$E$1),--(RN!$N$80:$N$82=$D39),(RN!AE$80:AE$82),(RN!AE$29:AE$31))+SUMPRODUCT(--(RL!$C$74:$C$76=$E$1),--(RL!$N$74:$N$76=$D39),(RL!AE$74:AE$76),(RL!AE$29:AE$31))+SUMPRODUCT(--(LU!$C$74:$C$76=$E$1),--(LU!$N$74:$N$76=$D39),(LU!AE$74:AE$76),(LU!AE$29:AE$31))</f>
        <v>0</v>
      </c>
      <c r="AF39" s="613">
        <f>SUMPRODUCT(--(IP!$C$83:$C$85=$E$1),--(IP!$N$83:$N$85=$D39),(IP!AF$83:AF$85),(IP!AF$29:AF$31))+SUMPRODUCT(--(RN!$C$80:$C$82=$E$1),--(RN!$N$80:$N$82=$D39),(RN!AF$80:AF$82),(RN!AF$29:AF$31))+SUMPRODUCT(--(RL!$C$74:$C$76=$E$1),--(RL!$N$74:$N$76=$D39),(RL!AF$74:AF$76),(RL!AF$29:AF$31))+SUMPRODUCT(--(LU!$C$74:$C$76=$E$1),--(LU!$N$74:$N$76=$D39),(LU!AF$74:AF$76),(LU!AF$29:AF$31))</f>
        <v>0</v>
      </c>
      <c r="AG39" s="613">
        <f>SUMPRODUCT(--(IP!$C$83:$C$85=$E$1),--(IP!$N$83:$N$85=$D39),(IP!AG$83:AG$85),(IP!AG$20:AG$22))+SUMPRODUCT(--(RN!$C$80:$C$82=$E$1),--(RN!$N$80:$N$82=$D39),(RN!AG$80:AG$82),(RN!AG$20:AG$22))+SUMPRODUCT(--(RL!$C$74:$C$76=$E$1),--(RL!$N$74:$N$76=$D39),(RL!AG$74:AG$76),(RL!AG$20:AG$22))+SUMPRODUCT(--(LU!$C$74:$C$76=$E$1),--(LU!$N$74:$N$76=$D39),(LU!AG$74:AG$76),(LU!AG$20:AG$22))</f>
        <v>0</v>
      </c>
      <c r="AH39" s="613">
        <f>SUMPRODUCT(--(IP!$C$83:$C$85=$E$1),--(IP!$N$83:$N$85=$D39),(IP!AH$83:AH$85),(IP!AH$20:AH$22))+SUMPRODUCT(--(RN!$C$80:$C$82=$E$1),--(RN!$N$80:$N$82=$D39),(RN!AH$80:AH$82),(RN!AH$20:AH$22))+SUMPRODUCT(--(RL!$C$74:$C$76=$E$1),--(RL!$N$74:$N$76=$D39),(RL!AH$74:AH$76),(RL!AH$20:AH$22))+SUMPRODUCT(--(LU!$C$74:$C$76=$E$1),--(LU!$N$74:$N$76=$D39),(LU!AH$74:AH$76),(LU!AH$20:AH$22))</f>
        <v>0</v>
      </c>
      <c r="AI39" s="613">
        <f>SUMPRODUCT(--(IP!$C$83:$C$85=$E$1),--(IP!$N$83:$N$85=$D39),(IP!AI$83:AI$85),(IP!AI$20:AI$22))+SUMPRODUCT(--(RN!$C$80:$C$82=$E$1),--(RN!$N$80:$N$82=$D39),(RN!AI$80:AI$82),(RN!AI$20:AI$22))+SUMPRODUCT(--(RL!$C$74:$C$76=$E$1),--(RL!$N$74:$N$76=$D39),(RL!AI$74:AI$76),(RL!AI$20:AI$22))+SUMPRODUCT(--(LU!$C$74:$C$76=$E$1),--(LU!$N$74:$N$76=$D39),(LU!AI$74:AI$76),(LU!AI$20:AI$22))</f>
        <v>0</v>
      </c>
      <c r="AJ39" s="613">
        <f>SUMPRODUCT(--(IP!$C$83:$C$85=$E$1),--(IP!$N$83:$N$85=$D39),(IP!AJ$83:AJ$85),(IP!AJ$20:AJ$22))+SUMPRODUCT(--(RN!$C$80:$C$82=$E$1),--(RN!$N$80:$N$82=$D39),(RN!AJ$80:AJ$82),(RN!AJ$20:AJ$22))+SUMPRODUCT(--(RL!$C$74:$C$76=$E$1),--(RL!$N$74:$N$76=$D39),(RL!AJ$74:AJ$76),(RL!AJ$20:AJ$22))+SUMPRODUCT(--(LU!$C$74:$C$76=$E$1),--(LU!$N$74:$N$76=$D39),(LU!AJ$74:AJ$76),(LU!AJ$20:AJ$22))</f>
        <v>0</v>
      </c>
      <c r="AK39" s="613">
        <f>SUMPRODUCT(--(IP!$C$83:$C$85=$E$1),--(IP!$N$83:$N$85=$D39),(IP!AK$83:AK$85),(IP!AK$20:AK$22))+SUMPRODUCT(--(RN!$C$80:$C$82=$E$1),--(RN!$N$80:$N$82=$D39),(RN!AK$80:AK$82),(RN!AK$20:AK$22))+SUMPRODUCT(--(RL!$C$74:$C$76=$E$1),--(RL!$N$74:$N$76=$D39),(RL!AK$74:AK$76),(RL!AK$20:AK$22))+SUMPRODUCT(--(LU!$C$74:$C$76=$E$1),--(LU!$N$74:$N$76=$D39),(LU!AK$74:AK$76),(LU!AK$20:AK$22))</f>
        <v>0</v>
      </c>
      <c r="AL39" s="613">
        <f>SUMPRODUCT(--(IP!$C$83:$C$85=$E$1),--(IP!$N$83:$N$85=$D39),(IP!AL$83:AL$85),(IP!AL$20:AL$22))+SUMPRODUCT(--(RN!$C$80:$C$82=$E$1),--(RN!$N$80:$N$82=$D39),(RN!AL$80:AL$82),(RN!AL$20:AL$22))+SUMPRODUCT(--(RL!$C$74:$C$76=$E$1),--(RL!$N$74:$N$76=$D39),(RL!AL$74:AL$76),(RL!AL$20:AL$22))+SUMPRODUCT(--(LU!$C$74:$C$76=$E$1),--(LU!$N$74:$N$76=$D39),(LU!AL$74:AL$76),(LU!AL$20:AL$22))</f>
        <v>0</v>
      </c>
      <c r="AM39" s="613">
        <f>SUMPRODUCT(--(IP!$C$83:$C$85=$E$1),--(IP!$N$83:$N$85=$D39),(IP!AM$83:AM$85),(IP!AM$20:AM$22))+SUMPRODUCT(--(RN!$C$80:$C$82=$E$1),--(RN!$N$80:$N$82=$D39),(RN!AM$80:AM$82),(RN!AM$20:AM$22))+SUMPRODUCT(--(RL!$C$74:$C$76=$E$1),--(RL!$N$74:$N$76=$D39),(RL!AM$74:AM$76),(RL!AM$20:AM$22))+SUMPRODUCT(--(LU!$C$74:$C$76=$E$1),--(LU!$N$74:$N$76=$D39),(LU!AM$74:AM$76),(LU!AM$20:AM$22))</f>
        <v>0</v>
      </c>
      <c r="AN39" s="613">
        <f>SUMPRODUCT(--(IP!$C$83:$C$85=$E$1),--(IP!$N$83:$N$85=$D39),(IP!AN$83:AN$85),(IP!AN$20:AN$22))+SUMPRODUCT(--(RN!$C$80:$C$82=$E$1),--(RN!$N$80:$N$82=$D39),(RN!AN$80:AN$82),(RN!AN$20:AN$22))+SUMPRODUCT(--(RL!$C$74:$C$76=$E$1),--(RL!$N$74:$N$76=$D39),(RL!AN$74:AN$76),(RL!AN$20:AN$22))+SUMPRODUCT(--(LU!$C$74:$C$76=$E$1),--(LU!$N$74:$N$76=$D39),(LU!AN$74:AN$76),(LU!AN$20:AN$22))</f>
        <v>0</v>
      </c>
      <c r="AO39" s="613">
        <f>SUMPRODUCT(--(IP!$C$83:$C$85=$E$1),--(IP!$N$83:$N$85=$D39),(IP!AO$83:AO$85),(IP!AO$20:AO$22))+SUMPRODUCT(--(RN!$C$80:$C$82=$E$1),--(RN!$N$80:$N$82=$D39),(RN!AO$80:AO$82),(RN!AO$20:AO$22))+SUMPRODUCT(--(RL!$C$74:$C$76=$E$1),--(RL!$N$74:$N$76=$D39),(RL!AO$74:AO$76),(RL!AO$20:AO$22))+SUMPRODUCT(--(LU!$C$74:$C$76=$E$1),--(LU!$N$74:$N$76=$D39),(LU!AO$74:AO$76),(LU!AO$20:AO$22))</f>
        <v>0</v>
      </c>
      <c r="AP39" s="613">
        <f>SUMPRODUCT(--(IP!$C$83:$C$85=$E$1),--(IP!$N$83:$N$85=$D39),(IP!AP$83:AP$85),(IP!AP$20:AP$22))+SUMPRODUCT(--(RN!$C$80:$C$82=$E$1),--(RN!$N$80:$N$82=$D39),(RN!AP$80:AP$82),(RN!AP$20:AP$22))+SUMPRODUCT(--(RL!$C$74:$C$76=$E$1),--(RL!$N$74:$N$76=$D39),(RL!AP$74:AP$76),(RL!AP$20:AP$22))+SUMPRODUCT(--(LU!$C$74:$C$76=$E$1),--(LU!$N$74:$N$76=$D39),(LU!AP$74:AP$76),(LU!AP$20:AP$22))</f>
        <v>0</v>
      </c>
      <c r="AQ39" s="613">
        <f>SUMPRODUCT(--(IP!$C$83:$C$85=$E$1),--(IP!$N$83:$N$85=$D39),(IP!AQ$83:AQ$85),(IP!AQ$20:AQ$22))+SUMPRODUCT(--(RN!$C$80:$C$82=$E$1),--(RN!$N$80:$N$82=$D39),(RN!AQ$80:AQ$82),(RN!AQ$20:AQ$22))+SUMPRODUCT(--(RL!$C$74:$C$76=$E$1),--(RL!$N$74:$N$76=$D39),(RL!AQ$74:AQ$76),(RL!AQ$20:AQ$22))+SUMPRODUCT(--(LU!$C$74:$C$76=$E$1),--(LU!$N$74:$N$76=$D39),(LU!AQ$74:AQ$76),(LU!AQ$20:AQ$22))</f>
        <v>0</v>
      </c>
      <c r="AR39" s="613">
        <f>SUMPRODUCT(--(IP!$C$83:$C$85=$E$1),--(IP!$N$83:$N$85=$D39),(IP!AR$83:AR$85),(IP!AR$20:AR$22))+SUMPRODUCT(--(RN!$C$80:$C$82=$E$1),--(RN!$N$80:$N$82=$D39),(RN!AR$80:AR$82),(RN!AR$20:AR$22))+SUMPRODUCT(--(RL!$C$74:$C$76=$E$1),--(RL!$N$74:$N$76=$D39),(RL!AR$74:AR$76),(RL!AR$20:AR$22))+SUMPRODUCT(--(LU!$C$74:$C$76=$E$1),--(LU!$N$74:$N$76=$D39),(LU!AR$74:AR$76),(LU!AR$20:AR$22))</f>
        <v>0</v>
      </c>
      <c r="AS39" s="613">
        <f>SUMPRODUCT(--(IP!$C$83:$C$85=$E$1),--(IP!$N$83:$N$85=$D39),(IP!AS$83:AS$85),(IP!AS$20:AS$22))+SUMPRODUCT(--(RN!$C$80:$C$82=$E$1),--(RN!$N$80:$N$82=$D39),(RN!AS$80:AS$82),(RN!AS$20:AS$22))+SUMPRODUCT(--(RL!$C$74:$C$76=$E$1),--(RL!$N$74:$N$76=$D39),(RL!AS$74:AS$76),(RL!AS$20:AS$22))+SUMPRODUCT(--(LU!$C$74:$C$76=$E$1),--(LU!$N$74:$N$76=$D39),(LU!AS$74:AS$76),(LU!AS$20:AS$22))</f>
        <v>0</v>
      </c>
      <c r="AT39" s="613">
        <f>SUMPRODUCT(--(IP!$C$83:$C$85=$E$1),--(IP!$N$83:$N$85=$D39),(IP!AT$83:AT$85),(IP!AT$20:AT$22))+SUMPRODUCT(--(RN!$C$80:$C$82=$E$1),--(RN!$N$80:$N$82=$D39),(RN!AT$80:AT$82),(RN!AT$20:AT$22))+SUMPRODUCT(--(RL!$C$74:$C$76=$E$1),--(RL!$N$74:$N$76=$D39),(RL!AT$74:AT$76),(RL!AT$20:AT$22))+SUMPRODUCT(--(LU!$C$74:$C$76=$E$1),--(LU!$N$74:$N$76=$D39),(LU!AT$74:AT$76),(LU!AT$20:AT$22))</f>
        <v>0</v>
      </c>
      <c r="AU39" s="613">
        <f>SUMPRODUCT(--(IP!$C$83:$C$85=$E$1),--(IP!$N$83:$N$85=$D39),(IP!AU$83:AU$85),(IP!AU$20:AU$22))+SUMPRODUCT(--(RN!$C$80:$C$82=$E$1),--(RN!$N$80:$N$82=$D39),(RN!AU$80:AU$82),(RN!AU$20:AU$22))+SUMPRODUCT(--(RL!$C$74:$C$76=$E$1),--(RL!$N$74:$N$76=$D39),(RL!AU$74:AU$76),(RL!AU$20:AU$22))+SUMPRODUCT(--(LU!$C$74:$C$76=$E$1),--(LU!$N$74:$N$76=$D39),(LU!AU$74:AU$76),(LU!AU$20:AU$22))</f>
        <v>0</v>
      </c>
      <c r="AV39" s="613">
        <f>SUMPRODUCT(--(IP!$C$83:$C$85=$E$1),--(IP!$N$83:$N$85=$D39),(IP!AV$83:AV$85),(IP!AV$20:AV$22))+SUMPRODUCT(--(RN!$C$80:$C$82=$E$1),--(RN!$N$80:$N$82=$D39),(RN!AV$80:AV$82),(RN!AV$20:AV$22))+SUMPRODUCT(--(RL!$C$74:$C$76=$E$1),--(RL!$N$74:$N$76=$D39),(RL!AV$74:AV$76),(RL!AV$20:AV$22))+SUMPRODUCT(--(LU!$C$74:$C$76=$E$1),--(LU!$N$74:$N$76=$D39),(LU!AV$74:AV$76),(LU!AV$20:AV$22))</f>
        <v>0</v>
      </c>
      <c r="AW39" s="613">
        <f>SUMPRODUCT(--(IP!$C$83:$C$85=$E$1),--(IP!$N$83:$N$85=$D39),(IP!AW$83:AW$85),(IP!AW$20:AW$22))+SUMPRODUCT(--(RN!$C$80:$C$82=$E$1),--(RN!$N$80:$N$82=$D39),(RN!AW$80:AW$82),(RN!AW$20:AW$22))+SUMPRODUCT(--(RL!$C$74:$C$76=$E$1),--(RL!$N$74:$N$76=$D39),(RL!AW$74:AW$76),(RL!AW$20:AW$22))+SUMPRODUCT(--(LU!$C$74:$C$76=$E$1),--(LU!$N$74:$N$76=$D39),(LU!AW$74:AW$76),(LU!AW$20:AW$22))</f>
        <v>0</v>
      </c>
      <c r="AX39" s="613">
        <f>SUMPRODUCT(--(IP!$C$83:$C$85=$E$1),--(IP!$N$83:$N$85=$D39),(IP!AX$83:AX$85),(IP!AX$20:AX$22))+SUMPRODUCT(--(RN!$C$80:$C$82=$E$1),--(RN!$N$80:$N$82=$D39),(RN!AX$80:AX$82),(RN!AX$20:AX$22))+SUMPRODUCT(--(RL!$C$74:$C$76=$E$1),--(RL!$N$74:$N$76=$D39),(RL!AX$74:AX$76),(RL!AX$20:AX$22))+SUMPRODUCT(--(LU!$C$74:$C$76=$E$1),--(LU!$N$74:$N$76=$D39),(LU!AX$74:AX$76),(LU!AX$20:AX$22))</f>
        <v>0</v>
      </c>
      <c r="AY39" s="613">
        <f>SUMPRODUCT(--(IP!$C$83:$C$85=$E$1),--(IP!$N$83:$N$85=$D39),(IP!AY$83:AY$85),(IP!AY$20:AY$22))+SUMPRODUCT(--(RN!$C$80:$C$82=$E$1),--(RN!$N$80:$N$82=$D39),(RN!AY$80:AY$82),(RN!AY$20:AY$22))+SUMPRODUCT(--(RL!$C$74:$C$76=$E$1),--(RL!$N$74:$N$76=$D39),(RL!AY$74:AY$76),(RL!AY$20:AY$22))+SUMPRODUCT(--(LU!$C$74:$C$76=$E$1),--(LU!$N$74:$N$76=$D39),(LU!AY$74:AY$76),(LU!AY$20:AY$22))</f>
        <v>0</v>
      </c>
      <c r="AZ39" s="613">
        <f>SUMPRODUCT(--(IP!$C$83:$C$85=$E$1),--(IP!$N$83:$N$85=$D39),(IP!AZ$83:AZ$85),(IP!AZ$20:AZ$22))+SUMPRODUCT(--(RN!$C$80:$C$82=$E$1),--(RN!$N$80:$N$82=$D39),(RN!AZ$80:AZ$82),(RN!AZ$20:AZ$22))+SUMPRODUCT(--(RL!$C$74:$C$76=$E$1),--(RL!$N$74:$N$76=$D39),(RL!AZ$74:AZ$76),(RL!AZ$20:AZ$22))+SUMPRODUCT(--(LU!$C$74:$C$76=$E$1),--(LU!$N$74:$N$76=$D39),(LU!AZ$74:AZ$76),(LU!AZ$20:AZ$22))</f>
        <v>0</v>
      </c>
      <c r="BA39" s="613">
        <f>SUMPRODUCT(--(IP!$C$83:$C$85=$E$1),--(IP!$N$83:$N$85=$D39),(IP!BA$83:BA$85),(IP!BA$20:BA$22))+SUMPRODUCT(--(RN!$C$80:$C$82=$E$1),--(RN!$N$80:$N$82=$D39),(RN!BA$80:BA$82),(RN!BA$20:BA$22))+SUMPRODUCT(--(RL!$C$74:$C$76=$E$1),--(RL!$N$74:$N$76=$D39),(RL!BA$74:BA$76),(RL!BA$20:BA$22))+SUMPRODUCT(--(LU!$C$74:$C$76=$E$1),--(LU!$N$74:$N$76=$D39),(LU!BA$74:BA$76),(LU!BA$20:BA$22))</f>
        <v>0</v>
      </c>
      <c r="BB39" s="613">
        <f>SUMPRODUCT(--(IP!$C$83:$C$85=$E$1),--(IP!$N$83:$N$85=$D39),(IP!BB$83:BB$85),(IP!BB$20:BB$22))+SUMPRODUCT(--(RN!$C$80:$C$82=$E$1),--(RN!$N$80:$N$82=$D39),(RN!BB$80:BB$82),(RN!BB$20:BB$22))+SUMPRODUCT(--(RL!$C$74:$C$76=$E$1),--(RL!$N$74:$N$76=$D39),(RL!BB$74:BB$76),(RL!BB$20:BB$22))+SUMPRODUCT(--(LU!$C$74:$C$76=$E$1),--(LU!$N$74:$N$76=$D39),(LU!BB$74:BB$76),(LU!BB$20:BB$22))</f>
        <v>0</v>
      </c>
      <c r="BC39" s="613">
        <f>SUMPRODUCT(--(IP!$C$83:$C$85=$E$1),--(IP!$N$83:$N$85=$D39),(IP!BC$83:BC$85),(IP!BC$20:BC$22))+SUMPRODUCT(--(RN!$C$80:$C$82=$E$1),--(RN!$N$80:$N$82=$D39),(RN!BC$80:BC$82),(RN!BC$20:BC$22))+SUMPRODUCT(--(RL!$C$74:$C$76=$E$1),--(RL!$N$74:$N$76=$D39),(RL!BC$74:BC$76),(RL!BC$20:BC$22))+SUMPRODUCT(--(LU!$C$74:$C$76=$E$1),--(LU!$N$74:$N$76=$D39),(LU!BC$74:BC$76),(LU!BC$20:BC$22))</f>
        <v>0</v>
      </c>
      <c r="BD39" s="613">
        <f>SUMPRODUCT(--(IP!$C$83:$C$85=$E$1),--(IP!$N$83:$N$85=$D39),(IP!BD$83:BD$85),(IP!BD$20:BD$22))+SUMPRODUCT(--(RN!$C$80:$C$82=$E$1),--(RN!$N$80:$N$82=$D39),(RN!BD$80:BD$82),(RN!BD$20:BD$22))+SUMPRODUCT(--(RL!$C$74:$C$76=$E$1),--(RL!$N$74:$N$76=$D39),(RL!BD$74:BD$76),(RL!BD$20:BD$22))+SUMPRODUCT(--(LU!$C$74:$C$76=$E$1),--(LU!$N$74:$N$76=$D39),(LU!BD$74:BD$76),(LU!BD$20:BD$22))</f>
        <v>0</v>
      </c>
      <c r="BE39" s="613">
        <f>SUMPRODUCT(--(IP!$C$83:$C$85=$E$1),--(IP!$N$83:$N$85=$D39),(IP!BE$83:BE$85),(IP!BE$20:BE$22))+SUMPRODUCT(--(RN!$C$80:$C$82=$E$1),--(RN!$N$80:$N$82=$D39),(RN!BE$80:BE$82),(RN!BE$20:BE$22))+SUMPRODUCT(--(RL!$C$74:$C$76=$E$1),--(RL!$N$74:$N$76=$D39),(RL!BE$74:BE$76),(RL!BE$20:BE$22))+SUMPRODUCT(--(LU!$C$74:$C$76=$E$1),--(LU!$N$74:$N$76=$D39),(LU!BE$74:BE$76),(LU!BE$20:BE$22))</f>
        <v>0</v>
      </c>
      <c r="BF39" s="613">
        <f>SUMPRODUCT(--(IP!$C$83:$C$85=$E$1),--(IP!$N$83:$N$85=$D39),(IP!BF$83:BF$85),(IP!BF$20:BF$22))+SUMPRODUCT(--(RN!$C$80:$C$82=$E$1),--(RN!$N$80:$N$82=$D39),(RN!BF$80:BF$82),(RN!BF$20:BF$22))+SUMPRODUCT(--(RL!$C$74:$C$76=$E$1),--(RL!$N$74:$N$76=$D39),(RL!BF$74:BF$76),(RL!BF$20:BF$22))+SUMPRODUCT(--(LU!$C$74:$C$76=$E$1),--(LU!$N$74:$N$76=$D39),(LU!BF$74:BF$76),(LU!BF$20:BF$22))</f>
        <v>0</v>
      </c>
      <c r="BG39" s="613">
        <f>SUMPRODUCT(--(IP!$C$83:$C$85=$E$1),--(IP!$N$83:$N$85=$D39),(IP!BG$83:BG$85),(IP!BG$20:BG$22))+SUMPRODUCT(--(RN!$C$80:$C$82=$E$1),--(RN!$N$80:$N$82=$D39),(RN!BG$80:BG$82),(RN!BG$20:BG$22))+SUMPRODUCT(--(RL!$C$74:$C$76=$E$1),--(RL!$N$74:$N$76=$D39),(RL!BG$74:BG$76),(RL!BG$20:BG$22))+SUMPRODUCT(--(LU!$C$74:$C$76=$E$1),--(LU!$N$74:$N$76=$D39),(LU!BG$74:BG$76),(LU!BG$20:BG$22))</f>
        <v>0</v>
      </c>
      <c r="BI39" s="614" t="s">
        <v>153</v>
      </c>
      <c r="BM39" s="613">
        <f t="shared" si="5"/>
        <v>0</v>
      </c>
      <c r="BN39" s="613">
        <f t="shared" si="5"/>
        <v>0</v>
      </c>
      <c r="BO39" s="613">
        <f t="shared" si="5"/>
        <v>0</v>
      </c>
      <c r="BP39" s="613">
        <f t="shared" si="5"/>
        <v>0</v>
      </c>
      <c r="BQ39" s="613">
        <f t="shared" si="5"/>
        <v>0</v>
      </c>
      <c r="BR39" s="613">
        <f t="shared" si="5"/>
        <v>0</v>
      </c>
      <c r="BS39" s="613">
        <f t="shared" si="5"/>
        <v>0</v>
      </c>
      <c r="BT39" s="613">
        <f t="shared" si="5"/>
        <v>0</v>
      </c>
      <c r="BU39" s="613">
        <f t="shared" si="5"/>
        <v>0</v>
      </c>
      <c r="BV39" s="613">
        <f t="shared" si="5"/>
        <v>0</v>
      </c>
      <c r="BX39" s="615" t="s">
        <v>153</v>
      </c>
    </row>
    <row r="40" spans="2:76" s="398" customFormat="1">
      <c r="B40" s="636"/>
      <c r="D40" s="637" t="s">
        <v>649</v>
      </c>
      <c r="T40" s="638">
        <f>IF(T29=0,0,T39/T29)</f>
        <v>0</v>
      </c>
      <c r="U40" s="638">
        <f t="shared" ref="U40:BG40" si="8">IF(U29=0,0,U39/U29)</f>
        <v>0</v>
      </c>
      <c r="V40" s="638">
        <f t="shared" si="8"/>
        <v>0</v>
      </c>
      <c r="W40" s="638">
        <f t="shared" si="8"/>
        <v>0</v>
      </c>
      <c r="X40" s="638">
        <f t="shared" si="8"/>
        <v>0</v>
      </c>
      <c r="Y40" s="638">
        <f t="shared" si="8"/>
        <v>0</v>
      </c>
      <c r="Z40" s="638">
        <f t="shared" si="8"/>
        <v>0</v>
      </c>
      <c r="AA40" s="638">
        <f t="shared" si="8"/>
        <v>0</v>
      </c>
      <c r="AB40" s="638">
        <f t="shared" si="8"/>
        <v>0</v>
      </c>
      <c r="AC40" s="638">
        <f t="shared" si="8"/>
        <v>0</v>
      </c>
      <c r="AD40" s="638">
        <f t="shared" si="8"/>
        <v>0</v>
      </c>
      <c r="AE40" s="638">
        <f t="shared" si="8"/>
        <v>0</v>
      </c>
      <c r="AF40" s="638">
        <f t="shared" si="8"/>
        <v>0</v>
      </c>
      <c r="AG40" s="638">
        <f t="shared" si="8"/>
        <v>0</v>
      </c>
      <c r="AH40" s="638">
        <f t="shared" si="8"/>
        <v>0</v>
      </c>
      <c r="AI40" s="638">
        <f t="shared" si="8"/>
        <v>0</v>
      </c>
      <c r="AJ40" s="638">
        <f t="shared" si="8"/>
        <v>0</v>
      </c>
      <c r="AK40" s="638">
        <f t="shared" si="8"/>
        <v>0</v>
      </c>
      <c r="AL40" s="638">
        <f t="shared" si="8"/>
        <v>0</v>
      </c>
      <c r="AM40" s="638">
        <f t="shared" si="8"/>
        <v>0</v>
      </c>
      <c r="AN40" s="638">
        <f t="shared" si="8"/>
        <v>0</v>
      </c>
      <c r="AO40" s="638">
        <f t="shared" si="8"/>
        <v>0</v>
      </c>
      <c r="AP40" s="638">
        <f t="shared" si="8"/>
        <v>0</v>
      </c>
      <c r="AQ40" s="638">
        <f t="shared" si="8"/>
        <v>0</v>
      </c>
      <c r="AR40" s="638">
        <f t="shared" si="8"/>
        <v>0</v>
      </c>
      <c r="AS40" s="638">
        <f t="shared" si="8"/>
        <v>0</v>
      </c>
      <c r="AT40" s="638">
        <f t="shared" si="8"/>
        <v>0</v>
      </c>
      <c r="AU40" s="638">
        <f t="shared" si="8"/>
        <v>0</v>
      </c>
      <c r="AV40" s="638">
        <f t="shared" si="8"/>
        <v>0</v>
      </c>
      <c r="AW40" s="638">
        <f t="shared" si="8"/>
        <v>0</v>
      </c>
      <c r="AX40" s="638">
        <f t="shared" si="8"/>
        <v>0</v>
      </c>
      <c r="AY40" s="638">
        <f t="shared" si="8"/>
        <v>0</v>
      </c>
      <c r="AZ40" s="638">
        <f t="shared" si="8"/>
        <v>0</v>
      </c>
      <c r="BA40" s="638">
        <f t="shared" si="8"/>
        <v>0</v>
      </c>
      <c r="BB40" s="638">
        <f t="shared" si="8"/>
        <v>0</v>
      </c>
      <c r="BC40" s="638">
        <f t="shared" si="8"/>
        <v>0</v>
      </c>
      <c r="BD40" s="638">
        <f t="shared" si="8"/>
        <v>0</v>
      </c>
      <c r="BE40" s="638">
        <f t="shared" si="8"/>
        <v>0</v>
      </c>
      <c r="BF40" s="638">
        <f t="shared" si="8"/>
        <v>0</v>
      </c>
      <c r="BG40" s="638">
        <f t="shared" si="8"/>
        <v>0</v>
      </c>
      <c r="BI40" s="639" t="s">
        <v>153</v>
      </c>
      <c r="BM40" s="638">
        <f t="shared" ref="BM40:BV40" si="9">IFERROR(BM39/BM29,0)</f>
        <v>0</v>
      </c>
      <c r="BN40" s="638">
        <f t="shared" si="9"/>
        <v>0</v>
      </c>
      <c r="BO40" s="638">
        <f t="shared" si="9"/>
        <v>0</v>
      </c>
      <c r="BP40" s="638">
        <f t="shared" si="9"/>
        <v>0</v>
      </c>
      <c r="BQ40" s="638">
        <f t="shared" si="9"/>
        <v>0</v>
      </c>
      <c r="BR40" s="638">
        <f t="shared" si="9"/>
        <v>0</v>
      </c>
      <c r="BS40" s="638">
        <f t="shared" si="9"/>
        <v>0</v>
      </c>
      <c r="BT40" s="638">
        <f t="shared" si="9"/>
        <v>0</v>
      </c>
      <c r="BU40" s="638">
        <f t="shared" si="9"/>
        <v>0</v>
      </c>
      <c r="BV40" s="638">
        <f t="shared" si="9"/>
        <v>0</v>
      </c>
      <c r="BX40" s="640" t="s">
        <v>153</v>
      </c>
    </row>
    <row r="41" spans="2:76">
      <c r="B41" s="607"/>
      <c r="D41" s="624" t="s">
        <v>47</v>
      </c>
      <c r="T41" s="613">
        <f>T43-SUM(T39,T37,T35)</f>
        <v>0</v>
      </c>
      <c r="U41" s="613">
        <f t="shared" ref="U41:BG41" si="10">U43-SUM(U39,U37,U35)</f>
        <v>0</v>
      </c>
      <c r="V41" s="613">
        <f t="shared" si="10"/>
        <v>0</v>
      </c>
      <c r="W41" s="613">
        <f t="shared" si="10"/>
        <v>0</v>
      </c>
      <c r="X41" s="613">
        <f t="shared" si="10"/>
        <v>0</v>
      </c>
      <c r="Y41" s="613">
        <f t="shared" si="10"/>
        <v>0</v>
      </c>
      <c r="Z41" s="613">
        <f t="shared" si="10"/>
        <v>0</v>
      </c>
      <c r="AA41" s="613">
        <f t="shared" si="10"/>
        <v>0</v>
      </c>
      <c r="AB41" s="613">
        <f t="shared" si="10"/>
        <v>0</v>
      </c>
      <c r="AC41" s="613">
        <f t="shared" si="10"/>
        <v>0</v>
      </c>
      <c r="AD41" s="613">
        <f t="shared" si="10"/>
        <v>0</v>
      </c>
      <c r="AE41" s="613">
        <f t="shared" si="10"/>
        <v>0</v>
      </c>
      <c r="AF41" s="613">
        <f t="shared" si="10"/>
        <v>0</v>
      </c>
      <c r="AG41" s="613">
        <f t="shared" si="10"/>
        <v>0</v>
      </c>
      <c r="AH41" s="613">
        <f t="shared" si="10"/>
        <v>0</v>
      </c>
      <c r="AI41" s="613">
        <f t="shared" si="10"/>
        <v>0</v>
      </c>
      <c r="AJ41" s="613">
        <f t="shared" si="10"/>
        <v>0</v>
      </c>
      <c r="AK41" s="613">
        <f t="shared" si="10"/>
        <v>0</v>
      </c>
      <c r="AL41" s="613">
        <f t="shared" si="10"/>
        <v>0</v>
      </c>
      <c r="AM41" s="613">
        <f t="shared" si="10"/>
        <v>0</v>
      </c>
      <c r="AN41" s="613">
        <f t="shared" si="10"/>
        <v>0</v>
      </c>
      <c r="AO41" s="613">
        <f t="shared" si="10"/>
        <v>0</v>
      </c>
      <c r="AP41" s="613">
        <f t="shared" si="10"/>
        <v>0</v>
      </c>
      <c r="AQ41" s="613">
        <f t="shared" si="10"/>
        <v>0</v>
      </c>
      <c r="AR41" s="613">
        <f t="shared" si="10"/>
        <v>0</v>
      </c>
      <c r="AS41" s="613">
        <f t="shared" si="10"/>
        <v>0</v>
      </c>
      <c r="AT41" s="613">
        <f t="shared" si="10"/>
        <v>0</v>
      </c>
      <c r="AU41" s="613">
        <f t="shared" si="10"/>
        <v>0</v>
      </c>
      <c r="AV41" s="613">
        <f t="shared" si="10"/>
        <v>0</v>
      </c>
      <c r="AW41" s="613">
        <f t="shared" si="10"/>
        <v>0</v>
      </c>
      <c r="AX41" s="613">
        <f t="shared" si="10"/>
        <v>0</v>
      </c>
      <c r="AY41" s="613">
        <f t="shared" si="10"/>
        <v>0</v>
      </c>
      <c r="AZ41" s="613">
        <f t="shared" si="10"/>
        <v>0</v>
      </c>
      <c r="BA41" s="613">
        <f t="shared" si="10"/>
        <v>0</v>
      </c>
      <c r="BB41" s="613">
        <f t="shared" si="10"/>
        <v>0</v>
      </c>
      <c r="BC41" s="613">
        <f t="shared" si="10"/>
        <v>0</v>
      </c>
      <c r="BD41" s="613">
        <f t="shared" si="10"/>
        <v>0</v>
      </c>
      <c r="BE41" s="613">
        <f t="shared" si="10"/>
        <v>0</v>
      </c>
      <c r="BF41" s="613">
        <f t="shared" si="10"/>
        <v>0</v>
      </c>
      <c r="BG41" s="613">
        <f t="shared" si="10"/>
        <v>0</v>
      </c>
      <c r="BI41" s="614" t="s">
        <v>153</v>
      </c>
      <c r="BM41" s="613">
        <f t="shared" ref="BM41:BV41" si="11">INDEX($T41:$BG41,MATCH(BM$12,$T$12:$BG$12))</f>
        <v>0</v>
      </c>
      <c r="BN41" s="613">
        <f t="shared" si="11"/>
        <v>0</v>
      </c>
      <c r="BO41" s="613">
        <f t="shared" si="11"/>
        <v>0</v>
      </c>
      <c r="BP41" s="613">
        <f t="shared" si="11"/>
        <v>0</v>
      </c>
      <c r="BQ41" s="613">
        <f t="shared" si="11"/>
        <v>0</v>
      </c>
      <c r="BR41" s="613">
        <f t="shared" si="11"/>
        <v>0</v>
      </c>
      <c r="BS41" s="613">
        <f t="shared" si="11"/>
        <v>0</v>
      </c>
      <c r="BT41" s="613">
        <f t="shared" si="11"/>
        <v>0</v>
      </c>
      <c r="BU41" s="613">
        <f t="shared" si="11"/>
        <v>0</v>
      </c>
      <c r="BV41" s="613">
        <f t="shared" si="11"/>
        <v>0</v>
      </c>
      <c r="BX41" s="615" t="s">
        <v>153</v>
      </c>
    </row>
    <row r="42" spans="2:76" s="398" customFormat="1">
      <c r="B42" s="636"/>
      <c r="D42" s="641" t="s">
        <v>649</v>
      </c>
      <c r="E42" s="642"/>
      <c r="F42" s="642"/>
      <c r="G42" s="642"/>
      <c r="H42" s="642"/>
      <c r="I42" s="642"/>
      <c r="J42" s="642"/>
      <c r="K42" s="642"/>
      <c r="L42" s="642"/>
      <c r="M42" s="642"/>
      <c r="N42" s="642"/>
      <c r="O42" s="642"/>
      <c r="P42" s="642"/>
      <c r="Q42" s="642"/>
      <c r="R42" s="642"/>
      <c r="S42" s="642"/>
      <c r="T42" s="643">
        <f>IF(T30=0,0,T41/T30)</f>
        <v>0</v>
      </c>
      <c r="U42" s="643">
        <f t="shared" ref="U42:BG42" si="12">IF(U30=0,0,U41/U30)</f>
        <v>0</v>
      </c>
      <c r="V42" s="643">
        <f t="shared" si="12"/>
        <v>0</v>
      </c>
      <c r="W42" s="643">
        <f t="shared" si="12"/>
        <v>0</v>
      </c>
      <c r="X42" s="643">
        <f t="shared" si="12"/>
        <v>0</v>
      </c>
      <c r="Y42" s="643">
        <f t="shared" si="12"/>
        <v>0</v>
      </c>
      <c r="Z42" s="643">
        <f t="shared" si="12"/>
        <v>0</v>
      </c>
      <c r="AA42" s="643">
        <f t="shared" si="12"/>
        <v>0</v>
      </c>
      <c r="AB42" s="643">
        <f t="shared" si="12"/>
        <v>0</v>
      </c>
      <c r="AC42" s="643">
        <f t="shared" si="12"/>
        <v>0</v>
      </c>
      <c r="AD42" s="643">
        <f t="shared" si="12"/>
        <v>0</v>
      </c>
      <c r="AE42" s="643">
        <f t="shared" si="12"/>
        <v>0</v>
      </c>
      <c r="AF42" s="643">
        <f t="shared" si="12"/>
        <v>0</v>
      </c>
      <c r="AG42" s="643">
        <f t="shared" si="12"/>
        <v>0</v>
      </c>
      <c r="AH42" s="643">
        <f t="shared" si="12"/>
        <v>0</v>
      </c>
      <c r="AI42" s="643">
        <f t="shared" si="12"/>
        <v>0</v>
      </c>
      <c r="AJ42" s="643">
        <f t="shared" si="12"/>
        <v>0</v>
      </c>
      <c r="AK42" s="643">
        <f t="shared" si="12"/>
        <v>0</v>
      </c>
      <c r="AL42" s="643">
        <f t="shared" si="12"/>
        <v>0</v>
      </c>
      <c r="AM42" s="643">
        <f t="shared" si="12"/>
        <v>0</v>
      </c>
      <c r="AN42" s="643">
        <f t="shared" si="12"/>
        <v>0</v>
      </c>
      <c r="AO42" s="643">
        <f t="shared" si="12"/>
        <v>0</v>
      </c>
      <c r="AP42" s="643">
        <f t="shared" si="12"/>
        <v>0</v>
      </c>
      <c r="AQ42" s="643">
        <f t="shared" si="12"/>
        <v>0</v>
      </c>
      <c r="AR42" s="643">
        <f t="shared" si="12"/>
        <v>0</v>
      </c>
      <c r="AS42" s="643">
        <f t="shared" si="12"/>
        <v>0</v>
      </c>
      <c r="AT42" s="643">
        <f t="shared" si="12"/>
        <v>0</v>
      </c>
      <c r="AU42" s="643">
        <f t="shared" si="12"/>
        <v>0</v>
      </c>
      <c r="AV42" s="643">
        <f t="shared" si="12"/>
        <v>0</v>
      </c>
      <c r="AW42" s="643">
        <f t="shared" si="12"/>
        <v>0</v>
      </c>
      <c r="AX42" s="643">
        <f t="shared" si="12"/>
        <v>0</v>
      </c>
      <c r="AY42" s="643">
        <f t="shared" si="12"/>
        <v>0</v>
      </c>
      <c r="AZ42" s="643">
        <f t="shared" si="12"/>
        <v>0</v>
      </c>
      <c r="BA42" s="643">
        <f t="shared" si="12"/>
        <v>0</v>
      </c>
      <c r="BB42" s="643">
        <f t="shared" si="12"/>
        <v>0</v>
      </c>
      <c r="BC42" s="643">
        <f t="shared" si="12"/>
        <v>0</v>
      </c>
      <c r="BD42" s="643">
        <f t="shared" si="12"/>
        <v>0</v>
      </c>
      <c r="BE42" s="643">
        <f t="shared" si="12"/>
        <v>0</v>
      </c>
      <c r="BF42" s="643">
        <f t="shared" si="12"/>
        <v>0</v>
      </c>
      <c r="BG42" s="643">
        <f t="shared" si="12"/>
        <v>0</v>
      </c>
      <c r="BI42" s="644" t="s">
        <v>153</v>
      </c>
      <c r="BM42" s="643">
        <f t="shared" ref="BM42:BV42" si="13">IFERROR(BM43/BM31,0)</f>
        <v>1</v>
      </c>
      <c r="BN42" s="643">
        <f t="shared" si="13"/>
        <v>1</v>
      </c>
      <c r="BO42" s="643">
        <f t="shared" si="13"/>
        <v>1</v>
      </c>
      <c r="BP42" s="643">
        <f t="shared" si="13"/>
        <v>0</v>
      </c>
      <c r="BQ42" s="643">
        <f t="shared" si="13"/>
        <v>0</v>
      </c>
      <c r="BR42" s="643">
        <f t="shared" si="13"/>
        <v>0</v>
      </c>
      <c r="BS42" s="643">
        <f t="shared" si="13"/>
        <v>0</v>
      </c>
      <c r="BT42" s="643">
        <f t="shared" si="13"/>
        <v>0</v>
      </c>
      <c r="BU42" s="643">
        <f t="shared" si="13"/>
        <v>0</v>
      </c>
      <c r="BV42" s="643">
        <f t="shared" si="13"/>
        <v>0</v>
      </c>
      <c r="BX42" s="645" t="s">
        <v>153</v>
      </c>
    </row>
    <row r="43" spans="2:76">
      <c r="B43" s="607"/>
      <c r="D43" s="630" t="s">
        <v>152</v>
      </c>
      <c r="E43" s="253"/>
      <c r="F43" s="253"/>
      <c r="G43" s="253"/>
      <c r="H43" s="253"/>
      <c r="I43" s="253"/>
      <c r="J43" s="253"/>
      <c r="K43" s="253"/>
      <c r="L43" s="253"/>
      <c r="M43" s="253"/>
      <c r="N43" s="253"/>
      <c r="O43" s="253"/>
      <c r="P43" s="253"/>
      <c r="Q43" s="253"/>
      <c r="R43" s="253"/>
      <c r="S43" s="253"/>
      <c r="T43" s="631">
        <f>SUMIFS(PCF!T$44:T$46,PCF!$C$44:$C$46,$E$1)</f>
        <v>0</v>
      </c>
      <c r="U43" s="631">
        <f>SUMIFS(PCF!U$44:U$46,PCF!$C$44:$C$46,$E$1)</f>
        <v>0</v>
      </c>
      <c r="V43" s="631">
        <f>SUMIFS(PCF!V$44:V$46,PCF!$C$44:$C$46,$E$1)</f>
        <v>1000</v>
      </c>
      <c r="W43" s="631">
        <f>SUMIFS(PCF!W$44:W$46,PCF!$C$44:$C$46,$E$1)</f>
        <v>1000</v>
      </c>
      <c r="X43" s="631">
        <f>SUMIFS(PCF!X$44:X$46,PCF!$C$44:$C$46,$E$1)</f>
        <v>1000</v>
      </c>
      <c r="Y43" s="631">
        <f>SUMIFS(PCF!Y$44:Y$46,PCF!$C$44:$C$46,$E$1)</f>
        <v>1000</v>
      </c>
      <c r="Z43" s="631">
        <f>SUMIFS(PCF!Z$44:Z$46,PCF!$C$44:$C$46,$E$1)</f>
        <v>1000</v>
      </c>
      <c r="AA43" s="631">
        <f>SUMIFS(PCF!AA$44:AA$46,PCF!$C$44:$C$46,$E$1)</f>
        <v>1000</v>
      </c>
      <c r="AB43" s="631">
        <f>SUMIFS(PCF!AB$44:AB$46,PCF!$C$44:$C$46,$E$1)</f>
        <v>1000</v>
      </c>
      <c r="AC43" s="631">
        <f>SUMIFS(PCF!AC$44:AC$46,PCF!$C$44:$C$46,$E$1)</f>
        <v>1000</v>
      </c>
      <c r="AD43" s="631">
        <f>SUMIFS(PCF!AD$44:AD$46,PCF!$C$44:$C$46,$E$1)</f>
        <v>1000</v>
      </c>
      <c r="AE43" s="631">
        <f>SUMIFS(PCF!AE$44:AE$46,PCF!$C$44:$C$46,$E$1)</f>
        <v>1000</v>
      </c>
      <c r="AF43" s="631">
        <f>SUMIFS(PCF!AF$44:AF$46,PCF!$C$44:$C$46,$E$1)</f>
        <v>0</v>
      </c>
      <c r="AG43" s="631">
        <f>SUMIFS(PCF!AG$44:AG$46,PCF!$C$44:$C$46,$E$1)</f>
        <v>0</v>
      </c>
      <c r="AH43" s="631">
        <f>SUMIFS(PCF!AH$44:AH$46,PCF!$C$44:$C$46,$E$1)</f>
        <v>0</v>
      </c>
      <c r="AI43" s="631">
        <f>SUMIFS(PCF!AI$44:AI$46,PCF!$C$44:$C$46,$E$1)</f>
        <v>0</v>
      </c>
      <c r="AJ43" s="631">
        <f>SUMIFS(PCF!AJ$44:AJ$46,PCF!$C$44:$C$46,$E$1)</f>
        <v>0</v>
      </c>
      <c r="AK43" s="631">
        <f>SUMIFS(PCF!AK$44:AK$46,PCF!$C$44:$C$46,$E$1)</f>
        <v>0</v>
      </c>
      <c r="AL43" s="631">
        <f>SUMIFS(PCF!AL$44:AL$46,PCF!$C$44:$C$46,$E$1)</f>
        <v>0</v>
      </c>
      <c r="AM43" s="631">
        <f>SUMIFS(PCF!AM$44:AM$46,PCF!$C$44:$C$46,$E$1)</f>
        <v>0</v>
      </c>
      <c r="AN43" s="631">
        <f>SUMIFS(PCF!AN$44:AN$46,PCF!$C$44:$C$46,$E$1)</f>
        <v>0</v>
      </c>
      <c r="AO43" s="631">
        <f>SUMIFS(PCF!AO$44:AO$46,PCF!$C$44:$C$46,$E$1)</f>
        <v>0</v>
      </c>
      <c r="AP43" s="631">
        <f>SUMIFS(PCF!AP$44:AP$46,PCF!$C$44:$C$46,$E$1)</f>
        <v>0</v>
      </c>
      <c r="AQ43" s="631">
        <f>SUMIFS(PCF!AQ$44:AQ$46,PCF!$C$44:$C$46,$E$1)</f>
        <v>0</v>
      </c>
      <c r="AR43" s="631">
        <f>SUMIFS(PCF!AR$44:AR$46,PCF!$C$44:$C$46,$E$1)</f>
        <v>0</v>
      </c>
      <c r="AS43" s="631">
        <f>SUMIFS(PCF!AS$44:AS$46,PCF!$C$44:$C$46,$E$1)</f>
        <v>0</v>
      </c>
      <c r="AT43" s="631">
        <f>SUMIFS(PCF!AT$44:AT$46,PCF!$C$44:$C$46,$E$1)</f>
        <v>0</v>
      </c>
      <c r="AU43" s="631">
        <f>SUMIFS(PCF!AU$44:AU$46,PCF!$C$44:$C$46,$E$1)</f>
        <v>0</v>
      </c>
      <c r="AV43" s="631">
        <f>SUMIFS(PCF!AV$44:AV$46,PCF!$C$44:$C$46,$E$1)</f>
        <v>0</v>
      </c>
      <c r="AW43" s="631">
        <f>SUMIFS(PCF!AW$44:AW$46,PCF!$C$44:$C$46,$E$1)</f>
        <v>0</v>
      </c>
      <c r="AX43" s="631">
        <f>SUMIFS(PCF!AX$44:AX$46,PCF!$C$44:$C$46,$E$1)</f>
        <v>0</v>
      </c>
      <c r="AY43" s="631">
        <f>SUMIFS(PCF!AY$44:AY$46,PCF!$C$44:$C$46,$E$1)</f>
        <v>0</v>
      </c>
      <c r="AZ43" s="631">
        <f>SUMIFS(PCF!AZ$44:AZ$46,PCF!$C$44:$C$46,$E$1)</f>
        <v>0</v>
      </c>
      <c r="BA43" s="631">
        <f>SUMIFS(PCF!BA$44:BA$46,PCF!$C$44:$C$46,$E$1)</f>
        <v>0</v>
      </c>
      <c r="BB43" s="631">
        <f>SUMIFS(PCF!BB$44:BB$46,PCF!$C$44:$C$46,$E$1)</f>
        <v>0</v>
      </c>
      <c r="BC43" s="631">
        <f>SUMIFS(PCF!BC$44:BC$46,PCF!$C$44:$C$46,$E$1)</f>
        <v>0</v>
      </c>
      <c r="BD43" s="631">
        <f>SUMIFS(PCF!BD$44:BD$46,PCF!$C$44:$C$46,$E$1)</f>
        <v>0</v>
      </c>
      <c r="BE43" s="631">
        <f>SUMIFS(PCF!BE$44:BE$46,PCF!$C$44:$C$46,$E$1)</f>
        <v>0</v>
      </c>
      <c r="BF43" s="631">
        <f>SUMIFS(PCF!BF$44:BF$46,PCF!$C$44:$C$46,$E$1)</f>
        <v>0</v>
      </c>
      <c r="BG43" s="631">
        <f>SUMIFS(PCF!BG$44:BG$46,PCF!$C$44:$C$46,$E$1)</f>
        <v>0</v>
      </c>
      <c r="BI43" s="632" t="s">
        <v>153</v>
      </c>
      <c r="BM43" s="633">
        <f t="shared" ref="BM43:BV43" si="14">INDEX($T43:$BG43,MATCH(BM$12,$T$12:$BG$12))</f>
        <v>1000</v>
      </c>
      <c r="BN43" s="633">
        <f t="shared" si="14"/>
        <v>1000</v>
      </c>
      <c r="BO43" s="633">
        <f t="shared" si="14"/>
        <v>1000</v>
      </c>
      <c r="BP43" s="633">
        <f t="shared" si="14"/>
        <v>0</v>
      </c>
      <c r="BQ43" s="633">
        <f t="shared" si="14"/>
        <v>0</v>
      </c>
      <c r="BR43" s="633">
        <f t="shared" si="14"/>
        <v>0</v>
      </c>
      <c r="BS43" s="633">
        <f t="shared" si="14"/>
        <v>0</v>
      </c>
      <c r="BT43" s="633">
        <f t="shared" si="14"/>
        <v>0</v>
      </c>
      <c r="BU43" s="633">
        <f t="shared" si="14"/>
        <v>0</v>
      </c>
      <c r="BV43" s="633">
        <f t="shared" si="14"/>
        <v>0</v>
      </c>
      <c r="BX43" s="634" t="s">
        <v>153</v>
      </c>
    </row>
    <row r="44" spans="2:76" s="398" customFormat="1">
      <c r="B44" s="636"/>
      <c r="D44" s="637" t="s">
        <v>1053</v>
      </c>
      <c r="T44" s="638">
        <f>IF(T31=0,0,T43/T31)</f>
        <v>0</v>
      </c>
      <c r="U44" s="638">
        <f t="shared" ref="U44:BG44" si="15">IF(U31=0,0,U43/U31)</f>
        <v>0</v>
      </c>
      <c r="V44" s="638">
        <f t="shared" si="15"/>
        <v>1</v>
      </c>
      <c r="W44" s="638">
        <f t="shared" si="15"/>
        <v>1</v>
      </c>
      <c r="X44" s="638">
        <f t="shared" si="15"/>
        <v>1</v>
      </c>
      <c r="Y44" s="638">
        <f t="shared" si="15"/>
        <v>1</v>
      </c>
      <c r="Z44" s="638">
        <f t="shared" si="15"/>
        <v>1</v>
      </c>
      <c r="AA44" s="638">
        <f t="shared" si="15"/>
        <v>1</v>
      </c>
      <c r="AB44" s="638">
        <f t="shared" si="15"/>
        <v>1</v>
      </c>
      <c r="AC44" s="638">
        <f t="shared" si="15"/>
        <v>1</v>
      </c>
      <c r="AD44" s="638">
        <f t="shared" si="15"/>
        <v>1</v>
      </c>
      <c r="AE44" s="638">
        <f t="shared" si="15"/>
        <v>1</v>
      </c>
      <c r="AF44" s="638">
        <f t="shared" si="15"/>
        <v>0</v>
      </c>
      <c r="AG44" s="638">
        <f t="shared" si="15"/>
        <v>0</v>
      </c>
      <c r="AH44" s="638">
        <f t="shared" si="15"/>
        <v>0</v>
      </c>
      <c r="AI44" s="638">
        <f t="shared" si="15"/>
        <v>0</v>
      </c>
      <c r="AJ44" s="638">
        <f t="shared" si="15"/>
        <v>0</v>
      </c>
      <c r="AK44" s="638">
        <f t="shared" si="15"/>
        <v>0</v>
      </c>
      <c r="AL44" s="638">
        <f t="shared" si="15"/>
        <v>0</v>
      </c>
      <c r="AM44" s="638">
        <f t="shared" si="15"/>
        <v>0</v>
      </c>
      <c r="AN44" s="638">
        <f t="shared" si="15"/>
        <v>0</v>
      </c>
      <c r="AO44" s="638">
        <f t="shared" si="15"/>
        <v>0</v>
      </c>
      <c r="AP44" s="638">
        <f t="shared" si="15"/>
        <v>0</v>
      </c>
      <c r="AQ44" s="638">
        <f t="shared" si="15"/>
        <v>0</v>
      </c>
      <c r="AR44" s="638">
        <f t="shared" si="15"/>
        <v>0</v>
      </c>
      <c r="AS44" s="638">
        <f t="shared" si="15"/>
        <v>0</v>
      </c>
      <c r="AT44" s="638">
        <f t="shared" si="15"/>
        <v>0</v>
      </c>
      <c r="AU44" s="638">
        <f t="shared" si="15"/>
        <v>0</v>
      </c>
      <c r="AV44" s="638">
        <f t="shared" si="15"/>
        <v>0</v>
      </c>
      <c r="AW44" s="638">
        <f t="shared" si="15"/>
        <v>0</v>
      </c>
      <c r="AX44" s="638">
        <f t="shared" si="15"/>
        <v>0</v>
      </c>
      <c r="AY44" s="638">
        <f t="shared" si="15"/>
        <v>0</v>
      </c>
      <c r="AZ44" s="638">
        <f t="shared" si="15"/>
        <v>0</v>
      </c>
      <c r="BA44" s="638">
        <f t="shared" si="15"/>
        <v>0</v>
      </c>
      <c r="BB44" s="638">
        <f t="shared" si="15"/>
        <v>0</v>
      </c>
      <c r="BC44" s="638">
        <f t="shared" si="15"/>
        <v>0</v>
      </c>
      <c r="BD44" s="638">
        <f t="shared" si="15"/>
        <v>0</v>
      </c>
      <c r="BE44" s="638">
        <f t="shared" si="15"/>
        <v>0</v>
      </c>
      <c r="BF44" s="638">
        <f t="shared" si="15"/>
        <v>0</v>
      </c>
      <c r="BG44" s="638">
        <f t="shared" si="15"/>
        <v>0</v>
      </c>
      <c r="BI44" s="639" t="s">
        <v>153</v>
      </c>
      <c r="BM44" s="638">
        <f t="shared" ref="BM44:BV44" si="16">IFERROR(BM43/BM31,0)</f>
        <v>1</v>
      </c>
      <c r="BN44" s="638">
        <f t="shared" si="16"/>
        <v>1</v>
      </c>
      <c r="BO44" s="638">
        <f t="shared" si="16"/>
        <v>1</v>
      </c>
      <c r="BP44" s="638">
        <f t="shared" si="16"/>
        <v>0</v>
      </c>
      <c r="BQ44" s="638">
        <f t="shared" si="16"/>
        <v>0</v>
      </c>
      <c r="BR44" s="638">
        <f t="shared" si="16"/>
        <v>0</v>
      </c>
      <c r="BS44" s="638">
        <f t="shared" si="16"/>
        <v>0</v>
      </c>
      <c r="BT44" s="638">
        <f t="shared" si="16"/>
        <v>0</v>
      </c>
      <c r="BU44" s="638">
        <f t="shared" si="16"/>
        <v>0</v>
      </c>
      <c r="BV44" s="638">
        <f t="shared" si="16"/>
        <v>0</v>
      </c>
      <c r="BX44" s="640" t="s">
        <v>153</v>
      </c>
    </row>
    <row r="45" spans="2:76" s="398" customFormat="1" outlineLevel="1">
      <c r="B45" s="636"/>
      <c r="D45" s="637"/>
      <c r="T45" s="638"/>
      <c r="U45" s="638"/>
      <c r="V45" s="638"/>
      <c r="W45" s="638"/>
      <c r="X45" s="638"/>
      <c r="Y45" s="638"/>
      <c r="Z45" s="638"/>
      <c r="AA45" s="638"/>
      <c r="AB45" s="638"/>
      <c r="AC45" s="638"/>
      <c r="AD45" s="638"/>
      <c r="AE45" s="638"/>
      <c r="AF45" s="638"/>
      <c r="AG45" s="638"/>
      <c r="AH45" s="638"/>
      <c r="AI45" s="638"/>
      <c r="AJ45" s="638"/>
      <c r="AK45" s="638"/>
      <c r="AL45" s="638"/>
      <c r="AM45" s="638"/>
      <c r="AN45" s="638"/>
      <c r="AO45" s="638"/>
      <c r="AP45" s="638"/>
      <c r="AQ45" s="638"/>
      <c r="AR45" s="638"/>
      <c r="AS45" s="638"/>
      <c r="AT45" s="638"/>
      <c r="AU45" s="638"/>
      <c r="AV45" s="638"/>
      <c r="AW45" s="638"/>
      <c r="AX45" s="638"/>
      <c r="AY45" s="638"/>
      <c r="AZ45" s="638"/>
      <c r="BA45" s="638"/>
      <c r="BB45" s="638"/>
      <c r="BC45" s="638"/>
      <c r="BD45" s="638"/>
      <c r="BE45" s="638"/>
      <c r="BF45" s="638"/>
      <c r="BG45" s="638"/>
      <c r="BI45" s="639"/>
      <c r="BM45" s="638"/>
      <c r="BN45" s="638"/>
      <c r="BO45" s="638"/>
      <c r="BP45" s="638"/>
      <c r="BQ45" s="638"/>
      <c r="BR45" s="638"/>
      <c r="BS45" s="638"/>
      <c r="BT45" s="638"/>
      <c r="BU45" s="638"/>
      <c r="BV45" s="638"/>
      <c r="BX45" s="640"/>
    </row>
    <row r="46" spans="2:76" s="398" customFormat="1" outlineLevel="1">
      <c r="B46" s="636"/>
      <c r="D46" s="635" t="s">
        <v>1080</v>
      </c>
      <c r="E46" s="17"/>
      <c r="F46" s="17"/>
      <c r="G46" s="17"/>
      <c r="H46" s="17"/>
      <c r="I46" s="17"/>
      <c r="J46" s="17"/>
      <c r="K46" s="17"/>
      <c r="L46" s="17"/>
      <c r="M46" s="17"/>
      <c r="N46" s="17"/>
      <c r="O46" s="17"/>
      <c r="P46" s="17"/>
      <c r="Q46" s="17"/>
      <c r="R46" s="17"/>
      <c r="S46" s="17"/>
      <c r="T46" s="747"/>
      <c r="U46" s="747"/>
      <c r="V46" s="747"/>
      <c r="W46" s="747"/>
      <c r="X46" s="747"/>
      <c r="Y46" s="747"/>
      <c r="Z46" s="747"/>
      <c r="AA46" s="747"/>
      <c r="AB46" s="747"/>
      <c r="AC46" s="747"/>
      <c r="AD46" s="747"/>
      <c r="AE46" s="747"/>
      <c r="AF46" s="747"/>
      <c r="AG46" s="747"/>
      <c r="AH46" s="747"/>
      <c r="AI46" s="747"/>
      <c r="AJ46" s="747"/>
      <c r="AK46" s="747"/>
      <c r="AL46" s="747"/>
      <c r="AM46" s="747"/>
      <c r="AN46" s="747"/>
      <c r="AO46" s="747"/>
      <c r="AP46" s="747"/>
      <c r="AQ46" s="747"/>
      <c r="AR46" s="747"/>
      <c r="AS46" s="747"/>
      <c r="AT46" s="747"/>
      <c r="AU46" s="747"/>
      <c r="AV46" s="747"/>
      <c r="AW46" s="747"/>
      <c r="AX46" s="747"/>
      <c r="AY46" s="747"/>
      <c r="AZ46" s="747"/>
      <c r="BA46" s="747"/>
      <c r="BB46" s="747"/>
      <c r="BC46" s="747"/>
      <c r="BD46" s="747"/>
      <c r="BE46" s="747"/>
      <c r="BF46" s="747"/>
      <c r="BG46" s="747"/>
      <c r="BH46"/>
      <c r="BI46" s="614"/>
      <c r="BM46" s="638"/>
      <c r="BN46" s="638"/>
      <c r="BO46" s="638"/>
      <c r="BP46" s="638"/>
      <c r="BQ46" s="638"/>
      <c r="BR46" s="638"/>
      <c r="BS46" s="638"/>
      <c r="BT46" s="638"/>
      <c r="BU46" s="638"/>
      <c r="BV46" s="638"/>
      <c r="BX46" s="640"/>
    </row>
    <row r="47" spans="2:76" s="398" customFormat="1" outlineLevel="1">
      <c r="B47" s="636"/>
      <c r="D47" s="745" t="s">
        <v>1008</v>
      </c>
      <c r="E47"/>
      <c r="F47"/>
      <c r="G47"/>
      <c r="H47"/>
      <c r="I47"/>
      <c r="J47"/>
      <c r="K47"/>
      <c r="L47"/>
      <c r="M47"/>
      <c r="N47"/>
      <c r="O47"/>
      <c r="P47"/>
      <c r="Q47"/>
      <c r="R47"/>
      <c r="S47"/>
      <c r="T47" s="746">
        <f>SUMIFS(IP!T$83:T$85,IP!$C$83:$C$85,$E$1)</f>
        <v>0</v>
      </c>
      <c r="U47" s="746">
        <f>SUMIFS(IP!U$83:U$85,IP!$C$83:$C$85,$E$1)</f>
        <v>0</v>
      </c>
      <c r="V47" s="746">
        <f>SUMIFS(IP!V$83:V$85,IP!$C$83:$C$85,$E$1)</f>
        <v>1000</v>
      </c>
      <c r="W47" s="746">
        <f>SUMIFS(IP!W$83:W$85,IP!$C$83:$C$85,$E$1)</f>
        <v>1000</v>
      </c>
      <c r="X47" s="746">
        <f>SUMIFS(IP!X$83:X$85,IP!$C$83:$C$85,$E$1)</f>
        <v>1000</v>
      </c>
      <c r="Y47" s="746">
        <f>SUMIFS(IP!Y$83:Y$85,IP!$C$83:$C$85,$E$1)</f>
        <v>1000</v>
      </c>
      <c r="Z47" s="746">
        <f>SUMIFS(IP!Z$83:Z$85,IP!$C$83:$C$85,$E$1)</f>
        <v>1000</v>
      </c>
      <c r="AA47" s="746">
        <f>SUMIFS(IP!AA$83:AA$85,IP!$C$83:$C$85,$E$1)</f>
        <v>1000</v>
      </c>
      <c r="AB47" s="746">
        <f>SUMIFS(IP!AB$83:AB$85,IP!$C$83:$C$85,$E$1)</f>
        <v>1000</v>
      </c>
      <c r="AC47" s="746">
        <f>SUMIFS(IP!AC$83:AC$85,IP!$C$83:$C$85,$E$1)</f>
        <v>1000</v>
      </c>
      <c r="AD47" s="746">
        <f>SUMIFS(IP!AD$83:AD$85,IP!$C$83:$C$85,$E$1)</f>
        <v>1000</v>
      </c>
      <c r="AE47" s="746">
        <f>SUMIFS(IP!AE$83:AE$85,IP!$C$83:$C$85,$E$1)</f>
        <v>1000</v>
      </c>
      <c r="AF47" s="746">
        <f>SUMIFS(IP!AF$83:AF$85,IP!$C$83:$C$85,$E$1)</f>
        <v>0</v>
      </c>
      <c r="AG47" s="746">
        <f>SUMIFS(IP!AG$83:AG$85,IP!$C$83:$C$85,$E$1)</f>
        <v>0</v>
      </c>
      <c r="AH47" s="746">
        <f>SUMIFS(IP!AH$83:AH$85,IP!$C$83:$C$85,$E$1)</f>
        <v>0</v>
      </c>
      <c r="AI47" s="746">
        <f>SUMIFS(IP!AI$83:AI$85,IP!$C$83:$C$85,$E$1)</f>
        <v>0</v>
      </c>
      <c r="AJ47" s="746">
        <f>SUMIFS(IP!AJ$83:AJ$85,IP!$C$83:$C$85,$E$1)</f>
        <v>0</v>
      </c>
      <c r="AK47" s="746">
        <f>SUMIFS(IP!AK$83:AK$85,IP!$C$83:$C$85,$E$1)</f>
        <v>0</v>
      </c>
      <c r="AL47" s="746">
        <f>SUMIFS(IP!AL$83:AL$85,IP!$C$83:$C$85,$E$1)</f>
        <v>0</v>
      </c>
      <c r="AM47" s="746">
        <f>SUMIFS(IP!AM$83:AM$85,IP!$C$83:$C$85,$E$1)</f>
        <v>0</v>
      </c>
      <c r="AN47" s="746">
        <f>SUMIFS(IP!AN$83:AN$85,IP!$C$83:$C$85,$E$1)</f>
        <v>0</v>
      </c>
      <c r="AO47" s="746">
        <f>SUMIFS(IP!AO$83:AO$85,IP!$C$83:$C$85,$E$1)</f>
        <v>0</v>
      </c>
      <c r="AP47" s="746">
        <f>SUMIFS(IP!AP$83:AP$85,IP!$C$83:$C$85,$E$1)</f>
        <v>0</v>
      </c>
      <c r="AQ47" s="746">
        <f>SUMIFS(IP!AQ$83:AQ$85,IP!$C$83:$C$85,$E$1)</f>
        <v>0</v>
      </c>
      <c r="AR47" s="746">
        <f>SUMIFS(IP!AR$83:AR$85,IP!$C$83:$C$85,$E$1)</f>
        <v>0</v>
      </c>
      <c r="AS47" s="746">
        <f>SUMIFS(IP!AS$83:AS$85,IP!$C$83:$C$85,$E$1)</f>
        <v>0</v>
      </c>
      <c r="AT47" s="746">
        <f>SUMIFS(IP!AT$83:AT$85,IP!$C$83:$C$85,$E$1)</f>
        <v>0</v>
      </c>
      <c r="AU47" s="746">
        <f>SUMIFS(IP!AU$83:AU$85,IP!$C$83:$C$85,$E$1)</f>
        <v>0</v>
      </c>
      <c r="AV47" s="746">
        <f>SUMIFS(IP!AV$83:AV$85,IP!$C$83:$C$85,$E$1)</f>
        <v>0</v>
      </c>
      <c r="AW47" s="746">
        <f>SUMIFS(IP!AW$83:AW$85,IP!$C$83:$C$85,$E$1)</f>
        <v>0</v>
      </c>
      <c r="AX47" s="746">
        <f>SUMIFS(IP!AX$83:AX$85,IP!$C$83:$C$85,$E$1)</f>
        <v>0</v>
      </c>
      <c r="AY47" s="746">
        <f>SUMIFS(IP!AY$83:AY$85,IP!$C$83:$C$85,$E$1)</f>
        <v>0</v>
      </c>
      <c r="AZ47" s="746">
        <f>SUMIFS(IP!AZ$83:AZ$85,IP!$C$83:$C$85,$E$1)</f>
        <v>0</v>
      </c>
      <c r="BA47" s="746">
        <f>SUMIFS(IP!BA$83:BA$85,IP!$C$83:$C$85,$E$1)</f>
        <v>0</v>
      </c>
      <c r="BB47" s="746">
        <f>SUMIFS(IP!BB$83:BB$85,IP!$C$83:$C$85,$E$1)</f>
        <v>0</v>
      </c>
      <c r="BC47" s="746">
        <f>SUMIFS(IP!BC$83:BC$85,IP!$C$83:$C$85,$E$1)</f>
        <v>0</v>
      </c>
      <c r="BD47" s="746">
        <f>SUMIFS(IP!BD$83:BD$85,IP!$C$83:$C$85,$E$1)</f>
        <v>0</v>
      </c>
      <c r="BE47" s="746">
        <f>SUMIFS(IP!BE$83:BE$85,IP!$C$83:$C$85,$E$1)</f>
        <v>0</v>
      </c>
      <c r="BF47" s="746">
        <f>SUMIFS(IP!BF$83:BF$85,IP!$C$83:$C$85,$E$1)</f>
        <v>0</v>
      </c>
      <c r="BG47" s="746">
        <f>SUMIFS(IP!BG$83:BG$85,IP!$C$83:$C$85,$E$1)</f>
        <v>0</v>
      </c>
      <c r="BH47"/>
      <c r="BI47" s="622" t="s">
        <v>153</v>
      </c>
      <c r="BM47" s="638"/>
      <c r="BN47" s="638"/>
      <c r="BO47" s="638"/>
      <c r="BP47" s="638"/>
      <c r="BQ47" s="638"/>
      <c r="BR47" s="638"/>
      <c r="BS47" s="638"/>
      <c r="BT47" s="638"/>
      <c r="BU47" s="638"/>
      <c r="BV47" s="638"/>
      <c r="BX47" s="640"/>
    </row>
    <row r="48" spans="2:76" s="398" customFormat="1" outlineLevel="1">
      <c r="B48" s="636"/>
      <c r="D48" s="745" t="s">
        <v>362</v>
      </c>
      <c r="E48"/>
      <c r="F48"/>
      <c r="G48"/>
      <c r="H48"/>
      <c r="I48"/>
      <c r="J48"/>
      <c r="K48"/>
      <c r="L48"/>
      <c r="M48"/>
      <c r="N48"/>
      <c r="O48"/>
      <c r="P48"/>
      <c r="Q48"/>
      <c r="R48"/>
      <c r="S48"/>
      <c r="T48" s="746">
        <f>SUMIFS(RN!T$80:T$82,RN!$C$80:$C$82,$E$1)</f>
        <v>0</v>
      </c>
      <c r="U48" s="746">
        <f>SUMIFS(RN!U$80:U$82,RN!$C$80:$C$82,$E$1)</f>
        <v>0</v>
      </c>
      <c r="V48" s="746">
        <f>SUMIFS(RN!V$80:V$82,RN!$C$80:$C$82,$E$1)</f>
        <v>0</v>
      </c>
      <c r="W48" s="746">
        <f>SUMIFS(RN!W$80:W$82,RN!$C$80:$C$82,$E$1)</f>
        <v>0</v>
      </c>
      <c r="X48" s="746">
        <f>SUMIFS(RN!X$80:X$82,RN!$C$80:$C$82,$E$1)</f>
        <v>0</v>
      </c>
      <c r="Y48" s="746">
        <f>SUMIFS(RN!Y$80:Y$82,RN!$C$80:$C$82,$E$1)</f>
        <v>0</v>
      </c>
      <c r="Z48" s="746">
        <f>SUMIFS(RN!Z$80:Z$82,RN!$C$80:$C$82,$E$1)</f>
        <v>0</v>
      </c>
      <c r="AA48" s="746">
        <f>SUMIFS(RN!AA$80:AA$82,RN!$C$80:$C$82,$E$1)</f>
        <v>0</v>
      </c>
      <c r="AB48" s="746">
        <f>SUMIFS(RN!AB$80:AB$82,RN!$C$80:$C$82,$E$1)</f>
        <v>0</v>
      </c>
      <c r="AC48" s="746">
        <f>SUMIFS(RN!AC$80:AC$82,RN!$C$80:$C$82,$E$1)</f>
        <v>0</v>
      </c>
      <c r="AD48" s="746">
        <f>SUMIFS(RN!AD$80:AD$82,RN!$C$80:$C$82,$E$1)</f>
        <v>0</v>
      </c>
      <c r="AE48" s="746">
        <f>SUMIFS(RN!AE$80:AE$82,RN!$C$80:$C$82,$E$1)</f>
        <v>0</v>
      </c>
      <c r="AF48" s="746">
        <f>SUMIFS(RN!AF$80:AF$82,RN!$C$80:$C$82,$E$1)</f>
        <v>0</v>
      </c>
      <c r="AG48" s="746">
        <f>SUMIFS(RN!AG$80:AG$82,RN!$C$80:$C$82,$E$1)</f>
        <v>0</v>
      </c>
      <c r="AH48" s="746">
        <f>SUMIFS(RN!AH$80:AH$82,RN!$C$80:$C$82,$E$1)</f>
        <v>0</v>
      </c>
      <c r="AI48" s="746">
        <f>SUMIFS(RN!AI$80:AI$82,RN!$C$80:$C$82,$E$1)</f>
        <v>0</v>
      </c>
      <c r="AJ48" s="746">
        <f>SUMIFS(RN!AJ$80:AJ$82,RN!$C$80:$C$82,$E$1)</f>
        <v>0</v>
      </c>
      <c r="AK48" s="746">
        <f>SUMIFS(RN!AK$80:AK$82,RN!$C$80:$C$82,$E$1)</f>
        <v>0</v>
      </c>
      <c r="AL48" s="746">
        <f>SUMIFS(RN!AL$80:AL$82,RN!$C$80:$C$82,$E$1)</f>
        <v>0</v>
      </c>
      <c r="AM48" s="746">
        <f>SUMIFS(RN!AM$80:AM$82,RN!$C$80:$C$82,$E$1)</f>
        <v>0</v>
      </c>
      <c r="AN48" s="746">
        <f>SUMIFS(RN!AN$80:AN$82,RN!$C$80:$C$82,$E$1)</f>
        <v>0</v>
      </c>
      <c r="AO48" s="746">
        <f>SUMIFS(RN!AO$80:AO$82,RN!$C$80:$C$82,$E$1)</f>
        <v>0</v>
      </c>
      <c r="AP48" s="746">
        <f>SUMIFS(RN!AP$80:AP$82,RN!$C$80:$C$82,$E$1)</f>
        <v>0</v>
      </c>
      <c r="AQ48" s="746">
        <f>SUMIFS(RN!AQ$80:AQ$82,RN!$C$80:$C$82,$E$1)</f>
        <v>0</v>
      </c>
      <c r="AR48" s="746">
        <f>SUMIFS(RN!AR$80:AR$82,RN!$C$80:$C$82,$E$1)</f>
        <v>0</v>
      </c>
      <c r="AS48" s="746">
        <f>SUMIFS(RN!AS$80:AS$82,RN!$C$80:$C$82,$E$1)</f>
        <v>0</v>
      </c>
      <c r="AT48" s="746">
        <f>SUMIFS(RN!AT$80:AT$82,RN!$C$80:$C$82,$E$1)</f>
        <v>0</v>
      </c>
      <c r="AU48" s="746">
        <f>SUMIFS(RN!AU$80:AU$82,RN!$C$80:$C$82,$E$1)</f>
        <v>0</v>
      </c>
      <c r="AV48" s="746">
        <f>SUMIFS(RN!AV$80:AV$82,RN!$C$80:$C$82,$E$1)</f>
        <v>0</v>
      </c>
      <c r="AW48" s="746">
        <f>SUMIFS(RN!AW$80:AW$82,RN!$C$80:$C$82,$E$1)</f>
        <v>0</v>
      </c>
      <c r="AX48" s="746">
        <f>SUMIFS(RN!AX$80:AX$82,RN!$C$80:$C$82,$E$1)</f>
        <v>0</v>
      </c>
      <c r="AY48" s="746">
        <f>SUMIFS(RN!AY$80:AY$82,RN!$C$80:$C$82,$E$1)</f>
        <v>0</v>
      </c>
      <c r="AZ48" s="746">
        <f>SUMIFS(RN!AZ$80:AZ$82,RN!$C$80:$C$82,$E$1)</f>
        <v>0</v>
      </c>
      <c r="BA48" s="746">
        <f>SUMIFS(RN!BA$80:BA$82,RN!$C$80:$C$82,$E$1)</f>
        <v>0</v>
      </c>
      <c r="BB48" s="746">
        <f>SUMIFS(RN!BB$80:BB$82,RN!$C$80:$C$82,$E$1)</f>
        <v>0</v>
      </c>
      <c r="BC48" s="746">
        <f>SUMIFS(RN!BC$80:BC$82,RN!$C$80:$C$82,$E$1)</f>
        <v>0</v>
      </c>
      <c r="BD48" s="746">
        <f>SUMIFS(RN!BD$80:BD$82,RN!$C$80:$C$82,$E$1)</f>
        <v>0</v>
      </c>
      <c r="BE48" s="746">
        <f>SUMIFS(RN!BE$80:BE$82,RN!$C$80:$C$82,$E$1)</f>
        <v>0</v>
      </c>
      <c r="BF48" s="746">
        <f>SUMIFS(RN!BF$80:BF$82,RN!$C$80:$C$82,$E$1)</f>
        <v>0</v>
      </c>
      <c r="BG48" s="746">
        <f>SUMIFS(RN!BG$80:BG$82,RN!$C$80:$C$82,$E$1)</f>
        <v>0</v>
      </c>
      <c r="BH48"/>
      <c r="BI48" s="614" t="s">
        <v>153</v>
      </c>
      <c r="BM48" s="638"/>
      <c r="BN48" s="638"/>
      <c r="BO48" s="638"/>
      <c r="BP48" s="638"/>
      <c r="BQ48" s="638"/>
      <c r="BR48" s="638"/>
      <c r="BS48" s="638"/>
      <c r="BT48" s="638"/>
      <c r="BU48" s="638"/>
      <c r="BV48" s="638"/>
      <c r="BX48" s="640"/>
    </row>
    <row r="49" spans="2:77" s="398" customFormat="1" outlineLevel="1">
      <c r="B49" s="636"/>
      <c r="D49" s="745" t="s">
        <v>1081</v>
      </c>
      <c r="E49"/>
      <c r="F49"/>
      <c r="G49"/>
      <c r="H49"/>
      <c r="I49"/>
      <c r="J49"/>
      <c r="K49"/>
      <c r="L49"/>
      <c r="M49"/>
      <c r="N49"/>
      <c r="O49"/>
      <c r="P49"/>
      <c r="Q49"/>
      <c r="R49"/>
      <c r="S49"/>
      <c r="T49" s="746">
        <f>SUMIFS(RL!T$74:T$76,RL!$C$74:$C$76,$E$1)+SUMIFS(LU!T$74:T$76,LU!$C$74:$C$76,$E$1)</f>
        <v>0</v>
      </c>
      <c r="U49" s="746">
        <f>SUMIFS(RL!U$74:U$76,RL!$C$74:$C$76,$E$1)+SUMIFS(LU!U$74:U$76,LU!$C$74:$C$76,$E$1)</f>
        <v>0</v>
      </c>
      <c r="V49" s="746">
        <f>SUMIFS(RL!V$74:V$76,RL!$C$74:$C$76,$E$1)+SUMIFS(LU!V$74:V$76,LU!$C$74:$C$76,$E$1)</f>
        <v>0</v>
      </c>
      <c r="W49" s="746">
        <f>SUMIFS(RL!W$74:W$76,RL!$C$74:$C$76,$E$1)+SUMIFS(LU!W$74:W$76,LU!$C$74:$C$76,$E$1)</f>
        <v>0</v>
      </c>
      <c r="X49" s="746">
        <f>SUMIFS(RL!X$74:X$76,RL!$C$74:$C$76,$E$1)+SUMIFS(LU!X$74:X$76,LU!$C$74:$C$76,$E$1)</f>
        <v>0</v>
      </c>
      <c r="Y49" s="746">
        <f>SUMIFS(RL!Y$74:Y$76,RL!$C$74:$C$76,$E$1)+SUMIFS(LU!Y$74:Y$76,LU!$C$74:$C$76,$E$1)</f>
        <v>0</v>
      </c>
      <c r="Z49" s="746">
        <f>SUMIFS(RL!Z$74:Z$76,RL!$C$74:$C$76,$E$1)+SUMIFS(LU!Z$74:Z$76,LU!$C$74:$C$76,$E$1)</f>
        <v>0</v>
      </c>
      <c r="AA49" s="746">
        <f>SUMIFS(RL!AA$74:AA$76,RL!$C$74:$C$76,$E$1)+SUMIFS(LU!AA$74:AA$76,LU!$C$74:$C$76,$E$1)</f>
        <v>0</v>
      </c>
      <c r="AB49" s="746">
        <f>SUMIFS(RL!AB$74:AB$76,RL!$C$74:$C$76,$E$1)+SUMIFS(LU!AB$74:AB$76,LU!$C$74:$C$76,$E$1)</f>
        <v>0</v>
      </c>
      <c r="AC49" s="746">
        <f>SUMIFS(RL!AC$74:AC$76,RL!$C$74:$C$76,$E$1)+SUMIFS(LU!AC$74:AC$76,LU!$C$74:$C$76,$E$1)</f>
        <v>0</v>
      </c>
      <c r="AD49" s="746">
        <f>SUMIFS(RL!AD$74:AD$76,RL!$C$74:$C$76,$E$1)+SUMIFS(LU!AD$74:AD$76,LU!$C$74:$C$76,$E$1)</f>
        <v>0</v>
      </c>
      <c r="AE49" s="746">
        <f>SUMIFS(RL!AE$74:AE$76,RL!$C$74:$C$76,$E$1)+SUMIFS(LU!AE$74:AE$76,LU!$C$74:$C$76,$E$1)</f>
        <v>0</v>
      </c>
      <c r="AF49" s="746">
        <f>SUMIFS(RL!AF$74:AF$76,RL!$C$74:$C$76,$E$1)+SUMIFS(LU!AF$74:AF$76,LU!$C$74:$C$76,$E$1)</f>
        <v>0</v>
      </c>
      <c r="AG49" s="746">
        <f>SUMIFS(RL!AG$74:AG$76,RL!$C$74:$C$76,$E$1)+SUMIFS(LU!AG$74:AG$76,LU!$C$74:$C$76,$E$1)</f>
        <v>0</v>
      </c>
      <c r="AH49" s="746">
        <f>SUMIFS(RL!AH$74:AH$76,RL!$C$74:$C$76,$E$1)+SUMIFS(LU!AH$74:AH$76,LU!$C$74:$C$76,$E$1)</f>
        <v>0</v>
      </c>
      <c r="AI49" s="746">
        <f>SUMIFS(RL!AI$74:AI$76,RL!$C$74:$C$76,$E$1)+SUMIFS(LU!AI$74:AI$76,LU!$C$74:$C$76,$E$1)</f>
        <v>0</v>
      </c>
      <c r="AJ49" s="746">
        <f>SUMIFS(RL!AJ$74:AJ$76,RL!$C$74:$C$76,$E$1)+SUMIFS(LU!AJ$74:AJ$76,LU!$C$74:$C$76,$E$1)</f>
        <v>0</v>
      </c>
      <c r="AK49" s="746">
        <f>SUMIFS(RL!AK$74:AK$76,RL!$C$74:$C$76,$E$1)+SUMIFS(LU!AK$74:AK$76,LU!$C$74:$C$76,$E$1)</f>
        <v>0</v>
      </c>
      <c r="AL49" s="746">
        <f>SUMIFS(RL!AL$74:AL$76,RL!$C$74:$C$76,$E$1)+SUMIFS(LU!AL$74:AL$76,LU!$C$74:$C$76,$E$1)</f>
        <v>0</v>
      </c>
      <c r="AM49" s="746">
        <f>SUMIFS(RL!AM$74:AM$76,RL!$C$74:$C$76,$E$1)+SUMIFS(LU!AM$74:AM$76,LU!$C$74:$C$76,$E$1)</f>
        <v>0</v>
      </c>
      <c r="AN49" s="746">
        <f>SUMIFS(RL!AN$74:AN$76,RL!$C$74:$C$76,$E$1)+SUMIFS(LU!AN$74:AN$76,LU!$C$74:$C$76,$E$1)</f>
        <v>0</v>
      </c>
      <c r="AO49" s="746">
        <f>SUMIFS(RL!AO$74:AO$76,RL!$C$74:$C$76,$E$1)+SUMIFS(LU!AO$74:AO$76,LU!$C$74:$C$76,$E$1)</f>
        <v>0</v>
      </c>
      <c r="AP49" s="746">
        <f>SUMIFS(RL!AP$74:AP$76,RL!$C$74:$C$76,$E$1)+SUMIFS(LU!AP$74:AP$76,LU!$C$74:$C$76,$E$1)</f>
        <v>0</v>
      </c>
      <c r="AQ49" s="746">
        <f>SUMIFS(RL!AQ$74:AQ$76,RL!$C$74:$C$76,$E$1)+SUMIFS(LU!AQ$74:AQ$76,LU!$C$74:$C$76,$E$1)</f>
        <v>0</v>
      </c>
      <c r="AR49" s="746">
        <f>SUMIFS(RL!AR$74:AR$76,RL!$C$74:$C$76,$E$1)+SUMIFS(LU!AR$74:AR$76,LU!$C$74:$C$76,$E$1)</f>
        <v>0</v>
      </c>
      <c r="AS49" s="746">
        <f>SUMIFS(RL!AS$74:AS$76,RL!$C$74:$C$76,$E$1)+SUMIFS(LU!AS$74:AS$76,LU!$C$74:$C$76,$E$1)</f>
        <v>0</v>
      </c>
      <c r="AT49" s="746">
        <f>SUMIFS(RL!AT$74:AT$76,RL!$C$74:$C$76,$E$1)+SUMIFS(LU!AT$74:AT$76,LU!$C$74:$C$76,$E$1)</f>
        <v>0</v>
      </c>
      <c r="AU49" s="746">
        <f>SUMIFS(RL!AU$74:AU$76,RL!$C$74:$C$76,$E$1)+SUMIFS(LU!AU$74:AU$76,LU!$C$74:$C$76,$E$1)</f>
        <v>0</v>
      </c>
      <c r="AV49" s="746">
        <f>SUMIFS(RL!AV$74:AV$76,RL!$C$74:$C$76,$E$1)+SUMIFS(LU!AV$74:AV$76,LU!$C$74:$C$76,$E$1)</f>
        <v>0</v>
      </c>
      <c r="AW49" s="746">
        <f>SUMIFS(RL!AW$74:AW$76,RL!$C$74:$C$76,$E$1)+SUMIFS(LU!AW$74:AW$76,LU!$C$74:$C$76,$E$1)</f>
        <v>0</v>
      </c>
      <c r="AX49" s="746">
        <f>SUMIFS(RL!AX$74:AX$76,RL!$C$74:$C$76,$E$1)+SUMIFS(LU!AX$74:AX$76,LU!$C$74:$C$76,$E$1)</f>
        <v>0</v>
      </c>
      <c r="AY49" s="746">
        <f>SUMIFS(RL!AY$74:AY$76,RL!$C$74:$C$76,$E$1)+SUMIFS(LU!AY$74:AY$76,LU!$C$74:$C$76,$E$1)</f>
        <v>0</v>
      </c>
      <c r="AZ49" s="746">
        <f>SUMIFS(RL!AZ$74:AZ$76,RL!$C$74:$C$76,$E$1)+SUMIFS(LU!AZ$74:AZ$76,LU!$C$74:$C$76,$E$1)</f>
        <v>0</v>
      </c>
      <c r="BA49" s="746">
        <f>SUMIFS(RL!BA$74:BA$76,RL!$C$74:$C$76,$E$1)+SUMIFS(LU!BA$74:BA$76,LU!$C$74:$C$76,$E$1)</f>
        <v>0</v>
      </c>
      <c r="BB49" s="746">
        <f>SUMIFS(RL!BB$74:BB$76,RL!$C$74:$C$76,$E$1)+SUMIFS(LU!BB$74:BB$76,LU!$C$74:$C$76,$E$1)</f>
        <v>0</v>
      </c>
      <c r="BC49" s="746">
        <f>SUMIFS(RL!BC$74:BC$76,RL!$C$74:$C$76,$E$1)+SUMIFS(LU!BC$74:BC$76,LU!$C$74:$C$76,$E$1)</f>
        <v>0</v>
      </c>
      <c r="BD49" s="746">
        <f>SUMIFS(RL!BD$74:BD$76,RL!$C$74:$C$76,$E$1)+SUMIFS(LU!BD$74:BD$76,LU!$C$74:$C$76,$E$1)</f>
        <v>0</v>
      </c>
      <c r="BE49" s="746">
        <f>SUMIFS(RL!BE$74:BE$76,RL!$C$74:$C$76,$E$1)+SUMIFS(LU!BE$74:BE$76,LU!$C$74:$C$76,$E$1)</f>
        <v>0</v>
      </c>
      <c r="BF49" s="746">
        <f>SUMIFS(RL!BF$74:BF$76,RL!$C$74:$C$76,$E$1)+SUMIFS(LU!BF$74:BF$76,LU!$C$74:$C$76,$E$1)</f>
        <v>0</v>
      </c>
      <c r="BG49" s="746">
        <f>SUMIFS(RL!BG$74:BG$76,RL!$C$74:$C$76,$E$1)+SUMIFS(LU!BG$74:BG$76,LU!$C$74:$C$76,$E$1)</f>
        <v>0</v>
      </c>
      <c r="BH49"/>
      <c r="BI49" s="614" t="s">
        <v>153</v>
      </c>
      <c r="BM49" s="638"/>
      <c r="BN49" s="638"/>
      <c r="BO49" s="638"/>
      <c r="BP49" s="638"/>
      <c r="BQ49" s="638"/>
      <c r="BR49" s="638"/>
      <c r="BS49" s="638"/>
      <c r="BT49" s="638"/>
      <c r="BU49" s="638"/>
      <c r="BV49" s="638"/>
      <c r="BX49" s="640"/>
    </row>
    <row r="50" spans="2:77" s="398" customFormat="1" outlineLevel="1">
      <c r="B50" s="636"/>
      <c r="D50" s="630" t="s">
        <v>152</v>
      </c>
      <c r="E50" s="268"/>
      <c r="F50" s="268"/>
      <c r="G50" s="268"/>
      <c r="H50" s="268"/>
      <c r="I50" s="268"/>
      <c r="J50" s="268"/>
      <c r="K50" s="268"/>
      <c r="L50" s="268"/>
      <c r="M50" s="268"/>
      <c r="N50" s="268"/>
      <c r="O50" s="268"/>
      <c r="P50" s="268"/>
      <c r="Q50" s="268"/>
      <c r="R50" s="268"/>
      <c r="S50" s="268"/>
      <c r="T50" s="748">
        <f>SUM(T47:T49)</f>
        <v>0</v>
      </c>
      <c r="U50" s="748">
        <f t="shared" ref="U50:BG50" si="17">SUM(U47:U49)</f>
        <v>0</v>
      </c>
      <c r="V50" s="748">
        <f t="shared" si="17"/>
        <v>1000</v>
      </c>
      <c r="W50" s="748">
        <f t="shared" si="17"/>
        <v>1000</v>
      </c>
      <c r="X50" s="748">
        <f t="shared" si="17"/>
        <v>1000</v>
      </c>
      <c r="Y50" s="748">
        <f t="shared" si="17"/>
        <v>1000</v>
      </c>
      <c r="Z50" s="748">
        <f t="shared" si="17"/>
        <v>1000</v>
      </c>
      <c r="AA50" s="748">
        <f t="shared" si="17"/>
        <v>1000</v>
      </c>
      <c r="AB50" s="748">
        <f t="shared" si="17"/>
        <v>1000</v>
      </c>
      <c r="AC50" s="748">
        <f t="shared" si="17"/>
        <v>1000</v>
      </c>
      <c r="AD50" s="748">
        <f t="shared" si="17"/>
        <v>1000</v>
      </c>
      <c r="AE50" s="748">
        <f t="shared" si="17"/>
        <v>1000</v>
      </c>
      <c r="AF50" s="748">
        <f t="shared" si="17"/>
        <v>0</v>
      </c>
      <c r="AG50" s="748">
        <f t="shared" si="17"/>
        <v>0</v>
      </c>
      <c r="AH50" s="748">
        <f t="shared" si="17"/>
        <v>0</v>
      </c>
      <c r="AI50" s="748">
        <f t="shared" si="17"/>
        <v>0</v>
      </c>
      <c r="AJ50" s="748">
        <f t="shared" si="17"/>
        <v>0</v>
      </c>
      <c r="AK50" s="748">
        <f t="shared" si="17"/>
        <v>0</v>
      </c>
      <c r="AL50" s="748">
        <f t="shared" si="17"/>
        <v>0</v>
      </c>
      <c r="AM50" s="748">
        <f t="shared" si="17"/>
        <v>0</v>
      </c>
      <c r="AN50" s="748">
        <f t="shared" si="17"/>
        <v>0</v>
      </c>
      <c r="AO50" s="748">
        <f t="shared" si="17"/>
        <v>0</v>
      </c>
      <c r="AP50" s="748">
        <f t="shared" si="17"/>
        <v>0</v>
      </c>
      <c r="AQ50" s="748">
        <f t="shared" si="17"/>
        <v>0</v>
      </c>
      <c r="AR50" s="748">
        <f t="shared" si="17"/>
        <v>0</v>
      </c>
      <c r="AS50" s="748">
        <f t="shared" si="17"/>
        <v>0</v>
      </c>
      <c r="AT50" s="748">
        <f t="shared" si="17"/>
        <v>0</v>
      </c>
      <c r="AU50" s="748">
        <f t="shared" si="17"/>
        <v>0</v>
      </c>
      <c r="AV50" s="748">
        <f t="shared" si="17"/>
        <v>0</v>
      </c>
      <c r="AW50" s="748">
        <f t="shared" si="17"/>
        <v>0</v>
      </c>
      <c r="AX50" s="748">
        <f t="shared" si="17"/>
        <v>0</v>
      </c>
      <c r="AY50" s="748">
        <f t="shared" si="17"/>
        <v>0</v>
      </c>
      <c r="AZ50" s="748">
        <f t="shared" si="17"/>
        <v>0</v>
      </c>
      <c r="BA50" s="748">
        <f t="shared" si="17"/>
        <v>0</v>
      </c>
      <c r="BB50" s="748">
        <f t="shared" si="17"/>
        <v>0</v>
      </c>
      <c r="BC50" s="748">
        <f t="shared" si="17"/>
        <v>0</v>
      </c>
      <c r="BD50" s="748">
        <f t="shared" si="17"/>
        <v>0</v>
      </c>
      <c r="BE50" s="748">
        <f t="shared" si="17"/>
        <v>0</v>
      </c>
      <c r="BF50" s="748">
        <f t="shared" si="17"/>
        <v>0</v>
      </c>
      <c r="BG50" s="748">
        <f t="shared" si="17"/>
        <v>0</v>
      </c>
      <c r="BH50"/>
      <c r="BI50" s="632" t="s">
        <v>153</v>
      </c>
      <c r="BM50" s="638"/>
      <c r="BN50" s="638"/>
      <c r="BO50" s="638"/>
      <c r="BP50" s="638"/>
      <c r="BQ50" s="638"/>
      <c r="BR50" s="638"/>
      <c r="BS50" s="638"/>
      <c r="BT50" s="638"/>
      <c r="BU50" s="638"/>
      <c r="BV50" s="638"/>
      <c r="BX50" s="640"/>
    </row>
    <row r="51" spans="2:77" outlineLevel="1">
      <c r="B51" s="607"/>
      <c r="D51" s="749" t="s">
        <v>1053</v>
      </c>
      <c r="E51"/>
      <c r="F51"/>
      <c r="G51"/>
      <c r="H51"/>
      <c r="I51"/>
      <c r="J51"/>
      <c r="K51"/>
      <c r="L51"/>
      <c r="M51"/>
      <c r="N51"/>
      <c r="O51"/>
      <c r="P51"/>
      <c r="Q51"/>
      <c r="R51"/>
      <c r="S51"/>
      <c r="T51" s="1207">
        <f>IF(T31=0,0,T50/T31)</f>
        <v>0</v>
      </c>
      <c r="U51" s="1207">
        <f t="shared" ref="U51:BG51" si="18">IF(U31=0,0,U50/U31)</f>
        <v>0</v>
      </c>
      <c r="V51" s="1207">
        <f t="shared" si="18"/>
        <v>1</v>
      </c>
      <c r="W51" s="1207">
        <f t="shared" si="18"/>
        <v>1</v>
      </c>
      <c r="X51" s="1207">
        <f t="shared" si="18"/>
        <v>1</v>
      </c>
      <c r="Y51" s="1207">
        <f t="shared" si="18"/>
        <v>1</v>
      </c>
      <c r="Z51" s="1207">
        <f t="shared" si="18"/>
        <v>1</v>
      </c>
      <c r="AA51" s="1207">
        <f t="shared" si="18"/>
        <v>1</v>
      </c>
      <c r="AB51" s="1207">
        <f t="shared" si="18"/>
        <v>1</v>
      </c>
      <c r="AC51" s="1207">
        <f t="shared" si="18"/>
        <v>1</v>
      </c>
      <c r="AD51" s="1207">
        <f t="shared" si="18"/>
        <v>1</v>
      </c>
      <c r="AE51" s="1207">
        <f t="shared" si="18"/>
        <v>1</v>
      </c>
      <c r="AF51" s="1207">
        <f t="shared" si="18"/>
        <v>0</v>
      </c>
      <c r="AG51" s="1207">
        <f t="shared" si="18"/>
        <v>0</v>
      </c>
      <c r="AH51" s="1207">
        <f t="shared" si="18"/>
        <v>0</v>
      </c>
      <c r="AI51" s="1207">
        <f t="shared" si="18"/>
        <v>0</v>
      </c>
      <c r="AJ51" s="1207">
        <f t="shared" si="18"/>
        <v>0</v>
      </c>
      <c r="AK51" s="1207">
        <f t="shared" si="18"/>
        <v>0</v>
      </c>
      <c r="AL51" s="1207">
        <f t="shared" si="18"/>
        <v>0</v>
      </c>
      <c r="AM51" s="1207">
        <f t="shared" si="18"/>
        <v>0</v>
      </c>
      <c r="AN51" s="1207">
        <f t="shared" si="18"/>
        <v>0</v>
      </c>
      <c r="AO51" s="1207">
        <f t="shared" si="18"/>
        <v>0</v>
      </c>
      <c r="AP51" s="1207">
        <f t="shared" si="18"/>
        <v>0</v>
      </c>
      <c r="AQ51" s="1207">
        <f t="shared" si="18"/>
        <v>0</v>
      </c>
      <c r="AR51" s="1207">
        <f t="shared" si="18"/>
        <v>0</v>
      </c>
      <c r="AS51" s="1207">
        <f t="shared" si="18"/>
        <v>0</v>
      </c>
      <c r="AT51" s="1207">
        <f t="shared" si="18"/>
        <v>0</v>
      </c>
      <c r="AU51" s="1207">
        <f t="shared" si="18"/>
        <v>0</v>
      </c>
      <c r="AV51" s="1207">
        <f t="shared" si="18"/>
        <v>0</v>
      </c>
      <c r="AW51" s="1207">
        <f t="shared" si="18"/>
        <v>0</v>
      </c>
      <c r="AX51" s="1207">
        <f t="shared" si="18"/>
        <v>0</v>
      </c>
      <c r="AY51" s="1207">
        <f t="shared" si="18"/>
        <v>0</v>
      </c>
      <c r="AZ51" s="1207">
        <f t="shared" si="18"/>
        <v>0</v>
      </c>
      <c r="BA51" s="1207">
        <f t="shared" si="18"/>
        <v>0</v>
      </c>
      <c r="BB51" s="1207">
        <f t="shared" si="18"/>
        <v>0</v>
      </c>
      <c r="BC51" s="1207">
        <f t="shared" si="18"/>
        <v>0</v>
      </c>
      <c r="BD51" s="1207">
        <f t="shared" si="18"/>
        <v>0</v>
      </c>
      <c r="BE51" s="1207">
        <f t="shared" si="18"/>
        <v>0</v>
      </c>
      <c r="BF51" s="1207">
        <f t="shared" si="18"/>
        <v>0</v>
      </c>
      <c r="BG51" s="1207">
        <f t="shared" si="18"/>
        <v>0</v>
      </c>
      <c r="BH51"/>
      <c r="BI51" s="614" t="s">
        <v>153</v>
      </c>
      <c r="BY51" s="398"/>
    </row>
    <row r="52" spans="2:77">
      <c r="B52" s="607"/>
      <c r="D52" s="77"/>
      <c r="E52"/>
      <c r="F52"/>
      <c r="G52"/>
      <c r="H52"/>
      <c r="I52"/>
      <c r="J52"/>
      <c r="K52"/>
      <c r="L52"/>
      <c r="M52"/>
      <c r="N52"/>
      <c r="O52"/>
      <c r="P52"/>
      <c r="Q52"/>
      <c r="R52"/>
      <c r="S52"/>
      <c r="T52"/>
      <c r="U52"/>
      <c r="V52"/>
      <c r="W52"/>
      <c r="X52"/>
      <c r="Y52"/>
      <c r="Z52"/>
      <c r="AA52"/>
      <c r="AB52"/>
      <c r="AC52"/>
      <c r="AD52"/>
      <c r="AE52" s="345"/>
      <c r="AF52"/>
      <c r="AG52"/>
      <c r="AH52"/>
      <c r="AI52"/>
      <c r="AJ52"/>
      <c r="AK52"/>
      <c r="AL52"/>
      <c r="AM52"/>
      <c r="AN52"/>
      <c r="AO52"/>
      <c r="AP52"/>
      <c r="AQ52"/>
      <c r="AR52"/>
      <c r="AS52"/>
      <c r="AT52"/>
      <c r="AU52"/>
      <c r="AV52"/>
      <c r="AW52"/>
      <c r="AX52"/>
      <c r="AY52"/>
      <c r="AZ52"/>
      <c r="BA52"/>
      <c r="BB52"/>
      <c r="BC52"/>
      <c r="BD52"/>
      <c r="BE52"/>
      <c r="BF52"/>
      <c r="BG52"/>
      <c r="BH52"/>
      <c r="BI52" s="594"/>
      <c r="BY52" s="398"/>
    </row>
    <row r="53" spans="2:77">
      <c r="B53" s="607"/>
      <c r="D53" s="608" t="s">
        <v>689</v>
      </c>
      <c r="E53" s="609"/>
      <c r="F53" s="609"/>
      <c r="G53" s="609"/>
      <c r="H53" s="609"/>
      <c r="I53" s="609"/>
      <c r="J53" s="609"/>
      <c r="K53" s="609"/>
      <c r="L53" s="609"/>
      <c r="M53" s="609"/>
      <c r="N53" s="609"/>
      <c r="O53" s="609"/>
      <c r="P53" s="609"/>
      <c r="Q53" s="609"/>
      <c r="R53" s="609"/>
      <c r="S53" s="610"/>
      <c r="T53" s="646"/>
      <c r="U53" s="610"/>
      <c r="V53" s="610"/>
      <c r="W53" s="610"/>
      <c r="X53" s="610"/>
      <c r="Y53" s="610"/>
      <c r="Z53" s="610"/>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I53" s="612"/>
      <c r="BY53" s="398"/>
    </row>
    <row r="54" spans="2:77">
      <c r="B54" s="607"/>
      <c r="D54" s="593"/>
      <c r="BI54" s="594"/>
      <c r="BY54" s="398"/>
    </row>
    <row r="55" spans="2:77">
      <c r="B55" s="607"/>
      <c r="D55" s="467" t="s">
        <v>624</v>
      </c>
      <c r="E55" s="626"/>
      <c r="F55" s="626"/>
      <c r="G55" s="626"/>
      <c r="H55" s="626"/>
      <c r="I55" s="626"/>
      <c r="J55" s="626"/>
      <c r="K55" s="626"/>
      <c r="L55" s="626"/>
      <c r="M55" s="626"/>
      <c r="N55" s="626"/>
      <c r="O55" s="626"/>
      <c r="P55" s="626"/>
      <c r="Q55" s="626"/>
      <c r="R55" s="626"/>
      <c r="S55" s="626"/>
      <c r="T55" s="626"/>
      <c r="U55" s="626"/>
      <c r="V55" s="626"/>
      <c r="W55" s="626"/>
      <c r="X55" s="626"/>
      <c r="Y55" s="626"/>
      <c r="Z55" s="626"/>
      <c r="AA55" s="626"/>
      <c r="AB55" s="626"/>
      <c r="AC55" s="626"/>
      <c r="AD55" s="626"/>
      <c r="AE55" s="626"/>
      <c r="AF55" s="626"/>
      <c r="AG55" s="626"/>
      <c r="AH55" s="626"/>
      <c r="AI55" s="626"/>
      <c r="AJ55" s="626"/>
      <c r="AK55" s="626"/>
      <c r="AL55" s="626"/>
      <c r="AM55" s="626"/>
      <c r="AN55" s="626"/>
      <c r="AO55" s="626"/>
      <c r="AP55" s="626"/>
      <c r="AQ55" s="626"/>
      <c r="AR55" s="626"/>
      <c r="AS55" s="626"/>
      <c r="AT55" s="626"/>
      <c r="AU55" s="626"/>
      <c r="AV55" s="626"/>
      <c r="AW55" s="626"/>
      <c r="AX55" s="626"/>
      <c r="AY55" s="626"/>
      <c r="AZ55" s="626"/>
      <c r="BA55" s="626"/>
      <c r="BB55" s="626"/>
      <c r="BC55" s="626"/>
      <c r="BD55" s="626"/>
      <c r="BE55" s="626"/>
      <c r="BF55" s="626"/>
      <c r="BG55" s="626"/>
      <c r="BI55" s="594"/>
      <c r="BY55" s="398"/>
    </row>
    <row r="56" spans="2:77">
      <c r="B56" s="607"/>
      <c r="D56" s="77" t="s">
        <v>621</v>
      </c>
      <c r="R56" s="613"/>
      <c r="S56" s="613">
        <f>-INDEX(PCF!$BR$261:$BR$263,MATCH($E$1,PCF!$C$261:$C$263,0))*(1-E57)</f>
        <v>-1634917.5082870517</v>
      </c>
      <c r="BI56" s="1229"/>
      <c r="BY56" s="398"/>
    </row>
    <row r="57" spans="2:77">
      <c r="B57" s="607"/>
      <c r="D57" s="77" t="s">
        <v>622</v>
      </c>
      <c r="E57" s="1227">
        <f>GA!H11</f>
        <v>2.0000000000000001E-4</v>
      </c>
      <c r="R57" s="613">
        <f>-INDEX(PCF!$BR$261:$BR$263,MATCH($E$1,PCF!$C$261:$C$263,0))*E57</f>
        <v>-327.04891143969832</v>
      </c>
      <c r="S57" s="613"/>
      <c r="BI57" s="594"/>
      <c r="BY57" s="398"/>
    </row>
    <row r="58" spans="2:77">
      <c r="B58" s="607"/>
      <c r="D58" s="77" t="s">
        <v>114</v>
      </c>
      <c r="R58" s="613">
        <f>-INDEX(PCF!$BU$261:$BU263,MATCH($E$1,PCF!$C$261:$C$263,0))*(GA!$G$316="Signing")*GA!$G$315</f>
        <v>0</v>
      </c>
      <c r="S58" s="613">
        <f>-INDEX(PCF!$BU$261:$BU263,MATCH($E$1,PCF!$C$261:$C$263,0))*(GA!$G$316="Closing")*GA!$G$315</f>
        <v>-81762.227859924576</v>
      </c>
      <c r="BI58" s="594"/>
      <c r="BY58" s="398"/>
    </row>
    <row r="59" spans="2:77">
      <c r="B59" s="607"/>
      <c r="D59" s="77" t="s">
        <v>623</v>
      </c>
      <c r="R59" s="613">
        <f>-INDEX(PCF!$BR$261:$BR$263,MATCH($E$1,PCF!$C$261:$C$263,0))*GA!G24</f>
        <v>-40881.113929962288</v>
      </c>
      <c r="S59" s="613">
        <f>-INDEX(PCF!$BR$261:$BR$263,MATCH($E$1,PCF!$C$261:$C$263,0))*GA!H24</f>
        <v>-91262.998737247806</v>
      </c>
      <c r="BI59" s="594"/>
      <c r="BY59" s="398"/>
    </row>
    <row r="60" spans="2:77">
      <c r="B60" s="607"/>
      <c r="D60" s="395" t="s">
        <v>625</v>
      </c>
      <c r="E60" s="268"/>
      <c r="F60" s="268"/>
      <c r="G60" s="268"/>
      <c r="H60" s="268"/>
      <c r="I60" s="268"/>
      <c r="J60" s="268"/>
      <c r="K60" s="268"/>
      <c r="L60" s="268"/>
      <c r="M60" s="268"/>
      <c r="N60" s="268"/>
      <c r="O60" s="268"/>
      <c r="P60" s="268"/>
      <c r="Q60" s="268"/>
      <c r="R60" s="633">
        <f>SUM(R56:R59)</f>
        <v>-41208.162841401987</v>
      </c>
      <c r="S60" s="633">
        <f t="shared" ref="S60" si="19">SUM(S56:S59)</f>
        <v>-1807942.7348842241</v>
      </c>
      <c r="T60" s="633">
        <f t="shared" ref="T60" si="20">SUM(T56:T59)</f>
        <v>0</v>
      </c>
      <c r="U60" s="633">
        <f t="shared" ref="U60" si="21">SUM(U56:U59)</f>
        <v>0</v>
      </c>
      <c r="V60" s="633">
        <f t="shared" ref="V60" si="22">SUM(V56:V59)</f>
        <v>0</v>
      </c>
      <c r="W60" s="633">
        <f t="shared" ref="W60" si="23">SUM(W56:W59)</f>
        <v>0</v>
      </c>
      <c r="X60" s="633">
        <f t="shared" ref="X60" si="24">SUM(X56:X59)</f>
        <v>0</v>
      </c>
      <c r="Y60" s="633">
        <f t="shared" ref="Y60" si="25">SUM(Y56:Y59)</f>
        <v>0</v>
      </c>
      <c r="Z60" s="633">
        <f t="shared" ref="Z60" si="26">SUM(Z56:Z59)</f>
        <v>0</v>
      </c>
      <c r="AA60" s="633">
        <f t="shared" ref="AA60" si="27">SUM(AA56:AA59)</f>
        <v>0</v>
      </c>
      <c r="AB60" s="633">
        <f t="shared" ref="AB60" si="28">SUM(AB56:AB59)</f>
        <v>0</v>
      </c>
      <c r="AC60" s="633">
        <f t="shared" ref="AC60" si="29">SUM(AC56:AC59)</f>
        <v>0</v>
      </c>
      <c r="AD60" s="633">
        <f t="shared" ref="AD60" si="30">SUM(AD56:AD59)</f>
        <v>0</v>
      </c>
      <c r="AE60" s="633">
        <f t="shared" ref="AE60" si="31">SUM(AE56:AE59)</f>
        <v>0</v>
      </c>
      <c r="AF60" s="633">
        <f t="shared" ref="AF60" si="32">SUM(AF56:AF59)</f>
        <v>0</v>
      </c>
      <c r="AG60" s="633">
        <f t="shared" ref="AG60" si="33">SUM(AG56:AG59)</f>
        <v>0</v>
      </c>
      <c r="AH60" s="633">
        <f t="shared" ref="AH60" si="34">SUM(AH56:AH59)</f>
        <v>0</v>
      </c>
      <c r="AI60" s="633">
        <f t="shared" ref="AI60" si="35">SUM(AI56:AI59)</f>
        <v>0</v>
      </c>
      <c r="AJ60" s="633">
        <f t="shared" ref="AJ60" si="36">SUM(AJ56:AJ59)</f>
        <v>0</v>
      </c>
      <c r="AK60" s="633">
        <f t="shared" ref="AK60" si="37">SUM(AK56:AK59)</f>
        <v>0</v>
      </c>
      <c r="AL60" s="633">
        <f t="shared" ref="AL60" si="38">SUM(AL56:AL59)</f>
        <v>0</v>
      </c>
      <c r="AM60" s="633">
        <f t="shared" ref="AM60" si="39">SUM(AM56:AM59)</f>
        <v>0</v>
      </c>
      <c r="AN60" s="633">
        <f t="shared" ref="AN60" si="40">SUM(AN56:AN59)</f>
        <v>0</v>
      </c>
      <c r="AO60" s="633">
        <f t="shared" ref="AO60" si="41">SUM(AO56:AO59)</f>
        <v>0</v>
      </c>
      <c r="AP60" s="633">
        <f t="shared" ref="AP60" si="42">SUM(AP56:AP59)</f>
        <v>0</v>
      </c>
      <c r="AQ60" s="633">
        <f t="shared" ref="AQ60" si="43">SUM(AQ56:AQ59)</f>
        <v>0</v>
      </c>
      <c r="AR60" s="633">
        <f t="shared" ref="AR60" si="44">SUM(AR56:AR59)</f>
        <v>0</v>
      </c>
      <c r="AS60" s="633">
        <f t="shared" ref="AS60" si="45">SUM(AS56:AS59)</f>
        <v>0</v>
      </c>
      <c r="AT60" s="633">
        <f t="shared" ref="AT60" si="46">SUM(AT56:AT59)</f>
        <v>0</v>
      </c>
      <c r="AU60" s="633">
        <f t="shared" ref="AU60" si="47">SUM(AU56:AU59)</f>
        <v>0</v>
      </c>
      <c r="AV60" s="633">
        <f t="shared" ref="AV60" si="48">SUM(AV56:AV59)</f>
        <v>0</v>
      </c>
      <c r="AW60" s="633">
        <f t="shared" ref="AW60" si="49">SUM(AW56:AW59)</f>
        <v>0</v>
      </c>
      <c r="AX60" s="633">
        <f t="shared" ref="AX60" si="50">SUM(AX56:AX59)</f>
        <v>0</v>
      </c>
      <c r="AY60" s="633">
        <f t="shared" ref="AY60" si="51">SUM(AY56:AY59)</f>
        <v>0</v>
      </c>
      <c r="AZ60" s="633">
        <f t="shared" ref="AZ60" si="52">SUM(AZ56:AZ59)</f>
        <v>0</v>
      </c>
      <c r="BA60" s="633">
        <f t="shared" ref="BA60" si="53">SUM(BA56:BA59)</f>
        <v>0</v>
      </c>
      <c r="BB60" s="633">
        <f t="shared" ref="BB60" si="54">SUM(BB56:BB59)</f>
        <v>0</v>
      </c>
      <c r="BC60" s="633">
        <f t="shared" ref="BC60" si="55">SUM(BC56:BC59)</f>
        <v>0</v>
      </c>
      <c r="BD60" s="633">
        <f t="shared" ref="BD60" si="56">SUM(BD56:BD59)</f>
        <v>0</v>
      </c>
      <c r="BE60" s="633">
        <f t="shared" ref="BE60" si="57">SUM(BE56:BE59)</f>
        <v>0</v>
      </c>
      <c r="BF60" s="633">
        <f t="shared" ref="BF60" si="58">SUM(BF56:BF59)</f>
        <v>0</v>
      </c>
      <c r="BG60" s="633">
        <f t="shared" ref="BG60" si="59">SUM(BG56:BG59)</f>
        <v>0</v>
      </c>
      <c r="BI60" s="1228"/>
      <c r="BY60" s="398"/>
    </row>
    <row r="61" spans="2:77">
      <c r="B61" s="607"/>
      <c r="D61" s="593"/>
      <c r="BI61" s="594"/>
      <c r="BY61" s="398"/>
    </row>
    <row r="62" spans="2:77">
      <c r="B62" s="607"/>
      <c r="D62" s="467" t="s">
        <v>1054</v>
      </c>
      <c r="E62" s="626"/>
      <c r="F62" s="626"/>
      <c r="G62" s="626"/>
      <c r="H62" s="626"/>
      <c r="I62" s="626"/>
      <c r="J62" s="626"/>
      <c r="K62" s="626"/>
      <c r="L62" s="626"/>
      <c r="M62" s="626"/>
      <c r="N62" s="626"/>
      <c r="O62" s="626"/>
      <c r="P62" s="626"/>
      <c r="Q62" s="626"/>
      <c r="R62" s="626"/>
      <c r="S62" s="626"/>
      <c r="T62" s="647"/>
      <c r="U62" s="626"/>
      <c r="V62" s="626"/>
      <c r="W62" s="626"/>
      <c r="X62" s="647"/>
      <c r="Y62" s="647"/>
      <c r="Z62" s="626"/>
      <c r="AA62" s="626"/>
      <c r="AB62" s="626"/>
      <c r="AC62" s="626"/>
      <c r="AD62" s="626"/>
      <c r="AE62" s="626"/>
      <c r="AF62" s="626"/>
      <c r="AG62" s="626"/>
      <c r="AH62" s="626"/>
      <c r="AI62" s="626"/>
      <c r="AJ62" s="626"/>
      <c r="AK62" s="626"/>
      <c r="AL62" s="626"/>
      <c r="AM62" s="648"/>
      <c r="AN62" s="626"/>
      <c r="AO62" s="626"/>
      <c r="AP62" s="626"/>
      <c r="AQ62" s="626"/>
      <c r="AR62" s="626"/>
      <c r="AS62" s="626"/>
      <c r="AT62" s="626"/>
      <c r="AU62" s="626"/>
      <c r="AV62" s="626"/>
      <c r="AW62" s="626"/>
      <c r="AX62" s="626"/>
      <c r="AY62" s="626"/>
      <c r="AZ62" s="626"/>
      <c r="BA62" s="626"/>
      <c r="BB62" s="626"/>
      <c r="BC62" s="626"/>
      <c r="BD62" s="626"/>
      <c r="BE62" s="626"/>
      <c r="BF62" s="626"/>
      <c r="BG62" s="626"/>
      <c r="BI62" s="649"/>
      <c r="BM62" s="364"/>
      <c r="BN62" s="364"/>
      <c r="BO62" s="364"/>
      <c r="BP62" s="364"/>
      <c r="BQ62" s="364"/>
      <c r="BR62" s="364"/>
      <c r="BS62" s="364"/>
      <c r="BT62" s="364"/>
      <c r="BU62" s="364"/>
      <c r="BV62" s="364"/>
      <c r="BW62" s="39"/>
      <c r="BX62" s="364"/>
      <c r="BY62" s="398"/>
    </row>
    <row r="63" spans="2:77">
      <c r="B63" s="607"/>
      <c r="D63" s="650" t="s">
        <v>1055</v>
      </c>
      <c r="T63" s="613">
        <f>SUMIFS(IP!T$92:T$94,IP!$C$92:$C$94,$E$1)*INDEX(IP!T$20:T$22,MATCH($E$1,IP!$C$20:$C$22,0))</f>
        <v>0</v>
      </c>
      <c r="U63" s="613">
        <f>SUMIFS(IP!U$92:U$94,IP!$C$92:$C$94,$E$1)*INDEX(IP!U$20:U$22,MATCH($E$1,IP!$C$20:$C$22,0))</f>
        <v>0</v>
      </c>
      <c r="V63" s="613">
        <f>SUMIFS(IP!V$92:V$94,IP!$C$92:$C$94,$E$1)*INDEX(IP!V$20:V$22,MATCH($E$1,IP!$C$20:$C$22,0))</f>
        <v>25140.49357432016</v>
      </c>
      <c r="W63" s="613">
        <f>SUMIFS(IP!W$92:W$94,IP!$C$92:$C$94,$E$1)*INDEX(IP!W$20:W$22,MATCH($E$1,IP!$C$20:$C$22,0))</f>
        <v>25187.499999999996</v>
      </c>
      <c r="X63" s="613">
        <f>SUMIFS(IP!X$92:X$94,IP!$C$92:$C$94,$E$1)*INDEX(IP!X$20:X$22,MATCH($E$1,IP!$C$20:$C$22,0))</f>
        <v>25234.594315921473</v>
      </c>
      <c r="Y63" s="613">
        <f>SUMIFS(IP!Y$92:Y$94,IP!$C$92:$C$94,$E$1)*INDEX(IP!Y$20:Y$22,MATCH($E$1,IP!$C$20:$C$22,0))</f>
        <v>25281.776686417325</v>
      </c>
      <c r="Z63" s="613">
        <f>SUMIFS(IP!Z$92:Z$94,IP!$C$92:$C$94,$E$1)*INDEX(IP!Z$20:Z$22,MATCH($E$1,IP!$C$20:$C$22,0))</f>
        <v>25329.047276127552</v>
      </c>
      <c r="AA63" s="613">
        <f>SUMIFS(IP!AA$92:AA$94,IP!$C$92:$C$94,$E$1)*INDEX(IP!AA$20:AA$22,MATCH($E$1,IP!$C$20:$C$22,0))</f>
        <v>25376.406249999989</v>
      </c>
      <c r="AB63" s="613">
        <f>SUMIFS(IP!AB$92:AB$94,IP!$C$92:$C$94,$E$1)*INDEX(IP!AB$20:AB$22,MATCH($E$1,IP!$C$20:$C$22,0))</f>
        <v>25423.853773290877</v>
      </c>
      <c r="AC63" s="613">
        <f>SUMIFS(IP!AC$92:AC$94,IP!$C$92:$C$94,$E$1)*INDEX(IP!AC$20:AC$22,MATCH($E$1,IP!$C$20:$C$22,0))</f>
        <v>25471.390011565447</v>
      </c>
      <c r="AD63" s="613">
        <f>SUMIFS(IP!AD$92:AD$94,IP!$C$92:$C$94,$E$1)*INDEX(IP!AD$20:AD$22,MATCH($E$1,IP!$C$20:$C$22,0))</f>
        <v>25519.015130698503</v>
      </c>
      <c r="AE63" s="613">
        <f>SUMIFS(IP!AE$92:AE$94,IP!$C$92:$C$94,$E$1)*INDEX(IP!AE$20:AE$22,MATCH($E$1,IP!$C$20:$C$22,0))</f>
        <v>25566.729296874979</v>
      </c>
      <c r="AF63" s="613">
        <f>SUMIFS(IP!AF$92:AF$94,IP!$C$92:$C$94,$E$1)*INDEX(IP!AF$20:AF$22,MATCH($E$1,IP!$C$20:$C$22,0))</f>
        <v>0</v>
      </c>
      <c r="AG63" s="613">
        <f>SUMIFS(IP!AG$92:AG$94,IP!$C$92:$C$94,$E$1)*INDEX(IP!AG$20:AG$22,MATCH($E$1,IP!$C$20:$C$22,0))</f>
        <v>0</v>
      </c>
      <c r="AH63" s="613">
        <f>SUMIFS(IP!AH$92:AH$94,IP!$C$92:$C$94,$E$1)*INDEX(IP!AH$20:AH$22,MATCH($E$1,IP!$C$20:$C$22,0))</f>
        <v>0</v>
      </c>
      <c r="AI63" s="613">
        <f>SUMIFS(IP!AI$92:AI$94,IP!$C$92:$C$94,$E$1)*INDEX(IP!AI$20:AI$22,MATCH($E$1,IP!$C$20:$C$22,0))</f>
        <v>0</v>
      </c>
      <c r="AJ63" s="613">
        <f>SUMIFS(IP!AJ$92:AJ$94,IP!$C$92:$C$94,$E$1)*INDEX(IP!AJ$20:AJ$22,MATCH($E$1,IP!$C$20:$C$22,0))</f>
        <v>0</v>
      </c>
      <c r="AK63" s="613">
        <f>SUMIFS(IP!AK$92:AK$94,IP!$C$92:$C$94,$E$1)*INDEX(IP!AK$20:AK$22,MATCH($E$1,IP!$C$20:$C$22,0))</f>
        <v>0</v>
      </c>
      <c r="AL63" s="613">
        <f>SUMIFS(IP!AL$92:AL$94,IP!$C$92:$C$94,$E$1)*INDEX(IP!AL$20:AL$22,MATCH($E$1,IP!$C$20:$C$22,0))</f>
        <v>0</v>
      </c>
      <c r="AM63" s="613">
        <f>SUMIFS(IP!AM$92:AM$94,IP!$C$92:$C$94,$E$1)*INDEX(IP!AM$20:AM$22,MATCH($E$1,IP!$C$20:$C$22,0))</f>
        <v>0</v>
      </c>
      <c r="AN63" s="613">
        <f>SUMIFS(IP!AN$92:AN$94,IP!$C$92:$C$94,$E$1)*INDEX(IP!AN$20:AN$22,MATCH($E$1,IP!$C$20:$C$22,0))</f>
        <v>0</v>
      </c>
      <c r="AO63" s="613">
        <f>SUMIFS(IP!AO$92:AO$94,IP!$C$92:$C$94,$E$1)*INDEX(IP!AO$20:AO$22,MATCH($E$1,IP!$C$20:$C$22,0))</f>
        <v>0</v>
      </c>
      <c r="AP63" s="613">
        <f>SUMIFS(IP!AP$92:AP$94,IP!$C$92:$C$94,$E$1)*INDEX(IP!AP$20:AP$22,MATCH($E$1,IP!$C$20:$C$22,0))</f>
        <v>0</v>
      </c>
      <c r="AQ63" s="613">
        <f>SUMIFS(IP!AQ$92:AQ$94,IP!$C$92:$C$94,$E$1)*INDEX(IP!AQ$20:AQ$22,MATCH($E$1,IP!$C$20:$C$22,0))</f>
        <v>0</v>
      </c>
      <c r="AR63" s="613">
        <f>SUMIFS(IP!AR$92:AR$94,IP!$C$92:$C$94,$E$1)*INDEX(IP!AR$20:AR$22,MATCH($E$1,IP!$C$20:$C$22,0))</f>
        <v>0</v>
      </c>
      <c r="AS63" s="613">
        <f>SUMIFS(IP!AS$92:AS$94,IP!$C$92:$C$94,$E$1)*INDEX(IP!AS$20:AS$22,MATCH($E$1,IP!$C$20:$C$22,0))</f>
        <v>0</v>
      </c>
      <c r="AT63" s="613">
        <f>SUMIFS(IP!AT$92:AT$94,IP!$C$92:$C$94,$E$1)*INDEX(IP!AT$20:AT$22,MATCH($E$1,IP!$C$20:$C$22,0))</f>
        <v>0</v>
      </c>
      <c r="AU63" s="613">
        <f>SUMIFS(IP!AU$92:AU$94,IP!$C$92:$C$94,$E$1)*INDEX(IP!AU$20:AU$22,MATCH($E$1,IP!$C$20:$C$22,0))</f>
        <v>0</v>
      </c>
      <c r="AV63" s="613">
        <f>SUMIFS(IP!AV$92:AV$94,IP!$C$92:$C$94,$E$1)*INDEX(IP!AV$20:AV$22,MATCH($E$1,IP!$C$20:$C$22,0))</f>
        <v>0</v>
      </c>
      <c r="AW63" s="613">
        <f>SUMIFS(IP!AW$92:AW$94,IP!$C$92:$C$94,$E$1)*INDEX(IP!AW$20:AW$22,MATCH($E$1,IP!$C$20:$C$22,0))</f>
        <v>0</v>
      </c>
      <c r="AX63" s="613">
        <f>SUMIFS(IP!AX$92:AX$94,IP!$C$92:$C$94,$E$1)*INDEX(IP!AX$20:AX$22,MATCH($E$1,IP!$C$20:$C$22,0))</f>
        <v>0</v>
      </c>
      <c r="AY63" s="613">
        <f>SUMIFS(IP!AY$92:AY$94,IP!$C$92:$C$94,$E$1)*INDEX(IP!AY$20:AY$22,MATCH($E$1,IP!$C$20:$C$22,0))</f>
        <v>0</v>
      </c>
      <c r="AZ63" s="613">
        <f>SUMIFS(IP!AZ$92:AZ$94,IP!$C$92:$C$94,$E$1)*INDEX(IP!AZ$20:AZ$22,MATCH($E$1,IP!$C$20:$C$22,0))</f>
        <v>0</v>
      </c>
      <c r="BA63" s="613">
        <f>SUMIFS(IP!BA$92:BA$94,IP!$C$92:$C$94,$E$1)*INDEX(IP!BA$20:BA$22,MATCH($E$1,IP!$C$20:$C$22,0))</f>
        <v>0</v>
      </c>
      <c r="BB63" s="613">
        <f>SUMIFS(IP!BB$92:BB$94,IP!$C$92:$C$94,$E$1)*INDEX(IP!BB$20:BB$22,MATCH($E$1,IP!$C$20:$C$22,0))</f>
        <v>0</v>
      </c>
      <c r="BC63" s="613">
        <f>SUMIFS(IP!BC$92:BC$94,IP!$C$92:$C$94,$E$1)*INDEX(IP!BC$20:BC$22,MATCH($E$1,IP!$C$20:$C$22,0))</f>
        <v>0</v>
      </c>
      <c r="BD63" s="613">
        <f>SUMIFS(IP!BD$92:BD$94,IP!$C$92:$C$94,$E$1)*INDEX(IP!BD$20:BD$22,MATCH($E$1,IP!$C$20:$C$22,0))</f>
        <v>0</v>
      </c>
      <c r="BE63" s="613">
        <f>SUMIFS(IP!BE$92:BE$94,IP!$C$92:$C$94,$E$1)*INDEX(IP!BE$20:BE$22,MATCH($E$1,IP!$C$20:$C$22,0))</f>
        <v>0</v>
      </c>
      <c r="BF63" s="613">
        <f>SUMIFS(IP!BF$92:BF$94,IP!$C$92:$C$94,$E$1)*INDEX(IP!BF$20:BF$22,MATCH($E$1,IP!$C$20:$C$22,0))</f>
        <v>0</v>
      </c>
      <c r="BG63" s="613">
        <f>SUMIFS(IP!BG$92:BG$94,IP!$C$92:$C$94,$E$1)*INDEX(IP!BG$20:BG$22,MATCH($E$1,IP!$C$20:$C$22,0))</f>
        <v>0</v>
      </c>
      <c r="BI63" s="651">
        <f t="shared" ref="BI63:BI68" si="60">SUM(T63:BG63)</f>
        <v>253530.80631521632</v>
      </c>
      <c r="BM63" s="613">
        <f>SUMIF($T$13:$BG$13,BM$13,$T63:$BG63)</f>
        <v>50327.993574320157</v>
      </c>
      <c r="BN63" s="613">
        <f t="shared" ref="BN63:BV67" si="61">SUMIF($T$13:$BG$13,BN$13,$T63:$BG63)</f>
        <v>101221.82452846634</v>
      </c>
      <c r="BO63" s="613">
        <f t="shared" si="61"/>
        <v>101980.98821242982</v>
      </c>
      <c r="BP63" s="613">
        <f t="shared" si="61"/>
        <v>0</v>
      </c>
      <c r="BQ63" s="613">
        <f t="shared" si="61"/>
        <v>0</v>
      </c>
      <c r="BR63" s="613">
        <f t="shared" si="61"/>
        <v>0</v>
      </c>
      <c r="BS63" s="613">
        <f t="shared" si="61"/>
        <v>0</v>
      </c>
      <c r="BT63" s="613">
        <f t="shared" si="61"/>
        <v>0</v>
      </c>
      <c r="BU63" s="613">
        <f t="shared" si="61"/>
        <v>0</v>
      </c>
      <c r="BV63" s="613">
        <f t="shared" si="61"/>
        <v>0</v>
      </c>
      <c r="BW63" s="613"/>
      <c r="BX63" s="652">
        <f t="shared" ref="BX63:BX68" si="62">SUM(BM63:BV63)</f>
        <v>253530.80631521629</v>
      </c>
      <c r="BY63" s="398"/>
    </row>
    <row r="64" spans="2:77">
      <c r="B64" s="607"/>
      <c r="D64" s="650" t="s">
        <v>1056</v>
      </c>
      <c r="T64" s="613">
        <f>SUMIFS(RN!T$89:T$91,RN!$C$89:$C$91,$E$1)*INDEX(RN!T$20:T$22,MATCH($E$1,RN!$C$20:$C$22,0))</f>
        <v>0</v>
      </c>
      <c r="U64" s="613">
        <f>SUMIFS(RN!U$89:U$91,RN!$C$89:$C$91,$E$1)*INDEX(RN!U$20:U$22,MATCH($E$1,RN!$C$20:$C$22,0))</f>
        <v>0</v>
      </c>
      <c r="V64" s="613">
        <f>SUMIFS(RN!V$89:V$91,RN!$C$89:$C$91,$E$1)*INDEX(RN!V$20:V$22,MATCH($E$1,RN!$C$20:$C$22,0))</f>
        <v>0</v>
      </c>
      <c r="W64" s="613">
        <f>SUMIFS(RN!W$89:W$91,RN!$C$89:$C$91,$E$1)*INDEX(RN!W$20:W$22,MATCH($E$1,RN!$C$20:$C$22,0))</f>
        <v>0</v>
      </c>
      <c r="X64" s="613">
        <f>SUMIFS(RN!X$89:X$91,RN!$C$89:$C$91,$E$1)*INDEX(RN!X$20:X$22,MATCH($E$1,RN!$C$20:$C$22,0))</f>
        <v>0</v>
      </c>
      <c r="Y64" s="613">
        <f>SUMIFS(RN!Y$89:Y$91,RN!$C$89:$C$91,$E$1)*INDEX(RN!Y$20:Y$22,MATCH($E$1,RN!$C$20:$C$22,0))</f>
        <v>0</v>
      </c>
      <c r="Z64" s="613">
        <f>SUMIFS(RN!Z$89:Z$91,RN!$C$89:$C$91,$E$1)*INDEX(RN!Z$20:Z$22,MATCH($E$1,RN!$C$20:$C$22,0))</f>
        <v>0</v>
      </c>
      <c r="AA64" s="613">
        <f>SUMIFS(RN!AA$89:AA$91,RN!$C$89:$C$91,$E$1)*INDEX(RN!AA$20:AA$22,MATCH($E$1,RN!$C$20:$C$22,0))</f>
        <v>0</v>
      </c>
      <c r="AB64" s="613">
        <f>SUMIFS(RN!AB$89:AB$91,RN!$C$89:$C$91,$E$1)*INDEX(RN!AB$20:AB$22,MATCH($E$1,RN!$C$20:$C$22,0))</f>
        <v>0</v>
      </c>
      <c r="AC64" s="613">
        <f>SUMIFS(RN!AC$89:AC$91,RN!$C$89:$C$91,$E$1)*INDEX(RN!AC$20:AC$22,MATCH($E$1,RN!$C$20:$C$22,0))</f>
        <v>0</v>
      </c>
      <c r="AD64" s="613">
        <f>SUMIFS(RN!AD$89:AD$91,RN!$C$89:$C$91,$E$1)*INDEX(RN!AD$20:AD$22,MATCH($E$1,RN!$C$20:$C$22,0))</f>
        <v>0</v>
      </c>
      <c r="AE64" s="613">
        <f>SUMIFS(RN!AE$89:AE$91,RN!$C$89:$C$91,$E$1)*INDEX(RN!AE$20:AE$22,MATCH($E$1,RN!$C$20:$C$22,0))</f>
        <v>0</v>
      </c>
      <c r="AF64" s="613">
        <f>SUMIFS(RN!AF$89:AF$91,RN!$C$89:$C$91,$E$1)*INDEX(RN!AF$20:AF$22,MATCH($E$1,RN!$C$20:$C$22,0))</f>
        <v>0</v>
      </c>
      <c r="AG64" s="613">
        <f>SUMIFS(RN!AG$89:AG$91,RN!$C$89:$C$91,$E$1)*INDEX(RN!AG$20:AG$22,MATCH($E$1,RN!$C$20:$C$22,0))</f>
        <v>0</v>
      </c>
      <c r="AH64" s="613">
        <f>SUMIFS(RN!AH$89:AH$91,RN!$C$89:$C$91,$E$1)*INDEX(RN!AH$20:AH$22,MATCH($E$1,RN!$C$20:$C$22,0))</f>
        <v>0</v>
      </c>
      <c r="AI64" s="613">
        <f>SUMIFS(RN!AI$89:AI$91,RN!$C$89:$C$91,$E$1)*INDEX(RN!AI$20:AI$22,MATCH($E$1,RN!$C$20:$C$22,0))</f>
        <v>0</v>
      </c>
      <c r="AJ64" s="613">
        <f>SUMIFS(RN!AJ$89:AJ$91,RN!$C$89:$C$91,$E$1)*INDEX(RN!AJ$20:AJ$22,MATCH($E$1,RN!$C$20:$C$22,0))</f>
        <v>0</v>
      </c>
      <c r="AK64" s="613">
        <f>SUMIFS(RN!AK$89:AK$91,RN!$C$89:$C$91,$E$1)*INDEX(RN!AK$20:AK$22,MATCH($E$1,RN!$C$20:$C$22,0))</f>
        <v>0</v>
      </c>
      <c r="AL64" s="613">
        <f>SUMIFS(RN!AL$89:AL$91,RN!$C$89:$C$91,$E$1)*INDEX(RN!AL$20:AL$22,MATCH($E$1,RN!$C$20:$C$22,0))</f>
        <v>0</v>
      </c>
      <c r="AM64" s="613">
        <f>SUMIFS(RN!AM$89:AM$91,RN!$C$89:$C$91,$E$1)*INDEX(RN!AM$20:AM$22,MATCH($E$1,RN!$C$20:$C$22,0))</f>
        <v>0</v>
      </c>
      <c r="AN64" s="613">
        <f>SUMIFS(RN!AN$89:AN$91,RN!$C$89:$C$91,$E$1)*INDEX(RN!AN$20:AN$22,MATCH($E$1,RN!$C$20:$C$22,0))</f>
        <v>0</v>
      </c>
      <c r="AO64" s="613">
        <f>SUMIFS(RN!AO$89:AO$91,RN!$C$89:$C$91,$E$1)*INDEX(RN!AO$20:AO$22,MATCH($E$1,RN!$C$20:$C$22,0))</f>
        <v>0</v>
      </c>
      <c r="AP64" s="613">
        <f>SUMIFS(RN!AP$89:AP$91,RN!$C$89:$C$91,$E$1)*INDEX(RN!AP$20:AP$22,MATCH($E$1,RN!$C$20:$C$22,0))</f>
        <v>0</v>
      </c>
      <c r="AQ64" s="613">
        <f>SUMIFS(RN!AQ$89:AQ$91,RN!$C$89:$C$91,$E$1)*INDEX(RN!AQ$20:AQ$22,MATCH($E$1,RN!$C$20:$C$22,0))</f>
        <v>0</v>
      </c>
      <c r="AR64" s="613">
        <f>SUMIFS(RN!AR$89:AR$91,RN!$C$89:$C$91,$E$1)*INDEX(RN!AR$20:AR$22,MATCH($E$1,RN!$C$20:$C$22,0))</f>
        <v>0</v>
      </c>
      <c r="AS64" s="613">
        <f>SUMIFS(RN!AS$89:AS$91,RN!$C$89:$C$91,$E$1)*INDEX(RN!AS$20:AS$22,MATCH($E$1,RN!$C$20:$C$22,0))</f>
        <v>0</v>
      </c>
      <c r="AT64" s="613">
        <f>SUMIFS(RN!AT$89:AT$91,RN!$C$89:$C$91,$E$1)*INDEX(RN!AT$20:AT$22,MATCH($E$1,RN!$C$20:$C$22,0))</f>
        <v>0</v>
      </c>
      <c r="AU64" s="613">
        <f>SUMIFS(RN!AU$89:AU$91,RN!$C$89:$C$91,$E$1)*INDEX(RN!AU$20:AU$22,MATCH($E$1,RN!$C$20:$C$22,0))</f>
        <v>0</v>
      </c>
      <c r="AV64" s="613">
        <f>SUMIFS(RN!AV$89:AV$91,RN!$C$89:$C$91,$E$1)*INDEX(RN!AV$20:AV$22,MATCH($E$1,RN!$C$20:$C$22,0))</f>
        <v>0</v>
      </c>
      <c r="AW64" s="613">
        <f>SUMIFS(RN!AW$89:AW$91,RN!$C$89:$C$91,$E$1)*INDEX(RN!AW$20:AW$22,MATCH($E$1,RN!$C$20:$C$22,0))</f>
        <v>0</v>
      </c>
      <c r="AX64" s="613">
        <f>SUMIFS(RN!AX$89:AX$91,RN!$C$89:$C$91,$E$1)*INDEX(RN!AX$20:AX$22,MATCH($E$1,RN!$C$20:$C$22,0))</f>
        <v>0</v>
      </c>
      <c r="AY64" s="613">
        <f>SUMIFS(RN!AY$89:AY$91,RN!$C$89:$C$91,$E$1)*INDEX(RN!AY$20:AY$22,MATCH($E$1,RN!$C$20:$C$22,0))</f>
        <v>0</v>
      </c>
      <c r="AZ64" s="613">
        <f>SUMIFS(RN!AZ$89:AZ$91,RN!$C$89:$C$91,$E$1)*INDEX(RN!AZ$20:AZ$22,MATCH($E$1,RN!$C$20:$C$22,0))</f>
        <v>0</v>
      </c>
      <c r="BA64" s="613">
        <f>SUMIFS(RN!BA$89:BA$91,RN!$C$89:$C$91,$E$1)*INDEX(RN!BA$20:BA$22,MATCH($E$1,RN!$C$20:$C$22,0))</f>
        <v>0</v>
      </c>
      <c r="BB64" s="613">
        <f>SUMIFS(RN!BB$89:BB$91,RN!$C$89:$C$91,$E$1)*INDEX(RN!BB$20:BB$22,MATCH($E$1,RN!$C$20:$C$22,0))</f>
        <v>0</v>
      </c>
      <c r="BC64" s="613">
        <f>SUMIFS(RN!BC$89:BC$91,RN!$C$89:$C$91,$E$1)*INDEX(RN!BC$20:BC$22,MATCH($E$1,RN!$C$20:$C$22,0))</f>
        <v>0</v>
      </c>
      <c r="BD64" s="613">
        <f>SUMIFS(RN!BD$89:BD$91,RN!$C$89:$C$91,$E$1)*INDEX(RN!BD$20:BD$22,MATCH($E$1,RN!$C$20:$C$22,0))</f>
        <v>0</v>
      </c>
      <c r="BE64" s="613">
        <f>SUMIFS(RN!BE$89:BE$91,RN!$C$89:$C$91,$E$1)*INDEX(RN!BE$20:BE$22,MATCH($E$1,RN!$C$20:$C$22,0))</f>
        <v>0</v>
      </c>
      <c r="BF64" s="613">
        <f>SUMIFS(RN!BF$89:BF$91,RN!$C$89:$C$91,$E$1)*INDEX(RN!BF$20:BF$22,MATCH($E$1,RN!$C$20:$C$22,0))</f>
        <v>0</v>
      </c>
      <c r="BG64" s="613">
        <f>SUMIFS(RN!BG$89:BG$91,RN!$C$89:$C$91,$E$1)*INDEX(RN!BG$20:BG$22,MATCH($E$1,RN!$C$20:$C$22,0))</f>
        <v>0</v>
      </c>
      <c r="BI64" s="651">
        <f t="shared" si="60"/>
        <v>0</v>
      </c>
      <c r="BM64" s="613">
        <f>SUMIF($T$13:$BG$13,BM$13,$T64:$BG64)</f>
        <v>0</v>
      </c>
      <c r="BN64" s="613">
        <f t="shared" si="61"/>
        <v>0</v>
      </c>
      <c r="BO64" s="613">
        <f t="shared" si="61"/>
        <v>0</v>
      </c>
      <c r="BP64" s="613">
        <f t="shared" si="61"/>
        <v>0</v>
      </c>
      <c r="BQ64" s="613">
        <f t="shared" si="61"/>
        <v>0</v>
      </c>
      <c r="BR64" s="613">
        <f t="shared" si="61"/>
        <v>0</v>
      </c>
      <c r="BS64" s="613">
        <f t="shared" si="61"/>
        <v>0</v>
      </c>
      <c r="BT64" s="613">
        <f t="shared" si="61"/>
        <v>0</v>
      </c>
      <c r="BU64" s="613">
        <f t="shared" si="61"/>
        <v>0</v>
      </c>
      <c r="BV64" s="613">
        <f t="shared" si="61"/>
        <v>0</v>
      </c>
      <c r="BW64" s="613"/>
      <c r="BX64" s="652">
        <f t="shared" si="62"/>
        <v>0</v>
      </c>
    </row>
    <row r="65" spans="2:76">
      <c r="B65" s="607"/>
      <c r="D65" s="650" t="s">
        <v>1057</v>
      </c>
      <c r="T65" s="613">
        <f>SUMIFS(RL!T$83:T$85,RL!$C$83:$C$85,$E$1)*INDEX(RL!T$20:T$22,MATCH($E$1,RL!$C$20:$C$22,0))</f>
        <v>0</v>
      </c>
      <c r="U65" s="613">
        <f>SUMIFS(RL!U$83:U$85,RL!$C$83:$C$85,$E$1)*INDEX(RL!U$20:U$22,MATCH($E$1,RL!$C$20:$C$22,0))</f>
        <v>0</v>
      </c>
      <c r="V65" s="613">
        <f>SUMIFS(RL!V$83:V$85,RL!$C$83:$C$85,$E$1)*INDEX(RL!V$20:V$22,MATCH($E$1,RL!$C$20:$C$22,0))</f>
        <v>0</v>
      </c>
      <c r="W65" s="613">
        <f>SUMIFS(RL!W$83:W$85,RL!$C$83:$C$85,$E$1)*INDEX(RL!W$20:W$22,MATCH($E$1,RL!$C$20:$C$22,0))</f>
        <v>0</v>
      </c>
      <c r="X65" s="613">
        <f>SUMIFS(RL!X$83:X$85,RL!$C$83:$C$85,$E$1)*INDEX(RL!X$20:X$22,MATCH($E$1,RL!$C$20:$C$22,0))</f>
        <v>0</v>
      </c>
      <c r="Y65" s="613">
        <f>SUMIFS(RL!Y$83:Y$85,RL!$C$83:$C$85,$E$1)*INDEX(RL!Y$20:Y$22,MATCH($E$1,RL!$C$20:$C$22,0))</f>
        <v>0</v>
      </c>
      <c r="Z65" s="613">
        <f>SUMIFS(RL!Z$83:Z$85,RL!$C$83:$C$85,$E$1)*INDEX(RL!Z$20:Z$22,MATCH($E$1,RL!$C$20:$C$22,0))</f>
        <v>0</v>
      </c>
      <c r="AA65" s="613">
        <f>SUMIFS(RL!AA$83:AA$85,RL!$C$83:$C$85,$E$1)*INDEX(RL!AA$20:AA$22,MATCH($E$1,RL!$C$20:$C$22,0))</f>
        <v>0</v>
      </c>
      <c r="AB65" s="613">
        <f>SUMIFS(RL!AB$83:AB$85,RL!$C$83:$C$85,$E$1)*INDEX(RL!AB$20:AB$22,MATCH($E$1,RL!$C$20:$C$22,0))</f>
        <v>0</v>
      </c>
      <c r="AC65" s="613">
        <f>SUMIFS(RL!AC$83:AC$85,RL!$C$83:$C$85,$E$1)*INDEX(RL!AC$20:AC$22,MATCH($E$1,RL!$C$20:$C$22,0))</f>
        <v>0</v>
      </c>
      <c r="AD65" s="613">
        <f>SUMIFS(RL!AD$83:AD$85,RL!$C$83:$C$85,$E$1)*INDEX(RL!AD$20:AD$22,MATCH($E$1,RL!$C$20:$C$22,0))</f>
        <v>0</v>
      </c>
      <c r="AE65" s="613">
        <f>SUMIFS(RL!AE$83:AE$85,RL!$C$83:$C$85,$E$1)*INDEX(RL!AE$20:AE$22,MATCH($E$1,RL!$C$20:$C$22,0))</f>
        <v>0</v>
      </c>
      <c r="AF65" s="613">
        <f>SUMIFS(RL!AF$83:AF$85,RL!$C$83:$C$85,$E$1)*INDEX(RL!AF$20:AF$22,MATCH($E$1,RL!$C$20:$C$22,0))</f>
        <v>0</v>
      </c>
      <c r="AG65" s="613">
        <f>SUMIFS(RL!AG$83:AG$85,RL!$C$83:$C$85,$E$1)*INDEX(RL!AG$20:AG$22,MATCH($E$1,RL!$C$20:$C$22,0))</f>
        <v>0</v>
      </c>
      <c r="AH65" s="613">
        <f>SUMIFS(RL!AH$83:AH$85,RL!$C$83:$C$85,$E$1)*INDEX(RL!AH$20:AH$22,MATCH($E$1,RL!$C$20:$C$22,0))</f>
        <v>0</v>
      </c>
      <c r="AI65" s="613">
        <f>SUMIFS(RL!AI$83:AI$85,RL!$C$83:$C$85,$E$1)*INDEX(RL!AI$20:AI$22,MATCH($E$1,RL!$C$20:$C$22,0))</f>
        <v>0</v>
      </c>
      <c r="AJ65" s="613">
        <f>SUMIFS(RL!AJ$83:AJ$85,RL!$C$83:$C$85,$E$1)*INDEX(RL!AJ$20:AJ$22,MATCH($E$1,RL!$C$20:$C$22,0))</f>
        <v>0</v>
      </c>
      <c r="AK65" s="613">
        <f>SUMIFS(RL!AK$83:AK$85,RL!$C$83:$C$85,$E$1)*INDEX(RL!AK$20:AK$22,MATCH($E$1,RL!$C$20:$C$22,0))</f>
        <v>0</v>
      </c>
      <c r="AL65" s="613">
        <f>SUMIFS(RL!AL$83:AL$85,RL!$C$83:$C$85,$E$1)*INDEX(RL!AL$20:AL$22,MATCH($E$1,RL!$C$20:$C$22,0))</f>
        <v>0</v>
      </c>
      <c r="AM65" s="613">
        <f>SUMIFS(RL!AM$83:AM$85,RL!$C$83:$C$85,$E$1)*INDEX(RL!AM$20:AM$22,MATCH($E$1,RL!$C$20:$C$22,0))</f>
        <v>0</v>
      </c>
      <c r="AN65" s="613">
        <f>SUMIFS(RL!AN$83:AN$85,RL!$C$83:$C$85,$E$1)*INDEX(RL!AN$20:AN$22,MATCH($E$1,RL!$C$20:$C$22,0))</f>
        <v>0</v>
      </c>
      <c r="AO65" s="613">
        <f>SUMIFS(RL!AO$83:AO$85,RL!$C$83:$C$85,$E$1)*INDEX(RL!AO$20:AO$22,MATCH($E$1,RL!$C$20:$C$22,0))</f>
        <v>0</v>
      </c>
      <c r="AP65" s="613">
        <f>SUMIFS(RL!AP$83:AP$85,RL!$C$83:$C$85,$E$1)*INDEX(RL!AP$20:AP$22,MATCH($E$1,RL!$C$20:$C$22,0))</f>
        <v>0</v>
      </c>
      <c r="AQ65" s="613">
        <f>SUMIFS(RL!AQ$83:AQ$85,RL!$C$83:$C$85,$E$1)*INDEX(RL!AQ$20:AQ$22,MATCH($E$1,RL!$C$20:$C$22,0))</f>
        <v>0</v>
      </c>
      <c r="AR65" s="613">
        <f>SUMIFS(RL!AR$83:AR$85,RL!$C$83:$C$85,$E$1)*INDEX(RL!AR$20:AR$22,MATCH($E$1,RL!$C$20:$C$22,0))</f>
        <v>0</v>
      </c>
      <c r="AS65" s="613">
        <f>SUMIFS(RL!AS$83:AS$85,RL!$C$83:$C$85,$E$1)*INDEX(RL!AS$20:AS$22,MATCH($E$1,RL!$C$20:$C$22,0))</f>
        <v>0</v>
      </c>
      <c r="AT65" s="613">
        <f>SUMIFS(RL!AT$83:AT$85,RL!$C$83:$C$85,$E$1)*INDEX(RL!AT$20:AT$22,MATCH($E$1,RL!$C$20:$C$22,0))</f>
        <v>0</v>
      </c>
      <c r="AU65" s="613">
        <f>SUMIFS(RL!AU$83:AU$85,RL!$C$83:$C$85,$E$1)*INDEX(RL!AU$20:AU$22,MATCH($E$1,RL!$C$20:$C$22,0))</f>
        <v>0</v>
      </c>
      <c r="AV65" s="613">
        <f>SUMIFS(RL!AV$83:AV$85,RL!$C$83:$C$85,$E$1)*INDEX(RL!AV$20:AV$22,MATCH($E$1,RL!$C$20:$C$22,0))</f>
        <v>0</v>
      </c>
      <c r="AW65" s="613">
        <f>SUMIFS(RL!AW$83:AW$85,RL!$C$83:$C$85,$E$1)*INDEX(RL!AW$20:AW$22,MATCH($E$1,RL!$C$20:$C$22,0))</f>
        <v>0</v>
      </c>
      <c r="AX65" s="613">
        <f>SUMIFS(RL!AX$83:AX$85,RL!$C$83:$C$85,$E$1)*INDEX(RL!AX$20:AX$22,MATCH($E$1,RL!$C$20:$C$22,0))</f>
        <v>0</v>
      </c>
      <c r="AY65" s="613">
        <f>SUMIFS(RL!AY$83:AY$85,RL!$C$83:$C$85,$E$1)*INDEX(RL!AY$20:AY$22,MATCH($E$1,RL!$C$20:$C$22,0))</f>
        <v>0</v>
      </c>
      <c r="AZ65" s="613">
        <f>SUMIFS(RL!AZ$83:AZ$85,RL!$C$83:$C$85,$E$1)*INDEX(RL!AZ$20:AZ$22,MATCH($E$1,RL!$C$20:$C$22,0))</f>
        <v>0</v>
      </c>
      <c r="BA65" s="613">
        <f>SUMIFS(RL!BA$83:BA$85,RL!$C$83:$C$85,$E$1)*INDEX(RL!BA$20:BA$22,MATCH($E$1,RL!$C$20:$C$22,0))</f>
        <v>0</v>
      </c>
      <c r="BB65" s="613">
        <f>SUMIFS(RL!BB$83:BB$85,RL!$C$83:$C$85,$E$1)*INDEX(RL!BB$20:BB$22,MATCH($E$1,RL!$C$20:$C$22,0))</f>
        <v>0</v>
      </c>
      <c r="BC65" s="613">
        <f>SUMIFS(RL!BC$83:BC$85,RL!$C$83:$C$85,$E$1)*INDEX(RL!BC$20:BC$22,MATCH($E$1,RL!$C$20:$C$22,0))</f>
        <v>0</v>
      </c>
      <c r="BD65" s="613">
        <f>SUMIFS(RL!BD$83:BD$85,RL!$C$83:$C$85,$E$1)*INDEX(RL!BD$20:BD$22,MATCH($E$1,RL!$C$20:$C$22,0))</f>
        <v>0</v>
      </c>
      <c r="BE65" s="613">
        <f>SUMIFS(RL!BE$83:BE$85,RL!$C$83:$C$85,$E$1)*INDEX(RL!BE$20:BE$22,MATCH($E$1,RL!$C$20:$C$22,0))</f>
        <v>0</v>
      </c>
      <c r="BF65" s="613">
        <f>SUMIFS(RL!BF$83:BF$85,RL!$C$83:$C$85,$E$1)*INDEX(RL!BF$20:BF$22,MATCH($E$1,RL!$C$20:$C$22,0))</f>
        <v>0</v>
      </c>
      <c r="BG65" s="613">
        <f>SUMIFS(RL!BG$83:BG$85,RL!$C$83:$C$85,$E$1)*INDEX(RL!BG$20:BG$22,MATCH($E$1,RL!$C$20:$C$22,0))</f>
        <v>0</v>
      </c>
      <c r="BI65" s="651">
        <f t="shared" si="60"/>
        <v>0</v>
      </c>
      <c r="BM65" s="613">
        <f>SUMIF($T$13:$BG$13,BM$13,$T65:$BG65)</f>
        <v>0</v>
      </c>
      <c r="BN65" s="613">
        <f t="shared" si="61"/>
        <v>0</v>
      </c>
      <c r="BO65" s="613">
        <f t="shared" si="61"/>
        <v>0</v>
      </c>
      <c r="BP65" s="613">
        <f t="shared" si="61"/>
        <v>0</v>
      </c>
      <c r="BQ65" s="613">
        <f t="shared" si="61"/>
        <v>0</v>
      </c>
      <c r="BR65" s="613">
        <f t="shared" si="61"/>
        <v>0</v>
      </c>
      <c r="BS65" s="613">
        <f t="shared" si="61"/>
        <v>0</v>
      </c>
      <c r="BT65" s="613">
        <f t="shared" si="61"/>
        <v>0</v>
      </c>
      <c r="BU65" s="613">
        <f t="shared" si="61"/>
        <v>0</v>
      </c>
      <c r="BV65" s="613">
        <f t="shared" si="61"/>
        <v>0</v>
      </c>
      <c r="BW65" s="613"/>
      <c r="BX65" s="652">
        <f t="shared" si="62"/>
        <v>0</v>
      </c>
    </row>
    <row r="66" spans="2:76">
      <c r="B66" s="607"/>
      <c r="D66" s="650" t="s">
        <v>1058</v>
      </c>
      <c r="T66" s="613">
        <f>SUMIFS(LU!T$83:T$85,LU!$C$83:$C$85,$E$1)*INDEX(LU!T$20:T$22,MATCH($E$1,LU!$C$20:$C$22,0))</f>
        <v>0</v>
      </c>
      <c r="U66" s="613">
        <f>SUMIFS(LU!U$83:U$85,LU!$C$83:$C$85,$E$1)*INDEX(LU!U$20:U$22,MATCH($E$1,LU!$C$20:$C$22,0))</f>
        <v>0</v>
      </c>
      <c r="V66" s="613">
        <f>SUMIFS(LU!V$83:V$85,LU!$C$83:$C$85,$E$1)*INDEX(LU!V$20:V$22,MATCH($E$1,LU!$C$20:$C$22,0))</f>
        <v>0</v>
      </c>
      <c r="W66" s="613">
        <f>SUMIFS(LU!W$83:W$85,LU!$C$83:$C$85,$E$1)*INDEX(LU!W$20:W$22,MATCH($E$1,LU!$C$20:$C$22,0))</f>
        <v>0</v>
      </c>
      <c r="X66" s="613">
        <f>SUMIFS(LU!X$83:X$85,LU!$C$83:$C$85,$E$1)*INDEX(LU!X$20:X$22,MATCH($E$1,LU!$C$20:$C$22,0))</f>
        <v>0</v>
      </c>
      <c r="Y66" s="613">
        <f>SUMIFS(LU!Y$83:Y$85,LU!$C$83:$C$85,$E$1)*INDEX(LU!Y$20:Y$22,MATCH($E$1,LU!$C$20:$C$22,0))</f>
        <v>0</v>
      </c>
      <c r="Z66" s="613">
        <f>SUMIFS(LU!Z$83:Z$85,LU!$C$83:$C$85,$E$1)*INDEX(LU!Z$20:Z$22,MATCH($E$1,LU!$C$20:$C$22,0))</f>
        <v>0</v>
      </c>
      <c r="AA66" s="613">
        <f>SUMIFS(LU!AA$83:AA$85,LU!$C$83:$C$85,$E$1)*INDEX(LU!AA$20:AA$22,MATCH($E$1,LU!$C$20:$C$22,0))</f>
        <v>0</v>
      </c>
      <c r="AB66" s="613">
        <f>SUMIFS(LU!AB$83:AB$85,LU!$C$83:$C$85,$E$1)*INDEX(LU!AB$20:AB$22,MATCH($E$1,LU!$C$20:$C$22,0))</f>
        <v>0</v>
      </c>
      <c r="AC66" s="613">
        <f>SUMIFS(LU!AC$83:AC$85,LU!$C$83:$C$85,$E$1)*INDEX(LU!AC$20:AC$22,MATCH($E$1,LU!$C$20:$C$22,0))</f>
        <v>0</v>
      </c>
      <c r="AD66" s="613">
        <f>SUMIFS(LU!AD$83:AD$85,LU!$C$83:$C$85,$E$1)*INDEX(LU!AD$20:AD$22,MATCH($E$1,LU!$C$20:$C$22,0))</f>
        <v>0</v>
      </c>
      <c r="AE66" s="613">
        <f>SUMIFS(LU!AE$83:AE$85,LU!$C$83:$C$85,$E$1)*INDEX(LU!AE$20:AE$22,MATCH($E$1,LU!$C$20:$C$22,0))</f>
        <v>0</v>
      </c>
      <c r="AF66" s="613">
        <f>SUMIFS(LU!AF$83:AF$85,LU!$C$83:$C$85,$E$1)*INDEX(LU!AF$20:AF$22,MATCH($E$1,LU!$C$20:$C$22,0))</f>
        <v>0</v>
      </c>
      <c r="AG66" s="613">
        <f>SUMIFS(LU!AG$83:AG$85,LU!$C$83:$C$85,$E$1)*INDEX(LU!AG$20:AG$22,MATCH($E$1,LU!$C$20:$C$22,0))</f>
        <v>0</v>
      </c>
      <c r="AH66" s="613">
        <f>SUMIFS(LU!AH$83:AH$85,LU!$C$83:$C$85,$E$1)*INDEX(LU!AH$20:AH$22,MATCH($E$1,LU!$C$20:$C$22,0))</f>
        <v>0</v>
      </c>
      <c r="AI66" s="613">
        <f>SUMIFS(LU!AI$83:AI$85,LU!$C$83:$C$85,$E$1)*INDEX(LU!AI$20:AI$22,MATCH($E$1,LU!$C$20:$C$22,0))</f>
        <v>0</v>
      </c>
      <c r="AJ66" s="613">
        <f>SUMIFS(LU!AJ$83:AJ$85,LU!$C$83:$C$85,$E$1)*INDEX(LU!AJ$20:AJ$22,MATCH($E$1,LU!$C$20:$C$22,0))</f>
        <v>0</v>
      </c>
      <c r="AK66" s="613">
        <f>SUMIFS(LU!AK$83:AK$85,LU!$C$83:$C$85,$E$1)*INDEX(LU!AK$20:AK$22,MATCH($E$1,LU!$C$20:$C$22,0))</f>
        <v>0</v>
      </c>
      <c r="AL66" s="613">
        <f>SUMIFS(LU!AL$83:AL$85,LU!$C$83:$C$85,$E$1)*INDEX(LU!AL$20:AL$22,MATCH($E$1,LU!$C$20:$C$22,0))</f>
        <v>0</v>
      </c>
      <c r="AM66" s="613">
        <f>SUMIFS(LU!AM$83:AM$85,LU!$C$83:$C$85,$E$1)*INDEX(LU!AM$20:AM$22,MATCH($E$1,LU!$C$20:$C$22,0))</f>
        <v>0</v>
      </c>
      <c r="AN66" s="613">
        <f>SUMIFS(LU!AN$83:AN$85,LU!$C$83:$C$85,$E$1)*INDEX(LU!AN$20:AN$22,MATCH($E$1,LU!$C$20:$C$22,0))</f>
        <v>0</v>
      </c>
      <c r="AO66" s="613">
        <f>SUMIFS(LU!AO$83:AO$85,LU!$C$83:$C$85,$E$1)*INDEX(LU!AO$20:AO$22,MATCH($E$1,LU!$C$20:$C$22,0))</f>
        <v>0</v>
      </c>
      <c r="AP66" s="613">
        <f>SUMIFS(LU!AP$83:AP$85,LU!$C$83:$C$85,$E$1)*INDEX(LU!AP$20:AP$22,MATCH($E$1,LU!$C$20:$C$22,0))</f>
        <v>0</v>
      </c>
      <c r="AQ66" s="613">
        <f>SUMIFS(LU!AQ$83:AQ$85,LU!$C$83:$C$85,$E$1)*INDEX(LU!AQ$20:AQ$22,MATCH($E$1,LU!$C$20:$C$22,0))</f>
        <v>0</v>
      </c>
      <c r="AR66" s="613">
        <f>SUMIFS(LU!AR$83:AR$85,LU!$C$83:$C$85,$E$1)*INDEX(LU!AR$20:AR$22,MATCH($E$1,LU!$C$20:$C$22,0))</f>
        <v>0</v>
      </c>
      <c r="AS66" s="613">
        <f>SUMIFS(LU!AS$83:AS$85,LU!$C$83:$C$85,$E$1)*INDEX(LU!AS$20:AS$22,MATCH($E$1,LU!$C$20:$C$22,0))</f>
        <v>0</v>
      </c>
      <c r="AT66" s="613">
        <f>SUMIFS(LU!AT$83:AT$85,LU!$C$83:$C$85,$E$1)*INDEX(LU!AT$20:AT$22,MATCH($E$1,LU!$C$20:$C$22,0))</f>
        <v>0</v>
      </c>
      <c r="AU66" s="613">
        <f>SUMIFS(LU!AU$83:AU$85,LU!$C$83:$C$85,$E$1)*INDEX(LU!AU$20:AU$22,MATCH($E$1,LU!$C$20:$C$22,0))</f>
        <v>0</v>
      </c>
      <c r="AV66" s="613">
        <f>SUMIFS(LU!AV$83:AV$85,LU!$C$83:$C$85,$E$1)*INDEX(LU!AV$20:AV$22,MATCH($E$1,LU!$C$20:$C$22,0))</f>
        <v>0</v>
      </c>
      <c r="AW66" s="613">
        <f>SUMIFS(LU!AW$83:AW$85,LU!$C$83:$C$85,$E$1)*INDEX(LU!AW$20:AW$22,MATCH($E$1,LU!$C$20:$C$22,0))</f>
        <v>0</v>
      </c>
      <c r="AX66" s="613">
        <f>SUMIFS(LU!AX$83:AX$85,LU!$C$83:$C$85,$E$1)*INDEX(LU!AX$20:AX$22,MATCH($E$1,LU!$C$20:$C$22,0))</f>
        <v>0</v>
      </c>
      <c r="AY66" s="613">
        <f>SUMIFS(LU!AY$83:AY$85,LU!$C$83:$C$85,$E$1)*INDEX(LU!AY$20:AY$22,MATCH($E$1,LU!$C$20:$C$22,0))</f>
        <v>0</v>
      </c>
      <c r="AZ66" s="613">
        <f>SUMIFS(LU!AZ$83:AZ$85,LU!$C$83:$C$85,$E$1)*INDEX(LU!AZ$20:AZ$22,MATCH($E$1,LU!$C$20:$C$22,0))</f>
        <v>0</v>
      </c>
      <c r="BA66" s="613">
        <f>SUMIFS(LU!BA$83:BA$85,LU!$C$83:$C$85,$E$1)*INDEX(LU!BA$20:BA$22,MATCH($E$1,LU!$C$20:$C$22,0))</f>
        <v>0</v>
      </c>
      <c r="BB66" s="613">
        <f>SUMIFS(LU!BB$83:BB$85,LU!$C$83:$C$85,$E$1)*INDEX(LU!BB$20:BB$22,MATCH($E$1,LU!$C$20:$C$22,0))</f>
        <v>0</v>
      </c>
      <c r="BC66" s="613">
        <f>SUMIFS(LU!BC$83:BC$85,LU!$C$83:$C$85,$E$1)*INDEX(LU!BC$20:BC$22,MATCH($E$1,LU!$C$20:$C$22,0))</f>
        <v>0</v>
      </c>
      <c r="BD66" s="613">
        <f>SUMIFS(LU!BD$83:BD$85,LU!$C$83:$C$85,$E$1)*INDEX(LU!BD$20:BD$22,MATCH($E$1,LU!$C$20:$C$22,0))</f>
        <v>0</v>
      </c>
      <c r="BE66" s="613">
        <f>SUMIFS(LU!BE$83:BE$85,LU!$C$83:$C$85,$E$1)*INDEX(LU!BE$20:BE$22,MATCH($E$1,LU!$C$20:$C$22,0))</f>
        <v>0</v>
      </c>
      <c r="BF66" s="613">
        <f>SUMIFS(LU!BF$83:BF$85,LU!$C$83:$C$85,$E$1)*INDEX(LU!BF$20:BF$22,MATCH($E$1,LU!$C$20:$C$22,0))</f>
        <v>0</v>
      </c>
      <c r="BG66" s="613">
        <f>SUMIFS(LU!BG$83:BG$85,LU!$C$83:$C$85,$E$1)*INDEX(LU!BG$20:BG$22,MATCH($E$1,LU!$C$20:$C$22,0))</f>
        <v>0</v>
      </c>
      <c r="BI66" s="651">
        <f t="shared" si="60"/>
        <v>0</v>
      </c>
      <c r="BM66" s="613">
        <f>SUMIF($T$13:$BG$13,BM$13,$T66:$BG66)</f>
        <v>0</v>
      </c>
      <c r="BN66" s="613">
        <f t="shared" si="61"/>
        <v>0</v>
      </c>
      <c r="BO66" s="613">
        <f t="shared" si="61"/>
        <v>0</v>
      </c>
      <c r="BP66" s="613">
        <f t="shared" si="61"/>
        <v>0</v>
      </c>
      <c r="BQ66" s="613">
        <f t="shared" si="61"/>
        <v>0</v>
      </c>
      <c r="BR66" s="613">
        <f t="shared" si="61"/>
        <v>0</v>
      </c>
      <c r="BS66" s="613">
        <f t="shared" si="61"/>
        <v>0</v>
      </c>
      <c r="BT66" s="613">
        <f t="shared" si="61"/>
        <v>0</v>
      </c>
      <c r="BU66" s="613">
        <f t="shared" si="61"/>
        <v>0</v>
      </c>
      <c r="BV66" s="613">
        <f t="shared" si="61"/>
        <v>0</v>
      </c>
      <c r="BW66" s="613"/>
      <c r="BX66" s="652">
        <f t="shared" si="62"/>
        <v>0</v>
      </c>
    </row>
    <row r="67" spans="2:76">
      <c r="B67" s="653" t="s">
        <v>408</v>
      </c>
      <c r="D67" s="650" t="s">
        <v>1059</v>
      </c>
      <c r="T67" s="613">
        <f>SUMIFS(PCF!T$76:T$78,PCF!$C$76:$C$78,$E$1)</f>
        <v>0</v>
      </c>
      <c r="U67" s="613">
        <f>SUMIFS(PCF!U$76:U$78,PCF!$C$76:$C$78,$E$1)</f>
        <v>0</v>
      </c>
      <c r="V67" s="613">
        <f>SUMIFS(PCF!V$76:V$78,PCF!$C$76:$C$78,$E$1)</f>
        <v>0</v>
      </c>
      <c r="W67" s="613">
        <f>SUMIFS(PCF!W$76:W$78,PCF!$C$76:$C$78,$E$1)</f>
        <v>0</v>
      </c>
      <c r="X67" s="613">
        <f>SUMIFS(PCF!X$76:X$78,PCF!$C$76:$C$78,$E$1)</f>
        <v>0</v>
      </c>
      <c r="Y67" s="613">
        <f>SUMIFS(PCF!Y$76:Y$78,PCF!$C$76:$C$78,$E$1)</f>
        <v>0</v>
      </c>
      <c r="Z67" s="613">
        <f>SUMIFS(PCF!Z$76:Z$78,PCF!$C$76:$C$78,$E$1)</f>
        <v>0</v>
      </c>
      <c r="AA67" s="613">
        <f>SUMIFS(PCF!AA$76:AA$78,PCF!$C$76:$C$78,$E$1)</f>
        <v>0</v>
      </c>
      <c r="AB67" s="613">
        <f>SUMIFS(PCF!AB$76:AB$78,PCF!$C$76:$C$78,$E$1)</f>
        <v>0</v>
      </c>
      <c r="AC67" s="613">
        <f>SUMIFS(PCF!AC$76:AC$78,PCF!$C$76:$C$78,$E$1)</f>
        <v>0</v>
      </c>
      <c r="AD67" s="613">
        <f>SUMIFS(PCF!AD$76:AD$78,PCF!$C$76:$C$78,$E$1)</f>
        <v>0</v>
      </c>
      <c r="AE67" s="613">
        <f>SUMIFS(PCF!AE$76:AE$78,PCF!$C$76:$C$78,$E$1)</f>
        <v>0</v>
      </c>
      <c r="AF67" s="613">
        <f>SUMIFS(PCF!AF$76:AF$78,PCF!$C$76:$C$78,$E$1)</f>
        <v>0</v>
      </c>
      <c r="AG67" s="613">
        <f>SUMIFS(PCF!AG$76:AG$78,PCF!$C$76:$C$78,$E$1)</f>
        <v>0</v>
      </c>
      <c r="AH67" s="613">
        <f>SUMIFS(PCF!AH$76:AH$78,PCF!$C$76:$C$78,$E$1)</f>
        <v>0</v>
      </c>
      <c r="AI67" s="613">
        <f>SUMIFS(PCF!AI$76:AI$78,PCF!$C$76:$C$78,$E$1)</f>
        <v>0</v>
      </c>
      <c r="AJ67" s="613">
        <f>SUMIFS(PCF!AJ$76:AJ$78,PCF!$C$76:$C$78,$E$1)</f>
        <v>0</v>
      </c>
      <c r="AK67" s="613">
        <f>SUMIFS(PCF!AK$76:AK$78,PCF!$C$76:$C$78,$E$1)</f>
        <v>0</v>
      </c>
      <c r="AL67" s="613">
        <f>SUMIFS(PCF!AL$76:AL$78,PCF!$C$76:$C$78,$E$1)</f>
        <v>0</v>
      </c>
      <c r="AM67" s="613">
        <f>SUMIFS(PCF!AM$76:AM$78,PCF!$C$76:$C$78,$E$1)</f>
        <v>0</v>
      </c>
      <c r="AN67" s="613">
        <f>SUMIFS(PCF!AN$76:AN$78,PCF!$C$76:$C$78,$E$1)</f>
        <v>0</v>
      </c>
      <c r="AO67" s="613">
        <f>SUMIFS(PCF!AO$76:AO$78,PCF!$C$76:$C$78,$E$1)</f>
        <v>0</v>
      </c>
      <c r="AP67" s="613">
        <f>SUMIFS(PCF!AP$76:AP$78,PCF!$C$76:$C$78,$E$1)</f>
        <v>0</v>
      </c>
      <c r="AQ67" s="613">
        <f>SUMIFS(PCF!AQ$76:AQ$78,PCF!$C$76:$C$78,$E$1)</f>
        <v>0</v>
      </c>
      <c r="AR67" s="613">
        <f>SUMIFS(PCF!AR$76:AR$78,PCF!$C$76:$C$78,$E$1)</f>
        <v>0</v>
      </c>
      <c r="AS67" s="613">
        <f>SUMIFS(PCF!AS$76:AS$78,PCF!$C$76:$C$78,$E$1)</f>
        <v>0</v>
      </c>
      <c r="AT67" s="613">
        <f>SUMIFS(PCF!AT$76:AT$78,PCF!$C$76:$C$78,$E$1)</f>
        <v>0</v>
      </c>
      <c r="AU67" s="613">
        <f>SUMIFS(PCF!AU$76:AU$78,PCF!$C$76:$C$78,$E$1)</f>
        <v>0</v>
      </c>
      <c r="AV67" s="613">
        <f>SUMIFS(PCF!AV$76:AV$78,PCF!$C$76:$C$78,$E$1)</f>
        <v>0</v>
      </c>
      <c r="AW67" s="613">
        <f>SUMIFS(PCF!AW$76:AW$78,PCF!$C$76:$C$78,$E$1)</f>
        <v>0</v>
      </c>
      <c r="AX67" s="613">
        <f>SUMIFS(PCF!AX$76:AX$78,PCF!$C$76:$C$78,$E$1)</f>
        <v>0</v>
      </c>
      <c r="AY67" s="613">
        <f>SUMIFS(PCF!AY$76:AY$78,PCF!$C$76:$C$78,$E$1)</f>
        <v>0</v>
      </c>
      <c r="AZ67" s="613">
        <f>SUMIFS(PCF!AZ$76:AZ$78,PCF!$C$76:$C$78,$E$1)</f>
        <v>0</v>
      </c>
      <c r="BA67" s="613">
        <f>SUMIFS(PCF!BA$76:BA$78,PCF!$C$76:$C$78,$E$1)</f>
        <v>0</v>
      </c>
      <c r="BB67" s="613">
        <f>SUMIFS(PCF!BB$76:BB$78,PCF!$C$76:$C$78,$E$1)</f>
        <v>0</v>
      </c>
      <c r="BC67" s="613">
        <f>SUMIFS(PCF!BC$76:BC$78,PCF!$C$76:$C$78,$E$1)</f>
        <v>0</v>
      </c>
      <c r="BD67" s="613">
        <f>SUMIFS(PCF!BD$76:BD$78,PCF!$C$76:$C$78,$E$1)</f>
        <v>0</v>
      </c>
      <c r="BE67" s="613">
        <f>SUMIFS(PCF!BE$76:BE$78,PCF!$C$76:$C$78,$E$1)</f>
        <v>0</v>
      </c>
      <c r="BF67" s="613">
        <f>SUMIFS(PCF!BF$76:BF$78,PCF!$C$76:$C$78,$E$1)</f>
        <v>0</v>
      </c>
      <c r="BG67" s="613">
        <f>SUMIFS(PCF!BG$76:BG$78,PCF!$C$76:$C$78,$E$1)</f>
        <v>0</v>
      </c>
      <c r="BI67" s="651">
        <f t="shared" si="60"/>
        <v>0</v>
      </c>
      <c r="BM67" s="628">
        <f>SUMIF($T$13:$BG$13,BM$13,$T67:$BG67)</f>
        <v>0</v>
      </c>
      <c r="BN67" s="628">
        <f t="shared" si="61"/>
        <v>0</v>
      </c>
      <c r="BO67" s="628">
        <f t="shared" si="61"/>
        <v>0</v>
      </c>
      <c r="BP67" s="628">
        <f t="shared" si="61"/>
        <v>0</v>
      </c>
      <c r="BQ67" s="628">
        <f t="shared" si="61"/>
        <v>0</v>
      </c>
      <c r="BR67" s="628">
        <f t="shared" si="61"/>
        <v>0</v>
      </c>
      <c r="BS67" s="628">
        <f t="shared" si="61"/>
        <v>0</v>
      </c>
      <c r="BT67" s="628">
        <f t="shared" si="61"/>
        <v>0</v>
      </c>
      <c r="BU67" s="628">
        <f t="shared" si="61"/>
        <v>0</v>
      </c>
      <c r="BV67" s="628">
        <f t="shared" si="61"/>
        <v>0</v>
      </c>
      <c r="BW67" s="613"/>
      <c r="BX67" s="654">
        <f t="shared" si="62"/>
        <v>0</v>
      </c>
    </row>
    <row r="68" spans="2:76" s="39" customFormat="1">
      <c r="B68" s="655"/>
      <c r="D68" s="630" t="s">
        <v>152</v>
      </c>
      <c r="E68" s="253"/>
      <c r="F68" s="631"/>
      <c r="G68" s="631"/>
      <c r="H68" s="631"/>
      <c r="I68" s="631"/>
      <c r="J68" s="631"/>
      <c r="K68" s="631"/>
      <c r="L68" s="631"/>
      <c r="M68" s="631"/>
      <c r="N68" s="631"/>
      <c r="O68" s="631"/>
      <c r="P68" s="631"/>
      <c r="Q68" s="631"/>
      <c r="R68" s="631"/>
      <c r="S68" s="631"/>
      <c r="T68" s="631">
        <f>SUM(T63:T67)</f>
        <v>0</v>
      </c>
      <c r="U68" s="631">
        <f t="shared" ref="U68:BG68" si="63">SUM(U63:U67)</f>
        <v>0</v>
      </c>
      <c r="V68" s="631">
        <f t="shared" si="63"/>
        <v>25140.49357432016</v>
      </c>
      <c r="W68" s="631">
        <f t="shared" si="63"/>
        <v>25187.499999999996</v>
      </c>
      <c r="X68" s="631">
        <f t="shared" si="63"/>
        <v>25234.594315921473</v>
      </c>
      <c r="Y68" s="631">
        <f t="shared" si="63"/>
        <v>25281.776686417325</v>
      </c>
      <c r="Z68" s="631">
        <f t="shared" si="63"/>
        <v>25329.047276127552</v>
      </c>
      <c r="AA68" s="631">
        <f t="shared" si="63"/>
        <v>25376.406249999989</v>
      </c>
      <c r="AB68" s="631">
        <f t="shared" si="63"/>
        <v>25423.853773290877</v>
      </c>
      <c r="AC68" s="631">
        <f t="shared" si="63"/>
        <v>25471.390011565447</v>
      </c>
      <c r="AD68" s="631">
        <f t="shared" si="63"/>
        <v>25519.015130698503</v>
      </c>
      <c r="AE68" s="631">
        <f t="shared" si="63"/>
        <v>25566.729296874979</v>
      </c>
      <c r="AF68" s="631">
        <f t="shared" si="63"/>
        <v>0</v>
      </c>
      <c r="AG68" s="631">
        <f t="shared" si="63"/>
        <v>0</v>
      </c>
      <c r="AH68" s="631">
        <f t="shared" si="63"/>
        <v>0</v>
      </c>
      <c r="AI68" s="631">
        <f t="shared" si="63"/>
        <v>0</v>
      </c>
      <c r="AJ68" s="631">
        <f t="shared" si="63"/>
        <v>0</v>
      </c>
      <c r="AK68" s="631">
        <f t="shared" si="63"/>
        <v>0</v>
      </c>
      <c r="AL68" s="631">
        <f t="shared" si="63"/>
        <v>0</v>
      </c>
      <c r="AM68" s="631">
        <f t="shared" si="63"/>
        <v>0</v>
      </c>
      <c r="AN68" s="631">
        <f t="shared" si="63"/>
        <v>0</v>
      </c>
      <c r="AO68" s="631">
        <f t="shared" si="63"/>
        <v>0</v>
      </c>
      <c r="AP68" s="631">
        <f t="shared" si="63"/>
        <v>0</v>
      </c>
      <c r="AQ68" s="631">
        <f t="shared" si="63"/>
        <v>0</v>
      </c>
      <c r="AR68" s="631">
        <f t="shared" si="63"/>
        <v>0</v>
      </c>
      <c r="AS68" s="631">
        <f t="shared" si="63"/>
        <v>0</v>
      </c>
      <c r="AT68" s="631">
        <f t="shared" si="63"/>
        <v>0</v>
      </c>
      <c r="AU68" s="631">
        <f t="shared" si="63"/>
        <v>0</v>
      </c>
      <c r="AV68" s="631">
        <f t="shared" si="63"/>
        <v>0</v>
      </c>
      <c r="AW68" s="631">
        <f t="shared" si="63"/>
        <v>0</v>
      </c>
      <c r="AX68" s="631">
        <f t="shared" si="63"/>
        <v>0</v>
      </c>
      <c r="AY68" s="631">
        <f t="shared" si="63"/>
        <v>0</v>
      </c>
      <c r="AZ68" s="631">
        <f t="shared" si="63"/>
        <v>0</v>
      </c>
      <c r="BA68" s="631">
        <f t="shared" si="63"/>
        <v>0</v>
      </c>
      <c r="BB68" s="631">
        <f t="shared" si="63"/>
        <v>0</v>
      </c>
      <c r="BC68" s="631">
        <f t="shared" si="63"/>
        <v>0</v>
      </c>
      <c r="BD68" s="631">
        <f t="shared" si="63"/>
        <v>0</v>
      </c>
      <c r="BE68" s="631">
        <f t="shared" si="63"/>
        <v>0</v>
      </c>
      <c r="BF68" s="631">
        <f t="shared" si="63"/>
        <v>0</v>
      </c>
      <c r="BG68" s="631">
        <f t="shared" si="63"/>
        <v>0</v>
      </c>
      <c r="BH68" s="652"/>
      <c r="BI68" s="458">
        <f t="shared" si="60"/>
        <v>253530.80631521632</v>
      </c>
      <c r="BJ68" s="652"/>
      <c r="BK68" s="39" t="b">
        <f>ROUND(BI68,GA!$G$112)=ROUND(BX68,GA!$G$112)</f>
        <v>1</v>
      </c>
      <c r="BM68" s="654">
        <f>SUM(BM63:BM67)</f>
        <v>50327.993574320157</v>
      </c>
      <c r="BN68" s="654">
        <f t="shared" ref="BN68:BV68" si="64">SUM(BN63:BN67)</f>
        <v>101221.82452846634</v>
      </c>
      <c r="BO68" s="654">
        <f t="shared" si="64"/>
        <v>101980.98821242982</v>
      </c>
      <c r="BP68" s="654">
        <f t="shared" si="64"/>
        <v>0</v>
      </c>
      <c r="BQ68" s="654">
        <f t="shared" si="64"/>
        <v>0</v>
      </c>
      <c r="BR68" s="654">
        <f t="shared" si="64"/>
        <v>0</v>
      </c>
      <c r="BS68" s="654">
        <f t="shared" si="64"/>
        <v>0</v>
      </c>
      <c r="BT68" s="654">
        <f t="shared" si="64"/>
        <v>0</v>
      </c>
      <c r="BU68" s="654">
        <f t="shared" si="64"/>
        <v>0</v>
      </c>
      <c r="BV68" s="654">
        <f t="shared" si="64"/>
        <v>0</v>
      </c>
      <c r="BW68" s="652"/>
      <c r="BX68" s="654">
        <f t="shared" si="62"/>
        <v>253530.80631521629</v>
      </c>
    </row>
    <row r="69" spans="2:76">
      <c r="B69" s="607"/>
      <c r="D69" s="650"/>
      <c r="F69" s="613"/>
      <c r="G69" s="613"/>
      <c r="H69" s="613"/>
      <c r="I69" s="613"/>
      <c r="J69" s="613"/>
      <c r="K69" s="613"/>
      <c r="L69" s="613"/>
      <c r="M69" s="613"/>
      <c r="N69" s="613"/>
      <c r="O69" s="613"/>
      <c r="P69" s="613"/>
      <c r="Q69" s="613"/>
      <c r="R69" s="613"/>
      <c r="S69" s="613"/>
      <c r="T69" s="613"/>
      <c r="U69" s="613"/>
      <c r="V69" s="613"/>
      <c r="W69" s="656"/>
      <c r="X69" s="656"/>
      <c r="Y69" s="613"/>
      <c r="Z69" s="613"/>
      <c r="AA69" s="613"/>
      <c r="AB69" s="613"/>
      <c r="AC69" s="613"/>
      <c r="AD69" s="656"/>
      <c r="AE69" s="657"/>
      <c r="AF69" s="613"/>
      <c r="AG69" s="613"/>
      <c r="AH69" s="613"/>
      <c r="AI69" s="613"/>
      <c r="AJ69" s="613"/>
      <c r="AK69" s="613"/>
      <c r="AL69" s="613"/>
      <c r="AM69" s="613"/>
      <c r="AN69" s="613"/>
      <c r="AO69" s="613"/>
      <c r="AP69" s="613"/>
      <c r="AQ69" s="613"/>
      <c r="AR69" s="613"/>
      <c r="AS69" s="613"/>
      <c r="AT69" s="613"/>
      <c r="AU69" s="613"/>
      <c r="AV69" s="613"/>
      <c r="AW69" s="613"/>
      <c r="AX69" s="613"/>
      <c r="AY69" s="613"/>
      <c r="AZ69" s="613"/>
      <c r="BA69" s="613"/>
      <c r="BB69" s="613"/>
      <c r="BC69" s="613"/>
      <c r="BD69" s="613"/>
      <c r="BE69" s="613"/>
      <c r="BF69" s="613"/>
      <c r="BG69" s="613"/>
      <c r="BH69" s="613"/>
      <c r="BI69" s="651"/>
      <c r="BJ69" s="613"/>
      <c r="BM69" s="613"/>
      <c r="BN69" s="613"/>
      <c r="BO69" s="613"/>
      <c r="BP69" s="613"/>
      <c r="BQ69" s="613"/>
      <c r="BR69" s="613"/>
      <c r="BS69" s="613"/>
      <c r="BT69" s="613"/>
      <c r="BU69" s="613"/>
      <c r="BV69" s="613"/>
      <c r="BW69" s="613"/>
      <c r="BX69" s="652"/>
    </row>
    <row r="70" spans="2:76">
      <c r="B70" s="653" t="s">
        <v>168</v>
      </c>
      <c r="D70" s="650" t="s">
        <v>168</v>
      </c>
      <c r="E70" s="616">
        <f>INDEX(AA!$BJ$13:$BJ$15,MATCH($E$1,AA!$C$13:$C$15,0))</f>
        <v>0</v>
      </c>
      <c r="F70" s="613"/>
      <c r="G70" s="613"/>
      <c r="H70" s="613"/>
      <c r="I70" s="613"/>
      <c r="J70" s="613"/>
      <c r="K70" s="613"/>
      <c r="L70" s="613"/>
      <c r="M70" s="613"/>
      <c r="N70" s="613"/>
      <c r="O70" s="613"/>
      <c r="P70" s="613"/>
      <c r="Q70" s="613"/>
      <c r="R70" s="613"/>
      <c r="S70" s="613"/>
      <c r="T70" s="613">
        <f>SUMIFS(PCF!T$84:T$86,PCF!$C$84:$C$86,$E$1)</f>
        <v>0</v>
      </c>
      <c r="U70" s="613">
        <f>SUMIFS(PCF!U$84:U$86,PCF!$C$84:$C$86,$E$1)</f>
        <v>0</v>
      </c>
      <c r="V70" s="613">
        <f>SUMIFS(PCF!V$84:V$86,PCF!$C$84:$C$86,$E$1)</f>
        <v>0</v>
      </c>
      <c r="W70" s="613">
        <f>SUMIFS(PCF!W$84:W$86,PCF!$C$84:$C$86,$E$1)</f>
        <v>0</v>
      </c>
      <c r="X70" s="613">
        <f>SUMIFS(PCF!X$84:X$86,PCF!$C$84:$C$86,$E$1)</f>
        <v>0</v>
      </c>
      <c r="Y70" s="613">
        <f>SUMIFS(PCF!Y$84:Y$86,PCF!$C$84:$C$86,$E$1)</f>
        <v>0</v>
      </c>
      <c r="Z70" s="613">
        <f>SUMIFS(PCF!Z$84:Z$86,PCF!$C$84:$C$86,$E$1)</f>
        <v>0</v>
      </c>
      <c r="AA70" s="613">
        <f>SUMIFS(PCF!AA$84:AA$86,PCF!$C$84:$C$86,$E$1)</f>
        <v>0</v>
      </c>
      <c r="AB70" s="613">
        <f>SUMIFS(PCF!AB$84:AB$86,PCF!$C$84:$C$86,$E$1)</f>
        <v>0</v>
      </c>
      <c r="AC70" s="613">
        <f>SUMIFS(PCF!AC$84:AC$86,PCF!$C$84:$C$86,$E$1)</f>
        <v>0</v>
      </c>
      <c r="AD70" s="613">
        <f>SUMIFS(PCF!AD$84:AD$86,PCF!$C$84:$C$86,$E$1)</f>
        <v>0</v>
      </c>
      <c r="AE70" s="613">
        <f>SUMIFS(PCF!AE$84:AE$86,PCF!$C$84:$C$86,$E$1)</f>
        <v>0</v>
      </c>
      <c r="AF70" s="613">
        <f>SUMIFS(PCF!AF$84:AF$86,PCF!$C$84:$C$86,$E$1)</f>
        <v>0</v>
      </c>
      <c r="AG70" s="613">
        <f>SUMIFS(PCF!AG$84:AG$86,PCF!$C$84:$C$86,$E$1)</f>
        <v>0</v>
      </c>
      <c r="AH70" s="613">
        <f>SUMIFS(PCF!AH$84:AH$86,PCF!$C$84:$C$86,$E$1)</f>
        <v>0</v>
      </c>
      <c r="AI70" s="613">
        <f>SUMIFS(PCF!AI$84:AI$86,PCF!$C$84:$C$86,$E$1)</f>
        <v>0</v>
      </c>
      <c r="AJ70" s="613">
        <f>SUMIFS(PCF!AJ$84:AJ$86,PCF!$C$84:$C$86,$E$1)</f>
        <v>0</v>
      </c>
      <c r="AK70" s="613">
        <f>SUMIFS(PCF!AK$84:AK$86,PCF!$C$84:$C$86,$E$1)</f>
        <v>0</v>
      </c>
      <c r="AL70" s="613">
        <f>SUMIFS(PCF!AL$84:AL$86,PCF!$C$84:$C$86,$E$1)</f>
        <v>0</v>
      </c>
      <c r="AM70" s="613">
        <f>SUMIFS(PCF!AM$84:AM$86,PCF!$C$84:$C$86,$E$1)</f>
        <v>0</v>
      </c>
      <c r="AN70" s="613">
        <f>SUMIFS(PCF!AN$84:AN$86,PCF!$C$84:$C$86,$E$1)</f>
        <v>0</v>
      </c>
      <c r="AO70" s="613">
        <f>SUMIFS(PCF!AO$84:AO$86,PCF!$C$84:$C$86,$E$1)</f>
        <v>0</v>
      </c>
      <c r="AP70" s="613">
        <f>SUMIFS(PCF!AP$84:AP$86,PCF!$C$84:$C$86,$E$1)</f>
        <v>0</v>
      </c>
      <c r="AQ70" s="613">
        <f>SUMIFS(PCF!AQ$84:AQ$86,PCF!$C$84:$C$86,$E$1)</f>
        <v>0</v>
      </c>
      <c r="AR70" s="613">
        <f>SUMIFS(PCF!AR$84:AR$86,PCF!$C$84:$C$86,$E$1)</f>
        <v>0</v>
      </c>
      <c r="AS70" s="613">
        <f>SUMIFS(PCF!AS$84:AS$86,PCF!$C$84:$C$86,$E$1)</f>
        <v>0</v>
      </c>
      <c r="AT70" s="613">
        <f>SUMIFS(PCF!AT$84:AT$86,PCF!$C$84:$C$86,$E$1)</f>
        <v>0</v>
      </c>
      <c r="AU70" s="613">
        <f>SUMIFS(PCF!AU$84:AU$86,PCF!$C$84:$C$86,$E$1)</f>
        <v>0</v>
      </c>
      <c r="AV70" s="613">
        <f>SUMIFS(PCF!AV$84:AV$86,PCF!$C$84:$C$86,$E$1)</f>
        <v>0</v>
      </c>
      <c r="AW70" s="613">
        <f>SUMIFS(PCF!AW$84:AW$86,PCF!$C$84:$C$86,$E$1)</f>
        <v>0</v>
      </c>
      <c r="AX70" s="613">
        <f>SUMIFS(PCF!AX$84:AX$86,PCF!$C$84:$C$86,$E$1)</f>
        <v>0</v>
      </c>
      <c r="AY70" s="613">
        <f>SUMIFS(PCF!AY$84:AY$86,PCF!$C$84:$C$86,$E$1)</f>
        <v>0</v>
      </c>
      <c r="AZ70" s="613">
        <f>SUMIFS(PCF!AZ$84:AZ$86,PCF!$C$84:$C$86,$E$1)</f>
        <v>0</v>
      </c>
      <c r="BA70" s="613">
        <f>SUMIFS(PCF!BA$84:BA$86,PCF!$C$84:$C$86,$E$1)</f>
        <v>0</v>
      </c>
      <c r="BB70" s="613">
        <f>SUMIFS(PCF!BB$84:BB$86,PCF!$C$84:$C$86,$E$1)</f>
        <v>0</v>
      </c>
      <c r="BC70" s="613">
        <f>SUMIFS(PCF!BC$84:BC$86,PCF!$C$84:$C$86,$E$1)</f>
        <v>0</v>
      </c>
      <c r="BD70" s="613">
        <f>SUMIFS(PCF!BD$84:BD$86,PCF!$C$84:$C$86,$E$1)</f>
        <v>0</v>
      </c>
      <c r="BE70" s="613">
        <f>SUMIFS(PCF!BE$84:BE$86,PCF!$C$84:$C$86,$E$1)</f>
        <v>0</v>
      </c>
      <c r="BF70" s="613">
        <f>SUMIFS(PCF!BF$84:BF$86,PCF!$C$84:$C$86,$E$1)</f>
        <v>0</v>
      </c>
      <c r="BG70" s="613">
        <f>SUMIFS(PCF!BG$84:BG$86,PCF!$C$84:$C$86,$E$1)</f>
        <v>0</v>
      </c>
      <c r="BH70" s="613"/>
      <c r="BI70" s="651">
        <f>SUM(T70:BG70)</f>
        <v>0</v>
      </c>
      <c r="BJ70" s="613"/>
      <c r="BM70" s="613">
        <f>SUMIF($T$13:$BG$13,BM$13,$T70:$BG70)</f>
        <v>0</v>
      </c>
      <c r="BN70" s="613">
        <f t="shared" ref="BN70:BV70" si="65">SUMIF($T$13:$BG$13,BN$13,$T70:$BG70)</f>
        <v>0</v>
      </c>
      <c r="BO70" s="613">
        <f t="shared" si="65"/>
        <v>0</v>
      </c>
      <c r="BP70" s="613">
        <f t="shared" si="65"/>
        <v>0</v>
      </c>
      <c r="BQ70" s="613">
        <f t="shared" si="65"/>
        <v>0</v>
      </c>
      <c r="BR70" s="613">
        <f t="shared" si="65"/>
        <v>0</v>
      </c>
      <c r="BS70" s="613">
        <f t="shared" si="65"/>
        <v>0</v>
      </c>
      <c r="BT70" s="613">
        <f t="shared" si="65"/>
        <v>0</v>
      </c>
      <c r="BU70" s="613">
        <f t="shared" si="65"/>
        <v>0</v>
      </c>
      <c r="BV70" s="613">
        <f t="shared" si="65"/>
        <v>0</v>
      </c>
      <c r="BW70" s="613"/>
      <c r="BX70" s="652">
        <f>SUM(BM70:BV70)</f>
        <v>0</v>
      </c>
    </row>
    <row r="71" spans="2:76">
      <c r="B71" s="607"/>
      <c r="D71" s="650"/>
      <c r="F71" s="613"/>
      <c r="G71" s="613"/>
      <c r="H71" s="613"/>
      <c r="I71" s="613"/>
      <c r="J71" s="613"/>
      <c r="K71" s="613"/>
      <c r="L71" s="613"/>
      <c r="M71" s="613"/>
      <c r="N71" s="613"/>
      <c r="O71" s="613"/>
      <c r="P71" s="613"/>
      <c r="Q71" s="613"/>
      <c r="R71" s="613"/>
      <c r="S71" s="613"/>
      <c r="T71" s="613"/>
      <c r="U71" s="613"/>
      <c r="V71" s="613"/>
      <c r="W71" s="613"/>
      <c r="X71" s="613"/>
      <c r="Y71" s="613"/>
      <c r="Z71" s="613"/>
      <c r="AA71" s="613"/>
      <c r="AB71" s="613"/>
      <c r="AC71" s="613"/>
      <c r="AD71" s="613"/>
      <c r="AE71" s="613"/>
      <c r="AF71" s="613"/>
      <c r="AG71" s="613"/>
      <c r="AH71" s="613"/>
      <c r="AI71" s="613"/>
      <c r="AJ71" s="613"/>
      <c r="AK71" s="613"/>
      <c r="AL71" s="613"/>
      <c r="AM71" s="613"/>
      <c r="AN71" s="613"/>
      <c r="AO71" s="613"/>
      <c r="AP71" s="613"/>
      <c r="AQ71" s="613"/>
      <c r="AR71" s="613"/>
      <c r="AS71" s="613"/>
      <c r="AT71" s="613"/>
      <c r="AU71" s="613"/>
      <c r="AV71" s="613"/>
      <c r="AW71" s="613"/>
      <c r="AX71" s="613"/>
      <c r="AY71" s="613"/>
      <c r="AZ71" s="613"/>
      <c r="BA71" s="613"/>
      <c r="BB71" s="613"/>
      <c r="BC71" s="613"/>
      <c r="BD71" s="613"/>
      <c r="BE71" s="613"/>
      <c r="BF71" s="613"/>
      <c r="BG71" s="613"/>
      <c r="BH71" s="613"/>
      <c r="BI71" s="651"/>
      <c r="BJ71" s="613"/>
      <c r="BM71" s="613"/>
      <c r="BN71" s="613"/>
      <c r="BO71" s="613"/>
      <c r="BP71" s="613"/>
      <c r="BQ71" s="613"/>
      <c r="BR71" s="613"/>
      <c r="BS71" s="613"/>
      <c r="BT71" s="613"/>
      <c r="BU71" s="613"/>
      <c r="BV71" s="613"/>
      <c r="BW71" s="613"/>
      <c r="BX71" s="613"/>
    </row>
    <row r="72" spans="2:76" s="39" customFormat="1">
      <c r="B72" s="655"/>
      <c r="D72" s="630" t="s">
        <v>897</v>
      </c>
      <c r="E72" s="253"/>
      <c r="F72" s="631"/>
      <c r="G72" s="631"/>
      <c r="H72" s="631"/>
      <c r="I72" s="631"/>
      <c r="J72" s="631"/>
      <c r="K72" s="631"/>
      <c r="L72" s="631"/>
      <c r="M72" s="631"/>
      <c r="N72" s="631"/>
      <c r="O72" s="631"/>
      <c r="P72" s="631"/>
      <c r="Q72" s="631"/>
      <c r="R72" s="631"/>
      <c r="S72" s="631"/>
      <c r="T72" s="631">
        <f>T68+T70</f>
        <v>0</v>
      </c>
      <c r="U72" s="631">
        <f t="shared" ref="U72:BG72" si="66">U68+U70</f>
        <v>0</v>
      </c>
      <c r="V72" s="631">
        <f t="shared" si="66"/>
        <v>25140.49357432016</v>
      </c>
      <c r="W72" s="631">
        <f t="shared" si="66"/>
        <v>25187.499999999996</v>
      </c>
      <c r="X72" s="631">
        <f t="shared" si="66"/>
        <v>25234.594315921473</v>
      </c>
      <c r="Y72" s="631">
        <f t="shared" si="66"/>
        <v>25281.776686417325</v>
      </c>
      <c r="Z72" s="631">
        <f t="shared" si="66"/>
        <v>25329.047276127552</v>
      </c>
      <c r="AA72" s="631">
        <f t="shared" si="66"/>
        <v>25376.406249999989</v>
      </c>
      <c r="AB72" s="631">
        <f t="shared" si="66"/>
        <v>25423.853773290877</v>
      </c>
      <c r="AC72" s="631">
        <f t="shared" si="66"/>
        <v>25471.390011565447</v>
      </c>
      <c r="AD72" s="631">
        <f t="shared" si="66"/>
        <v>25519.015130698503</v>
      </c>
      <c r="AE72" s="631">
        <f t="shared" si="66"/>
        <v>25566.729296874979</v>
      </c>
      <c r="AF72" s="631">
        <f t="shared" si="66"/>
        <v>0</v>
      </c>
      <c r="AG72" s="631">
        <f t="shared" si="66"/>
        <v>0</v>
      </c>
      <c r="AH72" s="631">
        <f t="shared" si="66"/>
        <v>0</v>
      </c>
      <c r="AI72" s="631">
        <f t="shared" si="66"/>
        <v>0</v>
      </c>
      <c r="AJ72" s="631">
        <f t="shared" si="66"/>
        <v>0</v>
      </c>
      <c r="AK72" s="631">
        <f t="shared" si="66"/>
        <v>0</v>
      </c>
      <c r="AL72" s="631">
        <f t="shared" si="66"/>
        <v>0</v>
      </c>
      <c r="AM72" s="631">
        <f t="shared" si="66"/>
        <v>0</v>
      </c>
      <c r="AN72" s="631">
        <f t="shared" si="66"/>
        <v>0</v>
      </c>
      <c r="AO72" s="631">
        <f t="shared" si="66"/>
        <v>0</v>
      </c>
      <c r="AP72" s="631">
        <f t="shared" si="66"/>
        <v>0</v>
      </c>
      <c r="AQ72" s="631">
        <f t="shared" si="66"/>
        <v>0</v>
      </c>
      <c r="AR72" s="631">
        <f t="shared" si="66"/>
        <v>0</v>
      </c>
      <c r="AS72" s="631">
        <f t="shared" si="66"/>
        <v>0</v>
      </c>
      <c r="AT72" s="631">
        <f t="shared" si="66"/>
        <v>0</v>
      </c>
      <c r="AU72" s="631">
        <f t="shared" si="66"/>
        <v>0</v>
      </c>
      <c r="AV72" s="631">
        <f t="shared" si="66"/>
        <v>0</v>
      </c>
      <c r="AW72" s="631">
        <f t="shared" si="66"/>
        <v>0</v>
      </c>
      <c r="AX72" s="631">
        <f t="shared" si="66"/>
        <v>0</v>
      </c>
      <c r="AY72" s="631">
        <f t="shared" si="66"/>
        <v>0</v>
      </c>
      <c r="AZ72" s="631">
        <f t="shared" si="66"/>
        <v>0</v>
      </c>
      <c r="BA72" s="631">
        <f t="shared" si="66"/>
        <v>0</v>
      </c>
      <c r="BB72" s="631">
        <f t="shared" si="66"/>
        <v>0</v>
      </c>
      <c r="BC72" s="631">
        <f t="shared" si="66"/>
        <v>0</v>
      </c>
      <c r="BD72" s="631">
        <f t="shared" si="66"/>
        <v>0</v>
      </c>
      <c r="BE72" s="631">
        <f t="shared" si="66"/>
        <v>0</v>
      </c>
      <c r="BF72" s="631">
        <f t="shared" si="66"/>
        <v>0</v>
      </c>
      <c r="BG72" s="631">
        <f t="shared" si="66"/>
        <v>0</v>
      </c>
      <c r="BH72" s="652"/>
      <c r="BI72" s="458">
        <f>SUM(T72:BG72)</f>
        <v>253530.80631521632</v>
      </c>
      <c r="BJ72" s="652"/>
      <c r="BK72" s="39" t="b">
        <f>ROUND(BI72,GA!$G$112)=ROUND(BX72,GA!$G$112)</f>
        <v>1</v>
      </c>
      <c r="BM72" s="631">
        <f>SUMIF($T$13:$BG$13,BM$13,$T72:$BG72)</f>
        <v>50327.993574320157</v>
      </c>
      <c r="BN72" s="631">
        <f t="shared" ref="BN72:BV72" si="67">SUMIF($T$13:$BG$13,BN$13,$T72:$BG72)</f>
        <v>101221.82452846634</v>
      </c>
      <c r="BO72" s="631">
        <f t="shared" si="67"/>
        <v>101980.98821242982</v>
      </c>
      <c r="BP72" s="631">
        <f t="shared" si="67"/>
        <v>0</v>
      </c>
      <c r="BQ72" s="631">
        <f t="shared" si="67"/>
        <v>0</v>
      </c>
      <c r="BR72" s="631">
        <f t="shared" si="67"/>
        <v>0</v>
      </c>
      <c r="BS72" s="631">
        <f t="shared" si="67"/>
        <v>0</v>
      </c>
      <c r="BT72" s="631">
        <f t="shared" si="67"/>
        <v>0</v>
      </c>
      <c r="BU72" s="631">
        <f t="shared" si="67"/>
        <v>0</v>
      </c>
      <c r="BV72" s="631">
        <f t="shared" si="67"/>
        <v>0</v>
      </c>
      <c r="BW72" s="652"/>
      <c r="BX72" s="631">
        <f>SUM(BM72:BV72)</f>
        <v>253530.80631521629</v>
      </c>
    </row>
    <row r="73" spans="2:76">
      <c r="B73" s="607"/>
      <c r="D73" s="650"/>
      <c r="F73" s="613"/>
      <c r="G73" s="613"/>
      <c r="H73" s="613"/>
      <c r="I73" s="613"/>
      <c r="J73" s="613"/>
      <c r="K73" s="613"/>
      <c r="L73" s="613"/>
      <c r="M73" s="613"/>
      <c r="N73" s="613"/>
      <c r="O73" s="613"/>
      <c r="P73" s="613"/>
      <c r="Q73" s="613"/>
      <c r="R73" s="613"/>
      <c r="S73" s="613"/>
      <c r="T73" s="613"/>
      <c r="U73" s="613"/>
      <c r="V73" s="613"/>
      <c r="W73" s="613"/>
      <c r="X73" s="613"/>
      <c r="Y73" s="613"/>
      <c r="Z73" s="613"/>
      <c r="AA73" s="613"/>
      <c r="AB73" s="613"/>
      <c r="AC73" s="613"/>
      <c r="AD73" s="613"/>
      <c r="AE73" s="613"/>
      <c r="AF73" s="613"/>
      <c r="AG73" s="613"/>
      <c r="AH73" s="613"/>
      <c r="AI73" s="613"/>
      <c r="AJ73" s="613"/>
      <c r="AK73" s="613"/>
      <c r="AL73" s="613"/>
      <c r="AM73" s="613"/>
      <c r="AN73" s="613"/>
      <c r="AO73" s="613"/>
      <c r="AP73" s="613"/>
      <c r="AQ73" s="613"/>
      <c r="AR73" s="613"/>
      <c r="AS73" s="613"/>
      <c r="AT73" s="613"/>
      <c r="AU73" s="613"/>
      <c r="AV73" s="613"/>
      <c r="AW73" s="613"/>
      <c r="AX73" s="613"/>
      <c r="AY73" s="613"/>
      <c r="AZ73" s="613"/>
      <c r="BA73" s="613"/>
      <c r="BB73" s="613"/>
      <c r="BC73" s="613"/>
      <c r="BD73" s="613"/>
      <c r="BE73" s="613"/>
      <c r="BF73" s="613"/>
      <c r="BG73" s="613"/>
      <c r="BH73" s="613"/>
      <c r="BI73" s="651"/>
      <c r="BJ73" s="613"/>
      <c r="BM73" s="613"/>
      <c r="BN73" s="613"/>
      <c r="BO73" s="613"/>
      <c r="BP73" s="613"/>
      <c r="BQ73" s="613"/>
      <c r="BR73" s="613"/>
      <c r="BS73" s="613"/>
      <c r="BT73" s="613"/>
      <c r="BU73" s="613"/>
      <c r="BV73" s="613"/>
      <c r="BW73" s="613"/>
      <c r="BX73" s="652"/>
    </row>
    <row r="74" spans="2:76">
      <c r="B74" s="607"/>
      <c r="D74" s="743" t="s">
        <v>321</v>
      </c>
      <c r="F74" s="613"/>
      <c r="G74" s="613"/>
      <c r="H74" s="613"/>
      <c r="I74" s="613"/>
      <c r="J74" s="613"/>
      <c r="K74" s="613"/>
      <c r="L74" s="613"/>
      <c r="M74" s="613"/>
      <c r="N74" s="613"/>
      <c r="O74" s="613"/>
      <c r="P74" s="613"/>
      <c r="Q74" s="613"/>
      <c r="R74" s="613"/>
      <c r="S74" s="613"/>
      <c r="T74" s="613">
        <f>SUMIFS(PCF!T$68:T$70,PCF!$C$68:$C$70,$E$1)</f>
        <v>0</v>
      </c>
      <c r="U74" s="613">
        <f>SUMIFS(PCF!U$68:U$70,PCF!$C$68:$C$70,$E$1)</f>
        <v>0</v>
      </c>
      <c r="V74" s="613">
        <f>SUMIFS(PCF!V$68:V$70,PCF!$C$68:$C$70,$E$1)</f>
        <v>0</v>
      </c>
      <c r="W74" s="613">
        <f>SUMIFS(PCF!W$68:W$70,PCF!$C$68:$C$70,$E$1)</f>
        <v>0</v>
      </c>
      <c r="X74" s="613">
        <f>SUMIFS(PCF!X$68:X$70,PCF!$C$68:$C$70,$E$1)</f>
        <v>0</v>
      </c>
      <c r="Y74" s="613">
        <f>SUMIFS(PCF!Y$68:Y$70,PCF!$C$68:$C$70,$E$1)</f>
        <v>0</v>
      </c>
      <c r="Z74" s="613">
        <f>SUMIFS(PCF!Z$68:Z$70,PCF!$C$68:$C$70,$E$1)</f>
        <v>0</v>
      </c>
      <c r="AA74" s="613">
        <f>SUMIFS(PCF!AA$68:AA$70,PCF!$C$68:$C$70,$E$1)</f>
        <v>0</v>
      </c>
      <c r="AB74" s="613">
        <f>SUMIFS(PCF!AB$68:AB$70,PCF!$C$68:$C$70,$E$1)</f>
        <v>0</v>
      </c>
      <c r="AC74" s="613">
        <f>SUMIFS(PCF!AC$68:AC$70,PCF!$C$68:$C$70,$E$1)</f>
        <v>0</v>
      </c>
      <c r="AD74" s="613">
        <f>SUMIFS(PCF!AD$68:AD$70,PCF!$C$68:$C$70,$E$1)</f>
        <v>0</v>
      </c>
      <c r="AE74" s="613">
        <f>SUMIFS(PCF!AE$68:AE$70,PCF!$C$68:$C$70,$E$1)</f>
        <v>0</v>
      </c>
      <c r="AF74" s="613">
        <f>SUMIFS(PCF!AF$68:AF$70,PCF!$C$68:$C$70,$E$1)</f>
        <v>0</v>
      </c>
      <c r="AG74" s="613">
        <f>SUMIFS(PCF!AG$68:AG$70,PCF!$C$68:$C$70,$E$1)</f>
        <v>0</v>
      </c>
      <c r="AH74" s="613">
        <f>SUMIFS(PCF!AH$68:AH$70,PCF!$C$68:$C$70,$E$1)</f>
        <v>0</v>
      </c>
      <c r="AI74" s="613">
        <f>SUMIFS(PCF!AI$68:AI$70,PCF!$C$68:$C$70,$E$1)</f>
        <v>0</v>
      </c>
      <c r="AJ74" s="613">
        <f>SUMIFS(PCF!AJ$68:AJ$70,PCF!$C$68:$C$70,$E$1)</f>
        <v>0</v>
      </c>
      <c r="AK74" s="613">
        <f>SUMIFS(PCF!AK$68:AK$70,PCF!$C$68:$C$70,$E$1)</f>
        <v>0</v>
      </c>
      <c r="AL74" s="613">
        <f>SUMIFS(PCF!AL$68:AL$70,PCF!$C$68:$C$70,$E$1)</f>
        <v>0</v>
      </c>
      <c r="AM74" s="613">
        <f>SUMIFS(PCF!AM$68:AM$70,PCF!$C$68:$C$70,$E$1)</f>
        <v>0</v>
      </c>
      <c r="AN74" s="613">
        <f>SUMIFS(PCF!AN$68:AN$70,PCF!$C$68:$C$70,$E$1)</f>
        <v>0</v>
      </c>
      <c r="AO74" s="613">
        <f>SUMIFS(PCF!AO$68:AO$70,PCF!$C$68:$C$70,$E$1)</f>
        <v>0</v>
      </c>
      <c r="AP74" s="613">
        <f>SUMIFS(PCF!AP$68:AP$70,PCF!$C$68:$C$70,$E$1)</f>
        <v>0</v>
      </c>
      <c r="AQ74" s="613">
        <f>SUMIFS(PCF!AQ$68:AQ$70,PCF!$C$68:$C$70,$E$1)</f>
        <v>0</v>
      </c>
      <c r="AR74" s="613">
        <f>SUMIFS(PCF!AR$68:AR$70,PCF!$C$68:$C$70,$E$1)</f>
        <v>0</v>
      </c>
      <c r="AS74" s="613">
        <f>SUMIFS(PCF!AS$68:AS$70,PCF!$C$68:$C$70,$E$1)</f>
        <v>0</v>
      </c>
      <c r="AT74" s="613">
        <f>SUMIFS(PCF!AT$68:AT$70,PCF!$C$68:$C$70,$E$1)</f>
        <v>0</v>
      </c>
      <c r="AU74" s="613">
        <f>SUMIFS(PCF!AU$68:AU$70,PCF!$C$68:$C$70,$E$1)</f>
        <v>0</v>
      </c>
      <c r="AV74" s="613">
        <f>SUMIFS(PCF!AV$68:AV$70,PCF!$C$68:$C$70,$E$1)</f>
        <v>0</v>
      </c>
      <c r="AW74" s="613">
        <f>SUMIFS(PCF!AW$68:AW$70,PCF!$C$68:$C$70,$E$1)</f>
        <v>0</v>
      </c>
      <c r="AX74" s="613">
        <f>SUMIFS(PCF!AX$68:AX$70,PCF!$C$68:$C$70,$E$1)</f>
        <v>0</v>
      </c>
      <c r="AY74" s="613">
        <f>SUMIFS(PCF!AY$68:AY$70,PCF!$C$68:$C$70,$E$1)</f>
        <v>0</v>
      </c>
      <c r="AZ74" s="613">
        <f>SUMIFS(PCF!AZ$68:AZ$70,PCF!$C$68:$C$70,$E$1)</f>
        <v>0</v>
      </c>
      <c r="BA74" s="613">
        <f>SUMIFS(PCF!BA$68:BA$70,PCF!$C$68:$C$70,$E$1)</f>
        <v>0</v>
      </c>
      <c r="BB74" s="613">
        <f>SUMIFS(PCF!BB$68:BB$70,PCF!$C$68:$C$70,$E$1)</f>
        <v>0</v>
      </c>
      <c r="BC74" s="613">
        <f>SUMIFS(PCF!BC$68:BC$70,PCF!$C$68:$C$70,$E$1)</f>
        <v>0</v>
      </c>
      <c r="BD74" s="613">
        <f>SUMIFS(PCF!BD$68:BD$70,PCF!$C$68:$C$70,$E$1)</f>
        <v>0</v>
      </c>
      <c r="BE74" s="613">
        <f>SUMIFS(PCF!BE$68:BE$70,PCF!$C$68:$C$70,$E$1)</f>
        <v>0</v>
      </c>
      <c r="BF74" s="613">
        <f>SUMIFS(PCF!BF$68:BF$70,PCF!$C$68:$C$70,$E$1)</f>
        <v>0</v>
      </c>
      <c r="BG74" s="613">
        <f>SUMIFS(PCF!BG$68:BG$70,PCF!$C$68:$C$70,$E$1)</f>
        <v>0</v>
      </c>
      <c r="BH74" s="613"/>
      <c r="BI74" s="651">
        <f>SUM(T74:BG74)</f>
        <v>0</v>
      </c>
      <c r="BJ74" s="613"/>
      <c r="BM74" s="613"/>
      <c r="BN74" s="613"/>
      <c r="BO74" s="613"/>
      <c r="BP74" s="613"/>
      <c r="BQ74" s="613"/>
      <c r="BR74" s="613"/>
      <c r="BS74" s="613"/>
      <c r="BT74" s="613"/>
      <c r="BU74" s="613"/>
      <c r="BV74" s="613"/>
      <c r="BW74" s="613"/>
      <c r="BX74" s="652"/>
    </row>
    <row r="75" spans="2:76">
      <c r="B75" s="607"/>
      <c r="D75" s="650"/>
      <c r="F75" s="613"/>
      <c r="G75" s="613"/>
      <c r="H75" s="613"/>
      <c r="I75" s="613"/>
      <c r="J75" s="613"/>
      <c r="K75" s="613"/>
      <c r="L75" s="613"/>
      <c r="M75" s="613"/>
      <c r="N75" s="613"/>
      <c r="O75" s="613"/>
      <c r="P75" s="613"/>
      <c r="Q75" s="613"/>
      <c r="R75" s="613"/>
      <c r="S75" s="613"/>
      <c r="T75" s="613"/>
      <c r="U75" s="613"/>
      <c r="V75" s="613"/>
      <c r="W75" s="613"/>
      <c r="X75" s="613"/>
      <c r="Y75" s="613"/>
      <c r="Z75" s="613"/>
      <c r="AA75" s="613"/>
      <c r="AB75" s="613"/>
      <c r="AC75" s="613"/>
      <c r="AD75" s="613"/>
      <c r="AE75" s="613"/>
      <c r="AF75" s="613"/>
      <c r="AG75" s="613"/>
      <c r="AH75" s="613"/>
      <c r="AI75" s="613"/>
      <c r="AJ75" s="613"/>
      <c r="AK75" s="613"/>
      <c r="AL75" s="613"/>
      <c r="AM75" s="613"/>
      <c r="AN75" s="613"/>
      <c r="AO75" s="613"/>
      <c r="AP75" s="613"/>
      <c r="AQ75" s="613"/>
      <c r="AR75" s="613"/>
      <c r="AS75" s="613"/>
      <c r="AT75" s="613"/>
      <c r="AU75" s="613"/>
      <c r="AV75" s="613"/>
      <c r="AW75" s="613"/>
      <c r="AX75" s="613"/>
      <c r="AY75" s="613"/>
      <c r="AZ75" s="613"/>
      <c r="BA75" s="613"/>
      <c r="BB75" s="613"/>
      <c r="BC75" s="613"/>
      <c r="BD75" s="613"/>
      <c r="BE75" s="613"/>
      <c r="BF75" s="613"/>
      <c r="BG75" s="613"/>
      <c r="BH75" s="613"/>
      <c r="BI75" s="651"/>
      <c r="BJ75" s="613"/>
      <c r="BM75" s="613"/>
      <c r="BN75" s="613"/>
      <c r="BO75" s="613"/>
      <c r="BP75" s="613"/>
      <c r="BQ75" s="613"/>
      <c r="BR75" s="613"/>
      <c r="BS75" s="613"/>
      <c r="BT75" s="613"/>
      <c r="BU75" s="613"/>
      <c r="BV75" s="613"/>
      <c r="BW75" s="613"/>
      <c r="BX75" s="652"/>
    </row>
    <row r="76" spans="2:76">
      <c r="B76" s="607"/>
      <c r="D76" s="630" t="s">
        <v>640</v>
      </c>
      <c r="E76" s="253"/>
      <c r="F76" s="631"/>
      <c r="G76" s="631"/>
      <c r="H76" s="631"/>
      <c r="I76" s="631"/>
      <c r="J76" s="631"/>
      <c r="K76" s="631"/>
      <c r="L76" s="631"/>
      <c r="M76" s="631"/>
      <c r="N76" s="631"/>
      <c r="O76" s="631"/>
      <c r="P76" s="631"/>
      <c r="Q76" s="631"/>
      <c r="R76" s="631"/>
      <c r="S76" s="631"/>
      <c r="T76" s="631">
        <f>T74+T72</f>
        <v>0</v>
      </c>
      <c r="U76" s="631">
        <f t="shared" ref="U76:BG76" si="68">U74+U72</f>
        <v>0</v>
      </c>
      <c r="V76" s="631">
        <f t="shared" si="68"/>
        <v>25140.49357432016</v>
      </c>
      <c r="W76" s="631">
        <f t="shared" si="68"/>
        <v>25187.499999999996</v>
      </c>
      <c r="X76" s="631">
        <f t="shared" si="68"/>
        <v>25234.594315921473</v>
      </c>
      <c r="Y76" s="631">
        <f t="shared" si="68"/>
        <v>25281.776686417325</v>
      </c>
      <c r="Z76" s="631">
        <f t="shared" si="68"/>
        <v>25329.047276127552</v>
      </c>
      <c r="AA76" s="631">
        <f t="shared" si="68"/>
        <v>25376.406249999989</v>
      </c>
      <c r="AB76" s="631">
        <f t="shared" si="68"/>
        <v>25423.853773290877</v>
      </c>
      <c r="AC76" s="631">
        <f t="shared" si="68"/>
        <v>25471.390011565447</v>
      </c>
      <c r="AD76" s="631">
        <f t="shared" si="68"/>
        <v>25519.015130698503</v>
      </c>
      <c r="AE76" s="631">
        <f t="shared" si="68"/>
        <v>25566.729296874979</v>
      </c>
      <c r="AF76" s="631">
        <f t="shared" si="68"/>
        <v>0</v>
      </c>
      <c r="AG76" s="631">
        <f t="shared" si="68"/>
        <v>0</v>
      </c>
      <c r="AH76" s="631">
        <f t="shared" si="68"/>
        <v>0</v>
      </c>
      <c r="AI76" s="631">
        <f t="shared" si="68"/>
        <v>0</v>
      </c>
      <c r="AJ76" s="631">
        <f t="shared" si="68"/>
        <v>0</v>
      </c>
      <c r="AK76" s="631">
        <f t="shared" si="68"/>
        <v>0</v>
      </c>
      <c r="AL76" s="631">
        <f t="shared" si="68"/>
        <v>0</v>
      </c>
      <c r="AM76" s="631">
        <f t="shared" si="68"/>
        <v>0</v>
      </c>
      <c r="AN76" s="631">
        <f t="shared" si="68"/>
        <v>0</v>
      </c>
      <c r="AO76" s="631">
        <f t="shared" si="68"/>
        <v>0</v>
      </c>
      <c r="AP76" s="631">
        <f t="shared" si="68"/>
        <v>0</v>
      </c>
      <c r="AQ76" s="631">
        <f t="shared" si="68"/>
        <v>0</v>
      </c>
      <c r="AR76" s="631">
        <f t="shared" si="68"/>
        <v>0</v>
      </c>
      <c r="AS76" s="631">
        <f t="shared" si="68"/>
        <v>0</v>
      </c>
      <c r="AT76" s="631">
        <f t="shared" si="68"/>
        <v>0</v>
      </c>
      <c r="AU76" s="631">
        <f t="shared" si="68"/>
        <v>0</v>
      </c>
      <c r="AV76" s="631">
        <f t="shared" si="68"/>
        <v>0</v>
      </c>
      <c r="AW76" s="631">
        <f t="shared" si="68"/>
        <v>0</v>
      </c>
      <c r="AX76" s="631">
        <f t="shared" si="68"/>
        <v>0</v>
      </c>
      <c r="AY76" s="631">
        <f t="shared" si="68"/>
        <v>0</v>
      </c>
      <c r="AZ76" s="631">
        <f t="shared" si="68"/>
        <v>0</v>
      </c>
      <c r="BA76" s="631">
        <f t="shared" si="68"/>
        <v>0</v>
      </c>
      <c r="BB76" s="631">
        <f t="shared" si="68"/>
        <v>0</v>
      </c>
      <c r="BC76" s="631">
        <f t="shared" si="68"/>
        <v>0</v>
      </c>
      <c r="BD76" s="631">
        <f t="shared" si="68"/>
        <v>0</v>
      </c>
      <c r="BE76" s="631">
        <f t="shared" si="68"/>
        <v>0</v>
      </c>
      <c r="BF76" s="631">
        <f t="shared" si="68"/>
        <v>0</v>
      </c>
      <c r="BG76" s="631">
        <f t="shared" si="68"/>
        <v>0</v>
      </c>
      <c r="BH76" s="652"/>
      <c r="BI76" s="458">
        <f>SUM(T76:BG76)</f>
        <v>253530.80631521632</v>
      </c>
      <c r="BJ76" s="613"/>
      <c r="BM76" s="613"/>
      <c r="BN76" s="613"/>
      <c r="BO76" s="613"/>
      <c r="BP76" s="613"/>
      <c r="BQ76" s="613"/>
      <c r="BR76" s="613"/>
      <c r="BS76" s="613"/>
      <c r="BT76" s="613"/>
      <c r="BU76" s="613"/>
      <c r="BV76" s="613"/>
      <c r="BW76" s="613"/>
      <c r="BX76" s="652"/>
    </row>
    <row r="77" spans="2:76">
      <c r="B77" s="607"/>
      <c r="D77" s="650"/>
      <c r="F77" s="613"/>
      <c r="G77" s="613"/>
      <c r="H77" s="613"/>
      <c r="I77" s="613"/>
      <c r="J77" s="613"/>
      <c r="K77" s="613"/>
      <c r="L77" s="613"/>
      <c r="M77" s="613"/>
      <c r="N77" s="613"/>
      <c r="O77" s="613"/>
      <c r="P77" s="613"/>
      <c r="Q77" s="613"/>
      <c r="R77" s="613"/>
      <c r="S77" s="613"/>
      <c r="T77" s="613"/>
      <c r="U77" s="613"/>
      <c r="V77" s="613"/>
      <c r="W77" s="613"/>
      <c r="X77" s="613"/>
      <c r="Y77" s="613"/>
      <c r="Z77" s="613"/>
      <c r="AA77" s="613"/>
      <c r="AB77" s="613"/>
      <c r="AC77" s="613"/>
      <c r="AD77" s="613"/>
      <c r="AE77" s="613"/>
      <c r="AF77" s="613"/>
      <c r="AG77" s="613"/>
      <c r="AH77" s="613"/>
      <c r="AI77" s="613"/>
      <c r="AJ77" s="613"/>
      <c r="AK77" s="613"/>
      <c r="AL77" s="613"/>
      <c r="AM77" s="613"/>
      <c r="AN77" s="613"/>
      <c r="AO77" s="613"/>
      <c r="AP77" s="613"/>
      <c r="AQ77" s="613"/>
      <c r="AR77" s="613"/>
      <c r="AS77" s="613"/>
      <c r="AT77" s="613"/>
      <c r="AU77" s="613"/>
      <c r="AV77" s="613"/>
      <c r="AW77" s="613"/>
      <c r="AX77" s="613"/>
      <c r="AY77" s="613"/>
      <c r="AZ77" s="613"/>
      <c r="BA77" s="613"/>
      <c r="BB77" s="613"/>
      <c r="BC77" s="613"/>
      <c r="BD77" s="613"/>
      <c r="BE77" s="613"/>
      <c r="BF77" s="613"/>
      <c r="BG77" s="613"/>
      <c r="BH77" s="613"/>
      <c r="BI77" s="651"/>
      <c r="BJ77" s="613"/>
      <c r="BM77" s="613"/>
      <c r="BN77" s="613"/>
      <c r="BO77" s="613"/>
      <c r="BP77" s="613"/>
      <c r="BQ77" s="613"/>
      <c r="BR77" s="613"/>
      <c r="BS77" s="613"/>
      <c r="BT77" s="613"/>
      <c r="BU77" s="613"/>
      <c r="BV77" s="613"/>
      <c r="BW77" s="613"/>
      <c r="BX77" s="652"/>
    </row>
    <row r="78" spans="2:76">
      <c r="B78" s="607"/>
      <c r="D78" s="635" t="s">
        <v>641</v>
      </c>
      <c r="E78" s="658"/>
      <c r="F78" s="659"/>
      <c r="G78" s="659"/>
      <c r="H78" s="659"/>
      <c r="I78" s="659"/>
      <c r="J78" s="659"/>
      <c r="K78" s="659"/>
      <c r="L78" s="659"/>
      <c r="M78" s="659"/>
      <c r="N78" s="659"/>
      <c r="O78" s="659"/>
      <c r="P78" s="659"/>
      <c r="Q78" s="659"/>
      <c r="R78" s="659"/>
      <c r="S78" s="659"/>
      <c r="T78" s="659"/>
      <c r="U78" s="660"/>
      <c r="V78" s="659"/>
      <c r="W78" s="659"/>
      <c r="X78" s="659"/>
      <c r="Y78" s="659"/>
      <c r="Z78" s="661"/>
      <c r="AA78" s="659"/>
      <c r="AB78" s="659"/>
      <c r="AC78" s="659"/>
      <c r="AD78" s="659"/>
      <c r="AE78" s="659"/>
      <c r="AF78" s="659"/>
      <c r="AG78" s="659"/>
      <c r="AH78" s="659"/>
      <c r="AI78" s="659"/>
      <c r="AJ78" s="659"/>
      <c r="AK78" s="659"/>
      <c r="AL78" s="659"/>
      <c r="AM78" s="659"/>
      <c r="AN78" s="659"/>
      <c r="AO78" s="659"/>
      <c r="AP78" s="659"/>
      <c r="AQ78" s="659"/>
      <c r="AR78" s="659"/>
      <c r="AS78" s="659"/>
      <c r="AT78" s="659"/>
      <c r="AU78" s="659"/>
      <c r="AV78" s="659"/>
      <c r="AW78" s="659"/>
      <c r="AX78" s="659"/>
      <c r="AY78" s="659"/>
      <c r="AZ78" s="659"/>
      <c r="BA78" s="659"/>
      <c r="BB78" s="659"/>
      <c r="BC78" s="659"/>
      <c r="BD78" s="659"/>
      <c r="BE78" s="659"/>
      <c r="BF78" s="659"/>
      <c r="BG78" s="659"/>
      <c r="BH78" s="613"/>
      <c r="BI78" s="651"/>
      <c r="BJ78" s="613"/>
      <c r="BM78" s="659"/>
      <c r="BN78" s="659"/>
      <c r="BO78" s="659"/>
      <c r="BP78" s="659"/>
      <c r="BQ78" s="659"/>
      <c r="BR78" s="659"/>
      <c r="BS78" s="659"/>
      <c r="BT78" s="659"/>
      <c r="BU78" s="659"/>
      <c r="BV78" s="659"/>
      <c r="BW78" s="613"/>
      <c r="BX78" s="652"/>
    </row>
    <row r="79" spans="2:76">
      <c r="B79" s="653" t="s">
        <v>411</v>
      </c>
      <c r="D79" s="650" t="s">
        <v>411</v>
      </c>
      <c r="E79" s="662">
        <f>INDEX(AA!$BS$13:$BS$15,MATCH($E$1,AA!$C$13:$C$15,0))*12</f>
        <v>24</v>
      </c>
      <c r="F79" s="613"/>
      <c r="G79" s="613"/>
      <c r="H79" s="613"/>
      <c r="I79" s="613"/>
      <c r="J79" s="613"/>
      <c r="K79" s="613"/>
      <c r="L79" s="613"/>
      <c r="M79" s="613"/>
      <c r="N79" s="613"/>
      <c r="O79" s="613"/>
      <c r="P79" s="613"/>
      <c r="Q79" s="613"/>
      <c r="R79" s="613"/>
      <c r="S79" s="613"/>
      <c r="T79" s="613">
        <f>SUMIFS(PCF!T$92:T$94,PCF!$C$92:$C$94,$E$1)</f>
        <v>0</v>
      </c>
      <c r="U79" s="613">
        <f>SUMIFS(PCF!U$92:U$94,PCF!$C$92:$C$94,$E$1)</f>
        <v>0</v>
      </c>
      <c r="V79" s="613">
        <f>SUMIFS(PCF!V$92:V$94,PCF!$C$92:$C$94,$E$1)</f>
        <v>0</v>
      </c>
      <c r="W79" s="613">
        <f>SUMIFS(PCF!W$92:W$94,PCF!$C$92:$C$94,$E$1)</f>
        <v>0</v>
      </c>
      <c r="X79" s="613">
        <f>SUMIFS(PCF!X$92:X$94,PCF!$C$92:$C$94,$E$1)</f>
        <v>0</v>
      </c>
      <c r="Y79" s="613">
        <f>SUMIFS(PCF!Y$92:Y$94,PCF!$C$92:$C$94,$E$1)</f>
        <v>0</v>
      </c>
      <c r="Z79" s="613">
        <f>SUMIFS(PCF!Z$92:Z$94,PCF!$C$92:$C$94,$E$1)</f>
        <v>0</v>
      </c>
      <c r="AA79" s="613">
        <f>SUMIFS(PCF!AA$92:AA$94,PCF!$C$92:$C$94,$E$1)</f>
        <v>0</v>
      </c>
      <c r="AB79" s="613">
        <f>SUMIFS(PCF!AB$92:AB$94,PCF!$C$92:$C$94,$E$1)</f>
        <v>0</v>
      </c>
      <c r="AC79" s="613">
        <f>SUMIFS(PCF!AC$92:AC$94,PCF!$C$92:$C$94,$E$1)</f>
        <v>0</v>
      </c>
      <c r="AD79" s="613">
        <f>SUMIFS(PCF!AD$92:AD$94,PCF!$C$92:$C$94,$E$1)</f>
        <v>0</v>
      </c>
      <c r="AE79" s="613">
        <f>SUMIFS(PCF!AE$92:AE$94,PCF!$C$92:$C$94,$E$1)</f>
        <v>0</v>
      </c>
      <c r="AF79" s="613">
        <f>SUMIFS(PCF!AF$92:AF$94,PCF!$C$92:$C$94,$E$1)</f>
        <v>0</v>
      </c>
      <c r="AG79" s="613">
        <f>SUMIFS(PCF!AG$92:AG$94,PCF!$C$92:$C$94,$E$1)</f>
        <v>0</v>
      </c>
      <c r="AH79" s="613">
        <f>SUMIFS(PCF!AH$92:AH$94,PCF!$C$92:$C$94,$E$1)</f>
        <v>0</v>
      </c>
      <c r="AI79" s="613">
        <f>SUMIFS(PCF!AI$92:AI$94,PCF!$C$92:$C$94,$E$1)</f>
        <v>0</v>
      </c>
      <c r="AJ79" s="613">
        <f>SUMIFS(PCF!AJ$92:AJ$94,PCF!$C$92:$C$94,$E$1)</f>
        <v>0</v>
      </c>
      <c r="AK79" s="613">
        <f>SUMIFS(PCF!AK$92:AK$94,PCF!$C$92:$C$94,$E$1)</f>
        <v>0</v>
      </c>
      <c r="AL79" s="613">
        <f>SUMIFS(PCF!AL$92:AL$94,PCF!$C$92:$C$94,$E$1)</f>
        <v>0</v>
      </c>
      <c r="AM79" s="613">
        <f>SUMIFS(PCF!AM$92:AM$94,PCF!$C$92:$C$94,$E$1)</f>
        <v>0</v>
      </c>
      <c r="AN79" s="613">
        <f>SUMIFS(PCF!AN$92:AN$94,PCF!$C$92:$C$94,$E$1)</f>
        <v>0</v>
      </c>
      <c r="AO79" s="613">
        <f>SUMIFS(PCF!AO$92:AO$94,PCF!$C$92:$C$94,$E$1)</f>
        <v>0</v>
      </c>
      <c r="AP79" s="613">
        <f>SUMIFS(PCF!AP$92:AP$94,PCF!$C$92:$C$94,$E$1)</f>
        <v>0</v>
      </c>
      <c r="AQ79" s="613">
        <f>SUMIFS(PCF!AQ$92:AQ$94,PCF!$C$92:$C$94,$E$1)</f>
        <v>0</v>
      </c>
      <c r="AR79" s="613">
        <f>SUMIFS(PCF!AR$92:AR$94,PCF!$C$92:$C$94,$E$1)</f>
        <v>0</v>
      </c>
      <c r="AS79" s="613">
        <f>SUMIFS(PCF!AS$92:AS$94,PCF!$C$92:$C$94,$E$1)</f>
        <v>0</v>
      </c>
      <c r="AT79" s="613">
        <f>SUMIFS(PCF!AT$92:AT$94,PCF!$C$92:$C$94,$E$1)</f>
        <v>0</v>
      </c>
      <c r="AU79" s="613">
        <f>SUMIFS(PCF!AU$92:AU$94,PCF!$C$92:$C$94,$E$1)</f>
        <v>0</v>
      </c>
      <c r="AV79" s="613">
        <f>SUMIFS(PCF!AV$92:AV$94,PCF!$C$92:$C$94,$E$1)</f>
        <v>0</v>
      </c>
      <c r="AW79" s="613">
        <f>SUMIFS(PCF!AW$92:AW$94,PCF!$C$92:$C$94,$E$1)</f>
        <v>0</v>
      </c>
      <c r="AX79" s="613">
        <f>SUMIFS(PCF!AX$92:AX$94,PCF!$C$92:$C$94,$E$1)</f>
        <v>0</v>
      </c>
      <c r="AY79" s="613">
        <f>SUMIFS(PCF!AY$92:AY$94,PCF!$C$92:$C$94,$E$1)</f>
        <v>0</v>
      </c>
      <c r="AZ79" s="613">
        <f>SUMIFS(PCF!AZ$92:AZ$94,PCF!$C$92:$C$94,$E$1)</f>
        <v>0</v>
      </c>
      <c r="BA79" s="613">
        <f>SUMIFS(PCF!BA$92:BA$94,PCF!$C$92:$C$94,$E$1)</f>
        <v>0</v>
      </c>
      <c r="BB79" s="613">
        <f>SUMIFS(PCF!BB$92:BB$94,PCF!$C$92:$C$94,$E$1)</f>
        <v>0</v>
      </c>
      <c r="BC79" s="613">
        <f>SUMIFS(PCF!BC$92:BC$94,PCF!$C$92:$C$94,$E$1)</f>
        <v>0</v>
      </c>
      <c r="BD79" s="613">
        <f>SUMIFS(PCF!BD$92:BD$94,PCF!$C$92:$C$94,$E$1)</f>
        <v>0</v>
      </c>
      <c r="BE79" s="613">
        <f>SUMIFS(PCF!BE$92:BE$94,PCF!$C$92:$C$94,$E$1)</f>
        <v>0</v>
      </c>
      <c r="BF79" s="613">
        <f>SUMIFS(PCF!BF$92:BF$94,PCF!$C$92:$C$94,$E$1)</f>
        <v>0</v>
      </c>
      <c r="BG79" s="613">
        <f>SUMIFS(PCF!BG$92:BG$94,PCF!$C$92:$C$94,$E$1)</f>
        <v>0</v>
      </c>
      <c r="BH79" s="613"/>
      <c r="BI79" s="663">
        <f t="shared" ref="BI79:BI84" si="69">SUM(T79:BG79)</f>
        <v>0</v>
      </c>
      <c r="BJ79" s="613"/>
      <c r="BM79" s="613">
        <f>SUMIF($T$13:$BG$13,BM$13,$T79:$BG79)</f>
        <v>0</v>
      </c>
      <c r="BN79" s="613">
        <f t="shared" ref="BN79:BV83" si="70">SUMIF($T$13:$BG$13,BN$13,$T79:$BG79)</f>
        <v>0</v>
      </c>
      <c r="BO79" s="613">
        <f t="shared" si="70"/>
        <v>0</v>
      </c>
      <c r="BP79" s="613">
        <f t="shared" si="70"/>
        <v>0</v>
      </c>
      <c r="BQ79" s="613">
        <f t="shared" si="70"/>
        <v>0</v>
      </c>
      <c r="BR79" s="613">
        <f t="shared" si="70"/>
        <v>0</v>
      </c>
      <c r="BS79" s="613">
        <f t="shared" si="70"/>
        <v>0</v>
      </c>
      <c r="BT79" s="613">
        <f t="shared" si="70"/>
        <v>0</v>
      </c>
      <c r="BU79" s="613">
        <f t="shared" si="70"/>
        <v>0</v>
      </c>
      <c r="BV79" s="613">
        <f t="shared" si="70"/>
        <v>0</v>
      </c>
      <c r="BW79" s="613"/>
      <c r="BX79" s="664">
        <f t="shared" ref="BX79:BX84" si="71">SUM(BM79:BV79)</f>
        <v>0</v>
      </c>
    </row>
    <row r="80" spans="2:76">
      <c r="B80" s="653" t="s">
        <v>519</v>
      </c>
      <c r="D80" s="650" t="s">
        <v>1060</v>
      </c>
      <c r="E80" s="616">
        <f>INDEX(AA!$BM$13:$BM$15,MATCH($E$1,AA!$C$13:$C$15,0))</f>
        <v>4.2500000000000003E-2</v>
      </c>
      <c r="F80" s="613"/>
      <c r="G80" s="613"/>
      <c r="H80" s="613"/>
      <c r="I80" s="613"/>
      <c r="J80" s="613"/>
      <c r="K80" s="613"/>
      <c r="L80" s="613"/>
      <c r="M80" s="613"/>
      <c r="N80" s="613"/>
      <c r="O80" s="613"/>
      <c r="P80" s="613"/>
      <c r="Q80" s="613"/>
      <c r="R80" s="613"/>
      <c r="S80" s="613"/>
      <c r="T80" s="613">
        <f>SUMIFS(PCF!T$100:T$102,PCF!$C$100:$C$102,$E$1)</f>
        <v>0</v>
      </c>
      <c r="U80" s="613">
        <f>SUMIFS(PCF!U$100:U$102,PCF!$C$100:$C$102,$E$1)</f>
        <v>0</v>
      </c>
      <c r="V80" s="613">
        <f>SUMIFS(PCF!V$100:V$102,PCF!$C$100:$C$102,$E$1)</f>
        <v>-1068.4709769086069</v>
      </c>
      <c r="W80" s="613">
        <f>SUMIFS(PCF!W$100:W$102,PCF!$C$100:$C$102,$E$1)</f>
        <v>-1070.46875</v>
      </c>
      <c r="X80" s="613">
        <f>SUMIFS(PCF!X$100:X$102,PCF!$C$100:$C$102,$E$1)</f>
        <v>-1072.4702584266627</v>
      </c>
      <c r="Y80" s="613">
        <f>SUMIFS(PCF!Y$100:Y$102,PCF!$C$100:$C$102,$E$1)</f>
        <v>-1074.4755091727363</v>
      </c>
      <c r="Z80" s="613">
        <f>SUMIFS(PCF!Z$100:Z$102,PCF!$C$100:$C$102,$E$1)</f>
        <v>-1076.484509235421</v>
      </c>
      <c r="AA80" s="613">
        <f>SUMIFS(PCF!AA$100:AA$102,PCF!$C$100:$C$102,$E$1)</f>
        <v>-1078.4972656249997</v>
      </c>
      <c r="AB80" s="613">
        <f>SUMIFS(PCF!AB$100:AB$102,PCF!$C$100:$C$102,$E$1)</f>
        <v>-1080.5137853648623</v>
      </c>
      <c r="AC80" s="613">
        <f>SUMIFS(PCF!AC$100:AC$102,PCF!$C$100:$C$102,$E$1)</f>
        <v>-1082.5340754915317</v>
      </c>
      <c r="AD80" s="613">
        <f>SUMIFS(PCF!AD$100:AD$102,PCF!$C$100:$C$102,$E$1)</f>
        <v>-1084.5581430546865</v>
      </c>
      <c r="AE80" s="613">
        <f>SUMIFS(PCF!AE$100:AE$102,PCF!$C$100:$C$102,$E$1)</f>
        <v>-1086.5859951171867</v>
      </c>
      <c r="AF80" s="613">
        <f>SUMIFS(PCF!AF$100:AF$102,PCF!$C$100:$C$102,$E$1)</f>
        <v>0</v>
      </c>
      <c r="AG80" s="613">
        <f>SUMIFS(PCF!AG$100:AG$102,PCF!$C$100:$C$102,$E$1)</f>
        <v>0</v>
      </c>
      <c r="AH80" s="613">
        <f>SUMIFS(PCF!AH$100:AH$102,PCF!$C$100:$C$102,$E$1)</f>
        <v>0</v>
      </c>
      <c r="AI80" s="613">
        <f>SUMIFS(PCF!AI$100:AI$102,PCF!$C$100:$C$102,$E$1)</f>
        <v>0</v>
      </c>
      <c r="AJ80" s="613">
        <f>SUMIFS(PCF!AJ$100:AJ$102,PCF!$C$100:$C$102,$E$1)</f>
        <v>0</v>
      </c>
      <c r="AK80" s="613">
        <f>SUMIFS(PCF!AK$100:AK$102,PCF!$C$100:$C$102,$E$1)</f>
        <v>0</v>
      </c>
      <c r="AL80" s="613">
        <f>SUMIFS(PCF!AL$100:AL$102,PCF!$C$100:$C$102,$E$1)</f>
        <v>0</v>
      </c>
      <c r="AM80" s="613">
        <f>SUMIFS(PCF!AM$100:AM$102,PCF!$C$100:$C$102,$E$1)</f>
        <v>0</v>
      </c>
      <c r="AN80" s="613">
        <f>SUMIFS(PCF!AN$100:AN$102,PCF!$C$100:$C$102,$E$1)</f>
        <v>0</v>
      </c>
      <c r="AO80" s="613">
        <f>SUMIFS(PCF!AO$100:AO$102,PCF!$C$100:$C$102,$E$1)</f>
        <v>0</v>
      </c>
      <c r="AP80" s="613">
        <f>SUMIFS(PCF!AP$100:AP$102,PCF!$C$100:$C$102,$E$1)</f>
        <v>0</v>
      </c>
      <c r="AQ80" s="613">
        <f>SUMIFS(PCF!AQ$100:AQ$102,PCF!$C$100:$C$102,$E$1)</f>
        <v>0</v>
      </c>
      <c r="AR80" s="613">
        <f>SUMIFS(PCF!AR$100:AR$102,PCF!$C$100:$C$102,$E$1)</f>
        <v>0</v>
      </c>
      <c r="AS80" s="613">
        <f>SUMIFS(PCF!AS$100:AS$102,PCF!$C$100:$C$102,$E$1)</f>
        <v>0</v>
      </c>
      <c r="AT80" s="613">
        <f>SUMIFS(PCF!AT$100:AT$102,PCF!$C$100:$C$102,$E$1)</f>
        <v>0</v>
      </c>
      <c r="AU80" s="613">
        <f>SUMIFS(PCF!AU$100:AU$102,PCF!$C$100:$C$102,$E$1)</f>
        <v>0</v>
      </c>
      <c r="AV80" s="613">
        <f>SUMIFS(PCF!AV$100:AV$102,PCF!$C$100:$C$102,$E$1)</f>
        <v>0</v>
      </c>
      <c r="AW80" s="613">
        <f>SUMIFS(PCF!AW$100:AW$102,PCF!$C$100:$C$102,$E$1)</f>
        <v>0</v>
      </c>
      <c r="AX80" s="613">
        <f>SUMIFS(PCF!AX$100:AX$102,PCF!$C$100:$C$102,$E$1)</f>
        <v>0</v>
      </c>
      <c r="AY80" s="613">
        <f>SUMIFS(PCF!AY$100:AY$102,PCF!$C$100:$C$102,$E$1)</f>
        <v>0</v>
      </c>
      <c r="AZ80" s="613">
        <f>SUMIFS(PCF!AZ$100:AZ$102,PCF!$C$100:$C$102,$E$1)</f>
        <v>0</v>
      </c>
      <c r="BA80" s="613">
        <f>SUMIFS(PCF!BA$100:BA$102,PCF!$C$100:$C$102,$E$1)</f>
        <v>0</v>
      </c>
      <c r="BB80" s="613">
        <f>SUMIFS(PCF!BB$100:BB$102,PCF!$C$100:$C$102,$E$1)</f>
        <v>0</v>
      </c>
      <c r="BC80" s="613">
        <f>SUMIFS(PCF!BC$100:BC$102,PCF!$C$100:$C$102,$E$1)</f>
        <v>0</v>
      </c>
      <c r="BD80" s="613">
        <f>SUMIFS(PCF!BD$100:BD$102,PCF!$C$100:$C$102,$E$1)</f>
        <v>0</v>
      </c>
      <c r="BE80" s="613">
        <f>SUMIFS(PCF!BE$100:BE$102,PCF!$C$100:$C$102,$E$1)</f>
        <v>0</v>
      </c>
      <c r="BF80" s="613">
        <f>SUMIFS(PCF!BF$100:BF$102,PCF!$C$100:$C$102,$E$1)</f>
        <v>0</v>
      </c>
      <c r="BG80" s="613">
        <f>SUMIFS(PCF!BG$100:BG$102,PCF!$C$100:$C$102,$E$1)</f>
        <v>0</v>
      </c>
      <c r="BH80" s="613"/>
      <c r="BI80" s="651">
        <f t="shared" si="69"/>
        <v>-10775.059268396692</v>
      </c>
      <c r="BJ80" s="613"/>
      <c r="BM80" s="613">
        <f>SUMIF($T$13:$BG$13,BM$13,$T80:$BG80)</f>
        <v>-2138.9397269086066</v>
      </c>
      <c r="BN80" s="613">
        <f t="shared" si="70"/>
        <v>-4301.92754245982</v>
      </c>
      <c r="BO80" s="613">
        <f t="shared" si="70"/>
        <v>-4334.1919990282677</v>
      </c>
      <c r="BP80" s="613">
        <f t="shared" si="70"/>
        <v>0</v>
      </c>
      <c r="BQ80" s="613">
        <f t="shared" si="70"/>
        <v>0</v>
      </c>
      <c r="BR80" s="613">
        <f t="shared" si="70"/>
        <v>0</v>
      </c>
      <c r="BS80" s="613">
        <f t="shared" si="70"/>
        <v>0</v>
      </c>
      <c r="BT80" s="613">
        <f t="shared" si="70"/>
        <v>0</v>
      </c>
      <c r="BU80" s="613">
        <f t="shared" si="70"/>
        <v>0</v>
      </c>
      <c r="BV80" s="613">
        <f t="shared" si="70"/>
        <v>0</v>
      </c>
      <c r="BW80" s="613"/>
      <c r="BX80" s="652">
        <f t="shared" si="71"/>
        <v>-10775.059268396693</v>
      </c>
    </row>
    <row r="81" spans="2:76">
      <c r="B81" s="653" t="s">
        <v>879</v>
      </c>
      <c r="D81" s="650" t="s">
        <v>1061</v>
      </c>
      <c r="E81" s="662">
        <f>INDEX(AA!$BP$13:$BP$15,MATCH($E$1,AA!$C$13:$C$15,0))*12</f>
        <v>2.25</v>
      </c>
      <c r="F81" s="613"/>
      <c r="G81" s="613"/>
      <c r="H81" s="613"/>
      <c r="I81" s="613"/>
      <c r="J81" s="613"/>
      <c r="K81" s="613"/>
      <c r="L81" s="613"/>
      <c r="M81" s="613"/>
      <c r="N81" s="613"/>
      <c r="O81" s="613"/>
      <c r="P81" s="613"/>
      <c r="Q81" s="613"/>
      <c r="R81" s="613"/>
      <c r="S81" s="613"/>
      <c r="T81" s="613">
        <f>SUMIFS(PCF!T$108:T$110,PCF!$C$108:$C$110,$E$1)</f>
        <v>0</v>
      </c>
      <c r="U81" s="613">
        <f>SUMIFS(PCF!U$108:U$110,PCF!$C$108:$C$110,$E$1)</f>
        <v>0</v>
      </c>
      <c r="V81" s="613">
        <f>SUMIFS(PCF!V$108:V$110,PCF!$C$108:$C$110,$E$1)</f>
        <v>-570.91658007906028</v>
      </c>
      <c r="W81" s="613">
        <f>SUMIFS(PCF!W$108:W$110,PCF!$C$108:$C$110,$E$1)</f>
        <v>-573.75000000000011</v>
      </c>
      <c r="X81" s="613">
        <f>SUMIFS(PCF!X$108:X$110,PCF!$C$108:$C$110,$E$1)</f>
        <v>-576.59748199012586</v>
      </c>
      <c r="Y81" s="613">
        <f>SUMIFS(PCF!Y$108:Y$110,PCF!$C$108:$C$110,$E$1)</f>
        <v>-579.45909583852449</v>
      </c>
      <c r="Z81" s="613">
        <f>SUMIFS(PCF!Z$108:Z$110,PCF!$C$108:$C$110,$E$1)</f>
        <v>-582.33491168064177</v>
      </c>
      <c r="AA81" s="613">
        <f>SUMIFS(PCF!AA$108:AA$110,PCF!$C$108:$C$110,$E$1)</f>
        <v>-585.22500000000048</v>
      </c>
      <c r="AB81" s="613">
        <f>SUMIFS(PCF!AB$108:AB$110,PCF!$C$108:$C$110,$E$1)</f>
        <v>-588.1294316299286</v>
      </c>
      <c r="AC81" s="613">
        <f>SUMIFS(PCF!AC$108:AC$110,PCF!$C$108:$C$110,$E$1)</f>
        <v>-591.0482777552952</v>
      </c>
      <c r="AD81" s="613">
        <f>SUMIFS(PCF!AD$108:AD$110,PCF!$C$108:$C$110,$E$1)</f>
        <v>-593.9816099142547</v>
      </c>
      <c r="AE81" s="613">
        <f>SUMIFS(PCF!AE$108:AE$110,PCF!$C$108:$C$110,$E$1)</f>
        <v>-596.92950000000053</v>
      </c>
      <c r="AF81" s="613">
        <f>SUMIFS(PCF!AF$108:AF$110,PCF!$C$108:$C$110,$E$1)</f>
        <v>0</v>
      </c>
      <c r="AG81" s="613">
        <f>SUMIFS(PCF!AG$108:AG$110,PCF!$C$108:$C$110,$E$1)</f>
        <v>0</v>
      </c>
      <c r="AH81" s="613">
        <f>SUMIFS(PCF!AH$108:AH$110,PCF!$C$108:$C$110,$E$1)</f>
        <v>0</v>
      </c>
      <c r="AI81" s="613">
        <f>SUMIFS(PCF!AI$108:AI$110,PCF!$C$108:$C$110,$E$1)</f>
        <v>0</v>
      </c>
      <c r="AJ81" s="613">
        <f>SUMIFS(PCF!AJ$108:AJ$110,PCF!$C$108:$C$110,$E$1)</f>
        <v>0</v>
      </c>
      <c r="AK81" s="613">
        <f>SUMIFS(PCF!AK$108:AK$110,PCF!$C$108:$C$110,$E$1)</f>
        <v>0</v>
      </c>
      <c r="AL81" s="613">
        <f>SUMIFS(PCF!AL$108:AL$110,PCF!$C$108:$C$110,$E$1)</f>
        <v>0</v>
      </c>
      <c r="AM81" s="613">
        <f>SUMIFS(PCF!AM$108:AM$110,PCF!$C$108:$C$110,$E$1)</f>
        <v>0</v>
      </c>
      <c r="AN81" s="613">
        <f>SUMIFS(PCF!AN$108:AN$110,PCF!$C$108:$C$110,$E$1)</f>
        <v>0</v>
      </c>
      <c r="AO81" s="613">
        <f>SUMIFS(PCF!AO$108:AO$110,PCF!$C$108:$C$110,$E$1)</f>
        <v>0</v>
      </c>
      <c r="AP81" s="613">
        <f>SUMIFS(PCF!AP$108:AP$110,PCF!$C$108:$C$110,$E$1)</f>
        <v>0</v>
      </c>
      <c r="AQ81" s="613">
        <f>SUMIFS(PCF!AQ$108:AQ$110,PCF!$C$108:$C$110,$E$1)</f>
        <v>0</v>
      </c>
      <c r="AR81" s="613">
        <f>SUMIFS(PCF!AR$108:AR$110,PCF!$C$108:$C$110,$E$1)</f>
        <v>0</v>
      </c>
      <c r="AS81" s="613">
        <f>SUMIFS(PCF!AS$108:AS$110,PCF!$C$108:$C$110,$E$1)</f>
        <v>0</v>
      </c>
      <c r="AT81" s="613">
        <f>SUMIFS(PCF!AT$108:AT$110,PCF!$C$108:$C$110,$E$1)</f>
        <v>0</v>
      </c>
      <c r="AU81" s="613">
        <f>SUMIFS(PCF!AU$108:AU$110,PCF!$C$108:$C$110,$E$1)</f>
        <v>0</v>
      </c>
      <c r="AV81" s="613">
        <f>SUMIFS(PCF!AV$108:AV$110,PCF!$C$108:$C$110,$E$1)</f>
        <v>0</v>
      </c>
      <c r="AW81" s="613">
        <f>SUMIFS(PCF!AW$108:AW$110,PCF!$C$108:$C$110,$E$1)</f>
        <v>0</v>
      </c>
      <c r="AX81" s="613">
        <f>SUMIFS(PCF!AX$108:AX$110,PCF!$C$108:$C$110,$E$1)</f>
        <v>0</v>
      </c>
      <c r="AY81" s="613">
        <f>SUMIFS(PCF!AY$108:AY$110,PCF!$C$108:$C$110,$E$1)</f>
        <v>0</v>
      </c>
      <c r="AZ81" s="613">
        <f>SUMIFS(PCF!AZ$108:AZ$110,PCF!$C$108:$C$110,$E$1)</f>
        <v>0</v>
      </c>
      <c r="BA81" s="613">
        <f>SUMIFS(PCF!BA$108:BA$110,PCF!$C$108:$C$110,$E$1)</f>
        <v>0</v>
      </c>
      <c r="BB81" s="613">
        <f>SUMIFS(PCF!BB$108:BB$110,PCF!$C$108:$C$110,$E$1)</f>
        <v>0</v>
      </c>
      <c r="BC81" s="613">
        <f>SUMIFS(PCF!BC$108:BC$110,PCF!$C$108:$C$110,$E$1)</f>
        <v>0</v>
      </c>
      <c r="BD81" s="613">
        <f>SUMIFS(PCF!BD$108:BD$110,PCF!$C$108:$C$110,$E$1)</f>
        <v>0</v>
      </c>
      <c r="BE81" s="613">
        <f>SUMIFS(PCF!BE$108:BE$110,PCF!$C$108:$C$110,$E$1)</f>
        <v>0</v>
      </c>
      <c r="BF81" s="613">
        <f>SUMIFS(PCF!BF$108:BF$110,PCF!$C$108:$C$110,$E$1)</f>
        <v>0</v>
      </c>
      <c r="BG81" s="613">
        <f>SUMIFS(PCF!BG$108:BG$110,PCF!$C$108:$C$110,$E$1)</f>
        <v>0</v>
      </c>
      <c r="BH81" s="613"/>
      <c r="BI81" s="651">
        <f t="shared" si="69"/>
        <v>-5838.3718888878311</v>
      </c>
      <c r="BJ81" s="613"/>
      <c r="BM81" s="613">
        <f>SUMIF($T$13:$BG$13,BM$13,$T81:$BG81)</f>
        <v>-1144.6665800790604</v>
      </c>
      <c r="BN81" s="613">
        <f t="shared" si="70"/>
        <v>-2323.6164895092925</v>
      </c>
      <c r="BO81" s="613">
        <f t="shared" si="70"/>
        <v>-2370.0888192994789</v>
      </c>
      <c r="BP81" s="613">
        <f t="shared" si="70"/>
        <v>0</v>
      </c>
      <c r="BQ81" s="613">
        <f t="shared" si="70"/>
        <v>0</v>
      </c>
      <c r="BR81" s="613">
        <f t="shared" si="70"/>
        <v>0</v>
      </c>
      <c r="BS81" s="613">
        <f t="shared" si="70"/>
        <v>0</v>
      </c>
      <c r="BT81" s="613">
        <f t="shared" si="70"/>
        <v>0</v>
      </c>
      <c r="BU81" s="613">
        <f t="shared" si="70"/>
        <v>0</v>
      </c>
      <c r="BV81" s="613">
        <f t="shared" si="70"/>
        <v>0</v>
      </c>
      <c r="BW81" s="613"/>
      <c r="BX81" s="652">
        <f t="shared" si="71"/>
        <v>-5838.371888887832</v>
      </c>
    </row>
    <row r="82" spans="2:76">
      <c r="B82" s="653" t="s">
        <v>420</v>
      </c>
      <c r="D82" s="650" t="s">
        <v>1062</v>
      </c>
      <c r="E82" s="616">
        <f>INDEX(AA!$BV$13:$BV$15,MATCH($E$1,AA!$C$13:$C$15,0))</f>
        <v>1.7999999999999999E-2</v>
      </c>
      <c r="F82" s="613"/>
      <c r="G82" s="613"/>
      <c r="H82" s="613"/>
      <c r="I82" s="613"/>
      <c r="J82" s="613"/>
      <c r="K82" s="613"/>
      <c r="L82" s="613"/>
      <c r="M82" s="613"/>
      <c r="N82" s="613"/>
      <c r="O82" s="613"/>
      <c r="P82" s="613"/>
      <c r="Q82" s="613"/>
      <c r="R82" s="613"/>
      <c r="S82" s="613"/>
      <c r="T82" s="613">
        <f>SUMIFS(PCF!T$116:T$118,PCF!$C$116:$C$118,$E$1)</f>
        <v>0</v>
      </c>
      <c r="U82" s="613">
        <f>SUMIFS(PCF!U$116:U$118,PCF!$C$116:$C$118,$E$1)</f>
        <v>0</v>
      </c>
      <c r="V82" s="613">
        <f>SUMIFS(PCF!V$116:V$118,PCF!$C$116:$C$118,$E$1)</f>
        <v>-452.52888433776286</v>
      </c>
      <c r="W82" s="613">
        <f>SUMIFS(PCF!W$116:W$118,PCF!$C$116:$C$118,$E$1)</f>
        <v>-453.37499999999989</v>
      </c>
      <c r="X82" s="613">
        <f>SUMIFS(PCF!X$116:X$118,PCF!$C$116:$C$118,$E$1)</f>
        <v>-454.22269768658646</v>
      </c>
      <c r="Y82" s="613">
        <f>SUMIFS(PCF!Y$116:Y$118,PCF!$C$116:$C$118,$E$1)</f>
        <v>-455.07198035551181</v>
      </c>
      <c r="Z82" s="613">
        <f>SUMIFS(PCF!Z$116:Z$118,PCF!$C$116:$C$118,$E$1)</f>
        <v>-455.92285097029588</v>
      </c>
      <c r="AA82" s="613">
        <f>SUMIFS(PCF!AA$116:AA$118,PCF!$C$116:$C$118,$E$1)</f>
        <v>-456.77531249999976</v>
      </c>
      <c r="AB82" s="613">
        <f>SUMIFS(PCF!AB$116:AB$118,PCF!$C$116:$C$118,$E$1)</f>
        <v>-457.62936791923573</v>
      </c>
      <c r="AC82" s="613">
        <f>SUMIFS(PCF!AC$116:AC$118,PCF!$C$116:$C$118,$E$1)</f>
        <v>-458.48502020817801</v>
      </c>
      <c r="AD82" s="613">
        <f>SUMIFS(PCF!AD$116:AD$118,PCF!$C$116:$C$118,$E$1)</f>
        <v>-459.34227235257299</v>
      </c>
      <c r="AE82" s="613">
        <f>SUMIFS(PCF!AE$116:AE$118,PCF!$C$116:$C$118,$E$1)</f>
        <v>-460.20112734374959</v>
      </c>
      <c r="AF82" s="613">
        <f>SUMIFS(PCF!AF$116:AF$118,PCF!$C$116:$C$118,$E$1)</f>
        <v>0</v>
      </c>
      <c r="AG82" s="613">
        <f>SUMIFS(PCF!AG$116:AG$118,PCF!$C$116:$C$118,$E$1)</f>
        <v>0</v>
      </c>
      <c r="AH82" s="613">
        <f>SUMIFS(PCF!AH$116:AH$118,PCF!$C$116:$C$118,$E$1)</f>
        <v>0</v>
      </c>
      <c r="AI82" s="613">
        <f>SUMIFS(PCF!AI$116:AI$118,PCF!$C$116:$C$118,$E$1)</f>
        <v>0</v>
      </c>
      <c r="AJ82" s="613">
        <f>SUMIFS(PCF!AJ$116:AJ$118,PCF!$C$116:$C$118,$E$1)</f>
        <v>0</v>
      </c>
      <c r="AK82" s="613">
        <f>SUMIFS(PCF!AK$116:AK$118,PCF!$C$116:$C$118,$E$1)</f>
        <v>0</v>
      </c>
      <c r="AL82" s="613">
        <f>SUMIFS(PCF!AL$116:AL$118,PCF!$C$116:$C$118,$E$1)</f>
        <v>0</v>
      </c>
      <c r="AM82" s="613">
        <f>SUMIFS(PCF!AM$116:AM$118,PCF!$C$116:$C$118,$E$1)</f>
        <v>0</v>
      </c>
      <c r="AN82" s="613">
        <f>SUMIFS(PCF!AN$116:AN$118,PCF!$C$116:$C$118,$E$1)</f>
        <v>0</v>
      </c>
      <c r="AO82" s="613">
        <f>SUMIFS(PCF!AO$116:AO$118,PCF!$C$116:$C$118,$E$1)</f>
        <v>0</v>
      </c>
      <c r="AP82" s="613">
        <f>SUMIFS(PCF!AP$116:AP$118,PCF!$C$116:$C$118,$E$1)</f>
        <v>0</v>
      </c>
      <c r="AQ82" s="613">
        <f>SUMIFS(PCF!AQ$116:AQ$118,PCF!$C$116:$C$118,$E$1)</f>
        <v>0</v>
      </c>
      <c r="AR82" s="613">
        <f>SUMIFS(PCF!AR$116:AR$118,PCF!$C$116:$C$118,$E$1)</f>
        <v>0</v>
      </c>
      <c r="AS82" s="613">
        <f>SUMIFS(PCF!AS$116:AS$118,PCF!$C$116:$C$118,$E$1)</f>
        <v>0</v>
      </c>
      <c r="AT82" s="613">
        <f>SUMIFS(PCF!AT$116:AT$118,PCF!$C$116:$C$118,$E$1)</f>
        <v>0</v>
      </c>
      <c r="AU82" s="613">
        <f>SUMIFS(PCF!AU$116:AU$118,PCF!$C$116:$C$118,$E$1)</f>
        <v>0</v>
      </c>
      <c r="AV82" s="613">
        <f>SUMIFS(PCF!AV$116:AV$118,PCF!$C$116:$C$118,$E$1)</f>
        <v>0</v>
      </c>
      <c r="AW82" s="613">
        <f>SUMIFS(PCF!AW$116:AW$118,PCF!$C$116:$C$118,$E$1)</f>
        <v>0</v>
      </c>
      <c r="AX82" s="613">
        <f>SUMIFS(PCF!AX$116:AX$118,PCF!$C$116:$C$118,$E$1)</f>
        <v>0</v>
      </c>
      <c r="AY82" s="613">
        <f>SUMIFS(PCF!AY$116:AY$118,PCF!$C$116:$C$118,$E$1)</f>
        <v>0</v>
      </c>
      <c r="AZ82" s="613">
        <f>SUMIFS(PCF!AZ$116:AZ$118,PCF!$C$116:$C$118,$E$1)</f>
        <v>0</v>
      </c>
      <c r="BA82" s="613">
        <f>SUMIFS(PCF!BA$116:BA$118,PCF!$C$116:$C$118,$E$1)</f>
        <v>0</v>
      </c>
      <c r="BB82" s="613">
        <f>SUMIFS(PCF!BB$116:BB$118,PCF!$C$116:$C$118,$E$1)</f>
        <v>0</v>
      </c>
      <c r="BC82" s="613">
        <f>SUMIFS(PCF!BC$116:BC$118,PCF!$C$116:$C$118,$E$1)</f>
        <v>0</v>
      </c>
      <c r="BD82" s="613">
        <f>SUMIFS(PCF!BD$116:BD$118,PCF!$C$116:$C$118,$E$1)</f>
        <v>0</v>
      </c>
      <c r="BE82" s="613">
        <f>SUMIFS(PCF!BE$116:BE$118,PCF!$C$116:$C$118,$E$1)</f>
        <v>0</v>
      </c>
      <c r="BF82" s="613">
        <f>SUMIFS(PCF!BF$116:BF$118,PCF!$C$116:$C$118,$E$1)</f>
        <v>0</v>
      </c>
      <c r="BG82" s="613">
        <f>SUMIFS(PCF!BG$116:BG$118,PCF!$C$116:$C$118,$E$1)</f>
        <v>0</v>
      </c>
      <c r="BH82" s="613"/>
      <c r="BI82" s="651">
        <f t="shared" si="69"/>
        <v>-4563.5545136738929</v>
      </c>
      <c r="BJ82" s="613"/>
      <c r="BM82" s="613">
        <f>SUMIF($T$13:$BG$13,BM$13,$T82:$BG82)</f>
        <v>-905.90388433776275</v>
      </c>
      <c r="BN82" s="613">
        <f t="shared" si="70"/>
        <v>-1821.9928415123939</v>
      </c>
      <c r="BO82" s="613">
        <f t="shared" si="70"/>
        <v>-1835.6577878237363</v>
      </c>
      <c r="BP82" s="613">
        <f t="shared" si="70"/>
        <v>0</v>
      </c>
      <c r="BQ82" s="613">
        <f t="shared" si="70"/>
        <v>0</v>
      </c>
      <c r="BR82" s="613">
        <f t="shared" si="70"/>
        <v>0</v>
      </c>
      <c r="BS82" s="613">
        <f t="shared" si="70"/>
        <v>0</v>
      </c>
      <c r="BT82" s="613">
        <f t="shared" si="70"/>
        <v>0</v>
      </c>
      <c r="BU82" s="613">
        <f t="shared" si="70"/>
        <v>0</v>
      </c>
      <c r="BV82" s="613">
        <f t="shared" si="70"/>
        <v>0</v>
      </c>
      <c r="BW82" s="613"/>
      <c r="BX82" s="652">
        <f t="shared" si="71"/>
        <v>-4563.5545136738929</v>
      </c>
    </row>
    <row r="83" spans="2:76">
      <c r="B83" s="653" t="s">
        <v>878</v>
      </c>
      <c r="D83" s="650" t="s">
        <v>424</v>
      </c>
      <c r="E83" s="665"/>
      <c r="F83" s="613"/>
      <c r="G83" s="613"/>
      <c r="H83" s="613"/>
      <c r="I83" s="613"/>
      <c r="J83" s="613"/>
      <c r="K83" s="613"/>
      <c r="L83" s="613"/>
      <c r="M83" s="613"/>
      <c r="N83" s="613"/>
      <c r="O83" s="613"/>
      <c r="P83" s="613"/>
      <c r="Q83" s="613"/>
      <c r="R83" s="613"/>
      <c r="S83" s="613"/>
      <c r="T83" s="613">
        <f>SUMIFS(PCF!T$124:T$126,PCF!$C$124:$C$126,$E$1)</f>
        <v>0</v>
      </c>
      <c r="U83" s="613">
        <f>SUMIFS(PCF!U$124:U$126,PCF!$C$124:$C$126,$E$1)</f>
        <v>0</v>
      </c>
      <c r="V83" s="613">
        <f>SUMIFS(PCF!V$124:V$126,PCF!$C$124:$C$126,$E$1)</f>
        <v>0</v>
      </c>
      <c r="W83" s="613">
        <f>SUMIFS(PCF!W$124:W$126,PCF!$C$124:$C$126,$E$1)</f>
        <v>0</v>
      </c>
      <c r="X83" s="613">
        <f>SUMIFS(PCF!X$124:X$126,PCF!$C$124:$C$126,$E$1)</f>
        <v>0</v>
      </c>
      <c r="Y83" s="613">
        <f>SUMIFS(PCF!Y$124:Y$126,PCF!$C$124:$C$126,$E$1)</f>
        <v>0</v>
      </c>
      <c r="Z83" s="613">
        <f>SUMIFS(PCF!Z$124:Z$126,PCF!$C$124:$C$126,$E$1)</f>
        <v>0</v>
      </c>
      <c r="AA83" s="613">
        <f>SUMIFS(PCF!AA$124:AA$126,PCF!$C$124:$C$126,$E$1)</f>
        <v>0</v>
      </c>
      <c r="AB83" s="613">
        <f>SUMIFS(PCF!AB$124:AB$126,PCF!$C$124:$C$126,$E$1)</f>
        <v>0</v>
      </c>
      <c r="AC83" s="613">
        <f>SUMIFS(PCF!AC$124:AC$126,PCF!$C$124:$C$126,$E$1)</f>
        <v>0</v>
      </c>
      <c r="AD83" s="613">
        <f>SUMIFS(PCF!AD$124:AD$126,PCF!$C$124:$C$126,$E$1)</f>
        <v>0</v>
      </c>
      <c r="AE83" s="613">
        <f>SUMIFS(PCF!AE$124:AE$126,PCF!$C$124:$C$126,$E$1)</f>
        <v>0</v>
      </c>
      <c r="AF83" s="613">
        <f>SUMIFS(PCF!AF$124:AF$126,PCF!$C$124:$C$126,$E$1)</f>
        <v>0</v>
      </c>
      <c r="AG83" s="613">
        <f>SUMIFS(PCF!AG$124:AG$126,PCF!$C$124:$C$126,$E$1)</f>
        <v>0</v>
      </c>
      <c r="AH83" s="613">
        <f>SUMIFS(PCF!AH$124:AH$126,PCF!$C$124:$C$126,$E$1)</f>
        <v>0</v>
      </c>
      <c r="AI83" s="613">
        <f>SUMIFS(PCF!AI$124:AI$126,PCF!$C$124:$C$126,$E$1)</f>
        <v>0</v>
      </c>
      <c r="AJ83" s="613">
        <f>SUMIFS(PCF!AJ$124:AJ$126,PCF!$C$124:$C$126,$E$1)</f>
        <v>0</v>
      </c>
      <c r="AK83" s="613">
        <f>SUMIFS(PCF!AK$124:AK$126,PCF!$C$124:$C$126,$E$1)</f>
        <v>0</v>
      </c>
      <c r="AL83" s="613">
        <f>SUMIFS(PCF!AL$124:AL$126,PCF!$C$124:$C$126,$E$1)</f>
        <v>0</v>
      </c>
      <c r="AM83" s="613">
        <f>SUMIFS(PCF!AM$124:AM$126,PCF!$C$124:$C$126,$E$1)</f>
        <v>0</v>
      </c>
      <c r="AN83" s="613">
        <f>SUMIFS(PCF!AN$124:AN$126,PCF!$C$124:$C$126,$E$1)</f>
        <v>0</v>
      </c>
      <c r="AO83" s="613">
        <f>SUMIFS(PCF!AO$124:AO$126,PCF!$C$124:$C$126,$E$1)</f>
        <v>0</v>
      </c>
      <c r="AP83" s="613">
        <f>SUMIFS(PCF!AP$124:AP$126,PCF!$C$124:$C$126,$E$1)</f>
        <v>0</v>
      </c>
      <c r="AQ83" s="613">
        <f>SUMIFS(PCF!AQ$124:AQ$126,PCF!$C$124:$C$126,$E$1)</f>
        <v>0</v>
      </c>
      <c r="AR83" s="613">
        <f>SUMIFS(PCF!AR$124:AR$126,PCF!$C$124:$C$126,$E$1)</f>
        <v>0</v>
      </c>
      <c r="AS83" s="613">
        <f>SUMIFS(PCF!AS$124:AS$126,PCF!$C$124:$C$126,$E$1)</f>
        <v>0</v>
      </c>
      <c r="AT83" s="613">
        <f>SUMIFS(PCF!AT$124:AT$126,PCF!$C$124:$C$126,$E$1)</f>
        <v>0</v>
      </c>
      <c r="AU83" s="613">
        <f>SUMIFS(PCF!AU$124:AU$126,PCF!$C$124:$C$126,$E$1)</f>
        <v>0</v>
      </c>
      <c r="AV83" s="613">
        <f>SUMIFS(PCF!AV$124:AV$126,PCF!$C$124:$C$126,$E$1)</f>
        <v>0</v>
      </c>
      <c r="AW83" s="613">
        <f>SUMIFS(PCF!AW$124:AW$126,PCF!$C$124:$C$126,$E$1)</f>
        <v>0</v>
      </c>
      <c r="AX83" s="613">
        <f>SUMIFS(PCF!AX$124:AX$126,PCF!$C$124:$C$126,$E$1)</f>
        <v>0</v>
      </c>
      <c r="AY83" s="613">
        <f>SUMIFS(PCF!AY$124:AY$126,PCF!$C$124:$C$126,$E$1)</f>
        <v>0</v>
      </c>
      <c r="AZ83" s="613">
        <f>SUMIFS(PCF!AZ$124:AZ$126,PCF!$C$124:$C$126,$E$1)</f>
        <v>0</v>
      </c>
      <c r="BA83" s="613">
        <f>SUMIFS(PCF!BA$124:BA$126,PCF!$C$124:$C$126,$E$1)</f>
        <v>0</v>
      </c>
      <c r="BB83" s="613">
        <f>SUMIFS(PCF!BB$124:BB$126,PCF!$C$124:$C$126,$E$1)</f>
        <v>0</v>
      </c>
      <c r="BC83" s="613">
        <f>SUMIFS(PCF!BC$124:BC$126,PCF!$C$124:$C$126,$E$1)</f>
        <v>0</v>
      </c>
      <c r="BD83" s="613">
        <f>SUMIFS(PCF!BD$124:BD$126,PCF!$C$124:$C$126,$E$1)</f>
        <v>0</v>
      </c>
      <c r="BE83" s="613">
        <f>SUMIFS(PCF!BE$124:BE$126,PCF!$C$124:$C$126,$E$1)</f>
        <v>0</v>
      </c>
      <c r="BF83" s="613">
        <f>SUMIFS(PCF!BF$124:BF$126,PCF!$C$124:$C$126,$E$1)</f>
        <v>0</v>
      </c>
      <c r="BG83" s="613">
        <f>SUMIFS(PCF!BG$124:BG$126,PCF!$C$124:$C$126,$E$1)</f>
        <v>0</v>
      </c>
      <c r="BH83" s="613"/>
      <c r="BI83" s="651">
        <f t="shared" si="69"/>
        <v>0</v>
      </c>
      <c r="BJ83" s="613"/>
      <c r="BM83" s="613">
        <f>SUMIF($T$13:$BG$13,BM$13,$T83:$BG83)</f>
        <v>0</v>
      </c>
      <c r="BN83" s="613">
        <f t="shared" si="70"/>
        <v>0</v>
      </c>
      <c r="BO83" s="613">
        <f t="shared" si="70"/>
        <v>0</v>
      </c>
      <c r="BP83" s="613">
        <f t="shared" si="70"/>
        <v>0</v>
      </c>
      <c r="BQ83" s="613">
        <f t="shared" si="70"/>
        <v>0</v>
      </c>
      <c r="BR83" s="613">
        <f t="shared" si="70"/>
        <v>0</v>
      </c>
      <c r="BS83" s="613">
        <f t="shared" si="70"/>
        <v>0</v>
      </c>
      <c r="BT83" s="613">
        <f t="shared" si="70"/>
        <v>0</v>
      </c>
      <c r="BU83" s="613">
        <f t="shared" si="70"/>
        <v>0</v>
      </c>
      <c r="BV83" s="613">
        <f t="shared" si="70"/>
        <v>0</v>
      </c>
      <c r="BW83" s="613"/>
      <c r="BX83" s="652">
        <f t="shared" si="71"/>
        <v>0</v>
      </c>
    </row>
    <row r="84" spans="2:76">
      <c r="B84" s="607"/>
      <c r="D84" s="395" t="s">
        <v>152</v>
      </c>
      <c r="E84" s="666"/>
      <c r="F84" s="633"/>
      <c r="G84" s="633"/>
      <c r="H84" s="633"/>
      <c r="I84" s="633"/>
      <c r="J84" s="633"/>
      <c r="K84" s="633"/>
      <c r="L84" s="633"/>
      <c r="M84" s="633"/>
      <c r="N84" s="633"/>
      <c r="O84" s="633"/>
      <c r="P84" s="633"/>
      <c r="Q84" s="633"/>
      <c r="R84" s="633"/>
      <c r="S84" s="631"/>
      <c r="T84" s="631">
        <f>SUM(T79:T83)</f>
        <v>0</v>
      </c>
      <c r="U84" s="631">
        <f t="shared" ref="U84:BG84" si="72">SUM(U79:U83)</f>
        <v>0</v>
      </c>
      <c r="V84" s="631">
        <f t="shared" si="72"/>
        <v>-2091.9164413254302</v>
      </c>
      <c r="W84" s="631">
        <f t="shared" si="72"/>
        <v>-2097.59375</v>
      </c>
      <c r="X84" s="631">
        <f t="shared" si="72"/>
        <v>-2103.290438103375</v>
      </c>
      <c r="Y84" s="631">
        <f t="shared" si="72"/>
        <v>-2109.0065853667725</v>
      </c>
      <c r="Z84" s="631">
        <f t="shared" si="72"/>
        <v>-2114.7422718863586</v>
      </c>
      <c r="AA84" s="631">
        <f t="shared" si="72"/>
        <v>-2120.497578125</v>
      </c>
      <c r="AB84" s="631">
        <f t="shared" si="72"/>
        <v>-2126.2725849140265</v>
      </c>
      <c r="AC84" s="631">
        <f t="shared" si="72"/>
        <v>-2132.0673734550051</v>
      </c>
      <c r="AD84" s="631">
        <f t="shared" si="72"/>
        <v>-2137.8820253215144</v>
      </c>
      <c r="AE84" s="631">
        <f t="shared" si="72"/>
        <v>-2143.7166224609368</v>
      </c>
      <c r="AF84" s="631">
        <f t="shared" si="72"/>
        <v>0</v>
      </c>
      <c r="AG84" s="631">
        <f t="shared" si="72"/>
        <v>0</v>
      </c>
      <c r="AH84" s="631">
        <f t="shared" si="72"/>
        <v>0</v>
      </c>
      <c r="AI84" s="631">
        <f t="shared" si="72"/>
        <v>0</v>
      </c>
      <c r="AJ84" s="631">
        <f t="shared" si="72"/>
        <v>0</v>
      </c>
      <c r="AK84" s="631">
        <f t="shared" si="72"/>
        <v>0</v>
      </c>
      <c r="AL84" s="631">
        <f t="shared" si="72"/>
        <v>0</v>
      </c>
      <c r="AM84" s="631">
        <f t="shared" si="72"/>
        <v>0</v>
      </c>
      <c r="AN84" s="631">
        <f t="shared" si="72"/>
        <v>0</v>
      </c>
      <c r="AO84" s="631">
        <f t="shared" si="72"/>
        <v>0</v>
      </c>
      <c r="AP84" s="631">
        <f t="shared" si="72"/>
        <v>0</v>
      </c>
      <c r="AQ84" s="631">
        <f t="shared" si="72"/>
        <v>0</v>
      </c>
      <c r="AR84" s="631">
        <f t="shared" si="72"/>
        <v>0</v>
      </c>
      <c r="AS84" s="631">
        <f t="shared" si="72"/>
        <v>0</v>
      </c>
      <c r="AT84" s="631">
        <f t="shared" si="72"/>
        <v>0</v>
      </c>
      <c r="AU84" s="631">
        <f t="shared" si="72"/>
        <v>0</v>
      </c>
      <c r="AV84" s="631">
        <f t="shared" si="72"/>
        <v>0</v>
      </c>
      <c r="AW84" s="631">
        <f t="shared" si="72"/>
        <v>0</v>
      </c>
      <c r="AX84" s="631">
        <f t="shared" si="72"/>
        <v>0</v>
      </c>
      <c r="AY84" s="631">
        <f t="shared" si="72"/>
        <v>0</v>
      </c>
      <c r="AZ84" s="631">
        <f t="shared" si="72"/>
        <v>0</v>
      </c>
      <c r="BA84" s="631">
        <f t="shared" si="72"/>
        <v>0</v>
      </c>
      <c r="BB84" s="631">
        <f t="shared" si="72"/>
        <v>0</v>
      </c>
      <c r="BC84" s="631">
        <f t="shared" si="72"/>
        <v>0</v>
      </c>
      <c r="BD84" s="631">
        <f t="shared" si="72"/>
        <v>0</v>
      </c>
      <c r="BE84" s="631">
        <f t="shared" si="72"/>
        <v>0</v>
      </c>
      <c r="BF84" s="631">
        <f t="shared" si="72"/>
        <v>0</v>
      </c>
      <c r="BG84" s="631">
        <f t="shared" si="72"/>
        <v>0</v>
      </c>
      <c r="BH84" s="613"/>
      <c r="BI84" s="458">
        <f t="shared" si="69"/>
        <v>-21176.985670958416</v>
      </c>
      <c r="BJ84" s="613"/>
      <c r="BM84" s="631">
        <f t="shared" ref="BM84:BV84" si="73">SUM(BM79:BM83)</f>
        <v>-4189.5101913254302</v>
      </c>
      <c r="BN84" s="631">
        <f t="shared" si="73"/>
        <v>-8447.5368734815056</v>
      </c>
      <c r="BO84" s="631">
        <f t="shared" si="73"/>
        <v>-8539.9386061514833</v>
      </c>
      <c r="BP84" s="631">
        <f t="shared" si="73"/>
        <v>0</v>
      </c>
      <c r="BQ84" s="631">
        <f t="shared" si="73"/>
        <v>0</v>
      </c>
      <c r="BR84" s="631">
        <f t="shared" si="73"/>
        <v>0</v>
      </c>
      <c r="BS84" s="631">
        <f t="shared" si="73"/>
        <v>0</v>
      </c>
      <c r="BT84" s="631">
        <f t="shared" si="73"/>
        <v>0</v>
      </c>
      <c r="BU84" s="631">
        <f t="shared" si="73"/>
        <v>0</v>
      </c>
      <c r="BV84" s="631">
        <f t="shared" si="73"/>
        <v>0</v>
      </c>
      <c r="BW84" s="613"/>
      <c r="BX84" s="631">
        <f t="shared" si="71"/>
        <v>-21176.98567095842</v>
      </c>
    </row>
    <row r="85" spans="2:76" s="398" customFormat="1">
      <c r="B85" s="636"/>
      <c r="D85" s="637" t="s">
        <v>647</v>
      </c>
      <c r="E85" s="667"/>
      <c r="F85" s="668"/>
      <c r="G85" s="668"/>
      <c r="H85" s="668"/>
      <c r="I85" s="668"/>
      <c r="J85" s="668"/>
      <c r="K85" s="668"/>
      <c r="L85" s="668"/>
      <c r="M85" s="668"/>
      <c r="N85" s="668"/>
      <c r="O85" s="668"/>
      <c r="P85" s="668"/>
      <c r="Q85" s="668"/>
      <c r="R85" s="668"/>
      <c r="S85" s="668"/>
      <c r="T85" s="669">
        <f>-IF(T72=0,0,T84/T72)</f>
        <v>0</v>
      </c>
      <c r="U85" s="669">
        <f t="shared" ref="U85:BG85" si="74">-IF(U72=0,0,U84/U72)</f>
        <v>0</v>
      </c>
      <c r="V85" s="669">
        <f t="shared" si="74"/>
        <v>8.3209044211535493E-2</v>
      </c>
      <c r="W85" s="669">
        <f t="shared" si="74"/>
        <v>8.327915632754343E-2</v>
      </c>
      <c r="X85" s="669">
        <f t="shared" si="74"/>
        <v>8.3349484908355684E-2</v>
      </c>
      <c r="Y85" s="669">
        <f t="shared" si="74"/>
        <v>8.34200306222877E-2</v>
      </c>
      <c r="Z85" s="669">
        <f t="shared" si="74"/>
        <v>8.3490794139718327E-2</v>
      </c>
      <c r="AA85" s="669">
        <f t="shared" si="74"/>
        <v>8.3561776133096108E-2</v>
      </c>
      <c r="AB85" s="669">
        <f t="shared" si="74"/>
        <v>8.3632977276945714E-2</v>
      </c>
      <c r="AC85" s="669">
        <f t="shared" si="74"/>
        <v>8.3704398247874429E-2</v>
      </c>
      <c r="AD85" s="669">
        <f t="shared" si="74"/>
        <v>8.377603972457838E-2</v>
      </c>
      <c r="AE85" s="669">
        <f t="shared" si="74"/>
        <v>8.3847902387849171E-2</v>
      </c>
      <c r="AF85" s="669">
        <f t="shared" si="74"/>
        <v>0</v>
      </c>
      <c r="AG85" s="669">
        <f t="shared" si="74"/>
        <v>0</v>
      </c>
      <c r="AH85" s="669">
        <f t="shared" si="74"/>
        <v>0</v>
      </c>
      <c r="AI85" s="669">
        <f t="shared" si="74"/>
        <v>0</v>
      </c>
      <c r="AJ85" s="669">
        <f t="shared" si="74"/>
        <v>0</v>
      </c>
      <c r="AK85" s="669">
        <f t="shared" si="74"/>
        <v>0</v>
      </c>
      <c r="AL85" s="669">
        <f t="shared" si="74"/>
        <v>0</v>
      </c>
      <c r="AM85" s="669">
        <f t="shared" si="74"/>
        <v>0</v>
      </c>
      <c r="AN85" s="669">
        <f t="shared" si="74"/>
        <v>0</v>
      </c>
      <c r="AO85" s="669">
        <f t="shared" si="74"/>
        <v>0</v>
      </c>
      <c r="AP85" s="669">
        <f t="shared" si="74"/>
        <v>0</v>
      </c>
      <c r="AQ85" s="669">
        <f t="shared" si="74"/>
        <v>0</v>
      </c>
      <c r="AR85" s="669">
        <f t="shared" si="74"/>
        <v>0</v>
      </c>
      <c r="AS85" s="669">
        <f t="shared" si="74"/>
        <v>0</v>
      </c>
      <c r="AT85" s="669">
        <f t="shared" si="74"/>
        <v>0</v>
      </c>
      <c r="AU85" s="669">
        <f t="shared" si="74"/>
        <v>0</v>
      </c>
      <c r="AV85" s="669">
        <f t="shared" si="74"/>
        <v>0</v>
      </c>
      <c r="AW85" s="669">
        <f t="shared" si="74"/>
        <v>0</v>
      </c>
      <c r="AX85" s="669">
        <f t="shared" si="74"/>
        <v>0</v>
      </c>
      <c r="AY85" s="669">
        <f t="shared" si="74"/>
        <v>0</v>
      </c>
      <c r="AZ85" s="669">
        <f t="shared" si="74"/>
        <v>0</v>
      </c>
      <c r="BA85" s="669">
        <f t="shared" si="74"/>
        <v>0</v>
      </c>
      <c r="BB85" s="669">
        <f t="shared" si="74"/>
        <v>0</v>
      </c>
      <c r="BC85" s="669">
        <f t="shared" si="74"/>
        <v>0</v>
      </c>
      <c r="BD85" s="669">
        <f t="shared" si="74"/>
        <v>0</v>
      </c>
      <c r="BE85" s="669">
        <f t="shared" si="74"/>
        <v>0</v>
      </c>
      <c r="BF85" s="669">
        <f t="shared" si="74"/>
        <v>0</v>
      </c>
      <c r="BG85" s="669">
        <f t="shared" si="74"/>
        <v>0</v>
      </c>
      <c r="BH85" s="670"/>
      <c r="BI85" s="671">
        <f>-IFERROR(BI84/BI72,0)</f>
        <v>8.3528254332252416E-2</v>
      </c>
      <c r="BJ85" s="670"/>
      <c r="BM85" s="672">
        <f>-IFERROR(BM84/BM72,0)</f>
        <v>8.3244133011953145E-2</v>
      </c>
      <c r="BN85" s="672">
        <f t="shared" ref="BN85:BV85" si="75">-IFERROR(BN84/BN72,0)</f>
        <v>8.3455686684503774E-2</v>
      </c>
      <c r="BO85" s="672">
        <f t="shared" si="75"/>
        <v>8.3740496692996394E-2</v>
      </c>
      <c r="BP85" s="672">
        <f t="shared" si="75"/>
        <v>0</v>
      </c>
      <c r="BQ85" s="672">
        <f t="shared" si="75"/>
        <v>0</v>
      </c>
      <c r="BR85" s="672">
        <f t="shared" si="75"/>
        <v>0</v>
      </c>
      <c r="BS85" s="672">
        <f t="shared" si="75"/>
        <v>0</v>
      </c>
      <c r="BT85" s="672">
        <f t="shared" si="75"/>
        <v>0</v>
      </c>
      <c r="BU85" s="672">
        <f t="shared" si="75"/>
        <v>0</v>
      </c>
      <c r="BV85" s="672">
        <f t="shared" si="75"/>
        <v>0</v>
      </c>
      <c r="BW85" s="670"/>
      <c r="BX85" s="672">
        <f>-IFERROR(BX84/BX68,0)</f>
        <v>8.3528254332252444E-2</v>
      </c>
    </row>
    <row r="86" spans="2:76">
      <c r="B86" s="607"/>
      <c r="D86" s="593"/>
      <c r="F86" s="613"/>
      <c r="G86" s="613"/>
      <c r="H86" s="613"/>
      <c r="I86" s="613"/>
      <c r="J86" s="613"/>
      <c r="K86" s="613"/>
      <c r="L86" s="613"/>
      <c r="M86" s="613"/>
      <c r="N86" s="613"/>
      <c r="O86" s="613"/>
      <c r="P86" s="613"/>
      <c r="Q86" s="613"/>
      <c r="R86" s="613"/>
      <c r="S86" s="613"/>
      <c r="T86" s="673"/>
      <c r="U86" s="673"/>
      <c r="V86" s="673"/>
      <c r="W86" s="673"/>
      <c r="X86" s="673"/>
      <c r="Y86" s="673"/>
      <c r="Z86" s="673"/>
      <c r="AA86" s="673"/>
      <c r="AB86" s="673"/>
      <c r="AC86" s="673"/>
      <c r="AD86" s="673"/>
      <c r="AE86" s="673"/>
      <c r="AF86" s="673"/>
      <c r="AG86" s="673"/>
      <c r="AH86" s="673"/>
      <c r="AI86" s="673"/>
      <c r="AJ86" s="673"/>
      <c r="AK86" s="673"/>
      <c r="AL86" s="673"/>
      <c r="AM86" s="673"/>
      <c r="AN86" s="673"/>
      <c r="AO86" s="673"/>
      <c r="AP86" s="673"/>
      <c r="AQ86" s="673"/>
      <c r="AR86" s="673"/>
      <c r="AS86" s="673"/>
      <c r="AT86" s="673"/>
      <c r="AU86" s="673"/>
      <c r="AV86" s="673"/>
      <c r="AW86" s="673"/>
      <c r="AX86" s="673"/>
      <c r="AY86" s="673"/>
      <c r="AZ86" s="673"/>
      <c r="BA86" s="673"/>
      <c r="BB86" s="673"/>
      <c r="BC86" s="673"/>
      <c r="BD86" s="673"/>
      <c r="BE86" s="673"/>
      <c r="BF86" s="673"/>
      <c r="BG86" s="673"/>
      <c r="BH86" s="613"/>
      <c r="BI86" s="651"/>
      <c r="BJ86" s="613"/>
      <c r="BM86" s="613"/>
      <c r="BN86" s="613"/>
      <c r="BO86" s="613"/>
      <c r="BP86" s="613"/>
      <c r="BQ86" s="613"/>
      <c r="BR86" s="613"/>
      <c r="BS86" s="613"/>
      <c r="BT86" s="613"/>
      <c r="BU86" s="613"/>
      <c r="BV86" s="613"/>
      <c r="BW86" s="613"/>
      <c r="BX86" s="652"/>
    </row>
    <row r="87" spans="2:76">
      <c r="B87" s="607"/>
      <c r="D87" s="674" t="s">
        <v>644</v>
      </c>
      <c r="E87" s="675"/>
      <c r="F87" s="676"/>
      <c r="G87" s="676"/>
      <c r="H87" s="676"/>
      <c r="I87" s="676"/>
      <c r="J87" s="676"/>
      <c r="K87" s="676"/>
      <c r="L87" s="676"/>
      <c r="M87" s="676"/>
      <c r="N87" s="676"/>
      <c r="O87" s="676"/>
      <c r="P87" s="676"/>
      <c r="Q87" s="676"/>
      <c r="R87" s="676"/>
      <c r="S87" s="677"/>
      <c r="T87" s="677">
        <f>T84+T72</f>
        <v>0</v>
      </c>
      <c r="U87" s="677">
        <f t="shared" ref="U87:BG87" si="76">U84+U72</f>
        <v>0</v>
      </c>
      <c r="V87" s="677">
        <f t="shared" si="76"/>
        <v>23048.577132994731</v>
      </c>
      <c r="W87" s="677">
        <f t="shared" si="76"/>
        <v>23089.906249999996</v>
      </c>
      <c r="X87" s="677">
        <f t="shared" si="76"/>
        <v>23131.3038778181</v>
      </c>
      <c r="Y87" s="677">
        <f t="shared" si="76"/>
        <v>23172.770101050552</v>
      </c>
      <c r="Z87" s="677">
        <f t="shared" si="76"/>
        <v>23214.305004241192</v>
      </c>
      <c r="AA87" s="677">
        <f t="shared" si="76"/>
        <v>23255.90867187499</v>
      </c>
      <c r="AB87" s="677">
        <f t="shared" si="76"/>
        <v>23297.581188376851</v>
      </c>
      <c r="AC87" s="677">
        <f t="shared" si="76"/>
        <v>23339.322638110443</v>
      </c>
      <c r="AD87" s="677">
        <f t="shared" si="76"/>
        <v>23381.13310537699</v>
      </c>
      <c r="AE87" s="677">
        <f t="shared" si="76"/>
        <v>23423.012674414043</v>
      </c>
      <c r="AF87" s="677">
        <f t="shared" si="76"/>
        <v>0</v>
      </c>
      <c r="AG87" s="677">
        <f t="shared" si="76"/>
        <v>0</v>
      </c>
      <c r="AH87" s="677">
        <f t="shared" si="76"/>
        <v>0</v>
      </c>
      <c r="AI87" s="677">
        <f t="shared" si="76"/>
        <v>0</v>
      </c>
      <c r="AJ87" s="677">
        <f t="shared" si="76"/>
        <v>0</v>
      </c>
      <c r="AK87" s="677">
        <f t="shared" si="76"/>
        <v>0</v>
      </c>
      <c r="AL87" s="677">
        <f t="shared" si="76"/>
        <v>0</v>
      </c>
      <c r="AM87" s="677">
        <f t="shared" si="76"/>
        <v>0</v>
      </c>
      <c r="AN87" s="677">
        <f t="shared" si="76"/>
        <v>0</v>
      </c>
      <c r="AO87" s="677">
        <f t="shared" si="76"/>
        <v>0</v>
      </c>
      <c r="AP87" s="677">
        <f t="shared" si="76"/>
        <v>0</v>
      </c>
      <c r="AQ87" s="677">
        <f t="shared" si="76"/>
        <v>0</v>
      </c>
      <c r="AR87" s="677">
        <f t="shared" si="76"/>
        <v>0</v>
      </c>
      <c r="AS87" s="677">
        <f t="shared" si="76"/>
        <v>0</v>
      </c>
      <c r="AT87" s="677">
        <f t="shared" si="76"/>
        <v>0</v>
      </c>
      <c r="AU87" s="677">
        <f t="shared" si="76"/>
        <v>0</v>
      </c>
      <c r="AV87" s="677">
        <f t="shared" si="76"/>
        <v>0</v>
      </c>
      <c r="AW87" s="677">
        <f t="shared" si="76"/>
        <v>0</v>
      </c>
      <c r="AX87" s="677">
        <f t="shared" si="76"/>
        <v>0</v>
      </c>
      <c r="AY87" s="677">
        <f t="shared" si="76"/>
        <v>0</v>
      </c>
      <c r="AZ87" s="677">
        <f t="shared" si="76"/>
        <v>0</v>
      </c>
      <c r="BA87" s="677">
        <f t="shared" si="76"/>
        <v>0</v>
      </c>
      <c r="BB87" s="677">
        <f t="shared" si="76"/>
        <v>0</v>
      </c>
      <c r="BC87" s="677">
        <f t="shared" si="76"/>
        <v>0</v>
      </c>
      <c r="BD87" s="677">
        <f t="shared" si="76"/>
        <v>0</v>
      </c>
      <c r="BE87" s="677">
        <f t="shared" si="76"/>
        <v>0</v>
      </c>
      <c r="BF87" s="677">
        <f t="shared" si="76"/>
        <v>0</v>
      </c>
      <c r="BG87" s="677">
        <f t="shared" si="76"/>
        <v>0</v>
      </c>
      <c r="BH87" s="613"/>
      <c r="BI87" s="678">
        <f>SUM(T87:BG87)</f>
        <v>232353.82064425788</v>
      </c>
      <c r="BJ87" s="613"/>
      <c r="BK87" s="39" t="b">
        <f>ROUND(BI87,GA!$G$112)=ROUND(BX87,GA!$G$112)</f>
        <v>1</v>
      </c>
      <c r="BM87" s="677">
        <f t="shared" ref="BM87:BV87" si="77">BM84+BM72</f>
        <v>46138.483382994724</v>
      </c>
      <c r="BN87" s="677">
        <f t="shared" si="77"/>
        <v>92774.28765498483</v>
      </c>
      <c r="BO87" s="677">
        <f t="shared" si="77"/>
        <v>93441.049606278335</v>
      </c>
      <c r="BP87" s="677">
        <f t="shared" si="77"/>
        <v>0</v>
      </c>
      <c r="BQ87" s="677">
        <f t="shared" si="77"/>
        <v>0</v>
      </c>
      <c r="BR87" s="677">
        <f t="shared" si="77"/>
        <v>0</v>
      </c>
      <c r="BS87" s="677">
        <f t="shared" si="77"/>
        <v>0</v>
      </c>
      <c r="BT87" s="677">
        <f t="shared" si="77"/>
        <v>0</v>
      </c>
      <c r="BU87" s="677">
        <f t="shared" si="77"/>
        <v>0</v>
      </c>
      <c r="BV87" s="677">
        <f t="shared" si="77"/>
        <v>0</v>
      </c>
      <c r="BW87" s="613"/>
      <c r="BX87" s="677">
        <f>SUM(BM87:BV87)</f>
        <v>232353.82064425788</v>
      </c>
    </row>
    <row r="88" spans="2:76" s="398" customFormat="1">
      <c r="B88" s="636"/>
      <c r="D88" s="637" t="s">
        <v>646</v>
      </c>
      <c r="E88" s="667"/>
      <c r="F88" s="668"/>
      <c r="G88" s="668"/>
      <c r="H88" s="668"/>
      <c r="I88" s="668"/>
      <c r="J88" s="668"/>
      <c r="K88" s="668"/>
      <c r="L88" s="668"/>
      <c r="M88" s="668"/>
      <c r="N88" s="668"/>
      <c r="O88" s="668"/>
      <c r="P88" s="668"/>
      <c r="Q88" s="668"/>
      <c r="R88" s="668"/>
      <c r="S88" s="668"/>
      <c r="T88" s="669">
        <f>IF(T72=0,0,T87/T72)</f>
        <v>0</v>
      </c>
      <c r="U88" s="669">
        <f t="shared" ref="U88:BG88" si="78">IF(U72=0,0,U87/U72)</f>
        <v>0</v>
      </c>
      <c r="V88" s="669">
        <f t="shared" si="78"/>
        <v>0.91679095578846459</v>
      </c>
      <c r="W88" s="669">
        <f t="shared" si="78"/>
        <v>0.91672084367245654</v>
      </c>
      <c r="X88" s="669">
        <f t="shared" si="78"/>
        <v>0.91665051509164441</v>
      </c>
      <c r="Y88" s="669">
        <f t="shared" si="78"/>
        <v>0.91657996937771224</v>
      </c>
      <c r="Z88" s="669">
        <f t="shared" si="78"/>
        <v>0.91650920586028162</v>
      </c>
      <c r="AA88" s="669">
        <f t="shared" si="78"/>
        <v>0.91643822386690388</v>
      </c>
      <c r="AB88" s="669">
        <f t="shared" si="78"/>
        <v>0.91636702272305426</v>
      </c>
      <c r="AC88" s="669">
        <f t="shared" si="78"/>
        <v>0.91629560175212565</v>
      </c>
      <c r="AD88" s="669">
        <f t="shared" si="78"/>
        <v>0.91622396027542174</v>
      </c>
      <c r="AE88" s="669">
        <f t="shared" si="78"/>
        <v>0.91615209761215088</v>
      </c>
      <c r="AF88" s="669">
        <f t="shared" si="78"/>
        <v>0</v>
      </c>
      <c r="AG88" s="669">
        <f t="shared" si="78"/>
        <v>0</v>
      </c>
      <c r="AH88" s="669">
        <f t="shared" si="78"/>
        <v>0</v>
      </c>
      <c r="AI88" s="669">
        <f t="shared" si="78"/>
        <v>0</v>
      </c>
      <c r="AJ88" s="669">
        <f t="shared" si="78"/>
        <v>0</v>
      </c>
      <c r="AK88" s="669">
        <f t="shared" si="78"/>
        <v>0</v>
      </c>
      <c r="AL88" s="669">
        <f t="shared" si="78"/>
        <v>0</v>
      </c>
      <c r="AM88" s="669">
        <f t="shared" si="78"/>
        <v>0</v>
      </c>
      <c r="AN88" s="669">
        <f t="shared" si="78"/>
        <v>0</v>
      </c>
      <c r="AO88" s="669">
        <f t="shared" si="78"/>
        <v>0</v>
      </c>
      <c r="AP88" s="669">
        <f t="shared" si="78"/>
        <v>0</v>
      </c>
      <c r="AQ88" s="669">
        <f t="shared" si="78"/>
        <v>0</v>
      </c>
      <c r="AR88" s="669">
        <f t="shared" si="78"/>
        <v>0</v>
      </c>
      <c r="AS88" s="669">
        <f t="shared" si="78"/>
        <v>0</v>
      </c>
      <c r="AT88" s="669">
        <f t="shared" si="78"/>
        <v>0</v>
      </c>
      <c r="AU88" s="669">
        <f t="shared" si="78"/>
        <v>0</v>
      </c>
      <c r="AV88" s="669">
        <f t="shared" si="78"/>
        <v>0</v>
      </c>
      <c r="AW88" s="669">
        <f t="shared" si="78"/>
        <v>0</v>
      </c>
      <c r="AX88" s="669">
        <f t="shared" si="78"/>
        <v>0</v>
      </c>
      <c r="AY88" s="669">
        <f t="shared" si="78"/>
        <v>0</v>
      </c>
      <c r="AZ88" s="669">
        <f t="shared" si="78"/>
        <v>0</v>
      </c>
      <c r="BA88" s="669">
        <f t="shared" si="78"/>
        <v>0</v>
      </c>
      <c r="BB88" s="669">
        <f t="shared" si="78"/>
        <v>0</v>
      </c>
      <c r="BC88" s="669">
        <f t="shared" si="78"/>
        <v>0</v>
      </c>
      <c r="BD88" s="669">
        <f t="shared" si="78"/>
        <v>0</v>
      </c>
      <c r="BE88" s="669">
        <f t="shared" si="78"/>
        <v>0</v>
      </c>
      <c r="BF88" s="669">
        <f t="shared" si="78"/>
        <v>0</v>
      </c>
      <c r="BG88" s="669">
        <f t="shared" si="78"/>
        <v>0</v>
      </c>
      <c r="BH88" s="670"/>
      <c r="BI88" s="671">
        <f>IFERROR(BI87/BI72,0)</f>
        <v>0.91647174566774747</v>
      </c>
      <c r="BJ88" s="670"/>
      <c r="BM88" s="669">
        <f t="shared" ref="BM88:BV88" si="79">IFERROR(BM87/BM72,0)</f>
        <v>0.91675586698804679</v>
      </c>
      <c r="BN88" s="669">
        <f t="shared" si="79"/>
        <v>0.91654431331549613</v>
      </c>
      <c r="BO88" s="669">
        <f t="shared" si="79"/>
        <v>0.91625950330700368</v>
      </c>
      <c r="BP88" s="669">
        <f t="shared" si="79"/>
        <v>0</v>
      </c>
      <c r="BQ88" s="669">
        <f t="shared" si="79"/>
        <v>0</v>
      </c>
      <c r="BR88" s="669">
        <f t="shared" si="79"/>
        <v>0</v>
      </c>
      <c r="BS88" s="669">
        <f t="shared" si="79"/>
        <v>0</v>
      </c>
      <c r="BT88" s="669">
        <f t="shared" si="79"/>
        <v>0</v>
      </c>
      <c r="BU88" s="669">
        <f t="shared" si="79"/>
        <v>0</v>
      </c>
      <c r="BV88" s="669">
        <f t="shared" si="79"/>
        <v>0</v>
      </c>
      <c r="BW88" s="670"/>
      <c r="BX88" s="669">
        <f>IFERROR(BX87/BX72,0)</f>
        <v>0.91647174566774758</v>
      </c>
    </row>
    <row r="89" spans="2:76">
      <c r="B89" s="607"/>
      <c r="D89" s="593"/>
      <c r="F89" s="613"/>
      <c r="G89" s="613"/>
      <c r="H89" s="613"/>
      <c r="I89" s="613"/>
      <c r="J89" s="613"/>
      <c r="K89" s="613"/>
      <c r="L89" s="613"/>
      <c r="M89" s="613"/>
      <c r="N89" s="613"/>
      <c r="O89" s="613"/>
      <c r="P89" s="613"/>
      <c r="Q89" s="613"/>
      <c r="R89" s="613"/>
      <c r="S89" s="613"/>
      <c r="T89" s="613"/>
      <c r="U89" s="613"/>
      <c r="V89" s="613"/>
      <c r="W89" s="613"/>
      <c r="X89" s="613"/>
      <c r="Y89" s="613"/>
      <c r="Z89" s="613"/>
      <c r="AA89" s="613"/>
      <c r="AB89" s="613"/>
      <c r="AC89" s="613"/>
      <c r="AD89" s="613"/>
      <c r="AE89" s="613"/>
      <c r="AF89" s="613"/>
      <c r="AG89" s="613"/>
      <c r="AH89" s="613"/>
      <c r="AI89" s="613"/>
      <c r="AJ89" s="613"/>
      <c r="AK89" s="613"/>
      <c r="AL89" s="613"/>
      <c r="AM89" s="613"/>
      <c r="AN89" s="613"/>
      <c r="AO89" s="613"/>
      <c r="AP89" s="613"/>
      <c r="AQ89" s="613"/>
      <c r="AR89" s="613"/>
      <c r="AS89" s="613"/>
      <c r="AT89" s="613"/>
      <c r="AU89" s="613"/>
      <c r="AV89" s="613"/>
      <c r="AW89" s="613"/>
      <c r="AX89" s="613"/>
      <c r="AY89" s="613"/>
      <c r="AZ89" s="613"/>
      <c r="BA89" s="613"/>
      <c r="BB89" s="613"/>
      <c r="BC89" s="613"/>
      <c r="BD89" s="613"/>
      <c r="BE89" s="613"/>
      <c r="BF89" s="613"/>
      <c r="BG89" s="613"/>
      <c r="BH89" s="613"/>
      <c r="BI89" s="651"/>
      <c r="BJ89" s="613"/>
      <c r="BM89" s="613"/>
      <c r="BN89" s="613"/>
      <c r="BO89" s="613"/>
      <c r="BP89" s="613"/>
      <c r="BQ89" s="613"/>
      <c r="BR89" s="613"/>
      <c r="BS89" s="613"/>
      <c r="BT89" s="613"/>
      <c r="BU89" s="613"/>
      <c r="BV89" s="613"/>
      <c r="BW89" s="613"/>
      <c r="BX89" s="652"/>
    </row>
    <row r="90" spans="2:76">
      <c r="B90" s="607"/>
      <c r="D90" s="679" t="s">
        <v>1063</v>
      </c>
      <c r="F90" s="613"/>
      <c r="G90" s="613"/>
      <c r="H90" s="613"/>
      <c r="I90" s="613"/>
      <c r="J90" s="613"/>
      <c r="K90" s="613"/>
      <c r="L90" s="613"/>
      <c r="M90" s="613"/>
      <c r="N90" s="613"/>
      <c r="O90" s="613"/>
      <c r="P90" s="613"/>
      <c r="Q90" s="613"/>
      <c r="R90" s="613"/>
      <c r="S90" s="613"/>
      <c r="T90" s="613"/>
      <c r="U90" s="613"/>
      <c r="V90" s="613"/>
      <c r="W90" s="613"/>
      <c r="X90" s="613"/>
      <c r="Y90" s="613"/>
      <c r="Z90" s="613"/>
      <c r="AA90" s="613"/>
      <c r="AB90" s="613"/>
      <c r="AC90" s="613"/>
      <c r="AD90" s="613"/>
      <c r="AE90" s="613"/>
      <c r="AF90" s="613"/>
      <c r="AG90" s="613"/>
      <c r="AH90" s="613"/>
      <c r="AI90" s="613"/>
      <c r="AJ90" s="613"/>
      <c r="AK90" s="613"/>
      <c r="AL90" s="613"/>
      <c r="AM90" s="613"/>
      <c r="AN90" s="613"/>
      <c r="AO90" s="613"/>
      <c r="AP90" s="613"/>
      <c r="AQ90" s="613"/>
      <c r="AR90" s="613"/>
      <c r="AS90" s="613"/>
      <c r="AT90" s="613"/>
      <c r="AU90" s="613"/>
      <c r="AV90" s="613"/>
      <c r="AW90" s="613"/>
      <c r="AX90" s="613"/>
      <c r="AY90" s="613"/>
      <c r="AZ90" s="613"/>
      <c r="BA90" s="613"/>
      <c r="BB90" s="613"/>
      <c r="BC90" s="613"/>
      <c r="BD90" s="613"/>
      <c r="BE90" s="613"/>
      <c r="BF90" s="613"/>
      <c r="BG90" s="613"/>
      <c r="BH90" s="613"/>
      <c r="BI90" s="651"/>
      <c r="BJ90" s="613"/>
      <c r="BM90" s="613"/>
      <c r="BN90" s="613"/>
      <c r="BO90" s="613"/>
      <c r="BP90" s="613"/>
      <c r="BQ90" s="613"/>
      <c r="BR90" s="613"/>
      <c r="BS90" s="613"/>
      <c r="BT90" s="613"/>
      <c r="BU90" s="613"/>
      <c r="BV90" s="613"/>
      <c r="BW90" s="613"/>
      <c r="BX90" s="652"/>
    </row>
    <row r="91" spans="2:76">
      <c r="B91" s="653" t="s">
        <v>439</v>
      </c>
      <c r="D91" s="194" t="s">
        <v>651</v>
      </c>
      <c r="E91" s="1500">
        <f>GA!G124</f>
        <v>0</v>
      </c>
      <c r="F91" s="621"/>
      <c r="G91" s="621"/>
      <c r="H91" s="621"/>
      <c r="I91" s="621"/>
      <c r="J91" s="621"/>
      <c r="K91" s="621"/>
      <c r="L91" s="621"/>
      <c r="M91" s="621"/>
      <c r="N91" s="621"/>
      <c r="O91" s="621"/>
      <c r="P91" s="621"/>
      <c r="Q91" s="621"/>
      <c r="R91" s="621"/>
      <c r="S91" s="621"/>
      <c r="T91" s="621">
        <f>SUMIFS(PCF!T$139:T$141,PCF!$C$139:$C$141,$E$1)</f>
        <v>0</v>
      </c>
      <c r="U91" s="621">
        <f>SUMIFS(PCF!U$139:U$141,PCF!$C$139:$C$141,$E$1)</f>
        <v>0</v>
      </c>
      <c r="V91" s="621">
        <f>SUMIFS(PCF!V$139:V$141,PCF!$C$139:$C$141,$E$1)</f>
        <v>0</v>
      </c>
      <c r="W91" s="621">
        <f>SUMIFS(PCF!W$139:W$141,PCF!$C$139:$C$141,$E$1)</f>
        <v>0</v>
      </c>
      <c r="X91" s="621">
        <f>SUMIFS(PCF!X$139:X$141,PCF!$C$139:$C$141,$E$1)</f>
        <v>0</v>
      </c>
      <c r="Y91" s="621">
        <f>SUMIFS(PCF!Y$139:Y$141,PCF!$C$139:$C$141,$E$1)</f>
        <v>0</v>
      </c>
      <c r="Z91" s="621">
        <f>SUMIFS(PCF!Z$139:Z$141,PCF!$C$139:$C$141,$E$1)</f>
        <v>0</v>
      </c>
      <c r="AA91" s="621">
        <f>SUMIFS(PCF!AA$139:AA$141,PCF!$C$139:$C$141,$E$1)</f>
        <v>0</v>
      </c>
      <c r="AB91" s="621">
        <f>SUMIFS(PCF!AB$139:AB$141,PCF!$C$139:$C$141,$E$1)</f>
        <v>0</v>
      </c>
      <c r="AC91" s="621">
        <f>SUMIFS(PCF!AC$139:AC$141,PCF!$C$139:$C$141,$E$1)</f>
        <v>0</v>
      </c>
      <c r="AD91" s="621">
        <f>SUMIFS(PCF!AD$139:AD$141,PCF!$C$139:$C$141,$E$1)</f>
        <v>0</v>
      </c>
      <c r="AE91" s="621">
        <f>SUMIFS(PCF!AE$139:AE$141,PCF!$C$139:$C$141,$E$1)</f>
        <v>0</v>
      </c>
      <c r="AF91" s="621">
        <f>SUMIFS(PCF!AF$139:AF$141,PCF!$C$139:$C$141,$E$1)</f>
        <v>0</v>
      </c>
      <c r="AG91" s="621">
        <f>SUMIFS(PCF!AG$139:AG$141,PCF!$C$139:$C$141,$E$1)</f>
        <v>0</v>
      </c>
      <c r="AH91" s="621">
        <f>SUMIFS(PCF!AH$139:AH$141,PCF!$C$139:$C$141,$E$1)</f>
        <v>0</v>
      </c>
      <c r="AI91" s="621">
        <f>SUMIFS(PCF!AI$139:AI$141,PCF!$C$139:$C$141,$E$1)</f>
        <v>0</v>
      </c>
      <c r="AJ91" s="621">
        <f>SUMIFS(PCF!AJ$139:AJ$141,PCF!$C$139:$C$141,$E$1)</f>
        <v>0</v>
      </c>
      <c r="AK91" s="621">
        <f>SUMIFS(PCF!AK$139:AK$141,PCF!$C$139:$C$141,$E$1)</f>
        <v>0</v>
      </c>
      <c r="AL91" s="621">
        <f>SUMIFS(PCF!AL$139:AL$141,PCF!$C$139:$C$141,$E$1)</f>
        <v>0</v>
      </c>
      <c r="AM91" s="621">
        <f>SUMIFS(PCF!AM$139:AM$141,PCF!$C$139:$C$141,$E$1)</f>
        <v>0</v>
      </c>
      <c r="AN91" s="621">
        <f>SUMIFS(PCF!AN$139:AN$141,PCF!$C$139:$C$141,$E$1)</f>
        <v>0</v>
      </c>
      <c r="AO91" s="621">
        <f>SUMIFS(PCF!AO$139:AO$141,PCF!$C$139:$C$141,$E$1)</f>
        <v>0</v>
      </c>
      <c r="AP91" s="621">
        <f>SUMIFS(PCF!AP$139:AP$141,PCF!$C$139:$C$141,$E$1)</f>
        <v>0</v>
      </c>
      <c r="AQ91" s="621">
        <f>SUMIFS(PCF!AQ$139:AQ$141,PCF!$C$139:$C$141,$E$1)</f>
        <v>0</v>
      </c>
      <c r="AR91" s="621">
        <f>SUMIFS(PCF!AR$139:AR$141,PCF!$C$139:$C$141,$E$1)</f>
        <v>0</v>
      </c>
      <c r="AS91" s="621">
        <f>SUMIFS(PCF!AS$139:AS$141,PCF!$C$139:$C$141,$E$1)</f>
        <v>0</v>
      </c>
      <c r="AT91" s="621">
        <f>SUMIFS(PCF!AT$139:AT$141,PCF!$C$139:$C$141,$E$1)</f>
        <v>0</v>
      </c>
      <c r="AU91" s="621">
        <f>SUMIFS(PCF!AU$139:AU$141,PCF!$C$139:$C$141,$E$1)</f>
        <v>0</v>
      </c>
      <c r="AV91" s="621">
        <f>SUMIFS(PCF!AV$139:AV$141,PCF!$C$139:$C$141,$E$1)</f>
        <v>0</v>
      </c>
      <c r="AW91" s="621">
        <f>SUMIFS(PCF!AW$139:AW$141,PCF!$C$139:$C$141,$E$1)</f>
        <v>0</v>
      </c>
      <c r="AX91" s="621">
        <f>SUMIFS(PCF!AX$139:AX$141,PCF!$C$139:$C$141,$E$1)</f>
        <v>0</v>
      </c>
      <c r="AY91" s="621">
        <f>SUMIFS(PCF!AY$139:AY$141,PCF!$C$139:$C$141,$E$1)</f>
        <v>0</v>
      </c>
      <c r="AZ91" s="621">
        <f>SUMIFS(PCF!AZ$139:AZ$141,PCF!$C$139:$C$141,$E$1)</f>
        <v>0</v>
      </c>
      <c r="BA91" s="621">
        <f>SUMIFS(PCF!BA$139:BA$141,PCF!$C$139:$C$141,$E$1)</f>
        <v>0</v>
      </c>
      <c r="BB91" s="621">
        <f>SUMIFS(PCF!BB$139:BB$141,PCF!$C$139:$C$141,$E$1)</f>
        <v>0</v>
      </c>
      <c r="BC91" s="621">
        <f>SUMIFS(PCF!BC$139:BC$141,PCF!$C$139:$C$141,$E$1)</f>
        <v>0</v>
      </c>
      <c r="BD91" s="621">
        <f>SUMIFS(PCF!BD$139:BD$141,PCF!$C$139:$C$141,$E$1)</f>
        <v>0</v>
      </c>
      <c r="BE91" s="621">
        <f>SUMIFS(PCF!BE$139:BE$141,PCF!$C$139:$C$141,$E$1)</f>
        <v>0</v>
      </c>
      <c r="BF91" s="621">
        <f>SUMIFS(PCF!BF$139:BF$141,PCF!$C$139:$C$141,$E$1)</f>
        <v>0</v>
      </c>
      <c r="BG91" s="621">
        <f>SUMIFS(PCF!BG$139:BG$141,PCF!$C$139:$C$141,$E$1)</f>
        <v>0</v>
      </c>
      <c r="BH91" s="613"/>
      <c r="BI91" s="663">
        <f>SUM(T91:BG91)</f>
        <v>0</v>
      </c>
      <c r="BJ91" s="613"/>
      <c r="BM91" s="621">
        <f>SUMIF($T$13:$BG$13,BM$13,$T91:$BG91)</f>
        <v>0</v>
      </c>
      <c r="BN91" s="621">
        <f t="shared" ref="BN91:BV93" si="80">SUMIF($T$13:$BG$13,BN$13,$T91:$BG91)</f>
        <v>0</v>
      </c>
      <c r="BO91" s="621">
        <f t="shared" si="80"/>
        <v>0</v>
      </c>
      <c r="BP91" s="621">
        <f t="shared" si="80"/>
        <v>0</v>
      </c>
      <c r="BQ91" s="621">
        <f t="shared" si="80"/>
        <v>0</v>
      </c>
      <c r="BR91" s="621">
        <f t="shared" si="80"/>
        <v>0</v>
      </c>
      <c r="BS91" s="621">
        <f t="shared" si="80"/>
        <v>0</v>
      </c>
      <c r="BT91" s="621">
        <f t="shared" si="80"/>
        <v>0</v>
      </c>
      <c r="BU91" s="621">
        <f t="shared" si="80"/>
        <v>0</v>
      </c>
      <c r="BV91" s="621">
        <f t="shared" si="80"/>
        <v>0</v>
      </c>
      <c r="BW91" s="613"/>
      <c r="BX91" s="664">
        <f>SUM(BM91:BV91)</f>
        <v>0</v>
      </c>
    </row>
    <row r="92" spans="2:76">
      <c r="B92" s="653" t="s">
        <v>885</v>
      </c>
      <c r="D92" s="77" t="s">
        <v>653</v>
      </c>
      <c r="E92" s="1226">
        <f>GA!G126</f>
        <v>3.0000000000000001E-3</v>
      </c>
      <c r="F92" s="613"/>
      <c r="G92" s="613"/>
      <c r="H92" s="613"/>
      <c r="I92" s="613"/>
      <c r="J92" s="613"/>
      <c r="K92" s="613"/>
      <c r="L92" s="613"/>
      <c r="M92" s="613"/>
      <c r="N92" s="613"/>
      <c r="O92" s="613"/>
      <c r="P92" s="613"/>
      <c r="Q92" s="613"/>
      <c r="R92" s="613"/>
      <c r="S92" s="613"/>
      <c r="T92" s="613">
        <f>SUMIFS(PCF!T$146:T$148,PCF!$C$146:$C$148,$E$1)</f>
        <v>0</v>
      </c>
      <c r="U92" s="613">
        <f>SUMIFS(PCF!U$146:U$148,PCF!$C$146:$C$148,$E$1)</f>
        <v>0</v>
      </c>
      <c r="V92" s="613">
        <f>SUMIFS(PCF!V$146:V$148,PCF!$C$146:$C$148,$E$1)</f>
        <v>-1386.8631732942197</v>
      </c>
      <c r="W92" s="613">
        <f>SUMIFS(PCF!W$146:W$148,PCF!$C$146:$C$148,$E$1)</f>
        <v>-1386.8631732942197</v>
      </c>
      <c r="X92" s="613">
        <f>SUMIFS(PCF!X$146:X$148,PCF!$C$146:$C$148,$E$1)</f>
        <v>-1386.8631732942197</v>
      </c>
      <c r="Y92" s="613">
        <f>SUMIFS(PCF!Y$146:Y$148,PCF!$C$146:$C$148,$E$1)</f>
        <v>-1386.8631732942197</v>
      </c>
      <c r="Z92" s="613">
        <f>SUMIFS(PCF!Z$146:Z$148,PCF!$C$146:$C$148,$E$1)</f>
        <v>-1386.8631732942197</v>
      </c>
      <c r="AA92" s="613">
        <f>SUMIFS(PCF!AA$146:AA$148,PCF!$C$146:$C$148,$E$1)</f>
        <v>-1386.8631732942197</v>
      </c>
      <c r="AB92" s="613">
        <f>SUMIFS(PCF!AB$146:AB$148,PCF!$C$146:$C$148,$E$1)</f>
        <v>-1386.8631732942197</v>
      </c>
      <c r="AC92" s="613">
        <f>SUMIFS(PCF!AC$146:AC$148,PCF!$C$146:$C$148,$E$1)</f>
        <v>-1386.8631732942197</v>
      </c>
      <c r="AD92" s="613">
        <f>SUMIFS(PCF!AD$146:AD$148,PCF!$C$146:$C$148,$E$1)</f>
        <v>-1386.8631732942197</v>
      </c>
      <c r="AE92" s="613">
        <f>SUMIFS(PCF!AE$146:AE$148,PCF!$C$146:$C$148,$E$1)</f>
        <v>-1386.8631732942197</v>
      </c>
      <c r="AF92" s="613">
        <f>SUMIFS(PCF!AF$146:AF$148,PCF!$C$146:$C$148,$E$1)</f>
        <v>0</v>
      </c>
      <c r="AG92" s="613">
        <f>SUMIFS(PCF!AG$146:AG$148,PCF!$C$146:$C$148,$E$1)</f>
        <v>0</v>
      </c>
      <c r="AH92" s="613">
        <f>SUMIFS(PCF!AH$146:AH$148,PCF!$C$146:$C$148,$E$1)</f>
        <v>0</v>
      </c>
      <c r="AI92" s="613">
        <f>SUMIFS(PCF!AI$146:AI$148,PCF!$C$146:$C$148,$E$1)</f>
        <v>0</v>
      </c>
      <c r="AJ92" s="613">
        <f>SUMIFS(PCF!AJ$146:AJ$148,PCF!$C$146:$C$148,$E$1)</f>
        <v>0</v>
      </c>
      <c r="AK92" s="613">
        <f>SUMIFS(PCF!AK$146:AK$148,PCF!$C$146:$C$148,$E$1)</f>
        <v>0</v>
      </c>
      <c r="AL92" s="613">
        <f>SUMIFS(PCF!AL$146:AL$148,PCF!$C$146:$C$148,$E$1)</f>
        <v>0</v>
      </c>
      <c r="AM92" s="613">
        <f>SUMIFS(PCF!AM$146:AM$148,PCF!$C$146:$C$148,$E$1)</f>
        <v>0</v>
      </c>
      <c r="AN92" s="613">
        <f>SUMIFS(PCF!AN$146:AN$148,PCF!$C$146:$C$148,$E$1)</f>
        <v>0</v>
      </c>
      <c r="AO92" s="613">
        <f>SUMIFS(PCF!AO$146:AO$148,PCF!$C$146:$C$148,$E$1)</f>
        <v>0</v>
      </c>
      <c r="AP92" s="613">
        <f>SUMIFS(PCF!AP$146:AP$148,PCF!$C$146:$C$148,$E$1)</f>
        <v>0</v>
      </c>
      <c r="AQ92" s="613">
        <f>SUMIFS(PCF!AQ$146:AQ$148,PCF!$C$146:$C$148,$E$1)</f>
        <v>0</v>
      </c>
      <c r="AR92" s="613">
        <f>SUMIFS(PCF!AR$146:AR$148,PCF!$C$146:$C$148,$E$1)</f>
        <v>0</v>
      </c>
      <c r="AS92" s="613">
        <f>SUMIFS(PCF!AS$146:AS$148,PCF!$C$146:$C$148,$E$1)</f>
        <v>0</v>
      </c>
      <c r="AT92" s="613">
        <f>SUMIFS(PCF!AT$146:AT$148,PCF!$C$146:$C$148,$E$1)</f>
        <v>0</v>
      </c>
      <c r="AU92" s="613">
        <f>SUMIFS(PCF!AU$146:AU$148,PCF!$C$146:$C$148,$E$1)</f>
        <v>0</v>
      </c>
      <c r="AV92" s="613">
        <f>SUMIFS(PCF!AV$146:AV$148,PCF!$C$146:$C$148,$E$1)</f>
        <v>0</v>
      </c>
      <c r="AW92" s="613">
        <f>SUMIFS(PCF!AW$146:AW$148,PCF!$C$146:$C$148,$E$1)</f>
        <v>0</v>
      </c>
      <c r="AX92" s="613">
        <f>SUMIFS(PCF!AX$146:AX$148,PCF!$C$146:$C$148,$E$1)</f>
        <v>0</v>
      </c>
      <c r="AY92" s="613">
        <f>SUMIFS(PCF!AY$146:AY$148,PCF!$C$146:$C$148,$E$1)</f>
        <v>0</v>
      </c>
      <c r="AZ92" s="613">
        <f>SUMIFS(PCF!AZ$146:AZ$148,PCF!$C$146:$C$148,$E$1)</f>
        <v>0</v>
      </c>
      <c r="BA92" s="613">
        <f>SUMIFS(PCF!BA$146:BA$148,PCF!$C$146:$C$148,$E$1)</f>
        <v>0</v>
      </c>
      <c r="BB92" s="613">
        <f>SUMIFS(PCF!BB$146:BB$148,PCF!$C$146:$C$148,$E$1)</f>
        <v>0</v>
      </c>
      <c r="BC92" s="613">
        <f>SUMIFS(PCF!BC$146:BC$148,PCF!$C$146:$C$148,$E$1)</f>
        <v>0</v>
      </c>
      <c r="BD92" s="613">
        <f>SUMIFS(PCF!BD$146:BD$148,PCF!$C$146:$C$148,$E$1)</f>
        <v>0</v>
      </c>
      <c r="BE92" s="613">
        <f>SUMIFS(PCF!BE$146:BE$148,PCF!$C$146:$C$148,$E$1)</f>
        <v>0</v>
      </c>
      <c r="BF92" s="613">
        <f>SUMIFS(PCF!BF$146:BF$148,PCF!$C$146:$C$148,$E$1)</f>
        <v>0</v>
      </c>
      <c r="BG92" s="613">
        <f>SUMIFS(PCF!BG$146:BG$148,PCF!$C$146:$C$148,$E$1)</f>
        <v>0</v>
      </c>
      <c r="BH92" s="613"/>
      <c r="BI92" s="651">
        <f>SUM(T92:BG92)</f>
        <v>-13868.631732942196</v>
      </c>
      <c r="BJ92" s="613"/>
      <c r="BM92" s="628">
        <f>SUMIF($T$13:$BG$13,BM$13,$T92:$BG92)</f>
        <v>-2773.7263465884394</v>
      </c>
      <c r="BN92" s="628">
        <f t="shared" si="80"/>
        <v>-5547.4526931768787</v>
      </c>
      <c r="BO92" s="628">
        <f t="shared" si="80"/>
        <v>-5547.4526931768787</v>
      </c>
      <c r="BP92" s="628">
        <f t="shared" si="80"/>
        <v>0</v>
      </c>
      <c r="BQ92" s="628">
        <f t="shared" si="80"/>
        <v>0</v>
      </c>
      <c r="BR92" s="628">
        <f t="shared" si="80"/>
        <v>0</v>
      </c>
      <c r="BS92" s="628">
        <f t="shared" si="80"/>
        <v>0</v>
      </c>
      <c r="BT92" s="628">
        <f t="shared" si="80"/>
        <v>0</v>
      </c>
      <c r="BU92" s="628">
        <f t="shared" si="80"/>
        <v>0</v>
      </c>
      <c r="BV92" s="628">
        <f t="shared" si="80"/>
        <v>0</v>
      </c>
      <c r="BW92" s="613"/>
      <c r="BX92" s="654">
        <f>SUM(BM92:BV92)</f>
        <v>-13868.631732942198</v>
      </c>
    </row>
    <row r="93" spans="2:76">
      <c r="B93" s="653"/>
      <c r="D93" s="593" t="s">
        <v>654</v>
      </c>
      <c r="E93" s="700"/>
      <c r="F93" s="613"/>
      <c r="G93" s="613"/>
      <c r="H93" s="613"/>
      <c r="I93" s="613"/>
      <c r="J93" s="613"/>
      <c r="K93" s="613"/>
      <c r="L93" s="613"/>
      <c r="M93" s="613"/>
      <c r="N93" s="613"/>
      <c r="O93" s="613"/>
      <c r="P93" s="613"/>
      <c r="Q93" s="613"/>
      <c r="R93" s="613"/>
      <c r="S93" s="613"/>
      <c r="T93" s="613">
        <f>SUMIFS(PCF!T$153:T$155,PCF!$C$153:$C$155,$E$1)</f>
        <v>0</v>
      </c>
      <c r="U93" s="613">
        <f>SUMIFS(PCF!U$153:U$155,PCF!$C$153:$C$155,$E$1)</f>
        <v>0</v>
      </c>
      <c r="V93" s="613">
        <f>SUMIFS(PCF!V$153:V$155,PCF!$C$153:$C$155,$E$1)</f>
        <v>-4229.0117042893344</v>
      </c>
      <c r="W93" s="613">
        <f>SUMIFS(PCF!W$153:W$155,PCF!$C$153:$C$155,$E$1)</f>
        <v>-4250</v>
      </c>
      <c r="X93" s="613">
        <f>SUMIFS(PCF!X$153:X$155,PCF!$C$153:$C$155,$E$1)</f>
        <v>-4271.0924591861167</v>
      </c>
      <c r="Y93" s="613">
        <f>SUMIFS(PCF!Y$153:Y$155,PCF!$C$153:$C$155,$E$1)</f>
        <v>-4292.2895988038845</v>
      </c>
      <c r="Z93" s="613">
        <f>SUMIFS(PCF!Z$153:Z$155,PCF!$C$153:$C$155,$E$1)</f>
        <v>-4313.5919383751234</v>
      </c>
      <c r="AA93" s="613">
        <f>SUMIFS(PCF!AA$153:AA$155,PCF!$C$153:$C$155,$E$1)</f>
        <v>-4335.0000000000027</v>
      </c>
      <c r="AB93" s="613">
        <f>SUMIFS(PCF!AB$153:AB$155,PCF!$C$153:$C$155,$E$1)</f>
        <v>-4356.5143083698413</v>
      </c>
      <c r="AC93" s="613">
        <f>SUMIFS(PCF!AC$153:AC$155,PCF!$C$153:$C$155,$E$1)</f>
        <v>-4378.1353907799639</v>
      </c>
      <c r="AD93" s="613">
        <f>SUMIFS(PCF!AD$153:AD$155,PCF!$C$153:$C$155,$E$1)</f>
        <v>-4399.8637771426265</v>
      </c>
      <c r="AE93" s="613">
        <f>SUMIFS(PCF!AE$153:AE$155,PCF!$C$153:$C$155,$E$1)</f>
        <v>-4421.7000000000035</v>
      </c>
      <c r="AF93" s="613">
        <f>SUMIFS(PCF!AF$153:AF$155,PCF!$C$153:$C$155,$E$1)</f>
        <v>0</v>
      </c>
      <c r="AG93" s="613">
        <f>SUMIFS(PCF!AG$153:AG$155,PCF!$C$153:$C$155,$E$1)</f>
        <v>0</v>
      </c>
      <c r="AH93" s="613">
        <f>SUMIFS(PCF!AH$153:AH$155,PCF!$C$153:$C$155,$E$1)</f>
        <v>0</v>
      </c>
      <c r="AI93" s="613">
        <f>SUMIFS(PCF!AI$153:AI$155,PCF!$C$153:$C$155,$E$1)</f>
        <v>0</v>
      </c>
      <c r="AJ93" s="613">
        <f>SUMIFS(PCF!AJ$153:AJ$155,PCF!$C$153:$C$155,$E$1)</f>
        <v>0</v>
      </c>
      <c r="AK93" s="613">
        <f>SUMIFS(PCF!AK$153:AK$155,PCF!$C$153:$C$155,$E$1)</f>
        <v>0</v>
      </c>
      <c r="AL93" s="613">
        <f>SUMIFS(PCF!AL$153:AL$155,PCF!$C$153:$C$155,$E$1)</f>
        <v>0</v>
      </c>
      <c r="AM93" s="613">
        <f>SUMIFS(PCF!AM$153:AM$155,PCF!$C$153:$C$155,$E$1)</f>
        <v>0</v>
      </c>
      <c r="AN93" s="613">
        <f>SUMIFS(PCF!AN$153:AN$155,PCF!$C$153:$C$155,$E$1)</f>
        <v>0</v>
      </c>
      <c r="AO93" s="613">
        <f>SUMIFS(PCF!AO$153:AO$155,PCF!$C$153:$C$155,$E$1)</f>
        <v>0</v>
      </c>
      <c r="AP93" s="613">
        <f>SUMIFS(PCF!AP$153:AP$155,PCF!$C$153:$C$155,$E$1)</f>
        <v>0</v>
      </c>
      <c r="AQ93" s="613">
        <f>SUMIFS(PCF!AQ$153:AQ$155,PCF!$C$153:$C$155,$E$1)</f>
        <v>0</v>
      </c>
      <c r="AR93" s="613">
        <f>SUMIFS(PCF!AR$153:AR$155,PCF!$C$153:$C$155,$E$1)</f>
        <v>0</v>
      </c>
      <c r="AS93" s="613">
        <f>SUMIFS(PCF!AS$153:AS$155,PCF!$C$153:$C$155,$E$1)</f>
        <v>0</v>
      </c>
      <c r="AT93" s="613">
        <f>SUMIFS(PCF!AT$153:AT$155,PCF!$C$153:$C$155,$E$1)</f>
        <v>0</v>
      </c>
      <c r="AU93" s="613">
        <f>SUMIFS(PCF!AU$153:AU$155,PCF!$C$153:$C$155,$E$1)</f>
        <v>0</v>
      </c>
      <c r="AV93" s="613">
        <f>SUMIFS(PCF!AV$153:AV$155,PCF!$C$153:$C$155,$E$1)</f>
        <v>0</v>
      </c>
      <c r="AW93" s="613">
        <f>SUMIFS(PCF!AW$153:AW$155,PCF!$C$153:$C$155,$E$1)</f>
        <v>0</v>
      </c>
      <c r="AX93" s="613">
        <f>SUMIFS(PCF!AX$153:AX$155,PCF!$C$153:$C$155,$E$1)</f>
        <v>0</v>
      </c>
      <c r="AY93" s="613">
        <f>SUMIFS(PCF!AY$153:AY$155,PCF!$C$153:$C$155,$E$1)</f>
        <v>0</v>
      </c>
      <c r="AZ93" s="613">
        <f>SUMIFS(PCF!AZ$153:AZ$155,PCF!$C$153:$C$155,$E$1)</f>
        <v>0</v>
      </c>
      <c r="BA93" s="613">
        <f>SUMIFS(PCF!BA$153:BA$155,PCF!$C$153:$C$155,$E$1)</f>
        <v>0</v>
      </c>
      <c r="BB93" s="613">
        <f>SUMIFS(PCF!BB$153:BB$155,PCF!$C$153:$C$155,$E$1)</f>
        <v>0</v>
      </c>
      <c r="BC93" s="613">
        <f>SUMIFS(PCF!BC$153:BC$155,PCF!$C$153:$C$155,$E$1)</f>
        <v>0</v>
      </c>
      <c r="BD93" s="613">
        <f>SUMIFS(PCF!BD$153:BD$155,PCF!$C$153:$C$155,$E$1)</f>
        <v>0</v>
      </c>
      <c r="BE93" s="613">
        <f>SUMIFS(PCF!BE$153:BE$155,PCF!$C$153:$C$155,$E$1)</f>
        <v>0</v>
      </c>
      <c r="BF93" s="613">
        <f>SUMIFS(PCF!BF$153:BF$155,PCF!$C$153:$C$155,$E$1)</f>
        <v>0</v>
      </c>
      <c r="BG93" s="613">
        <f>SUMIFS(PCF!BG$153:BG$155,PCF!$C$153:$C$155,$E$1)</f>
        <v>0</v>
      </c>
      <c r="BH93" s="613"/>
      <c r="BI93" s="651">
        <f>SUM(T93:AM93)</f>
        <v>-43247.199176946902</v>
      </c>
      <c r="BJ93" s="613"/>
      <c r="BM93" s="621">
        <f>SUMIF($T$13:$BG$13,BM$13,$T93:$BG93)</f>
        <v>-8479.0117042893344</v>
      </c>
      <c r="BN93" s="621">
        <f t="shared" si="80"/>
        <v>-17211.97399636513</v>
      </c>
      <c r="BO93" s="621">
        <f t="shared" si="80"/>
        <v>-17556.213476292436</v>
      </c>
      <c r="BP93" s="621">
        <f t="shared" si="80"/>
        <v>0</v>
      </c>
      <c r="BQ93" s="621">
        <f t="shared" si="80"/>
        <v>0</v>
      </c>
      <c r="BR93" s="621">
        <f t="shared" si="80"/>
        <v>0</v>
      </c>
      <c r="BS93" s="621">
        <f t="shared" si="80"/>
        <v>0</v>
      </c>
      <c r="BT93" s="621">
        <f t="shared" si="80"/>
        <v>0</v>
      </c>
      <c r="BU93" s="621">
        <f t="shared" si="80"/>
        <v>0</v>
      </c>
      <c r="BV93" s="621">
        <f t="shared" si="80"/>
        <v>0</v>
      </c>
      <c r="BW93" s="613"/>
      <c r="BX93" s="652"/>
    </row>
    <row r="94" spans="2:76" s="39" customFormat="1">
      <c r="B94" s="655"/>
      <c r="D94" s="467" t="s">
        <v>152</v>
      </c>
      <c r="E94" s="744"/>
      <c r="F94" s="654"/>
      <c r="G94" s="654"/>
      <c r="H94" s="654"/>
      <c r="I94" s="654"/>
      <c r="J94" s="654"/>
      <c r="K94" s="654"/>
      <c r="L94" s="654"/>
      <c r="M94" s="654"/>
      <c r="N94" s="654"/>
      <c r="O94" s="654"/>
      <c r="P94" s="654"/>
      <c r="Q94" s="654"/>
      <c r="R94" s="654"/>
      <c r="S94" s="654"/>
      <c r="T94" s="654">
        <f>SUM(T91:T93)</f>
        <v>0</v>
      </c>
      <c r="U94" s="654">
        <f t="shared" ref="U94:BG94" si="81">SUM(U91:U93)</f>
        <v>0</v>
      </c>
      <c r="V94" s="654">
        <f t="shared" si="81"/>
        <v>-5615.8748775835538</v>
      </c>
      <c r="W94" s="654">
        <f t="shared" si="81"/>
        <v>-5636.8631732942195</v>
      </c>
      <c r="X94" s="654">
        <f t="shared" si="81"/>
        <v>-5657.9556324803361</v>
      </c>
      <c r="Y94" s="654">
        <f t="shared" si="81"/>
        <v>-5679.1527720981039</v>
      </c>
      <c r="Z94" s="654">
        <f t="shared" si="81"/>
        <v>-5700.4551116693428</v>
      </c>
      <c r="AA94" s="654">
        <f t="shared" si="81"/>
        <v>-5721.8631732942222</v>
      </c>
      <c r="AB94" s="654">
        <f t="shared" si="81"/>
        <v>-5743.3774816640607</v>
      </c>
      <c r="AC94" s="654">
        <f t="shared" si="81"/>
        <v>-5764.9985640741834</v>
      </c>
      <c r="AD94" s="654">
        <f t="shared" si="81"/>
        <v>-5786.726950436846</v>
      </c>
      <c r="AE94" s="654">
        <f t="shared" si="81"/>
        <v>-5808.5631732942229</v>
      </c>
      <c r="AF94" s="654">
        <f t="shared" si="81"/>
        <v>0</v>
      </c>
      <c r="AG94" s="654">
        <f t="shared" si="81"/>
        <v>0</v>
      </c>
      <c r="AH94" s="654">
        <f t="shared" si="81"/>
        <v>0</v>
      </c>
      <c r="AI94" s="654">
        <f t="shared" si="81"/>
        <v>0</v>
      </c>
      <c r="AJ94" s="654">
        <f t="shared" si="81"/>
        <v>0</v>
      </c>
      <c r="AK94" s="654">
        <f t="shared" si="81"/>
        <v>0</v>
      </c>
      <c r="AL94" s="654">
        <f t="shared" si="81"/>
        <v>0</v>
      </c>
      <c r="AM94" s="654">
        <f t="shared" si="81"/>
        <v>0</v>
      </c>
      <c r="AN94" s="654">
        <f t="shared" si="81"/>
        <v>0</v>
      </c>
      <c r="AO94" s="654">
        <f t="shared" si="81"/>
        <v>0</v>
      </c>
      <c r="AP94" s="654">
        <f t="shared" si="81"/>
        <v>0</v>
      </c>
      <c r="AQ94" s="654">
        <f t="shared" si="81"/>
        <v>0</v>
      </c>
      <c r="AR94" s="654">
        <f t="shared" si="81"/>
        <v>0</v>
      </c>
      <c r="AS94" s="654">
        <f t="shared" si="81"/>
        <v>0</v>
      </c>
      <c r="AT94" s="654">
        <f t="shared" si="81"/>
        <v>0</v>
      </c>
      <c r="AU94" s="654">
        <f t="shared" si="81"/>
        <v>0</v>
      </c>
      <c r="AV94" s="654">
        <f t="shared" si="81"/>
        <v>0</v>
      </c>
      <c r="AW94" s="654">
        <f t="shared" si="81"/>
        <v>0</v>
      </c>
      <c r="AX94" s="654">
        <f t="shared" si="81"/>
        <v>0</v>
      </c>
      <c r="AY94" s="654">
        <f t="shared" si="81"/>
        <v>0</v>
      </c>
      <c r="AZ94" s="654">
        <f t="shared" si="81"/>
        <v>0</v>
      </c>
      <c r="BA94" s="654">
        <f t="shared" si="81"/>
        <v>0</v>
      </c>
      <c r="BB94" s="654">
        <f t="shared" si="81"/>
        <v>0</v>
      </c>
      <c r="BC94" s="654">
        <f t="shared" si="81"/>
        <v>0</v>
      </c>
      <c r="BD94" s="654">
        <f t="shared" si="81"/>
        <v>0</v>
      </c>
      <c r="BE94" s="654">
        <f t="shared" si="81"/>
        <v>0</v>
      </c>
      <c r="BF94" s="654">
        <f t="shared" si="81"/>
        <v>0</v>
      </c>
      <c r="BG94" s="654">
        <f t="shared" si="81"/>
        <v>0</v>
      </c>
      <c r="BH94" s="652"/>
      <c r="BI94" s="681">
        <f>SUM(T94:BG94)</f>
        <v>-57115.830909889082</v>
      </c>
      <c r="BJ94" s="652"/>
      <c r="BM94" s="631">
        <f>SUM(BM91:BM93)</f>
        <v>-11252.738050877773</v>
      </c>
      <c r="BN94" s="631">
        <f t="shared" ref="BN94:BV94" si="82">SUM(BN91:BN93)</f>
        <v>-22759.426689542008</v>
      </c>
      <c r="BO94" s="631">
        <f t="shared" si="82"/>
        <v>-23103.666169469314</v>
      </c>
      <c r="BP94" s="631">
        <f t="shared" si="82"/>
        <v>0</v>
      </c>
      <c r="BQ94" s="631">
        <f t="shared" si="82"/>
        <v>0</v>
      </c>
      <c r="BR94" s="631">
        <f t="shared" si="82"/>
        <v>0</v>
      </c>
      <c r="BS94" s="631">
        <f t="shared" si="82"/>
        <v>0</v>
      </c>
      <c r="BT94" s="631">
        <f t="shared" si="82"/>
        <v>0</v>
      </c>
      <c r="BU94" s="631">
        <f t="shared" si="82"/>
        <v>0</v>
      </c>
      <c r="BV94" s="631">
        <f t="shared" si="82"/>
        <v>0</v>
      </c>
      <c r="BW94" s="652"/>
      <c r="BX94" s="631">
        <f>SUM(BM94:BV94)</f>
        <v>-57115.83090988909</v>
      </c>
    </row>
    <row r="95" spans="2:76">
      <c r="B95" s="607"/>
      <c r="D95" s="593"/>
      <c r="E95" s="683"/>
      <c r="F95" s="613"/>
      <c r="G95" s="613"/>
      <c r="H95" s="613"/>
      <c r="I95" s="613"/>
      <c r="J95" s="613"/>
      <c r="K95" s="613"/>
      <c r="L95" s="613"/>
      <c r="M95" s="613"/>
      <c r="N95" s="613"/>
      <c r="O95" s="613"/>
      <c r="P95" s="613"/>
      <c r="Q95" s="613"/>
      <c r="R95" s="613"/>
      <c r="S95" s="613"/>
      <c r="T95" s="613"/>
      <c r="U95" s="613"/>
      <c r="V95" s="613"/>
      <c r="W95" s="613"/>
      <c r="X95" s="613"/>
      <c r="Y95" s="613"/>
      <c r="Z95" s="613"/>
      <c r="AA95" s="613"/>
      <c r="AB95" s="613"/>
      <c r="AC95" s="613"/>
      <c r="AD95" s="613"/>
      <c r="AE95" s="613"/>
      <c r="AF95" s="613"/>
      <c r="AG95" s="613"/>
      <c r="AH95" s="613"/>
      <c r="AI95" s="613"/>
      <c r="AJ95" s="613"/>
      <c r="AK95" s="613"/>
      <c r="AL95" s="613"/>
      <c r="AM95" s="613"/>
      <c r="AN95" s="613"/>
      <c r="AO95" s="613"/>
      <c r="AP95" s="613"/>
      <c r="AQ95" s="613"/>
      <c r="AR95" s="613"/>
      <c r="AS95" s="613"/>
      <c r="AT95" s="613"/>
      <c r="AU95" s="613"/>
      <c r="AV95" s="613"/>
      <c r="AW95" s="613"/>
      <c r="AX95" s="613"/>
      <c r="AY95" s="613"/>
      <c r="AZ95" s="613"/>
      <c r="BA95" s="613"/>
      <c r="BB95" s="613"/>
      <c r="BC95" s="613"/>
      <c r="BD95" s="613"/>
      <c r="BE95" s="613"/>
      <c r="BF95" s="613"/>
      <c r="BG95" s="613"/>
      <c r="BH95" s="613"/>
      <c r="BI95" s="651"/>
      <c r="BJ95" s="613"/>
      <c r="BM95" s="613"/>
      <c r="BN95" s="613"/>
      <c r="BO95" s="613"/>
      <c r="BP95" s="613"/>
      <c r="BQ95" s="613"/>
      <c r="BR95" s="613"/>
      <c r="BS95" s="613"/>
      <c r="BT95" s="613"/>
      <c r="BU95" s="613"/>
      <c r="BV95" s="613"/>
      <c r="BW95" s="613"/>
      <c r="BX95" s="652"/>
    </row>
    <row r="96" spans="2:76">
      <c r="B96" s="607"/>
      <c r="D96" s="674" t="s">
        <v>522</v>
      </c>
      <c r="E96" s="675"/>
      <c r="F96" s="676"/>
      <c r="G96" s="676"/>
      <c r="H96" s="676"/>
      <c r="I96" s="676"/>
      <c r="J96" s="676"/>
      <c r="K96" s="676"/>
      <c r="L96" s="676"/>
      <c r="M96" s="676"/>
      <c r="N96" s="676"/>
      <c r="O96" s="676"/>
      <c r="P96" s="676"/>
      <c r="Q96" s="676"/>
      <c r="R96" s="676"/>
      <c r="S96" s="677"/>
      <c r="T96" s="677">
        <f>SUMIFS(PCF!T$161:T$163,PCF!$C$161:$C$163,$E$1)</f>
        <v>0</v>
      </c>
      <c r="U96" s="677">
        <f>SUMIFS(PCF!U$161:U$163,PCF!$C$161:$C$163,$E$1)</f>
        <v>0</v>
      </c>
      <c r="V96" s="677">
        <f>SUMIFS(PCF!V$161:V$163,PCF!$C$161:$C$163,$E$1)</f>
        <v>17432.702255411175</v>
      </c>
      <c r="W96" s="677">
        <f>SUMIFS(PCF!W$161:W$163,PCF!$C$161:$C$163,$E$1)</f>
        <v>17453.043076705777</v>
      </c>
      <c r="X96" s="677">
        <f>SUMIFS(PCF!X$161:X$163,PCF!$C$161:$C$163,$E$1)</f>
        <v>17473.348245337758</v>
      </c>
      <c r="Y96" s="677">
        <f>SUMIFS(PCF!Y$161:Y$163,PCF!$C$161:$C$163,$E$1)</f>
        <v>17493.617328952452</v>
      </c>
      <c r="Z96" s="677">
        <f>SUMIFS(PCF!Z$161:Z$163,PCF!$C$161:$C$163,$E$1)</f>
        <v>17513.849892571849</v>
      </c>
      <c r="AA96" s="677">
        <f>SUMIFS(PCF!AA$161:AA$163,PCF!$C$161:$C$163,$E$1)</f>
        <v>17534.045498580766</v>
      </c>
      <c r="AB96" s="677">
        <f>SUMIFS(PCF!AB$161:AB$163,PCF!$C$161:$C$163,$E$1)</f>
        <v>17554.203706712789</v>
      </c>
      <c r="AC96" s="677">
        <f>SUMIFS(PCF!AC$161:AC$163,PCF!$C$161:$C$163,$E$1)</f>
        <v>17574.324074036256</v>
      </c>
      <c r="AD96" s="677">
        <f>SUMIFS(PCF!AD$161:AD$163,PCF!$C$161:$C$163,$E$1)</f>
        <v>17594.406154940141</v>
      </c>
      <c r="AE96" s="677">
        <f>SUMIFS(PCF!AE$161:AE$163,PCF!$C$161:$C$163,$E$1)</f>
        <v>17614.449501119816</v>
      </c>
      <c r="AF96" s="677">
        <f>SUMIFS(PCF!AF$161:AF$163,PCF!$C$161:$C$163,$E$1)</f>
        <v>0</v>
      </c>
      <c r="AG96" s="677">
        <f>SUMIFS(PCF!AG$161:AG$163,PCF!$C$161:$C$163,$E$1)</f>
        <v>0</v>
      </c>
      <c r="AH96" s="677">
        <f>SUMIFS(PCF!AH$161:AH$163,PCF!$C$161:$C$163,$E$1)</f>
        <v>0</v>
      </c>
      <c r="AI96" s="677">
        <f>SUMIFS(PCF!AI$161:AI$163,PCF!$C$161:$C$163,$E$1)</f>
        <v>0</v>
      </c>
      <c r="AJ96" s="677">
        <f>SUMIFS(PCF!AJ$161:AJ$163,PCF!$C$161:$C$163,$E$1)</f>
        <v>0</v>
      </c>
      <c r="AK96" s="677">
        <f>SUMIFS(PCF!AK$161:AK$163,PCF!$C$161:$C$163,$E$1)</f>
        <v>0</v>
      </c>
      <c r="AL96" s="677">
        <f>SUMIFS(PCF!AL$161:AL$163,PCF!$C$161:$C$163,$E$1)</f>
        <v>0</v>
      </c>
      <c r="AM96" s="677">
        <f>SUMIFS(PCF!AM$161:AM$163,PCF!$C$161:$C$163,$E$1)</f>
        <v>0</v>
      </c>
      <c r="AN96" s="677">
        <f>SUMIFS(PCF!AN$161:AN$163,PCF!$C$161:$C$163,$E$1)</f>
        <v>0</v>
      </c>
      <c r="AO96" s="677">
        <f>SUMIFS(PCF!AO$161:AO$163,PCF!$C$161:$C$163,$E$1)</f>
        <v>0</v>
      </c>
      <c r="AP96" s="677">
        <f>SUMIFS(PCF!AP$161:AP$163,PCF!$C$161:$C$163,$E$1)</f>
        <v>0</v>
      </c>
      <c r="AQ96" s="677">
        <f>SUMIFS(PCF!AQ$161:AQ$163,PCF!$C$161:$C$163,$E$1)</f>
        <v>0</v>
      </c>
      <c r="AR96" s="677">
        <f>SUMIFS(PCF!AR$161:AR$163,PCF!$C$161:$C$163,$E$1)</f>
        <v>0</v>
      </c>
      <c r="AS96" s="677">
        <f>SUMIFS(PCF!AS$161:AS$163,PCF!$C$161:$C$163,$E$1)</f>
        <v>0</v>
      </c>
      <c r="AT96" s="677">
        <f>SUMIFS(PCF!AT$161:AT$163,PCF!$C$161:$C$163,$E$1)</f>
        <v>0</v>
      </c>
      <c r="AU96" s="677">
        <f>SUMIFS(PCF!AU$161:AU$163,PCF!$C$161:$C$163,$E$1)</f>
        <v>0</v>
      </c>
      <c r="AV96" s="677">
        <f>SUMIFS(PCF!AV$161:AV$163,PCF!$C$161:$C$163,$E$1)</f>
        <v>0</v>
      </c>
      <c r="AW96" s="677">
        <f>SUMIFS(PCF!AW$161:AW$163,PCF!$C$161:$C$163,$E$1)</f>
        <v>0</v>
      </c>
      <c r="AX96" s="677">
        <f>SUMIFS(PCF!AX$161:AX$163,PCF!$C$161:$C$163,$E$1)</f>
        <v>0</v>
      </c>
      <c r="AY96" s="677">
        <f>SUMIFS(PCF!AY$161:AY$163,PCF!$C$161:$C$163,$E$1)</f>
        <v>0</v>
      </c>
      <c r="AZ96" s="677">
        <f>SUMIFS(PCF!AZ$161:AZ$163,PCF!$C$161:$C$163,$E$1)</f>
        <v>0</v>
      </c>
      <c r="BA96" s="677">
        <f>SUMIFS(PCF!BA$161:BA$163,PCF!$C$161:$C$163,$E$1)</f>
        <v>0</v>
      </c>
      <c r="BB96" s="677">
        <f>SUMIFS(PCF!BB$161:BB$163,PCF!$C$161:$C$163,$E$1)</f>
        <v>0</v>
      </c>
      <c r="BC96" s="677">
        <f>SUMIFS(PCF!BC$161:BC$163,PCF!$C$161:$C$163,$E$1)</f>
        <v>0</v>
      </c>
      <c r="BD96" s="677">
        <f>SUMIFS(PCF!BD$161:BD$163,PCF!$C$161:$C$163,$E$1)</f>
        <v>0</v>
      </c>
      <c r="BE96" s="677">
        <f>SUMIFS(PCF!BE$161:BE$163,PCF!$C$161:$C$163,$E$1)</f>
        <v>0</v>
      </c>
      <c r="BF96" s="677">
        <f>SUMIFS(PCF!BF$161:BF$163,PCF!$C$161:$C$163,$E$1)</f>
        <v>0</v>
      </c>
      <c r="BG96" s="677">
        <f>SUMIFS(PCF!BG$161:BG$163,PCF!$C$161:$C$163,$E$1)</f>
        <v>0</v>
      </c>
      <c r="BH96" s="613"/>
      <c r="BI96" s="678">
        <f>SUM(T96:BG96)</f>
        <v>175237.98973436878</v>
      </c>
      <c r="BJ96" s="613"/>
      <c r="BM96" s="613"/>
      <c r="BN96" s="613"/>
      <c r="BO96" s="613"/>
      <c r="BP96" s="613"/>
      <c r="BQ96" s="613"/>
      <c r="BR96" s="613"/>
      <c r="BS96" s="613"/>
      <c r="BT96" s="613"/>
      <c r="BU96" s="613"/>
      <c r="BV96" s="613"/>
      <c r="BW96" s="613"/>
      <c r="BX96" s="652"/>
    </row>
    <row r="97" spans="2:76">
      <c r="B97" s="607"/>
      <c r="D97" s="593"/>
      <c r="E97" s="683"/>
      <c r="F97" s="613"/>
      <c r="G97" s="613"/>
      <c r="H97" s="613"/>
      <c r="I97" s="613"/>
      <c r="J97" s="613"/>
      <c r="K97" s="613"/>
      <c r="L97" s="613"/>
      <c r="M97" s="613"/>
      <c r="N97" s="613"/>
      <c r="O97" s="613"/>
      <c r="P97" s="613"/>
      <c r="Q97" s="613"/>
      <c r="R97" s="613"/>
      <c r="S97" s="613"/>
      <c r="T97" s="613"/>
      <c r="U97" s="613"/>
      <c r="V97" s="613"/>
      <c r="W97" s="613"/>
      <c r="X97" s="613"/>
      <c r="Y97" s="613"/>
      <c r="Z97" s="613"/>
      <c r="AA97" s="613"/>
      <c r="AB97" s="613"/>
      <c r="AC97" s="613"/>
      <c r="AD97" s="613"/>
      <c r="AE97" s="613"/>
      <c r="AF97" s="613"/>
      <c r="AG97" s="613"/>
      <c r="AH97" s="613"/>
      <c r="AI97" s="613"/>
      <c r="AJ97" s="613"/>
      <c r="AK97" s="613"/>
      <c r="AL97" s="613"/>
      <c r="AM97" s="613"/>
      <c r="AN97" s="613"/>
      <c r="AO97" s="613"/>
      <c r="AP97" s="613"/>
      <c r="AQ97" s="613"/>
      <c r="AR97" s="613"/>
      <c r="AS97" s="613"/>
      <c r="AT97" s="613"/>
      <c r="AU97" s="613"/>
      <c r="AV97" s="613"/>
      <c r="AW97" s="613"/>
      <c r="AX97" s="613"/>
      <c r="AY97" s="613"/>
      <c r="AZ97" s="613"/>
      <c r="BA97" s="613"/>
      <c r="BB97" s="613"/>
      <c r="BC97" s="613"/>
      <c r="BD97" s="613"/>
      <c r="BE97" s="613"/>
      <c r="BF97" s="613"/>
      <c r="BG97" s="613"/>
      <c r="BH97" s="613"/>
      <c r="BI97" s="651"/>
      <c r="BJ97" s="613"/>
      <c r="BM97" s="613"/>
      <c r="BN97" s="613"/>
      <c r="BO97" s="613"/>
      <c r="BP97" s="613"/>
      <c r="BQ97" s="613"/>
      <c r="BR97" s="613"/>
      <c r="BS97" s="613"/>
      <c r="BT97" s="613"/>
      <c r="BU97" s="613"/>
      <c r="BV97" s="613"/>
      <c r="BW97" s="613"/>
      <c r="BX97" s="652"/>
    </row>
    <row r="98" spans="2:76">
      <c r="B98" s="607"/>
      <c r="D98" s="467" t="s">
        <v>1064</v>
      </c>
      <c r="E98" s="364"/>
      <c r="F98" s="654"/>
      <c r="G98" s="654"/>
      <c r="H98" s="654"/>
      <c r="I98" s="654"/>
      <c r="J98" s="654"/>
      <c r="K98" s="654"/>
      <c r="L98" s="654"/>
      <c r="M98" s="654"/>
      <c r="N98" s="654"/>
      <c r="O98" s="654"/>
      <c r="P98" s="654"/>
      <c r="Q98" s="654"/>
      <c r="R98" s="654"/>
      <c r="S98" s="654"/>
      <c r="T98" s="654"/>
      <c r="U98" s="654"/>
      <c r="V98" s="654"/>
      <c r="W98" s="654"/>
      <c r="X98" s="654"/>
      <c r="Y98" s="654"/>
      <c r="Z98" s="654"/>
      <c r="AA98" s="654"/>
      <c r="AB98" s="654"/>
      <c r="AC98" s="654"/>
      <c r="AD98" s="684"/>
      <c r="AE98" s="654"/>
      <c r="AF98" s="654"/>
      <c r="AG98" s="654"/>
      <c r="AH98" s="654"/>
      <c r="AI98" s="654"/>
      <c r="AJ98" s="654"/>
      <c r="AK98" s="654"/>
      <c r="AL98" s="654"/>
      <c r="AM98" s="654"/>
      <c r="AN98" s="654"/>
      <c r="AO98" s="654"/>
      <c r="AP98" s="654"/>
      <c r="AQ98" s="654"/>
      <c r="AR98" s="654"/>
      <c r="AS98" s="654"/>
      <c r="AT98" s="654"/>
      <c r="AU98" s="654"/>
      <c r="AV98" s="654"/>
      <c r="AW98" s="654"/>
      <c r="AX98" s="654"/>
      <c r="AY98" s="654"/>
      <c r="AZ98" s="654"/>
      <c r="BA98" s="654"/>
      <c r="BB98" s="654"/>
      <c r="BC98" s="654"/>
      <c r="BD98" s="654"/>
      <c r="BE98" s="654"/>
      <c r="BF98" s="654"/>
      <c r="BG98" s="654"/>
      <c r="BH98" s="613"/>
      <c r="BI98" s="681"/>
      <c r="BJ98" s="613"/>
      <c r="BM98" s="654"/>
      <c r="BN98" s="654"/>
      <c r="BO98" s="654"/>
      <c r="BP98" s="654"/>
      <c r="BQ98" s="654"/>
      <c r="BR98" s="654"/>
      <c r="BS98" s="654"/>
      <c r="BT98" s="654"/>
      <c r="BU98" s="654"/>
      <c r="BV98" s="654"/>
      <c r="BW98" s="613"/>
      <c r="BX98" s="652"/>
    </row>
    <row r="99" spans="2:76">
      <c r="B99" s="653" t="s">
        <v>882</v>
      </c>
      <c r="D99" s="593" t="s">
        <v>882</v>
      </c>
      <c r="F99" s="613"/>
      <c r="G99" s="613"/>
      <c r="H99" s="613"/>
      <c r="I99" s="613"/>
      <c r="J99" s="613"/>
      <c r="K99" s="613"/>
      <c r="L99" s="613"/>
      <c r="M99" s="613"/>
      <c r="N99" s="613"/>
      <c r="O99" s="613"/>
      <c r="P99" s="613"/>
      <c r="Q99" s="613"/>
      <c r="R99" s="613"/>
      <c r="S99" s="613"/>
      <c r="T99" s="621">
        <f>SUMIFS(PCF!T$217:T$219,PCF!$C$217:$C$219,$E$1)</f>
        <v>0</v>
      </c>
      <c r="U99" s="621">
        <f>SUMIFS(PCF!U$217:U$219,PCF!$C$217:$C$219,$E$1)</f>
        <v>0</v>
      </c>
      <c r="V99" s="621">
        <f>SUMIFS(PCF!V$217:V$219,PCF!$C$217:$C$219,$E$1)</f>
        <v>0</v>
      </c>
      <c r="W99" s="621">
        <f>SUMIFS(PCF!W$217:W$219,PCF!$C$217:$C$219,$E$1)</f>
        <v>0</v>
      </c>
      <c r="X99" s="621">
        <f>SUMIFS(PCF!X$217:X$219,PCF!$C$217:$C$219,$E$1)</f>
        <v>0</v>
      </c>
      <c r="Y99" s="621">
        <f>SUMIFS(PCF!Y$217:Y$219,PCF!$C$217:$C$219,$E$1)</f>
        <v>0</v>
      </c>
      <c r="Z99" s="621">
        <f>SUMIFS(PCF!Z$217:Z$219,PCF!$C$217:$C$219,$E$1)</f>
        <v>0</v>
      </c>
      <c r="AA99" s="621">
        <f>SUMIFS(PCF!AA$217:AA$219,PCF!$C$217:$C$219,$E$1)</f>
        <v>0</v>
      </c>
      <c r="AB99" s="621">
        <f>SUMIFS(PCF!AB$217:AB$219,PCF!$C$217:$C$219,$E$1)</f>
        <v>0</v>
      </c>
      <c r="AC99" s="621">
        <f>SUMIFS(PCF!AC$217:AC$219,PCF!$C$217:$C$219,$E$1)</f>
        <v>0</v>
      </c>
      <c r="AD99" s="621">
        <f>SUMIFS(PCF!AD$217:AD$219,PCF!$C$217:$C$219,$E$1)</f>
        <v>0</v>
      </c>
      <c r="AE99" s="621">
        <f>SUMIFS(PCF!AE$217:AE$219,PCF!$C$217:$C$219,$E$1)</f>
        <v>0</v>
      </c>
      <c r="AF99" s="621">
        <f>SUMIFS(PCF!AF$217:AF$219,PCF!$C$217:$C$219,$E$1)</f>
        <v>0</v>
      </c>
      <c r="AG99" s="621">
        <f>SUMIFS(PCF!AG$217:AG$219,PCF!$C$217:$C$219,$E$1)</f>
        <v>0</v>
      </c>
      <c r="AH99" s="621">
        <f>SUMIFS(PCF!AH$217:AH$219,PCF!$C$217:$C$219,$E$1)</f>
        <v>0</v>
      </c>
      <c r="AI99" s="621">
        <f>SUMIFS(PCF!AI$217:AI$219,PCF!$C$217:$C$219,$E$1)</f>
        <v>0</v>
      </c>
      <c r="AJ99" s="621">
        <f>SUMIFS(PCF!AJ$217:AJ$219,PCF!$C$217:$C$219,$E$1)</f>
        <v>0</v>
      </c>
      <c r="AK99" s="621">
        <f>SUMIFS(PCF!AK$217:AK$219,PCF!$C$217:$C$219,$E$1)</f>
        <v>0</v>
      </c>
      <c r="AL99" s="621">
        <f>SUMIFS(PCF!AL$217:AL$219,PCF!$C$217:$C$219,$E$1)</f>
        <v>0</v>
      </c>
      <c r="AM99" s="621">
        <f>SUMIFS(PCF!AM$217:AM$219,PCF!$C$217:$C$219,$E$1)</f>
        <v>0</v>
      </c>
      <c r="AN99" s="621">
        <f>SUMIFS(PCF!AN$217:AN$219,PCF!$C$217:$C$219,$E$1)</f>
        <v>0</v>
      </c>
      <c r="AO99" s="621">
        <f>SUMIFS(PCF!AO$217:AO$219,PCF!$C$217:$C$219,$E$1)</f>
        <v>0</v>
      </c>
      <c r="AP99" s="621">
        <f>SUMIFS(PCF!AP$217:AP$219,PCF!$C$217:$C$219,$E$1)</f>
        <v>0</v>
      </c>
      <c r="AQ99" s="621">
        <f>SUMIFS(PCF!AQ$217:AQ$219,PCF!$C$217:$C$219,$E$1)</f>
        <v>0</v>
      </c>
      <c r="AR99" s="621">
        <f>SUMIFS(PCF!AR$217:AR$219,PCF!$C$217:$C$219,$E$1)</f>
        <v>0</v>
      </c>
      <c r="AS99" s="621">
        <f>SUMIFS(PCF!AS$217:AS$219,PCF!$C$217:$C$219,$E$1)</f>
        <v>0</v>
      </c>
      <c r="AT99" s="621">
        <f>SUMIFS(PCF!AT$217:AT$219,PCF!$C$217:$C$219,$E$1)</f>
        <v>0</v>
      </c>
      <c r="AU99" s="621">
        <f>SUMIFS(PCF!AU$217:AU$219,PCF!$C$217:$C$219,$E$1)</f>
        <v>0</v>
      </c>
      <c r="AV99" s="621">
        <f>SUMIFS(PCF!AV$217:AV$219,PCF!$C$217:$C$219,$E$1)</f>
        <v>0</v>
      </c>
      <c r="AW99" s="621">
        <f>SUMIFS(PCF!AW$217:AW$219,PCF!$C$217:$C$219,$E$1)</f>
        <v>0</v>
      </c>
      <c r="AX99" s="621">
        <f>SUMIFS(PCF!AX$217:AX$219,PCF!$C$217:$C$219,$E$1)</f>
        <v>0</v>
      </c>
      <c r="AY99" s="621">
        <f>SUMIFS(PCF!AY$217:AY$219,PCF!$C$217:$C$219,$E$1)</f>
        <v>0</v>
      </c>
      <c r="AZ99" s="621">
        <f>SUMIFS(PCF!AZ$217:AZ$219,PCF!$C$217:$C$219,$E$1)</f>
        <v>0</v>
      </c>
      <c r="BA99" s="621">
        <f>SUMIFS(PCF!BA$217:BA$219,PCF!$C$217:$C$219,$E$1)</f>
        <v>0</v>
      </c>
      <c r="BB99" s="621">
        <f>SUMIFS(PCF!BB$217:BB$219,PCF!$C$217:$C$219,$E$1)</f>
        <v>0</v>
      </c>
      <c r="BC99" s="621">
        <f>SUMIFS(PCF!BC$217:BC$219,PCF!$C$217:$C$219,$E$1)</f>
        <v>0</v>
      </c>
      <c r="BD99" s="621">
        <f>SUMIFS(PCF!BD$217:BD$219,PCF!$C$217:$C$219,$E$1)</f>
        <v>0</v>
      </c>
      <c r="BE99" s="621">
        <f>SUMIFS(PCF!BE$217:BE$219,PCF!$C$217:$C$219,$E$1)</f>
        <v>0</v>
      </c>
      <c r="BF99" s="621">
        <f>SUMIFS(PCF!BF$217:BF$219,PCF!$C$217:$C$219,$E$1)</f>
        <v>0</v>
      </c>
      <c r="BG99" s="621">
        <f>SUMIFS(PCF!BG$217:BG$219,PCF!$C$217:$C$219,$E$1)</f>
        <v>0</v>
      </c>
      <c r="BH99" s="613"/>
      <c r="BI99" s="651">
        <f t="shared" ref="BI99:BI105" si="83">SUM(T99:BG99)</f>
        <v>0</v>
      </c>
      <c r="BJ99" s="613"/>
      <c r="BM99" s="613">
        <f t="shared" ref="BM99:BV104" si="84">SUMIF($T$13:$BG$13,BM$13,$T99:$BG99)</f>
        <v>0</v>
      </c>
      <c r="BN99" s="613">
        <f t="shared" si="84"/>
        <v>0</v>
      </c>
      <c r="BO99" s="613">
        <f t="shared" si="84"/>
        <v>0</v>
      </c>
      <c r="BP99" s="613">
        <f t="shared" si="84"/>
        <v>0</v>
      </c>
      <c r="BQ99" s="613">
        <f t="shared" si="84"/>
        <v>0</v>
      </c>
      <c r="BR99" s="613">
        <f t="shared" si="84"/>
        <v>0</v>
      </c>
      <c r="BS99" s="613">
        <f t="shared" si="84"/>
        <v>0</v>
      </c>
      <c r="BT99" s="613">
        <f t="shared" si="84"/>
        <v>0</v>
      </c>
      <c r="BU99" s="613">
        <f t="shared" si="84"/>
        <v>0</v>
      </c>
      <c r="BV99" s="613">
        <f t="shared" si="84"/>
        <v>0</v>
      </c>
      <c r="BW99" s="613"/>
      <c r="BX99" s="652">
        <f t="shared" ref="BX99:BX105" si="85">SUM(BM99:BV99)</f>
        <v>0</v>
      </c>
    </row>
    <row r="100" spans="2:76">
      <c r="B100" s="653" t="s">
        <v>886</v>
      </c>
      <c r="D100" s="650" t="s">
        <v>1065</v>
      </c>
      <c r="F100" s="613"/>
      <c r="G100" s="613"/>
      <c r="H100" s="613"/>
      <c r="I100" s="613"/>
      <c r="J100" s="613"/>
      <c r="K100" s="613"/>
      <c r="L100" s="613"/>
      <c r="M100" s="613"/>
      <c r="N100" s="613"/>
      <c r="O100" s="613"/>
      <c r="P100" s="613"/>
      <c r="Q100" s="613"/>
      <c r="R100" s="613"/>
      <c r="S100" s="613"/>
      <c r="T100" s="613">
        <f>SUMIFS(PCF!T$169:T$171,PCF!$C$169:$C$171,$E$1)</f>
        <v>0</v>
      </c>
      <c r="U100" s="613">
        <f>SUMIFS(PCF!U$169:U$171,PCF!$C$169:$C$171,$E$1)</f>
        <v>0</v>
      </c>
      <c r="V100" s="613">
        <f>SUMIFS(PCF!V$169:V$171,PCF!$C$169:$C$171,$E$1)</f>
        <v>0</v>
      </c>
      <c r="W100" s="613">
        <f>SUMIFS(PCF!W$169:W$171,PCF!$C$169:$C$171,$E$1)</f>
        <v>0</v>
      </c>
      <c r="X100" s="613">
        <f>SUMIFS(PCF!X$169:X$171,PCF!$C$169:$C$171,$E$1)</f>
        <v>0</v>
      </c>
      <c r="Y100" s="613">
        <f>SUMIFS(PCF!Y$169:Y$171,PCF!$C$169:$C$171,$E$1)</f>
        <v>0</v>
      </c>
      <c r="Z100" s="613">
        <f>SUMIFS(PCF!Z$169:Z$171,PCF!$C$169:$C$171,$E$1)</f>
        <v>0</v>
      </c>
      <c r="AA100" s="613">
        <f>SUMIFS(PCF!AA$169:AA$171,PCF!$C$169:$C$171,$E$1)</f>
        <v>0</v>
      </c>
      <c r="AB100" s="613">
        <f>SUMIFS(PCF!AB$169:AB$171,PCF!$C$169:$C$171,$E$1)</f>
        <v>0</v>
      </c>
      <c r="AC100" s="613">
        <f>SUMIFS(PCF!AC$169:AC$171,PCF!$C$169:$C$171,$E$1)</f>
        <v>0</v>
      </c>
      <c r="AD100" s="613">
        <f>SUMIFS(PCF!AD$169:AD$171,PCF!$C$169:$C$171,$E$1)</f>
        <v>0</v>
      </c>
      <c r="AE100" s="613">
        <f>SUMIFS(PCF!AE$169:AE$171,PCF!$C$169:$C$171,$E$1)</f>
        <v>0</v>
      </c>
      <c r="AF100" s="613">
        <f>SUMIFS(PCF!AF$169:AF$171,PCF!$C$169:$C$171,$E$1)</f>
        <v>0</v>
      </c>
      <c r="AG100" s="613">
        <f>SUMIFS(PCF!AG$169:AG$171,PCF!$C$169:$C$171,$E$1)</f>
        <v>0</v>
      </c>
      <c r="AH100" s="613">
        <f>SUMIFS(PCF!AH$169:AH$171,PCF!$C$169:$C$171,$E$1)</f>
        <v>0</v>
      </c>
      <c r="AI100" s="613">
        <f>SUMIFS(PCF!AI$169:AI$171,PCF!$C$169:$C$171,$E$1)</f>
        <v>0</v>
      </c>
      <c r="AJ100" s="613">
        <f>SUMIFS(PCF!AJ$169:AJ$171,PCF!$C$169:$C$171,$E$1)</f>
        <v>0</v>
      </c>
      <c r="AK100" s="613">
        <f>SUMIFS(PCF!AK$169:AK$171,PCF!$C$169:$C$171,$E$1)</f>
        <v>0</v>
      </c>
      <c r="AL100" s="613">
        <f>SUMIFS(PCF!AL$169:AL$171,PCF!$C$169:$C$171,$E$1)</f>
        <v>0</v>
      </c>
      <c r="AM100" s="613">
        <f>SUMIFS(PCF!AM$169:AM$171,PCF!$C$169:$C$171,$E$1)</f>
        <v>0</v>
      </c>
      <c r="AN100" s="613">
        <f>SUMIFS(PCF!AN$169:AN$171,PCF!$C$169:$C$171,$E$1)</f>
        <v>0</v>
      </c>
      <c r="AO100" s="613">
        <f>SUMIFS(PCF!AO$169:AO$171,PCF!$C$169:$C$171,$E$1)</f>
        <v>0</v>
      </c>
      <c r="AP100" s="613">
        <f>SUMIFS(PCF!AP$169:AP$171,PCF!$C$169:$C$171,$E$1)</f>
        <v>0</v>
      </c>
      <c r="AQ100" s="613">
        <f>SUMIFS(PCF!AQ$169:AQ$171,PCF!$C$169:$C$171,$E$1)</f>
        <v>0</v>
      </c>
      <c r="AR100" s="613">
        <f>SUMIFS(PCF!AR$169:AR$171,PCF!$C$169:$C$171,$E$1)</f>
        <v>0</v>
      </c>
      <c r="AS100" s="613">
        <f>SUMIFS(PCF!AS$169:AS$171,PCF!$C$169:$C$171,$E$1)</f>
        <v>0</v>
      </c>
      <c r="AT100" s="613">
        <f>SUMIFS(PCF!AT$169:AT$171,PCF!$C$169:$C$171,$E$1)</f>
        <v>0</v>
      </c>
      <c r="AU100" s="613">
        <f>SUMIFS(PCF!AU$169:AU$171,PCF!$C$169:$C$171,$E$1)</f>
        <v>0</v>
      </c>
      <c r="AV100" s="613">
        <f>SUMIFS(PCF!AV$169:AV$171,PCF!$C$169:$C$171,$E$1)</f>
        <v>0</v>
      </c>
      <c r="AW100" s="613">
        <f>SUMIFS(PCF!AW$169:AW$171,PCF!$C$169:$C$171,$E$1)</f>
        <v>0</v>
      </c>
      <c r="AX100" s="613">
        <f>SUMIFS(PCF!AX$169:AX$171,PCF!$C$169:$C$171,$E$1)</f>
        <v>0</v>
      </c>
      <c r="AY100" s="613">
        <f>SUMIFS(PCF!AY$169:AY$171,PCF!$C$169:$C$171,$E$1)</f>
        <v>0</v>
      </c>
      <c r="AZ100" s="613">
        <f>SUMIFS(PCF!AZ$169:AZ$171,PCF!$C$169:$C$171,$E$1)</f>
        <v>0</v>
      </c>
      <c r="BA100" s="613">
        <f>SUMIFS(PCF!BA$169:BA$171,PCF!$C$169:$C$171,$E$1)</f>
        <v>0</v>
      </c>
      <c r="BB100" s="613">
        <f>SUMIFS(PCF!BB$169:BB$171,PCF!$C$169:$C$171,$E$1)</f>
        <v>0</v>
      </c>
      <c r="BC100" s="613">
        <f>SUMIFS(PCF!BC$169:BC$171,PCF!$C$169:$C$171,$E$1)</f>
        <v>0</v>
      </c>
      <c r="BD100" s="613">
        <f>SUMIFS(PCF!BD$169:BD$171,PCF!$C$169:$C$171,$E$1)</f>
        <v>0</v>
      </c>
      <c r="BE100" s="613">
        <f>SUMIFS(PCF!BE$169:BE$171,PCF!$C$169:$C$171,$E$1)</f>
        <v>0</v>
      </c>
      <c r="BF100" s="613">
        <f>SUMIFS(PCF!BF$169:BF$171,PCF!$C$169:$C$171,$E$1)</f>
        <v>0</v>
      </c>
      <c r="BG100" s="613">
        <f>SUMIFS(PCF!BG$169:BG$171,PCF!$C$169:$C$171,$E$1)</f>
        <v>0</v>
      </c>
      <c r="BH100" s="613"/>
      <c r="BI100" s="651">
        <f t="shared" si="83"/>
        <v>0</v>
      </c>
      <c r="BJ100" s="613"/>
      <c r="BM100" s="613">
        <f t="shared" si="84"/>
        <v>0</v>
      </c>
      <c r="BN100" s="613">
        <f t="shared" si="84"/>
        <v>0</v>
      </c>
      <c r="BO100" s="613">
        <f t="shared" si="84"/>
        <v>0</v>
      </c>
      <c r="BP100" s="613">
        <f t="shared" si="84"/>
        <v>0</v>
      </c>
      <c r="BQ100" s="613">
        <f t="shared" si="84"/>
        <v>0</v>
      </c>
      <c r="BR100" s="613">
        <f t="shared" si="84"/>
        <v>0</v>
      </c>
      <c r="BS100" s="613">
        <f t="shared" si="84"/>
        <v>0</v>
      </c>
      <c r="BT100" s="613">
        <f t="shared" si="84"/>
        <v>0</v>
      </c>
      <c r="BU100" s="613">
        <f t="shared" si="84"/>
        <v>0</v>
      </c>
      <c r="BV100" s="613">
        <f t="shared" si="84"/>
        <v>0</v>
      </c>
      <c r="BW100" s="613"/>
      <c r="BX100" s="652">
        <f t="shared" si="85"/>
        <v>0</v>
      </c>
    </row>
    <row r="101" spans="2:76">
      <c r="B101" s="653" t="s">
        <v>881</v>
      </c>
      <c r="D101" s="77" t="s">
        <v>444</v>
      </c>
      <c r="F101" s="613"/>
      <c r="G101" s="613"/>
      <c r="H101" s="613"/>
      <c r="I101" s="613"/>
      <c r="J101" s="613"/>
      <c r="K101" s="613"/>
      <c r="L101" s="613"/>
      <c r="M101" s="613"/>
      <c r="N101" s="613"/>
      <c r="O101" s="613"/>
      <c r="P101" s="613"/>
      <c r="Q101" s="613"/>
      <c r="R101" s="613"/>
      <c r="S101" s="613"/>
      <c r="T101" s="613">
        <f>SUMIFS(PCF!T$177:T$179,PCF!$C$177:$C$179,$E$1)</f>
        <v>0</v>
      </c>
      <c r="U101" s="613">
        <f>SUMIFS(PCF!U$177:U$179,PCF!$C$177:$C$179,$E$1)</f>
        <v>0</v>
      </c>
      <c r="V101" s="613">
        <f>SUMIFS(PCF!V$177:V$179,PCF!$C$177:$C$179,$E$1)</f>
        <v>0</v>
      </c>
      <c r="W101" s="613">
        <f>SUMIFS(PCF!W$177:W$179,PCF!$C$177:$C$179,$E$1)</f>
        <v>0</v>
      </c>
      <c r="X101" s="613">
        <f>SUMIFS(PCF!X$177:X$179,PCF!$C$177:$C$179,$E$1)</f>
        <v>0</v>
      </c>
      <c r="Y101" s="613">
        <f>SUMIFS(PCF!Y$177:Y$179,PCF!$C$177:$C$179,$E$1)</f>
        <v>0</v>
      </c>
      <c r="Z101" s="613">
        <f>SUMIFS(PCF!Z$177:Z$179,PCF!$C$177:$C$179,$E$1)</f>
        <v>0</v>
      </c>
      <c r="AA101" s="613">
        <f>SUMIFS(PCF!AA$177:AA$179,PCF!$C$177:$C$179,$E$1)</f>
        <v>0</v>
      </c>
      <c r="AB101" s="613">
        <f>SUMIFS(PCF!AB$177:AB$179,PCF!$C$177:$C$179,$E$1)</f>
        <v>0</v>
      </c>
      <c r="AC101" s="613">
        <f>SUMIFS(PCF!AC$177:AC$179,PCF!$C$177:$C$179,$E$1)</f>
        <v>0</v>
      </c>
      <c r="AD101" s="613">
        <f>SUMIFS(PCF!AD$177:AD$179,PCF!$C$177:$C$179,$E$1)</f>
        <v>0</v>
      </c>
      <c r="AE101" s="613">
        <f>SUMIFS(PCF!AE$177:AE$179,PCF!$C$177:$C$179,$E$1)</f>
        <v>0</v>
      </c>
      <c r="AF101" s="613">
        <f>SUMIFS(PCF!AF$177:AF$179,PCF!$C$177:$C$179,$E$1)</f>
        <v>0</v>
      </c>
      <c r="AG101" s="613">
        <f>SUMIFS(PCF!AG$177:AG$179,PCF!$C$177:$C$179,$E$1)</f>
        <v>0</v>
      </c>
      <c r="AH101" s="613">
        <f>SUMIFS(PCF!AH$177:AH$179,PCF!$C$177:$C$179,$E$1)</f>
        <v>0</v>
      </c>
      <c r="AI101" s="613">
        <f>SUMIFS(PCF!AI$177:AI$179,PCF!$C$177:$C$179,$E$1)</f>
        <v>0</v>
      </c>
      <c r="AJ101" s="613">
        <f>SUMIFS(PCF!AJ$177:AJ$179,PCF!$C$177:$C$179,$E$1)</f>
        <v>0</v>
      </c>
      <c r="AK101" s="613">
        <f>SUMIFS(PCF!AK$177:AK$179,PCF!$C$177:$C$179,$E$1)</f>
        <v>0</v>
      </c>
      <c r="AL101" s="613">
        <f>SUMIFS(PCF!AL$177:AL$179,PCF!$C$177:$C$179,$E$1)</f>
        <v>0</v>
      </c>
      <c r="AM101" s="613">
        <f>SUMIFS(PCF!AM$177:AM$179,PCF!$C$177:$C$179,$E$1)</f>
        <v>0</v>
      </c>
      <c r="AN101" s="613">
        <f>SUMIFS(PCF!AN$177:AN$179,PCF!$C$177:$C$179,$E$1)</f>
        <v>0</v>
      </c>
      <c r="AO101" s="613">
        <f>SUMIFS(PCF!AO$177:AO$179,PCF!$C$177:$C$179,$E$1)</f>
        <v>0</v>
      </c>
      <c r="AP101" s="613">
        <f>SUMIFS(PCF!AP$177:AP$179,PCF!$C$177:$C$179,$E$1)</f>
        <v>0</v>
      </c>
      <c r="AQ101" s="613">
        <f>SUMIFS(PCF!AQ$177:AQ$179,PCF!$C$177:$C$179,$E$1)</f>
        <v>0</v>
      </c>
      <c r="AR101" s="613">
        <f>SUMIFS(PCF!AR$177:AR$179,PCF!$C$177:$C$179,$E$1)</f>
        <v>0</v>
      </c>
      <c r="AS101" s="613">
        <f>SUMIFS(PCF!AS$177:AS$179,PCF!$C$177:$C$179,$E$1)</f>
        <v>0</v>
      </c>
      <c r="AT101" s="613">
        <f>SUMIFS(PCF!AT$177:AT$179,PCF!$C$177:$C$179,$E$1)</f>
        <v>0</v>
      </c>
      <c r="AU101" s="613">
        <f>SUMIFS(PCF!AU$177:AU$179,PCF!$C$177:$C$179,$E$1)</f>
        <v>0</v>
      </c>
      <c r="AV101" s="613">
        <f>SUMIFS(PCF!AV$177:AV$179,PCF!$C$177:$C$179,$E$1)</f>
        <v>0</v>
      </c>
      <c r="AW101" s="613">
        <f>SUMIFS(PCF!AW$177:AW$179,PCF!$C$177:$C$179,$E$1)</f>
        <v>0</v>
      </c>
      <c r="AX101" s="613">
        <f>SUMIFS(PCF!AX$177:AX$179,PCF!$C$177:$C$179,$E$1)</f>
        <v>0</v>
      </c>
      <c r="AY101" s="613">
        <f>SUMIFS(PCF!AY$177:AY$179,PCF!$C$177:$C$179,$E$1)</f>
        <v>0</v>
      </c>
      <c r="AZ101" s="613">
        <f>SUMIFS(PCF!AZ$177:AZ$179,PCF!$C$177:$C$179,$E$1)</f>
        <v>0</v>
      </c>
      <c r="BA101" s="613">
        <f>SUMIFS(PCF!BA$177:BA$179,PCF!$C$177:$C$179,$E$1)</f>
        <v>0</v>
      </c>
      <c r="BB101" s="613">
        <f>SUMIFS(PCF!BB$177:BB$179,PCF!$C$177:$C$179,$E$1)</f>
        <v>0</v>
      </c>
      <c r="BC101" s="613">
        <f>SUMIFS(PCF!BC$177:BC$179,PCF!$C$177:$C$179,$E$1)</f>
        <v>0</v>
      </c>
      <c r="BD101" s="613">
        <f>SUMIFS(PCF!BD$177:BD$179,PCF!$C$177:$C$179,$E$1)</f>
        <v>0</v>
      </c>
      <c r="BE101" s="613">
        <f>SUMIFS(PCF!BE$177:BE$179,PCF!$C$177:$C$179,$E$1)</f>
        <v>0</v>
      </c>
      <c r="BF101" s="613">
        <f>SUMIFS(PCF!BF$177:BF$179,PCF!$C$177:$C$179,$E$1)</f>
        <v>0</v>
      </c>
      <c r="BG101" s="613">
        <f>SUMIFS(PCF!BG$177:BG$179,PCF!$C$177:$C$179,$E$1)</f>
        <v>0</v>
      </c>
      <c r="BH101" s="613"/>
      <c r="BI101" s="651">
        <f t="shared" si="83"/>
        <v>0</v>
      </c>
      <c r="BJ101" s="613"/>
      <c r="BM101" s="613">
        <f>SUMIF($T$13:$BG$13,BM$13,$T101:$BG101)</f>
        <v>0</v>
      </c>
      <c r="BN101" s="613">
        <f t="shared" si="84"/>
        <v>0</v>
      </c>
      <c r="BO101" s="613">
        <f t="shared" si="84"/>
        <v>0</v>
      </c>
      <c r="BP101" s="613">
        <f t="shared" si="84"/>
        <v>0</v>
      </c>
      <c r="BQ101" s="613">
        <f t="shared" si="84"/>
        <v>0</v>
      </c>
      <c r="BR101" s="613">
        <f t="shared" si="84"/>
        <v>0</v>
      </c>
      <c r="BS101" s="613">
        <f t="shared" si="84"/>
        <v>0</v>
      </c>
      <c r="BT101" s="613">
        <f t="shared" si="84"/>
        <v>0</v>
      </c>
      <c r="BU101" s="613">
        <f t="shared" si="84"/>
        <v>0</v>
      </c>
      <c r="BV101" s="613">
        <f t="shared" si="84"/>
        <v>0</v>
      </c>
      <c r="BW101" s="613"/>
      <c r="BX101" s="652">
        <f t="shared" si="85"/>
        <v>0</v>
      </c>
    </row>
    <row r="102" spans="2:76">
      <c r="B102" s="653" t="s">
        <v>883</v>
      </c>
      <c r="D102" s="77" t="s">
        <v>659</v>
      </c>
      <c r="F102" s="613"/>
      <c r="G102" s="613"/>
      <c r="H102" s="613"/>
      <c r="I102" s="613"/>
      <c r="J102" s="613"/>
      <c r="K102" s="613"/>
      <c r="L102" s="613"/>
      <c r="M102" s="613"/>
      <c r="N102" s="613"/>
      <c r="O102" s="613"/>
      <c r="P102" s="613"/>
      <c r="Q102" s="613"/>
      <c r="R102" s="613"/>
      <c r="S102" s="613"/>
      <c r="T102" s="613">
        <f>SUMIFS(PCF!T$184:T$186,PCF!$C$184:$C$186,$E$1)</f>
        <v>0</v>
      </c>
      <c r="U102" s="613">
        <f>SUMIFS(PCF!U$184:U$186,PCF!$C$184:$C$186,$E$1)</f>
        <v>0</v>
      </c>
      <c r="V102" s="613">
        <f>SUMIFS(PCF!V$184:V$186,PCF!$C$184:$C$186,$E$1)</f>
        <v>0</v>
      </c>
      <c r="W102" s="613">
        <f>SUMIFS(PCF!W$184:W$186,PCF!$C$184:$C$186,$E$1)</f>
        <v>0</v>
      </c>
      <c r="X102" s="613">
        <f>SUMIFS(PCF!X$184:X$186,PCF!$C$184:$C$186,$E$1)</f>
        <v>0</v>
      </c>
      <c r="Y102" s="613">
        <f>SUMIFS(PCF!Y$184:Y$186,PCF!$C$184:$C$186,$E$1)</f>
        <v>0</v>
      </c>
      <c r="Z102" s="613">
        <f>SUMIFS(PCF!Z$184:Z$186,PCF!$C$184:$C$186,$E$1)</f>
        <v>0</v>
      </c>
      <c r="AA102" s="613">
        <f>SUMIFS(PCF!AA$184:AA$186,PCF!$C$184:$C$186,$E$1)</f>
        <v>0</v>
      </c>
      <c r="AB102" s="613">
        <f>SUMIFS(PCF!AB$184:AB$186,PCF!$C$184:$C$186,$E$1)</f>
        <v>0</v>
      </c>
      <c r="AC102" s="613">
        <f>SUMIFS(PCF!AC$184:AC$186,PCF!$C$184:$C$186,$E$1)</f>
        <v>0</v>
      </c>
      <c r="AD102" s="613">
        <f>SUMIFS(PCF!AD$184:AD$186,PCF!$C$184:$C$186,$E$1)</f>
        <v>0</v>
      </c>
      <c r="AE102" s="613">
        <f>SUMIFS(PCF!AE$184:AE$186,PCF!$C$184:$C$186,$E$1)</f>
        <v>0</v>
      </c>
      <c r="AF102" s="613">
        <f>SUMIFS(PCF!AF$184:AF$186,PCF!$C$184:$C$186,$E$1)</f>
        <v>0</v>
      </c>
      <c r="AG102" s="613">
        <f>SUMIFS(PCF!AG$184:AG$186,PCF!$C$184:$C$186,$E$1)</f>
        <v>0</v>
      </c>
      <c r="AH102" s="613">
        <f>SUMIFS(PCF!AH$184:AH$186,PCF!$C$184:$C$186,$E$1)</f>
        <v>0</v>
      </c>
      <c r="AI102" s="613">
        <f>SUMIFS(PCF!AI$184:AI$186,PCF!$C$184:$C$186,$E$1)</f>
        <v>0</v>
      </c>
      <c r="AJ102" s="613">
        <f>SUMIFS(PCF!AJ$184:AJ$186,PCF!$C$184:$C$186,$E$1)</f>
        <v>0</v>
      </c>
      <c r="AK102" s="613">
        <f>SUMIFS(PCF!AK$184:AK$186,PCF!$C$184:$C$186,$E$1)</f>
        <v>0</v>
      </c>
      <c r="AL102" s="613">
        <f>SUMIFS(PCF!AL$184:AL$186,PCF!$C$184:$C$186,$E$1)</f>
        <v>0</v>
      </c>
      <c r="AM102" s="613">
        <f>SUMIFS(PCF!AM$184:AM$186,PCF!$C$184:$C$186,$E$1)</f>
        <v>0</v>
      </c>
      <c r="AN102" s="613">
        <f>SUMIFS(PCF!AN$184:AN$186,PCF!$C$184:$C$186,$E$1)</f>
        <v>0</v>
      </c>
      <c r="AO102" s="613">
        <f>SUMIFS(PCF!AO$184:AO$186,PCF!$C$184:$C$186,$E$1)</f>
        <v>0</v>
      </c>
      <c r="AP102" s="613">
        <f>SUMIFS(PCF!AP$184:AP$186,PCF!$C$184:$C$186,$E$1)</f>
        <v>0</v>
      </c>
      <c r="AQ102" s="613">
        <f>SUMIFS(PCF!AQ$184:AQ$186,PCF!$C$184:$C$186,$E$1)</f>
        <v>0</v>
      </c>
      <c r="AR102" s="613">
        <f>SUMIFS(PCF!AR$184:AR$186,PCF!$C$184:$C$186,$E$1)</f>
        <v>0</v>
      </c>
      <c r="AS102" s="613">
        <f>SUMIFS(PCF!AS$184:AS$186,PCF!$C$184:$C$186,$E$1)</f>
        <v>0</v>
      </c>
      <c r="AT102" s="613">
        <f>SUMIFS(PCF!AT$184:AT$186,PCF!$C$184:$C$186,$E$1)</f>
        <v>0</v>
      </c>
      <c r="AU102" s="613">
        <f>SUMIFS(PCF!AU$184:AU$186,PCF!$C$184:$C$186,$E$1)</f>
        <v>0</v>
      </c>
      <c r="AV102" s="613">
        <f>SUMIFS(PCF!AV$184:AV$186,PCF!$C$184:$C$186,$E$1)</f>
        <v>0</v>
      </c>
      <c r="AW102" s="613">
        <f>SUMIFS(PCF!AW$184:AW$186,PCF!$C$184:$C$186,$E$1)</f>
        <v>0</v>
      </c>
      <c r="AX102" s="613">
        <f>SUMIFS(PCF!AX$184:AX$186,PCF!$C$184:$C$186,$E$1)</f>
        <v>0</v>
      </c>
      <c r="AY102" s="613">
        <f>SUMIFS(PCF!AY$184:AY$186,PCF!$C$184:$C$186,$E$1)</f>
        <v>0</v>
      </c>
      <c r="AZ102" s="613">
        <f>SUMIFS(PCF!AZ$184:AZ$186,PCF!$C$184:$C$186,$E$1)</f>
        <v>0</v>
      </c>
      <c r="BA102" s="613">
        <f>SUMIFS(PCF!BA$184:BA$186,PCF!$C$184:$C$186,$E$1)</f>
        <v>0</v>
      </c>
      <c r="BB102" s="613">
        <f>SUMIFS(PCF!BB$184:BB$186,PCF!$C$184:$C$186,$E$1)</f>
        <v>0</v>
      </c>
      <c r="BC102" s="613">
        <f>SUMIFS(PCF!BC$184:BC$186,PCF!$C$184:$C$186,$E$1)</f>
        <v>0</v>
      </c>
      <c r="BD102" s="613">
        <f>SUMIFS(PCF!BD$184:BD$186,PCF!$C$184:$C$186,$E$1)</f>
        <v>0</v>
      </c>
      <c r="BE102" s="613">
        <f>SUMIFS(PCF!BE$184:BE$186,PCF!$C$184:$C$186,$E$1)</f>
        <v>0</v>
      </c>
      <c r="BF102" s="613">
        <f>SUMIFS(PCF!BF$184:BF$186,PCF!$C$184:$C$186,$E$1)</f>
        <v>0</v>
      </c>
      <c r="BG102" s="613">
        <f>SUMIFS(PCF!BG$184:BG$186,PCF!$C$184:$C$186,$E$1)</f>
        <v>0</v>
      </c>
      <c r="BH102" s="613"/>
      <c r="BI102" s="651">
        <f t="shared" si="83"/>
        <v>0</v>
      </c>
      <c r="BJ102" s="613"/>
      <c r="BM102" s="613">
        <f>SUMIF($T$13:$BG$13,BM$13,$T102:$BG102)</f>
        <v>0</v>
      </c>
      <c r="BN102" s="613">
        <f t="shared" si="84"/>
        <v>0</v>
      </c>
      <c r="BO102" s="613">
        <f t="shared" si="84"/>
        <v>0</v>
      </c>
      <c r="BP102" s="613">
        <f t="shared" si="84"/>
        <v>0</v>
      </c>
      <c r="BQ102" s="613">
        <f t="shared" si="84"/>
        <v>0</v>
      </c>
      <c r="BR102" s="613">
        <f t="shared" si="84"/>
        <v>0</v>
      </c>
      <c r="BS102" s="613">
        <f t="shared" si="84"/>
        <v>0</v>
      </c>
      <c r="BT102" s="613">
        <f t="shared" si="84"/>
        <v>0</v>
      </c>
      <c r="BU102" s="613">
        <f t="shared" si="84"/>
        <v>0</v>
      </c>
      <c r="BV102" s="613">
        <f t="shared" si="84"/>
        <v>0</v>
      </c>
      <c r="BW102" s="613"/>
      <c r="BX102" s="652">
        <f t="shared" si="85"/>
        <v>0</v>
      </c>
    </row>
    <row r="103" spans="2:76">
      <c r="B103" s="653"/>
      <c r="D103" s="77" t="s">
        <v>1282</v>
      </c>
      <c r="F103" s="613"/>
      <c r="G103" s="613"/>
      <c r="H103" s="613"/>
      <c r="I103" s="613"/>
      <c r="J103" s="613"/>
      <c r="K103" s="613"/>
      <c r="L103" s="613"/>
      <c r="M103" s="613"/>
      <c r="N103" s="613"/>
      <c r="O103" s="613"/>
      <c r="P103" s="613"/>
      <c r="Q103" s="613"/>
      <c r="R103" s="613"/>
      <c r="S103" s="613"/>
      <c r="T103" s="613">
        <f>SUMIFS(PCF!T$192:T$194,PCF!$C$192:$C$194,$E$1)</f>
        <v>0</v>
      </c>
      <c r="U103" s="613">
        <f>SUMIFS(PCF!U$192:U$194,PCF!$C$192:$C$194,$E$1)</f>
        <v>0</v>
      </c>
      <c r="V103" s="613">
        <f>SUMIFS(PCF!V$192:V$194,PCF!$C$192:$C$194,$E$1)</f>
        <v>0</v>
      </c>
      <c r="W103" s="613">
        <f>SUMIFS(PCF!W$192:W$194,PCF!$C$192:$C$194,$E$1)</f>
        <v>0</v>
      </c>
      <c r="X103" s="613">
        <f>SUMIFS(PCF!X$192:X$194,PCF!$C$192:$C$194,$E$1)</f>
        <v>0</v>
      </c>
      <c r="Y103" s="613">
        <f>SUMIFS(PCF!Y$192:Y$194,PCF!$C$192:$C$194,$E$1)</f>
        <v>0</v>
      </c>
      <c r="Z103" s="613">
        <f>SUMIFS(PCF!Z$192:Z$194,PCF!$C$192:$C$194,$E$1)</f>
        <v>0</v>
      </c>
      <c r="AA103" s="613">
        <f>SUMIFS(PCF!AA$192:AA$194,PCF!$C$192:$C$194,$E$1)</f>
        <v>0</v>
      </c>
      <c r="AB103" s="613">
        <f>SUMIFS(PCF!AB$192:AB$194,PCF!$C$192:$C$194,$E$1)</f>
        <v>0</v>
      </c>
      <c r="AC103" s="613">
        <f>SUMIFS(PCF!AC$192:AC$194,PCF!$C$192:$C$194,$E$1)</f>
        <v>0</v>
      </c>
      <c r="AD103" s="613">
        <f>SUMIFS(PCF!AD$192:AD$194,PCF!$C$192:$C$194,$E$1)</f>
        <v>0</v>
      </c>
      <c r="AE103" s="613">
        <f>SUMIFS(PCF!AE$192:AE$194,PCF!$C$192:$C$194,$E$1)</f>
        <v>0</v>
      </c>
      <c r="AF103" s="613">
        <f>SUMIFS(PCF!AF$192:AF$194,PCF!$C$192:$C$194,$E$1)</f>
        <v>0</v>
      </c>
      <c r="AG103" s="613">
        <f>SUMIFS(PCF!AG$192:AG$194,PCF!$C$192:$C$194,$E$1)</f>
        <v>0</v>
      </c>
      <c r="AH103" s="613">
        <f>SUMIFS(PCF!AH$192:AH$194,PCF!$C$192:$C$194,$E$1)</f>
        <v>0</v>
      </c>
      <c r="AI103" s="613">
        <f>SUMIFS(PCF!AI$192:AI$194,PCF!$C$192:$C$194,$E$1)</f>
        <v>0</v>
      </c>
      <c r="AJ103" s="613">
        <f>SUMIFS(PCF!AJ$192:AJ$194,PCF!$C$192:$C$194,$E$1)</f>
        <v>0</v>
      </c>
      <c r="AK103" s="613">
        <f>SUMIFS(PCF!AK$192:AK$194,PCF!$C$192:$C$194,$E$1)</f>
        <v>0</v>
      </c>
      <c r="AL103" s="613">
        <f>SUMIFS(PCF!AL$192:AL$194,PCF!$C$192:$C$194,$E$1)</f>
        <v>0</v>
      </c>
      <c r="AM103" s="613">
        <f>SUMIFS(PCF!AM$192:AM$194,PCF!$C$192:$C$194,$E$1)</f>
        <v>0</v>
      </c>
      <c r="AN103" s="613">
        <f>SUMIFS(PCF!AN$192:AN$194,PCF!$C$192:$C$194,$E$1)</f>
        <v>0</v>
      </c>
      <c r="AO103" s="613">
        <f>SUMIFS(PCF!AO$192:AO$194,PCF!$C$192:$C$194,$E$1)</f>
        <v>0</v>
      </c>
      <c r="AP103" s="613">
        <f>SUMIFS(PCF!AP$192:AP$194,PCF!$C$192:$C$194,$E$1)</f>
        <v>0</v>
      </c>
      <c r="AQ103" s="613">
        <f>SUMIFS(PCF!AQ$192:AQ$194,PCF!$C$192:$C$194,$E$1)</f>
        <v>0</v>
      </c>
      <c r="AR103" s="613">
        <f>SUMIFS(PCF!AR$192:AR$194,PCF!$C$192:$C$194,$E$1)</f>
        <v>0</v>
      </c>
      <c r="AS103" s="613">
        <f>SUMIFS(PCF!AS$192:AS$194,PCF!$C$192:$C$194,$E$1)</f>
        <v>0</v>
      </c>
      <c r="AT103" s="613">
        <f>SUMIFS(PCF!AT$192:AT$194,PCF!$C$192:$C$194,$E$1)</f>
        <v>0</v>
      </c>
      <c r="AU103" s="613">
        <f>SUMIFS(PCF!AU$192:AU$194,PCF!$C$192:$C$194,$E$1)</f>
        <v>0</v>
      </c>
      <c r="AV103" s="613">
        <f>SUMIFS(PCF!AV$192:AV$194,PCF!$C$192:$C$194,$E$1)</f>
        <v>0</v>
      </c>
      <c r="AW103" s="613">
        <f>SUMIFS(PCF!AW$192:AW$194,PCF!$C$192:$C$194,$E$1)</f>
        <v>0</v>
      </c>
      <c r="AX103" s="613">
        <f>SUMIFS(PCF!AX$192:AX$194,PCF!$C$192:$C$194,$E$1)</f>
        <v>0</v>
      </c>
      <c r="AY103" s="613">
        <f>SUMIFS(PCF!AY$192:AY$194,PCF!$C$192:$C$194,$E$1)</f>
        <v>0</v>
      </c>
      <c r="AZ103" s="613">
        <f>SUMIFS(PCF!AZ$192:AZ$194,PCF!$C$192:$C$194,$E$1)</f>
        <v>0</v>
      </c>
      <c r="BA103" s="613">
        <f>SUMIFS(PCF!BA$192:BA$194,PCF!$C$192:$C$194,$E$1)</f>
        <v>0</v>
      </c>
      <c r="BB103" s="613">
        <f>SUMIFS(PCF!BB$192:BB$194,PCF!$C$192:$C$194,$E$1)</f>
        <v>0</v>
      </c>
      <c r="BC103" s="613">
        <f>SUMIFS(PCF!BC$192:BC$194,PCF!$C$192:$C$194,$E$1)</f>
        <v>0</v>
      </c>
      <c r="BD103" s="613">
        <f>SUMIFS(PCF!BD$192:BD$194,PCF!$C$192:$C$194,$E$1)</f>
        <v>0</v>
      </c>
      <c r="BE103" s="613">
        <f>SUMIFS(PCF!BE$192:BE$194,PCF!$C$192:$C$194,$E$1)</f>
        <v>0</v>
      </c>
      <c r="BF103" s="613">
        <f>SUMIFS(PCF!BF$192:BF$194,PCF!$C$192:$C$194,$E$1)</f>
        <v>0</v>
      </c>
      <c r="BG103" s="613">
        <f>SUMIFS(PCF!BG$192:BG$194,PCF!$C$192:$C$194,$E$1)</f>
        <v>0</v>
      </c>
      <c r="BH103" s="613"/>
      <c r="BI103" s="651">
        <f t="shared" ref="BI103" si="86">SUM(T103:BG103)</f>
        <v>0</v>
      </c>
      <c r="BJ103" s="613"/>
      <c r="BM103" s="613">
        <f>SUMIF($T$13:$BG$13,BM$13,$T103:$BG103)</f>
        <v>0</v>
      </c>
      <c r="BN103" s="613">
        <f t="shared" si="84"/>
        <v>0</v>
      </c>
      <c r="BO103" s="613">
        <f t="shared" si="84"/>
        <v>0</v>
      </c>
      <c r="BP103" s="613">
        <f t="shared" si="84"/>
        <v>0</v>
      </c>
      <c r="BQ103" s="613">
        <f t="shared" si="84"/>
        <v>0</v>
      </c>
      <c r="BR103" s="613">
        <f t="shared" si="84"/>
        <v>0</v>
      </c>
      <c r="BS103" s="613">
        <f t="shared" si="84"/>
        <v>0</v>
      </c>
      <c r="BT103" s="613">
        <f t="shared" si="84"/>
        <v>0</v>
      </c>
      <c r="BU103" s="613">
        <f t="shared" si="84"/>
        <v>0</v>
      </c>
      <c r="BV103" s="613">
        <f t="shared" si="84"/>
        <v>0</v>
      </c>
      <c r="BW103" s="613"/>
      <c r="BX103" s="652">
        <f t="shared" ref="BX103" si="87">SUM(BM103:BV103)</f>
        <v>0</v>
      </c>
    </row>
    <row r="104" spans="2:76">
      <c r="B104" s="653" t="s">
        <v>523</v>
      </c>
      <c r="D104" s="593" t="s">
        <v>356</v>
      </c>
      <c r="E104" s="683"/>
      <c r="F104" s="613"/>
      <c r="G104" s="613"/>
      <c r="H104" s="613"/>
      <c r="I104" s="613"/>
      <c r="J104" s="613"/>
      <c r="K104" s="613"/>
      <c r="L104" s="613"/>
      <c r="M104" s="613"/>
      <c r="N104" s="613"/>
      <c r="O104" s="613"/>
      <c r="P104" s="613"/>
      <c r="Q104" s="613"/>
      <c r="R104" s="613"/>
      <c r="S104" s="613"/>
      <c r="T104" s="613">
        <f>SUMIFS(PCF!T$225:T$227,PCF!$C$225:$C$227,$E$1)</f>
        <v>0</v>
      </c>
      <c r="U104" s="613">
        <f>SUMIFS(PCF!U$225:U$227,PCF!$C$225:$C$227,$E$1)</f>
        <v>0</v>
      </c>
      <c r="V104" s="613">
        <f>SUMIFS(PCF!V$225:V$227,PCF!$C$225:$C$227,$E$1)</f>
        <v>0</v>
      </c>
      <c r="W104" s="613">
        <f>SUMIFS(PCF!W$225:W$227,PCF!$C$225:$C$227,$E$1)</f>
        <v>0</v>
      </c>
      <c r="X104" s="613">
        <f>SUMIFS(PCF!X$225:X$227,PCF!$C$225:$C$227,$E$1)</f>
        <v>0</v>
      </c>
      <c r="Y104" s="613">
        <f>SUMIFS(PCF!Y$225:Y$227,PCF!$C$225:$C$227,$E$1)</f>
        <v>0</v>
      </c>
      <c r="Z104" s="613">
        <f>SUMIFS(PCF!Z$225:Z$227,PCF!$C$225:$C$227,$E$1)</f>
        <v>0</v>
      </c>
      <c r="AA104" s="613">
        <f>SUMIFS(PCF!AA$225:AA$227,PCF!$C$225:$C$227,$E$1)</f>
        <v>0</v>
      </c>
      <c r="AB104" s="613">
        <f>SUMIFS(PCF!AB$225:AB$227,PCF!$C$225:$C$227,$E$1)</f>
        <v>0</v>
      </c>
      <c r="AC104" s="613">
        <f>SUMIFS(PCF!AC$225:AC$227,PCF!$C$225:$C$227,$E$1)</f>
        <v>0</v>
      </c>
      <c r="AD104" s="613">
        <f>SUMIFS(PCF!AD$225:AD$227,PCF!$C$225:$C$227,$E$1)</f>
        <v>0</v>
      </c>
      <c r="AE104" s="613">
        <f>SUMIFS(PCF!AE$225:AE$227,PCF!$C$225:$C$227,$E$1)</f>
        <v>0</v>
      </c>
      <c r="AF104" s="613">
        <f>SUMIFS(PCF!AF$225:AF$227,PCF!$C$225:$C$227,$E$1)</f>
        <v>0</v>
      </c>
      <c r="AG104" s="613">
        <f>SUMIFS(PCF!AG$225:AG$227,PCF!$C$225:$C$227,$E$1)</f>
        <v>0</v>
      </c>
      <c r="AH104" s="613">
        <f>SUMIFS(PCF!AH$225:AH$227,PCF!$C$225:$C$227,$E$1)</f>
        <v>0</v>
      </c>
      <c r="AI104" s="613">
        <f>SUMIFS(PCF!AI$225:AI$227,PCF!$C$225:$C$227,$E$1)</f>
        <v>0</v>
      </c>
      <c r="AJ104" s="613">
        <f>SUMIFS(PCF!AJ$225:AJ$227,PCF!$C$225:$C$227,$E$1)</f>
        <v>0</v>
      </c>
      <c r="AK104" s="613">
        <f>SUMIFS(PCF!AK$225:AK$227,PCF!$C$225:$C$227,$E$1)</f>
        <v>0</v>
      </c>
      <c r="AL104" s="613">
        <f>SUMIFS(PCF!AL$225:AL$227,PCF!$C$225:$C$227,$E$1)</f>
        <v>0</v>
      </c>
      <c r="AM104" s="613">
        <f>SUMIFS(PCF!AM$225:AM$227,PCF!$C$225:$C$227,$E$1)</f>
        <v>0</v>
      </c>
      <c r="AN104" s="613">
        <f>SUMIFS(PCF!AN$225:AN$227,PCF!$C$225:$C$227,$E$1)</f>
        <v>0</v>
      </c>
      <c r="AO104" s="613">
        <f>SUMIFS(PCF!AO$225:AO$227,PCF!$C$225:$C$227,$E$1)</f>
        <v>0</v>
      </c>
      <c r="AP104" s="613">
        <f>SUMIFS(PCF!AP$225:AP$227,PCF!$C$225:$C$227,$E$1)</f>
        <v>0</v>
      </c>
      <c r="AQ104" s="613">
        <f>SUMIFS(PCF!AQ$225:AQ$227,PCF!$C$225:$C$227,$E$1)</f>
        <v>0</v>
      </c>
      <c r="AR104" s="613">
        <f>SUMIFS(PCF!AR$225:AR$227,PCF!$C$225:$C$227,$E$1)</f>
        <v>0</v>
      </c>
      <c r="AS104" s="613">
        <f>SUMIFS(PCF!AS$225:AS$227,PCF!$C$225:$C$227,$E$1)</f>
        <v>0</v>
      </c>
      <c r="AT104" s="613">
        <f>SUMIFS(PCF!AT$225:AT$227,PCF!$C$225:$C$227,$E$1)</f>
        <v>0</v>
      </c>
      <c r="AU104" s="613">
        <f>SUMIFS(PCF!AU$225:AU$227,PCF!$C$225:$C$227,$E$1)</f>
        <v>0</v>
      </c>
      <c r="AV104" s="613">
        <f>SUMIFS(PCF!AV$225:AV$227,PCF!$C$225:$C$227,$E$1)</f>
        <v>0</v>
      </c>
      <c r="AW104" s="613">
        <f>SUMIFS(PCF!AW$225:AW$227,PCF!$C$225:$C$227,$E$1)</f>
        <v>0</v>
      </c>
      <c r="AX104" s="613">
        <f>SUMIFS(PCF!AX$225:AX$227,PCF!$C$225:$C$227,$E$1)</f>
        <v>0</v>
      </c>
      <c r="AY104" s="613">
        <f>SUMIFS(PCF!AY$225:AY$227,PCF!$C$225:$C$227,$E$1)</f>
        <v>0</v>
      </c>
      <c r="AZ104" s="613">
        <f>SUMIFS(PCF!AZ$225:AZ$227,PCF!$C$225:$C$227,$E$1)</f>
        <v>0</v>
      </c>
      <c r="BA104" s="613">
        <f>SUMIFS(PCF!BA$225:BA$227,PCF!$C$225:$C$227,$E$1)</f>
        <v>0</v>
      </c>
      <c r="BB104" s="613">
        <f>SUMIFS(PCF!BB$225:BB$227,PCF!$C$225:$C$227,$E$1)</f>
        <v>0</v>
      </c>
      <c r="BC104" s="613">
        <f>SUMIFS(PCF!BC$225:BC$227,PCF!$C$225:$C$227,$E$1)</f>
        <v>0</v>
      </c>
      <c r="BD104" s="613">
        <f>SUMIFS(PCF!BD$225:BD$227,PCF!$C$225:$C$227,$E$1)</f>
        <v>0</v>
      </c>
      <c r="BE104" s="613">
        <f>SUMIFS(PCF!BE$225:BE$227,PCF!$C$225:$C$227,$E$1)</f>
        <v>0</v>
      </c>
      <c r="BF104" s="613">
        <f>SUMIFS(PCF!BF$225:BF$227,PCF!$C$225:$C$227,$E$1)</f>
        <v>0</v>
      </c>
      <c r="BG104" s="613">
        <f>SUMIFS(PCF!BG$225:BG$227,PCF!$C$225:$C$227,$E$1)</f>
        <v>0</v>
      </c>
      <c r="BH104" s="613"/>
      <c r="BI104" s="651">
        <f t="shared" si="83"/>
        <v>0</v>
      </c>
      <c r="BJ104" s="613"/>
      <c r="BM104" s="613">
        <f>SUMIF($T$13:$BG$13,BM$13,$T104:$BG104)</f>
        <v>0</v>
      </c>
      <c r="BN104" s="613">
        <f t="shared" si="84"/>
        <v>0</v>
      </c>
      <c r="BO104" s="613">
        <f t="shared" si="84"/>
        <v>0</v>
      </c>
      <c r="BP104" s="613">
        <f t="shared" si="84"/>
        <v>0</v>
      </c>
      <c r="BQ104" s="613">
        <f t="shared" si="84"/>
        <v>0</v>
      </c>
      <c r="BR104" s="613">
        <f t="shared" si="84"/>
        <v>0</v>
      </c>
      <c r="BS104" s="613">
        <f t="shared" si="84"/>
        <v>0</v>
      </c>
      <c r="BT104" s="613">
        <f t="shared" si="84"/>
        <v>0</v>
      </c>
      <c r="BU104" s="613">
        <f t="shared" si="84"/>
        <v>0</v>
      </c>
      <c r="BV104" s="613">
        <f t="shared" si="84"/>
        <v>0</v>
      </c>
      <c r="BW104" s="613"/>
      <c r="BX104" s="652">
        <f t="shared" si="85"/>
        <v>0</v>
      </c>
    </row>
    <row r="105" spans="2:76" s="39" customFormat="1">
      <c r="B105" s="655"/>
      <c r="D105" s="395" t="s">
        <v>152</v>
      </c>
      <c r="E105" s="682"/>
      <c r="F105" s="631"/>
      <c r="G105" s="631"/>
      <c r="H105" s="631"/>
      <c r="I105" s="631"/>
      <c r="J105" s="631"/>
      <c r="K105" s="631"/>
      <c r="L105" s="631"/>
      <c r="M105" s="631"/>
      <c r="N105" s="631"/>
      <c r="O105" s="631"/>
      <c r="P105" s="631"/>
      <c r="Q105" s="631"/>
      <c r="R105" s="631"/>
      <c r="S105" s="631"/>
      <c r="T105" s="631">
        <f t="shared" ref="T105:BG105" si="88">SUM(T99:T104)</f>
        <v>0</v>
      </c>
      <c r="U105" s="631">
        <f t="shared" si="88"/>
        <v>0</v>
      </c>
      <c r="V105" s="631">
        <f t="shared" si="88"/>
        <v>0</v>
      </c>
      <c r="W105" s="631">
        <f t="shared" si="88"/>
        <v>0</v>
      </c>
      <c r="X105" s="631">
        <f t="shared" si="88"/>
        <v>0</v>
      </c>
      <c r="Y105" s="631">
        <f t="shared" si="88"/>
        <v>0</v>
      </c>
      <c r="Z105" s="631">
        <f t="shared" si="88"/>
        <v>0</v>
      </c>
      <c r="AA105" s="631">
        <f t="shared" si="88"/>
        <v>0</v>
      </c>
      <c r="AB105" s="631">
        <f t="shared" si="88"/>
        <v>0</v>
      </c>
      <c r="AC105" s="631">
        <f t="shared" si="88"/>
        <v>0</v>
      </c>
      <c r="AD105" s="631">
        <f t="shared" si="88"/>
        <v>0</v>
      </c>
      <c r="AE105" s="631">
        <f t="shared" si="88"/>
        <v>0</v>
      </c>
      <c r="AF105" s="631">
        <f t="shared" si="88"/>
        <v>0</v>
      </c>
      <c r="AG105" s="631">
        <f t="shared" si="88"/>
        <v>0</v>
      </c>
      <c r="AH105" s="631">
        <f t="shared" si="88"/>
        <v>0</v>
      </c>
      <c r="AI105" s="631">
        <f t="shared" si="88"/>
        <v>0</v>
      </c>
      <c r="AJ105" s="631">
        <f t="shared" si="88"/>
        <v>0</v>
      </c>
      <c r="AK105" s="631">
        <f t="shared" si="88"/>
        <v>0</v>
      </c>
      <c r="AL105" s="631">
        <f t="shared" si="88"/>
        <v>0</v>
      </c>
      <c r="AM105" s="631">
        <f t="shared" si="88"/>
        <v>0</v>
      </c>
      <c r="AN105" s="631">
        <f t="shared" si="88"/>
        <v>0</v>
      </c>
      <c r="AO105" s="631">
        <f t="shared" si="88"/>
        <v>0</v>
      </c>
      <c r="AP105" s="631">
        <f t="shared" si="88"/>
        <v>0</v>
      </c>
      <c r="AQ105" s="631">
        <f t="shared" si="88"/>
        <v>0</v>
      </c>
      <c r="AR105" s="631">
        <f t="shared" si="88"/>
        <v>0</v>
      </c>
      <c r="AS105" s="631">
        <f t="shared" si="88"/>
        <v>0</v>
      </c>
      <c r="AT105" s="631">
        <f t="shared" si="88"/>
        <v>0</v>
      </c>
      <c r="AU105" s="631">
        <f t="shared" si="88"/>
        <v>0</v>
      </c>
      <c r="AV105" s="631">
        <f t="shared" si="88"/>
        <v>0</v>
      </c>
      <c r="AW105" s="631">
        <f t="shared" si="88"/>
        <v>0</v>
      </c>
      <c r="AX105" s="631">
        <f t="shared" si="88"/>
        <v>0</v>
      </c>
      <c r="AY105" s="631">
        <f t="shared" si="88"/>
        <v>0</v>
      </c>
      <c r="AZ105" s="631">
        <f t="shared" si="88"/>
        <v>0</v>
      </c>
      <c r="BA105" s="631">
        <f t="shared" si="88"/>
        <v>0</v>
      </c>
      <c r="BB105" s="631">
        <f t="shared" si="88"/>
        <v>0</v>
      </c>
      <c r="BC105" s="631">
        <f t="shared" si="88"/>
        <v>0</v>
      </c>
      <c r="BD105" s="631">
        <f t="shared" si="88"/>
        <v>0</v>
      </c>
      <c r="BE105" s="631">
        <f t="shared" si="88"/>
        <v>0</v>
      </c>
      <c r="BF105" s="631">
        <f t="shared" si="88"/>
        <v>0</v>
      </c>
      <c r="BG105" s="631">
        <f t="shared" si="88"/>
        <v>0</v>
      </c>
      <c r="BH105" s="652"/>
      <c r="BI105" s="458">
        <f t="shared" si="83"/>
        <v>0</v>
      </c>
      <c r="BJ105" s="652"/>
      <c r="BM105" s="631">
        <f t="shared" ref="BM105:BV105" si="89">SUM(BM99:BM104)</f>
        <v>0</v>
      </c>
      <c r="BN105" s="631">
        <f t="shared" si="89"/>
        <v>0</v>
      </c>
      <c r="BO105" s="631">
        <f t="shared" si="89"/>
        <v>0</v>
      </c>
      <c r="BP105" s="631">
        <f t="shared" si="89"/>
        <v>0</v>
      </c>
      <c r="BQ105" s="631">
        <f t="shared" si="89"/>
        <v>0</v>
      </c>
      <c r="BR105" s="631">
        <f t="shared" si="89"/>
        <v>0</v>
      </c>
      <c r="BS105" s="631">
        <f t="shared" si="89"/>
        <v>0</v>
      </c>
      <c r="BT105" s="631">
        <f t="shared" si="89"/>
        <v>0</v>
      </c>
      <c r="BU105" s="631">
        <f t="shared" si="89"/>
        <v>0</v>
      </c>
      <c r="BV105" s="631">
        <f t="shared" si="89"/>
        <v>0</v>
      </c>
      <c r="BW105" s="652"/>
      <c r="BX105" s="631">
        <f t="shared" si="85"/>
        <v>0</v>
      </c>
    </row>
    <row r="106" spans="2:76">
      <c r="B106" s="607"/>
      <c r="D106" s="593"/>
      <c r="E106" s="683"/>
      <c r="F106" s="613"/>
      <c r="G106" s="613"/>
      <c r="H106" s="613"/>
      <c r="I106" s="613"/>
      <c r="J106" s="613"/>
      <c r="K106" s="613"/>
      <c r="L106" s="613"/>
      <c r="M106" s="613"/>
      <c r="N106" s="613"/>
      <c r="O106" s="613"/>
      <c r="P106" s="613"/>
      <c r="Q106" s="613"/>
      <c r="R106" s="613"/>
      <c r="S106" s="613"/>
      <c r="T106" s="613"/>
      <c r="U106" s="613"/>
      <c r="V106" s="613"/>
      <c r="W106" s="613"/>
      <c r="X106" s="613"/>
      <c r="Y106" s="613"/>
      <c r="Z106" s="613"/>
      <c r="AA106" s="613"/>
      <c r="AB106" s="613"/>
      <c r="AC106" s="613"/>
      <c r="AD106" s="613"/>
      <c r="AE106" s="613"/>
      <c r="AF106" s="613"/>
      <c r="AG106" s="613"/>
      <c r="AH106" s="613"/>
      <c r="AI106" s="613"/>
      <c r="AJ106" s="613"/>
      <c r="AK106" s="613"/>
      <c r="AL106" s="613"/>
      <c r="AM106" s="613"/>
      <c r="AN106" s="613"/>
      <c r="AO106" s="613"/>
      <c r="AP106" s="613"/>
      <c r="AQ106" s="613"/>
      <c r="AR106" s="613"/>
      <c r="AS106" s="613"/>
      <c r="AT106" s="613"/>
      <c r="AU106" s="613"/>
      <c r="AV106" s="613"/>
      <c r="AW106" s="613"/>
      <c r="AX106" s="613"/>
      <c r="AY106" s="613"/>
      <c r="AZ106" s="613"/>
      <c r="BA106" s="613"/>
      <c r="BB106" s="613"/>
      <c r="BC106" s="613"/>
      <c r="BD106" s="613"/>
      <c r="BE106" s="613"/>
      <c r="BF106" s="613"/>
      <c r="BG106" s="613"/>
      <c r="BH106" s="613"/>
      <c r="BI106" s="651"/>
      <c r="BJ106" s="613"/>
      <c r="BM106" s="613"/>
      <c r="BN106" s="613"/>
      <c r="BO106" s="613"/>
      <c r="BP106" s="613"/>
      <c r="BQ106" s="613"/>
      <c r="BR106" s="613"/>
      <c r="BS106" s="613"/>
      <c r="BT106" s="613"/>
      <c r="BU106" s="613"/>
      <c r="BV106" s="613"/>
      <c r="BW106" s="613"/>
      <c r="BX106" s="652"/>
    </row>
    <row r="107" spans="2:76" s="39" customFormat="1">
      <c r="B107" s="655"/>
      <c r="D107" s="395" t="s">
        <v>1066</v>
      </c>
      <c r="E107" s="682"/>
      <c r="F107" s="631"/>
      <c r="G107" s="631"/>
      <c r="H107" s="631"/>
      <c r="I107" s="631"/>
      <c r="J107" s="631"/>
      <c r="K107" s="631"/>
      <c r="L107" s="631"/>
      <c r="M107" s="631"/>
      <c r="N107" s="631"/>
      <c r="O107" s="631"/>
      <c r="P107" s="631"/>
      <c r="Q107" s="631"/>
      <c r="R107" s="631">
        <f>R87+R94+R105+R60</f>
        <v>-41208.162841401987</v>
      </c>
      <c r="S107" s="631">
        <f t="shared" ref="S107:BG107" si="90">S87+S94+S105+S60</f>
        <v>-1807942.7348842241</v>
      </c>
      <c r="T107" s="631">
        <f t="shared" si="90"/>
        <v>0</v>
      </c>
      <c r="U107" s="631">
        <f t="shared" si="90"/>
        <v>0</v>
      </c>
      <c r="V107" s="631">
        <f t="shared" si="90"/>
        <v>17432.702255411175</v>
      </c>
      <c r="W107" s="631">
        <f t="shared" si="90"/>
        <v>17453.043076705777</v>
      </c>
      <c r="X107" s="631">
        <f t="shared" si="90"/>
        <v>17473.348245337766</v>
      </c>
      <c r="Y107" s="631">
        <f t="shared" si="90"/>
        <v>17493.617328952449</v>
      </c>
      <c r="Z107" s="631">
        <f t="shared" si="90"/>
        <v>17513.849892571849</v>
      </c>
      <c r="AA107" s="631">
        <f t="shared" si="90"/>
        <v>17534.045498580766</v>
      </c>
      <c r="AB107" s="631">
        <f t="shared" si="90"/>
        <v>17554.203706712789</v>
      </c>
      <c r="AC107" s="631">
        <f t="shared" si="90"/>
        <v>17574.32407403626</v>
      </c>
      <c r="AD107" s="631">
        <f t="shared" si="90"/>
        <v>17594.406154940145</v>
      </c>
      <c r="AE107" s="631">
        <f t="shared" si="90"/>
        <v>17614.44950111982</v>
      </c>
      <c r="AF107" s="631">
        <f t="shared" si="90"/>
        <v>0</v>
      </c>
      <c r="AG107" s="631">
        <f t="shared" si="90"/>
        <v>0</v>
      </c>
      <c r="AH107" s="631">
        <f t="shared" si="90"/>
        <v>0</v>
      </c>
      <c r="AI107" s="631">
        <f t="shared" si="90"/>
        <v>0</v>
      </c>
      <c r="AJ107" s="631">
        <f t="shared" si="90"/>
        <v>0</v>
      </c>
      <c r="AK107" s="631">
        <f t="shared" si="90"/>
        <v>0</v>
      </c>
      <c r="AL107" s="631">
        <f t="shared" si="90"/>
        <v>0</v>
      </c>
      <c r="AM107" s="631">
        <f t="shared" si="90"/>
        <v>0</v>
      </c>
      <c r="AN107" s="631">
        <f t="shared" si="90"/>
        <v>0</v>
      </c>
      <c r="AO107" s="631">
        <f t="shared" si="90"/>
        <v>0</v>
      </c>
      <c r="AP107" s="631">
        <f t="shared" si="90"/>
        <v>0</v>
      </c>
      <c r="AQ107" s="631">
        <f t="shared" si="90"/>
        <v>0</v>
      </c>
      <c r="AR107" s="631">
        <f t="shared" si="90"/>
        <v>0</v>
      </c>
      <c r="AS107" s="631">
        <f t="shared" si="90"/>
        <v>0</v>
      </c>
      <c r="AT107" s="631">
        <f t="shared" si="90"/>
        <v>0</v>
      </c>
      <c r="AU107" s="631">
        <f t="shared" si="90"/>
        <v>0</v>
      </c>
      <c r="AV107" s="631">
        <f t="shared" si="90"/>
        <v>0</v>
      </c>
      <c r="AW107" s="631">
        <f t="shared" si="90"/>
        <v>0</v>
      </c>
      <c r="AX107" s="631">
        <f t="shared" si="90"/>
        <v>0</v>
      </c>
      <c r="AY107" s="631">
        <f t="shared" si="90"/>
        <v>0</v>
      </c>
      <c r="AZ107" s="631">
        <f t="shared" si="90"/>
        <v>0</v>
      </c>
      <c r="BA107" s="631">
        <f t="shared" si="90"/>
        <v>0</v>
      </c>
      <c r="BB107" s="631">
        <f t="shared" si="90"/>
        <v>0</v>
      </c>
      <c r="BC107" s="631">
        <f t="shared" si="90"/>
        <v>0</v>
      </c>
      <c r="BD107" s="631">
        <f t="shared" si="90"/>
        <v>0</v>
      </c>
      <c r="BE107" s="631">
        <f t="shared" si="90"/>
        <v>0</v>
      </c>
      <c r="BF107" s="631">
        <f t="shared" si="90"/>
        <v>0</v>
      </c>
      <c r="BG107" s="631">
        <f t="shared" si="90"/>
        <v>0</v>
      </c>
      <c r="BH107" s="652"/>
      <c r="BI107" s="458">
        <f>SUM(T107:BG107)</f>
        <v>175237.98973436878</v>
      </c>
      <c r="BJ107" s="652"/>
      <c r="BK107" s="39" t="b">
        <f>ROUND(BI107,GA!$G$112)=ROUND(BX107,GA!$G$112)</f>
        <v>1</v>
      </c>
      <c r="BM107" s="631">
        <f t="shared" ref="BM107:BV107" si="91">BM87+BM94+BM105</f>
        <v>34885.745332116952</v>
      </c>
      <c r="BN107" s="631">
        <f t="shared" si="91"/>
        <v>70014.860965442815</v>
      </c>
      <c r="BO107" s="631">
        <f t="shared" si="91"/>
        <v>70337.383436809017</v>
      </c>
      <c r="BP107" s="631">
        <f t="shared" si="91"/>
        <v>0</v>
      </c>
      <c r="BQ107" s="631">
        <f t="shared" si="91"/>
        <v>0</v>
      </c>
      <c r="BR107" s="631">
        <f t="shared" si="91"/>
        <v>0</v>
      </c>
      <c r="BS107" s="631">
        <f t="shared" si="91"/>
        <v>0</v>
      </c>
      <c r="BT107" s="631">
        <f t="shared" si="91"/>
        <v>0</v>
      </c>
      <c r="BU107" s="631">
        <f t="shared" si="91"/>
        <v>0</v>
      </c>
      <c r="BV107" s="631">
        <f t="shared" si="91"/>
        <v>0</v>
      </c>
      <c r="BW107" s="652"/>
      <c r="BX107" s="631">
        <f>SUM(BM107:BV107)</f>
        <v>175237.98973436881</v>
      </c>
    </row>
    <row r="108" spans="2:76">
      <c r="B108" s="607"/>
      <c r="D108" s="593"/>
      <c r="E108" s="683"/>
      <c r="F108" s="613"/>
      <c r="G108" s="613"/>
      <c r="H108" s="613"/>
      <c r="I108" s="613"/>
      <c r="J108" s="613"/>
      <c r="K108" s="613"/>
      <c r="L108" s="613"/>
      <c r="M108" s="613"/>
      <c r="N108" s="613"/>
      <c r="O108" s="613"/>
      <c r="P108" s="613"/>
      <c r="Q108" s="613"/>
      <c r="R108" s="613"/>
      <c r="S108" s="613"/>
      <c r="T108" s="613"/>
      <c r="U108" s="613"/>
      <c r="V108" s="613"/>
      <c r="W108" s="613"/>
      <c r="X108" s="613"/>
      <c r="Y108" s="613"/>
      <c r="Z108" s="613"/>
      <c r="AA108" s="613"/>
      <c r="AB108" s="613"/>
      <c r="AC108" s="613"/>
      <c r="AD108" s="613"/>
      <c r="AE108" s="613"/>
      <c r="AF108" s="613"/>
      <c r="AG108" s="613"/>
      <c r="AH108" s="613"/>
      <c r="AI108" s="613"/>
      <c r="AJ108" s="613"/>
      <c r="AK108" s="613"/>
      <c r="AL108" s="613"/>
      <c r="AM108" s="613"/>
      <c r="AN108" s="613"/>
      <c r="AO108" s="613"/>
      <c r="AP108" s="613"/>
      <c r="AQ108" s="613"/>
      <c r="AR108" s="613"/>
      <c r="AS108" s="613"/>
      <c r="AT108" s="613"/>
      <c r="AU108" s="613"/>
      <c r="AV108" s="613"/>
      <c r="AW108" s="613"/>
      <c r="AX108" s="613"/>
      <c r="AY108" s="613"/>
      <c r="AZ108" s="613"/>
      <c r="BA108" s="613"/>
      <c r="BB108" s="613"/>
      <c r="BC108" s="613"/>
      <c r="BD108" s="613"/>
      <c r="BE108" s="613"/>
      <c r="BF108" s="613"/>
      <c r="BG108" s="613"/>
      <c r="BH108" s="613"/>
      <c r="BI108" s="651"/>
      <c r="BJ108" s="613"/>
      <c r="BM108" s="613"/>
      <c r="BN108" s="613"/>
      <c r="BO108" s="613"/>
      <c r="BP108" s="613"/>
      <c r="BQ108" s="613"/>
      <c r="BR108" s="613"/>
      <c r="BS108" s="613"/>
      <c r="BT108" s="613"/>
      <c r="BU108" s="613"/>
      <c r="BV108" s="613"/>
      <c r="BW108" s="613"/>
      <c r="BX108" s="652"/>
    </row>
    <row r="109" spans="2:76">
      <c r="B109" s="607"/>
      <c r="D109" s="679" t="s">
        <v>663</v>
      </c>
      <c r="F109" s="613"/>
      <c r="G109" s="613"/>
      <c r="H109" s="613"/>
      <c r="I109" s="613"/>
      <c r="J109" s="613"/>
      <c r="K109" s="613"/>
      <c r="L109" s="613"/>
      <c r="M109" s="613"/>
      <c r="N109" s="613"/>
      <c r="O109" s="613"/>
      <c r="P109" s="613"/>
      <c r="Q109" s="613"/>
      <c r="R109" s="613"/>
      <c r="S109" s="613"/>
      <c r="T109" s="685"/>
      <c r="U109" s="685"/>
      <c r="V109" s="685"/>
      <c r="W109" s="685"/>
      <c r="X109" s="685"/>
      <c r="Y109" s="685"/>
      <c r="Z109" s="685"/>
      <c r="AA109" s="685"/>
      <c r="AB109" s="685"/>
      <c r="AC109" s="685"/>
      <c r="AD109" s="685"/>
      <c r="AE109" s="685"/>
      <c r="AF109" s="685"/>
      <c r="AG109" s="685"/>
      <c r="AH109" s="685"/>
      <c r="AI109" s="685"/>
      <c r="AJ109" s="685"/>
      <c r="AK109" s="685"/>
      <c r="AL109" s="685"/>
      <c r="AM109" s="685"/>
      <c r="AN109" s="685"/>
      <c r="AO109" s="685"/>
      <c r="AP109" s="685"/>
      <c r="AQ109" s="685"/>
      <c r="AR109" s="685"/>
      <c r="AS109" s="685"/>
      <c r="AT109" s="685"/>
      <c r="AU109" s="685"/>
      <c r="AV109" s="685"/>
      <c r="AW109" s="685"/>
      <c r="AX109" s="685"/>
      <c r="AY109" s="685"/>
      <c r="AZ109" s="685"/>
      <c r="BA109" s="685"/>
      <c r="BB109" s="685"/>
      <c r="BC109" s="685"/>
      <c r="BD109" s="685"/>
      <c r="BE109" s="685"/>
      <c r="BF109" s="685"/>
      <c r="BG109" s="685"/>
      <c r="BH109" s="613"/>
      <c r="BI109" s="651"/>
      <c r="BJ109" s="613"/>
      <c r="BM109" s="613"/>
      <c r="BN109" s="613"/>
      <c r="BO109" s="613"/>
      <c r="BP109" s="613"/>
      <c r="BQ109" s="613"/>
      <c r="BR109" s="613"/>
      <c r="BS109" s="613"/>
      <c r="BT109" s="613"/>
      <c r="BU109" s="613"/>
      <c r="BV109" s="613"/>
      <c r="BW109" s="613"/>
      <c r="BX109" s="652"/>
    </row>
    <row r="110" spans="2:76">
      <c r="B110" s="653" t="s">
        <v>474</v>
      </c>
      <c r="D110" s="680" t="s">
        <v>528</v>
      </c>
      <c r="E110" s="620"/>
      <c r="F110" s="621"/>
      <c r="G110" s="621"/>
      <c r="H110" s="621"/>
      <c r="I110" s="621"/>
      <c r="J110" s="621"/>
      <c r="K110" s="621"/>
      <c r="L110" s="621"/>
      <c r="M110" s="621"/>
      <c r="N110" s="621"/>
      <c r="O110" s="621"/>
      <c r="P110" s="621"/>
      <c r="Q110" s="621"/>
      <c r="R110" s="621"/>
      <c r="S110" s="621"/>
      <c r="T110" s="621">
        <f>SUMIFS(PCF!T$233:T$235,PCF!$C$233:$C$235,$E$1)</f>
        <v>0</v>
      </c>
      <c r="U110" s="621">
        <f>SUMIFS(PCF!U$233:U$235,PCF!$C$233:$C$235,$E$1)</f>
        <v>0</v>
      </c>
      <c r="V110" s="621">
        <f>SUMIFS(PCF!V$233:V$235,PCF!$C$233:$C$235,$E$1)</f>
        <v>0</v>
      </c>
      <c r="W110" s="621">
        <f>SUMIFS(PCF!W$233:W$235,PCF!$C$233:$C$235,$E$1)</f>
        <v>0</v>
      </c>
      <c r="X110" s="621">
        <f>SUMIFS(PCF!X$233:X$235,PCF!$C$233:$C$235,$E$1)</f>
        <v>0</v>
      </c>
      <c r="Y110" s="621">
        <f>SUMIFS(PCF!Y$233:Y$235,PCF!$C$233:$C$235,$E$1)</f>
        <v>0</v>
      </c>
      <c r="Z110" s="621">
        <f>SUMIFS(PCF!Z$233:Z$235,PCF!$C$233:$C$235,$E$1)</f>
        <v>0</v>
      </c>
      <c r="AA110" s="621">
        <f>SUMIFS(PCF!AA$233:AA$235,PCF!$C$233:$C$235,$E$1)</f>
        <v>0</v>
      </c>
      <c r="AB110" s="621">
        <f>SUMIFS(PCF!AB$233:AB$235,PCF!$C$233:$C$235,$E$1)</f>
        <v>0</v>
      </c>
      <c r="AC110" s="621">
        <f>SUMIFS(PCF!AC$233:AC$235,PCF!$C$233:$C$235,$E$1)</f>
        <v>0</v>
      </c>
      <c r="AD110" s="621">
        <f>SUMIFS(PCF!AD$233:AD$235,PCF!$C$233:$C$235,$E$1)</f>
        <v>0</v>
      </c>
      <c r="AE110" s="621">
        <f>SUMIFS(PCF!AE$233:AE$235,PCF!$C$233:$C$235,$E$1)</f>
        <v>1227203.0062499989</v>
      </c>
      <c r="AF110" s="621">
        <f>SUMIFS(PCF!AF$233:AF$235,PCF!$C$233:$C$235,$E$1)</f>
        <v>0</v>
      </c>
      <c r="AG110" s="621">
        <f>SUMIFS(PCF!AG$233:AG$235,PCF!$C$233:$C$235,$E$1)</f>
        <v>0</v>
      </c>
      <c r="AH110" s="621">
        <f>SUMIFS(PCF!AH$233:AH$235,PCF!$C$233:$C$235,$E$1)</f>
        <v>0</v>
      </c>
      <c r="AI110" s="621">
        <f>SUMIFS(PCF!AI$233:AI$235,PCF!$C$233:$C$235,$E$1)</f>
        <v>0</v>
      </c>
      <c r="AJ110" s="621">
        <f>SUMIFS(PCF!AJ$233:AJ$235,PCF!$C$233:$C$235,$E$1)</f>
        <v>0</v>
      </c>
      <c r="AK110" s="621">
        <f>SUMIFS(PCF!AK$233:AK$235,PCF!$C$233:$C$235,$E$1)</f>
        <v>0</v>
      </c>
      <c r="AL110" s="621">
        <f>SUMIFS(PCF!AL$233:AL$235,PCF!$C$233:$C$235,$E$1)</f>
        <v>0</v>
      </c>
      <c r="AM110" s="621">
        <f>SUMIFS(PCF!AM$233:AM$235,PCF!$C$233:$C$235,$E$1)</f>
        <v>0</v>
      </c>
      <c r="AN110" s="621">
        <f>SUMIFS(PCF!AN$233:AN$235,PCF!$C$233:$C$235,$E$1)</f>
        <v>0</v>
      </c>
      <c r="AO110" s="621">
        <f>SUMIFS(PCF!AO$233:AO$235,PCF!$C$233:$C$235,$E$1)</f>
        <v>0</v>
      </c>
      <c r="AP110" s="621">
        <f>SUMIFS(PCF!AP$233:AP$235,PCF!$C$233:$C$235,$E$1)</f>
        <v>0</v>
      </c>
      <c r="AQ110" s="621">
        <f>SUMIFS(PCF!AQ$233:AQ$235,PCF!$C$233:$C$235,$E$1)</f>
        <v>0</v>
      </c>
      <c r="AR110" s="621">
        <f>SUMIFS(PCF!AR$233:AR$235,PCF!$C$233:$C$235,$E$1)</f>
        <v>0</v>
      </c>
      <c r="AS110" s="621">
        <f>SUMIFS(PCF!AS$233:AS$235,PCF!$C$233:$C$235,$E$1)</f>
        <v>0</v>
      </c>
      <c r="AT110" s="621">
        <f>SUMIFS(PCF!AT$233:AT$235,PCF!$C$233:$C$235,$E$1)</f>
        <v>0</v>
      </c>
      <c r="AU110" s="621">
        <f>SUMIFS(PCF!AU$233:AU$235,PCF!$C$233:$C$235,$E$1)</f>
        <v>0</v>
      </c>
      <c r="AV110" s="621">
        <f>SUMIFS(PCF!AV$233:AV$235,PCF!$C$233:$C$235,$E$1)</f>
        <v>0</v>
      </c>
      <c r="AW110" s="621">
        <f>SUMIFS(PCF!AW$233:AW$235,PCF!$C$233:$C$235,$E$1)</f>
        <v>0</v>
      </c>
      <c r="AX110" s="621">
        <f>SUMIFS(PCF!AX$233:AX$235,PCF!$C$233:$C$235,$E$1)</f>
        <v>0</v>
      </c>
      <c r="AY110" s="621">
        <f>SUMIFS(PCF!AY$233:AY$235,PCF!$C$233:$C$235,$E$1)</f>
        <v>0</v>
      </c>
      <c r="AZ110" s="621">
        <f>SUMIFS(PCF!AZ$233:AZ$235,PCF!$C$233:$C$235,$E$1)</f>
        <v>0</v>
      </c>
      <c r="BA110" s="621">
        <f>SUMIFS(PCF!BA$233:BA$235,PCF!$C$233:$C$235,$E$1)</f>
        <v>0</v>
      </c>
      <c r="BB110" s="621">
        <f>SUMIFS(PCF!BB$233:BB$235,PCF!$C$233:$C$235,$E$1)</f>
        <v>0</v>
      </c>
      <c r="BC110" s="621">
        <f>SUMIFS(PCF!BC$233:BC$235,PCF!$C$233:$C$235,$E$1)</f>
        <v>0</v>
      </c>
      <c r="BD110" s="621">
        <f>SUMIFS(PCF!BD$233:BD$235,PCF!$C$233:$C$235,$E$1)</f>
        <v>0</v>
      </c>
      <c r="BE110" s="621">
        <f>SUMIFS(PCF!BE$233:BE$235,PCF!$C$233:$C$235,$E$1)</f>
        <v>0</v>
      </c>
      <c r="BF110" s="621">
        <f>SUMIFS(PCF!BF$233:BF$235,PCF!$C$233:$C$235,$E$1)</f>
        <v>0</v>
      </c>
      <c r="BG110" s="621">
        <f>SUMIFS(PCF!BG$233:BG$235,PCF!$C$233:$C$235,$E$1)</f>
        <v>0</v>
      </c>
      <c r="BH110" s="613"/>
      <c r="BI110" s="663">
        <f t="shared" ref="BI110:BI116" si="92">SUM(T110:BG110)</f>
        <v>1227203.0062499989</v>
      </c>
      <c r="BJ110" s="613"/>
      <c r="BM110" s="621">
        <f>SUMIF($T$13:$BG$13,BM$13,$T110:$BG110)</f>
        <v>0</v>
      </c>
      <c r="BN110" s="621">
        <f t="shared" ref="BN110:BV112" si="93">SUMIF($T$13:$BG$13,BN$13,$T110:$BG110)</f>
        <v>0</v>
      </c>
      <c r="BO110" s="621">
        <f t="shared" si="93"/>
        <v>1227203.0062499989</v>
      </c>
      <c r="BP110" s="621">
        <f t="shared" si="93"/>
        <v>0</v>
      </c>
      <c r="BQ110" s="621">
        <f t="shared" si="93"/>
        <v>0</v>
      </c>
      <c r="BR110" s="621">
        <f t="shared" si="93"/>
        <v>0</v>
      </c>
      <c r="BS110" s="621">
        <f t="shared" si="93"/>
        <v>0</v>
      </c>
      <c r="BT110" s="621">
        <f t="shared" si="93"/>
        <v>0</v>
      </c>
      <c r="BU110" s="621">
        <f t="shared" si="93"/>
        <v>0</v>
      </c>
      <c r="BV110" s="621">
        <f t="shared" si="93"/>
        <v>0</v>
      </c>
      <c r="BW110" s="613"/>
      <c r="BX110" s="664">
        <f t="shared" ref="BX110:BX116" si="94">SUM(BM110:BV110)</f>
        <v>1227203.0062499989</v>
      </c>
    </row>
    <row r="111" spans="2:76">
      <c r="B111" s="653" t="s">
        <v>884</v>
      </c>
      <c r="D111" s="77" t="s">
        <v>884</v>
      </c>
      <c r="F111" s="613"/>
      <c r="G111" s="613"/>
      <c r="H111" s="613"/>
      <c r="I111" s="613"/>
      <c r="J111" s="613"/>
      <c r="K111" s="613"/>
      <c r="L111" s="613"/>
      <c r="M111" s="613"/>
      <c r="N111" s="613"/>
      <c r="O111" s="613"/>
      <c r="P111" s="613"/>
      <c r="Q111" s="613"/>
      <c r="R111" s="613"/>
      <c r="S111" s="613"/>
      <c r="T111" s="613">
        <f>SUMIFS(PCF!T$243:T$245,PCF!$C$243:$C$245,$E$1)</f>
        <v>0</v>
      </c>
      <c r="U111" s="613">
        <f>SUMIFS(PCF!U$243:U$245,PCF!$C$243:$C$245,$E$1)</f>
        <v>0</v>
      </c>
      <c r="V111" s="613">
        <f>SUMIFS(PCF!V$243:V$245,PCF!$C$243:$C$245,$E$1)</f>
        <v>0</v>
      </c>
      <c r="W111" s="613">
        <f>SUMIFS(PCF!W$243:W$245,PCF!$C$243:$C$245,$E$1)</f>
        <v>0</v>
      </c>
      <c r="X111" s="613">
        <f>SUMIFS(PCF!X$243:X$245,PCF!$C$243:$C$245,$E$1)</f>
        <v>0</v>
      </c>
      <c r="Y111" s="613">
        <f>SUMIFS(PCF!Y$243:Y$245,PCF!$C$243:$C$245,$E$1)</f>
        <v>0</v>
      </c>
      <c r="Z111" s="613">
        <f>SUMIFS(PCF!Z$243:Z$245,PCF!$C$243:$C$245,$E$1)</f>
        <v>0</v>
      </c>
      <c r="AA111" s="613">
        <f>SUMIFS(PCF!AA$243:AA$245,PCF!$C$243:$C$245,$E$1)</f>
        <v>0</v>
      </c>
      <c r="AB111" s="613">
        <f>SUMIFS(PCF!AB$243:AB$245,PCF!$C$243:$C$245,$E$1)</f>
        <v>0</v>
      </c>
      <c r="AC111" s="613">
        <f>SUMIFS(PCF!AC$243:AC$245,PCF!$C$243:$C$245,$E$1)</f>
        <v>0</v>
      </c>
      <c r="AD111" s="613">
        <f>SUMIFS(PCF!AD$243:AD$245,PCF!$C$243:$C$245,$E$1)</f>
        <v>0</v>
      </c>
      <c r="AE111" s="613">
        <f>SUMIFS(PCF!AE$243:AE$245,PCF!$C$243:$C$245,$E$1)</f>
        <v>0</v>
      </c>
      <c r="AF111" s="613">
        <f>SUMIFS(PCF!AF$243:AF$245,PCF!$C$243:$C$245,$E$1)</f>
        <v>0</v>
      </c>
      <c r="AG111" s="613">
        <f>SUMIFS(PCF!AG$243:AG$245,PCF!$C$243:$C$245,$E$1)</f>
        <v>0</v>
      </c>
      <c r="AH111" s="613">
        <f>SUMIFS(PCF!AH$243:AH$245,PCF!$C$243:$C$245,$E$1)</f>
        <v>0</v>
      </c>
      <c r="AI111" s="613">
        <f>SUMIFS(PCF!AI$243:AI$245,PCF!$C$243:$C$245,$E$1)</f>
        <v>0</v>
      </c>
      <c r="AJ111" s="613">
        <f>SUMIFS(PCF!AJ$243:AJ$245,PCF!$C$243:$C$245,$E$1)</f>
        <v>0</v>
      </c>
      <c r="AK111" s="613">
        <f>SUMIFS(PCF!AK$243:AK$245,PCF!$C$243:$C$245,$E$1)</f>
        <v>0</v>
      </c>
      <c r="AL111" s="613">
        <f>SUMIFS(PCF!AL$243:AL$245,PCF!$C$243:$C$245,$E$1)</f>
        <v>0</v>
      </c>
      <c r="AM111" s="613">
        <f>SUMIFS(PCF!AM$243:AM$245,PCF!$C$243:$C$245,$E$1)</f>
        <v>0</v>
      </c>
      <c r="AN111" s="613">
        <f>SUMIFS(PCF!AN$243:AN$245,PCF!$C$243:$C$245,$E$1)</f>
        <v>0</v>
      </c>
      <c r="AO111" s="613">
        <f>SUMIFS(PCF!AO$243:AO$245,PCF!$C$243:$C$245,$E$1)</f>
        <v>0</v>
      </c>
      <c r="AP111" s="613">
        <f>SUMIFS(PCF!AP$243:AP$245,PCF!$C$243:$C$245,$E$1)</f>
        <v>0</v>
      </c>
      <c r="AQ111" s="613">
        <f>SUMIFS(PCF!AQ$243:AQ$245,PCF!$C$243:$C$245,$E$1)</f>
        <v>0</v>
      </c>
      <c r="AR111" s="613">
        <f>SUMIFS(PCF!AR$243:AR$245,PCF!$C$243:$C$245,$E$1)</f>
        <v>0</v>
      </c>
      <c r="AS111" s="613">
        <f>SUMIFS(PCF!AS$243:AS$245,PCF!$C$243:$C$245,$E$1)</f>
        <v>0</v>
      </c>
      <c r="AT111" s="613">
        <f>SUMIFS(PCF!AT$243:AT$245,PCF!$C$243:$C$245,$E$1)</f>
        <v>0</v>
      </c>
      <c r="AU111" s="613">
        <f>SUMIFS(PCF!AU$243:AU$245,PCF!$C$243:$C$245,$E$1)</f>
        <v>0</v>
      </c>
      <c r="AV111" s="613">
        <f>SUMIFS(PCF!AV$243:AV$245,PCF!$C$243:$C$245,$E$1)</f>
        <v>0</v>
      </c>
      <c r="AW111" s="613">
        <f>SUMIFS(PCF!AW$243:AW$245,PCF!$C$243:$C$245,$E$1)</f>
        <v>0</v>
      </c>
      <c r="AX111" s="613">
        <f>SUMIFS(PCF!AX$243:AX$245,PCF!$C$243:$C$245,$E$1)</f>
        <v>0</v>
      </c>
      <c r="AY111" s="613">
        <f>SUMIFS(PCF!AY$243:AY$245,PCF!$C$243:$C$245,$E$1)</f>
        <v>0</v>
      </c>
      <c r="AZ111" s="613">
        <f>SUMIFS(PCF!AZ$243:AZ$245,PCF!$C$243:$C$245,$E$1)</f>
        <v>0</v>
      </c>
      <c r="BA111" s="613">
        <f>SUMIFS(PCF!BA$243:BA$245,PCF!$C$243:$C$245,$E$1)</f>
        <v>0</v>
      </c>
      <c r="BB111" s="613">
        <f>SUMIFS(PCF!BB$243:BB$245,PCF!$C$243:$C$245,$E$1)</f>
        <v>0</v>
      </c>
      <c r="BC111" s="613">
        <f>SUMIFS(PCF!BC$243:BC$245,PCF!$C$243:$C$245,$E$1)</f>
        <v>0</v>
      </c>
      <c r="BD111" s="613">
        <f>SUMIFS(PCF!BD$243:BD$245,PCF!$C$243:$C$245,$E$1)</f>
        <v>0</v>
      </c>
      <c r="BE111" s="613">
        <f>SUMIFS(PCF!BE$243:BE$245,PCF!$C$243:$C$245,$E$1)</f>
        <v>0</v>
      </c>
      <c r="BF111" s="613">
        <f>SUMIFS(PCF!BF$243:BF$245,PCF!$C$243:$C$245,$E$1)</f>
        <v>0</v>
      </c>
      <c r="BG111" s="613">
        <f>SUMIFS(PCF!BG$243:BG$245,PCF!$C$243:$C$245,$E$1)</f>
        <v>0</v>
      </c>
      <c r="BH111" s="613"/>
      <c r="BI111" s="651">
        <f t="shared" si="92"/>
        <v>0</v>
      </c>
      <c r="BJ111" s="613"/>
      <c r="BM111" s="613">
        <f>SUMIF($T$13:$BG$13,BM$13,$T111:$BG111)</f>
        <v>0</v>
      </c>
      <c r="BN111" s="613">
        <f t="shared" si="93"/>
        <v>0</v>
      </c>
      <c r="BO111" s="613">
        <f t="shared" si="93"/>
        <v>0</v>
      </c>
      <c r="BP111" s="613">
        <f t="shared" si="93"/>
        <v>0</v>
      </c>
      <c r="BQ111" s="613">
        <f t="shared" si="93"/>
        <v>0</v>
      </c>
      <c r="BR111" s="613">
        <f t="shared" si="93"/>
        <v>0</v>
      </c>
      <c r="BS111" s="613">
        <f t="shared" si="93"/>
        <v>0</v>
      </c>
      <c r="BT111" s="613">
        <f t="shared" si="93"/>
        <v>0</v>
      </c>
      <c r="BU111" s="613">
        <f t="shared" si="93"/>
        <v>0</v>
      </c>
      <c r="BV111" s="613">
        <f t="shared" si="93"/>
        <v>0</v>
      </c>
      <c r="BW111" s="613"/>
      <c r="BX111" s="652">
        <f t="shared" si="94"/>
        <v>0</v>
      </c>
    </row>
    <row r="112" spans="2:76">
      <c r="B112" s="653" t="s">
        <v>527</v>
      </c>
      <c r="D112" s="77" t="s">
        <v>664</v>
      </c>
      <c r="F112" s="613"/>
      <c r="G112" s="613"/>
      <c r="H112" s="613"/>
      <c r="I112" s="613"/>
      <c r="J112" s="613"/>
      <c r="K112" s="613"/>
      <c r="L112" s="613"/>
      <c r="M112" s="613"/>
      <c r="N112" s="613"/>
      <c r="O112" s="613"/>
      <c r="P112" s="613"/>
      <c r="Q112" s="613"/>
      <c r="R112" s="613"/>
      <c r="S112" s="613"/>
      <c r="T112" s="613">
        <f>SUMIFS(PCF!T$253:T$255,PCF!$C$253:$C$255,$E$1)</f>
        <v>0</v>
      </c>
      <c r="U112" s="613">
        <f>SUMIFS(PCF!U$253:U$255,PCF!$C$253:$C$255,$E$1)</f>
        <v>0</v>
      </c>
      <c r="V112" s="613">
        <f>SUMIFS(PCF!V$253:V$255,PCF!$C$253:$C$255,$E$1)</f>
        <v>0</v>
      </c>
      <c r="W112" s="613">
        <f>SUMIFS(PCF!W$253:W$255,PCF!$C$253:$C$255,$E$1)</f>
        <v>0</v>
      </c>
      <c r="X112" s="613">
        <f>SUMIFS(PCF!X$253:X$255,PCF!$C$253:$C$255,$E$1)</f>
        <v>0</v>
      </c>
      <c r="Y112" s="613">
        <f>SUMIFS(PCF!Y$253:Y$255,PCF!$C$253:$C$255,$E$1)</f>
        <v>0</v>
      </c>
      <c r="Z112" s="613">
        <f>SUMIFS(PCF!Z$253:Z$255,PCF!$C$253:$C$255,$E$1)</f>
        <v>0</v>
      </c>
      <c r="AA112" s="613">
        <f>SUMIFS(PCF!AA$253:AA$255,PCF!$C$253:$C$255,$E$1)</f>
        <v>0</v>
      </c>
      <c r="AB112" s="613">
        <f>SUMIFS(PCF!AB$253:AB$255,PCF!$C$253:$C$255,$E$1)</f>
        <v>0</v>
      </c>
      <c r="AC112" s="613">
        <f>SUMIFS(PCF!AC$253:AC$255,PCF!$C$253:$C$255,$E$1)</f>
        <v>0</v>
      </c>
      <c r="AD112" s="613">
        <f>SUMIFS(PCF!AD$253:AD$255,PCF!$C$253:$C$255,$E$1)</f>
        <v>0</v>
      </c>
      <c r="AE112" s="613">
        <f>SUMIFS(PCF!AE$253:AE$255,PCF!$C$253:$C$255,$E$1)</f>
        <v>0</v>
      </c>
      <c r="AF112" s="613">
        <f>SUMIFS(PCF!AF$253:AF$255,PCF!$C$253:$C$255,$E$1)</f>
        <v>0</v>
      </c>
      <c r="AG112" s="613">
        <f>SUMIFS(PCF!AG$253:AG$255,PCF!$C$253:$C$255,$E$1)</f>
        <v>0</v>
      </c>
      <c r="AH112" s="613">
        <f>SUMIFS(PCF!AH$253:AH$255,PCF!$C$253:$C$255,$E$1)</f>
        <v>0</v>
      </c>
      <c r="AI112" s="613">
        <f>SUMIFS(PCF!AI$253:AI$255,PCF!$C$253:$C$255,$E$1)</f>
        <v>0</v>
      </c>
      <c r="AJ112" s="613">
        <f>SUMIFS(PCF!AJ$253:AJ$255,PCF!$C$253:$C$255,$E$1)</f>
        <v>0</v>
      </c>
      <c r="AK112" s="613">
        <f>SUMIFS(PCF!AK$253:AK$255,PCF!$C$253:$C$255,$E$1)</f>
        <v>0</v>
      </c>
      <c r="AL112" s="613">
        <f>SUMIFS(PCF!AL$253:AL$255,PCF!$C$253:$C$255,$E$1)</f>
        <v>0</v>
      </c>
      <c r="AM112" s="613">
        <f>SUMIFS(PCF!AM$253:AM$255,PCF!$C$253:$C$255,$E$1)</f>
        <v>0</v>
      </c>
      <c r="AN112" s="613">
        <f>SUMIFS(PCF!AN$253:AN$255,PCF!$C$253:$C$255,$E$1)</f>
        <v>0</v>
      </c>
      <c r="AO112" s="613">
        <f>SUMIFS(PCF!AO$253:AO$255,PCF!$C$253:$C$255,$E$1)</f>
        <v>0</v>
      </c>
      <c r="AP112" s="613">
        <f>SUMIFS(PCF!AP$253:AP$255,PCF!$C$253:$C$255,$E$1)</f>
        <v>0</v>
      </c>
      <c r="AQ112" s="613">
        <f>SUMIFS(PCF!AQ$253:AQ$255,PCF!$C$253:$C$255,$E$1)</f>
        <v>0</v>
      </c>
      <c r="AR112" s="613">
        <f>SUMIFS(PCF!AR$253:AR$255,PCF!$C$253:$C$255,$E$1)</f>
        <v>0</v>
      </c>
      <c r="AS112" s="613">
        <f>SUMIFS(PCF!AS$253:AS$255,PCF!$C$253:$C$255,$E$1)</f>
        <v>0</v>
      </c>
      <c r="AT112" s="613">
        <f>SUMIFS(PCF!AT$253:AT$255,PCF!$C$253:$C$255,$E$1)</f>
        <v>0</v>
      </c>
      <c r="AU112" s="613">
        <f>SUMIFS(PCF!AU$253:AU$255,PCF!$C$253:$C$255,$E$1)</f>
        <v>0</v>
      </c>
      <c r="AV112" s="613">
        <f>SUMIFS(PCF!AV$253:AV$255,PCF!$C$253:$C$255,$E$1)</f>
        <v>0</v>
      </c>
      <c r="AW112" s="613">
        <f>SUMIFS(PCF!AW$253:AW$255,PCF!$C$253:$C$255,$E$1)</f>
        <v>0</v>
      </c>
      <c r="AX112" s="613">
        <f>SUMIFS(PCF!AX$253:AX$255,PCF!$C$253:$C$255,$E$1)</f>
        <v>0</v>
      </c>
      <c r="AY112" s="613">
        <f>SUMIFS(PCF!AY$253:AY$255,PCF!$C$253:$C$255,$E$1)</f>
        <v>0</v>
      </c>
      <c r="AZ112" s="613">
        <f>SUMIFS(PCF!AZ$253:AZ$255,PCF!$C$253:$C$255,$E$1)</f>
        <v>0</v>
      </c>
      <c r="BA112" s="613">
        <f>SUMIFS(PCF!BA$253:BA$255,PCF!$C$253:$C$255,$E$1)</f>
        <v>0</v>
      </c>
      <c r="BB112" s="613">
        <f>SUMIFS(PCF!BB$253:BB$255,PCF!$C$253:$C$255,$E$1)</f>
        <v>0</v>
      </c>
      <c r="BC112" s="613">
        <f>SUMIFS(PCF!BC$253:BC$255,PCF!$C$253:$C$255,$E$1)</f>
        <v>0</v>
      </c>
      <c r="BD112" s="613">
        <f>SUMIFS(PCF!BD$253:BD$255,PCF!$C$253:$C$255,$E$1)</f>
        <v>0</v>
      </c>
      <c r="BE112" s="613">
        <f>SUMIFS(PCF!BE$253:BE$255,PCF!$C$253:$C$255,$E$1)</f>
        <v>0</v>
      </c>
      <c r="BF112" s="613">
        <f>SUMIFS(PCF!BF$253:BF$255,PCF!$C$253:$C$255,$E$1)</f>
        <v>0</v>
      </c>
      <c r="BG112" s="613">
        <f>SUMIFS(PCF!BG$253:BG$255,PCF!$C$253:$C$255,$E$1)</f>
        <v>0</v>
      </c>
      <c r="BH112" s="613"/>
      <c r="BI112" s="651">
        <f t="shared" si="92"/>
        <v>0</v>
      </c>
      <c r="BJ112" s="613"/>
      <c r="BM112" s="613">
        <f>SUMIF($T$13:$BG$13,BM$13,$T112:$BG112)</f>
        <v>0</v>
      </c>
      <c r="BN112" s="613">
        <f t="shared" si="93"/>
        <v>0</v>
      </c>
      <c r="BO112" s="613">
        <f t="shared" si="93"/>
        <v>0</v>
      </c>
      <c r="BP112" s="613">
        <f t="shared" si="93"/>
        <v>0</v>
      </c>
      <c r="BQ112" s="613">
        <f t="shared" si="93"/>
        <v>0</v>
      </c>
      <c r="BR112" s="613">
        <f t="shared" si="93"/>
        <v>0</v>
      </c>
      <c r="BS112" s="613">
        <f t="shared" si="93"/>
        <v>0</v>
      </c>
      <c r="BT112" s="613">
        <f t="shared" si="93"/>
        <v>0</v>
      </c>
      <c r="BU112" s="613">
        <f t="shared" si="93"/>
        <v>0</v>
      </c>
      <c r="BV112" s="613">
        <f t="shared" si="93"/>
        <v>0</v>
      </c>
      <c r="BW112" s="613"/>
      <c r="BX112" s="652">
        <f t="shared" si="94"/>
        <v>0</v>
      </c>
    </row>
    <row r="113" spans="2:76">
      <c r="B113" s="607"/>
      <c r="D113" s="194" t="s">
        <v>665</v>
      </c>
      <c r="E113" s="620"/>
      <c r="F113" s="621"/>
      <c r="G113" s="621"/>
      <c r="H113" s="621"/>
      <c r="I113" s="621"/>
      <c r="J113" s="621"/>
      <c r="K113" s="621"/>
      <c r="L113" s="621"/>
      <c r="M113" s="621"/>
      <c r="N113" s="621"/>
      <c r="O113" s="621"/>
      <c r="P113" s="621"/>
      <c r="Q113" s="621"/>
      <c r="R113" s="621"/>
      <c r="S113" s="621"/>
      <c r="T113" s="621">
        <f t="shared" ref="T113:BG113" si="95">SUM(T110:T112)</f>
        <v>0</v>
      </c>
      <c r="U113" s="621">
        <f t="shared" si="95"/>
        <v>0</v>
      </c>
      <c r="V113" s="621">
        <f t="shared" si="95"/>
        <v>0</v>
      </c>
      <c r="W113" s="621">
        <f t="shared" si="95"/>
        <v>0</v>
      </c>
      <c r="X113" s="621">
        <f t="shared" si="95"/>
        <v>0</v>
      </c>
      <c r="Y113" s="621">
        <f t="shared" si="95"/>
        <v>0</v>
      </c>
      <c r="Z113" s="621">
        <f t="shared" si="95"/>
        <v>0</v>
      </c>
      <c r="AA113" s="621">
        <f t="shared" si="95"/>
        <v>0</v>
      </c>
      <c r="AB113" s="621">
        <f t="shared" si="95"/>
        <v>0</v>
      </c>
      <c r="AC113" s="621">
        <f t="shared" si="95"/>
        <v>0</v>
      </c>
      <c r="AD113" s="621">
        <f t="shared" si="95"/>
        <v>0</v>
      </c>
      <c r="AE113" s="621">
        <f t="shared" si="95"/>
        <v>1227203.0062499989</v>
      </c>
      <c r="AF113" s="621">
        <f t="shared" si="95"/>
        <v>0</v>
      </c>
      <c r="AG113" s="621">
        <f t="shared" si="95"/>
        <v>0</v>
      </c>
      <c r="AH113" s="621">
        <f t="shared" si="95"/>
        <v>0</v>
      </c>
      <c r="AI113" s="621">
        <f t="shared" si="95"/>
        <v>0</v>
      </c>
      <c r="AJ113" s="621">
        <f t="shared" si="95"/>
        <v>0</v>
      </c>
      <c r="AK113" s="621">
        <f t="shared" si="95"/>
        <v>0</v>
      </c>
      <c r="AL113" s="621">
        <f t="shared" si="95"/>
        <v>0</v>
      </c>
      <c r="AM113" s="621">
        <f t="shared" si="95"/>
        <v>0</v>
      </c>
      <c r="AN113" s="621">
        <f t="shared" si="95"/>
        <v>0</v>
      </c>
      <c r="AO113" s="621">
        <f t="shared" si="95"/>
        <v>0</v>
      </c>
      <c r="AP113" s="621">
        <f t="shared" si="95"/>
        <v>0</v>
      </c>
      <c r="AQ113" s="621">
        <f t="shared" si="95"/>
        <v>0</v>
      </c>
      <c r="AR113" s="621">
        <f t="shared" si="95"/>
        <v>0</v>
      </c>
      <c r="AS113" s="621">
        <f t="shared" si="95"/>
        <v>0</v>
      </c>
      <c r="AT113" s="621">
        <f t="shared" si="95"/>
        <v>0</v>
      </c>
      <c r="AU113" s="621">
        <f t="shared" si="95"/>
        <v>0</v>
      </c>
      <c r="AV113" s="621">
        <f t="shared" si="95"/>
        <v>0</v>
      </c>
      <c r="AW113" s="621">
        <f t="shared" si="95"/>
        <v>0</v>
      </c>
      <c r="AX113" s="621">
        <f t="shared" si="95"/>
        <v>0</v>
      </c>
      <c r="AY113" s="621">
        <f t="shared" si="95"/>
        <v>0</v>
      </c>
      <c r="AZ113" s="621">
        <f t="shared" si="95"/>
        <v>0</v>
      </c>
      <c r="BA113" s="621">
        <f t="shared" si="95"/>
        <v>0</v>
      </c>
      <c r="BB113" s="621">
        <f t="shared" si="95"/>
        <v>0</v>
      </c>
      <c r="BC113" s="621">
        <f t="shared" si="95"/>
        <v>0</v>
      </c>
      <c r="BD113" s="621">
        <f t="shared" si="95"/>
        <v>0</v>
      </c>
      <c r="BE113" s="621">
        <f t="shared" si="95"/>
        <v>0</v>
      </c>
      <c r="BF113" s="621">
        <f t="shared" si="95"/>
        <v>0</v>
      </c>
      <c r="BG113" s="621">
        <f t="shared" si="95"/>
        <v>0</v>
      </c>
      <c r="BH113" s="613"/>
      <c r="BI113" s="663">
        <f t="shared" si="92"/>
        <v>1227203.0062499989</v>
      </c>
      <c r="BJ113" s="613"/>
      <c r="BM113" s="621">
        <f t="shared" ref="BM113:BV113" si="96">SUM(BM110:BM112)</f>
        <v>0</v>
      </c>
      <c r="BN113" s="621">
        <f t="shared" si="96"/>
        <v>0</v>
      </c>
      <c r="BO113" s="621">
        <f t="shared" si="96"/>
        <v>1227203.0062499989</v>
      </c>
      <c r="BP113" s="621">
        <f t="shared" si="96"/>
        <v>0</v>
      </c>
      <c r="BQ113" s="621">
        <f t="shared" si="96"/>
        <v>0</v>
      </c>
      <c r="BR113" s="621">
        <f t="shared" si="96"/>
        <v>0</v>
      </c>
      <c r="BS113" s="621">
        <f t="shared" si="96"/>
        <v>0</v>
      </c>
      <c r="BT113" s="621">
        <f t="shared" si="96"/>
        <v>0</v>
      </c>
      <c r="BU113" s="621">
        <f t="shared" si="96"/>
        <v>0</v>
      </c>
      <c r="BV113" s="621">
        <f t="shared" si="96"/>
        <v>0</v>
      </c>
      <c r="BW113" s="613"/>
      <c r="BX113" s="664">
        <f t="shared" si="94"/>
        <v>1227203.0062499989</v>
      </c>
    </row>
    <row r="114" spans="2:76">
      <c r="B114" s="607"/>
      <c r="D114" s="77" t="s">
        <v>666</v>
      </c>
      <c r="E114" s="1226">
        <f>GA!G484</f>
        <v>1.2999999999999999E-3</v>
      </c>
      <c r="F114" s="613"/>
      <c r="G114" s="613"/>
      <c r="H114" s="613"/>
      <c r="I114" s="613"/>
      <c r="J114" s="613"/>
      <c r="K114" s="613"/>
      <c r="L114" s="613"/>
      <c r="M114" s="613"/>
      <c r="N114" s="613"/>
      <c r="O114" s="613"/>
      <c r="P114" s="613"/>
      <c r="Q114" s="613"/>
      <c r="R114" s="613"/>
      <c r="S114" s="613"/>
      <c r="T114" s="613">
        <f t="shared" ref="T114:BG114" si="97">T113*-$E$114</f>
        <v>0</v>
      </c>
      <c r="U114" s="613">
        <f t="shared" si="97"/>
        <v>0</v>
      </c>
      <c r="V114" s="613">
        <f t="shared" si="97"/>
        <v>0</v>
      </c>
      <c r="W114" s="613">
        <f t="shared" si="97"/>
        <v>0</v>
      </c>
      <c r="X114" s="613">
        <f t="shared" si="97"/>
        <v>0</v>
      </c>
      <c r="Y114" s="613">
        <f t="shared" si="97"/>
        <v>0</v>
      </c>
      <c r="Z114" s="613">
        <f t="shared" si="97"/>
        <v>0</v>
      </c>
      <c r="AA114" s="613">
        <f t="shared" si="97"/>
        <v>0</v>
      </c>
      <c r="AB114" s="613">
        <f t="shared" si="97"/>
        <v>0</v>
      </c>
      <c r="AC114" s="613">
        <f t="shared" si="97"/>
        <v>0</v>
      </c>
      <c r="AD114" s="613">
        <f t="shared" si="97"/>
        <v>0</v>
      </c>
      <c r="AE114" s="613">
        <f t="shared" si="97"/>
        <v>-1595.3639081249985</v>
      </c>
      <c r="AF114" s="613">
        <f t="shared" si="97"/>
        <v>0</v>
      </c>
      <c r="AG114" s="613">
        <f t="shared" si="97"/>
        <v>0</v>
      </c>
      <c r="AH114" s="613">
        <f t="shared" si="97"/>
        <v>0</v>
      </c>
      <c r="AI114" s="613">
        <f t="shared" si="97"/>
        <v>0</v>
      </c>
      <c r="AJ114" s="613">
        <f t="shared" si="97"/>
        <v>0</v>
      </c>
      <c r="AK114" s="613">
        <f t="shared" si="97"/>
        <v>0</v>
      </c>
      <c r="AL114" s="613">
        <f t="shared" si="97"/>
        <v>0</v>
      </c>
      <c r="AM114" s="613">
        <f t="shared" si="97"/>
        <v>0</v>
      </c>
      <c r="AN114" s="613">
        <f t="shared" si="97"/>
        <v>0</v>
      </c>
      <c r="AO114" s="613">
        <f t="shared" si="97"/>
        <v>0</v>
      </c>
      <c r="AP114" s="613">
        <f t="shared" si="97"/>
        <v>0</v>
      </c>
      <c r="AQ114" s="613">
        <f t="shared" si="97"/>
        <v>0</v>
      </c>
      <c r="AR114" s="613">
        <f t="shared" si="97"/>
        <v>0</v>
      </c>
      <c r="AS114" s="613">
        <f t="shared" si="97"/>
        <v>0</v>
      </c>
      <c r="AT114" s="613">
        <f t="shared" si="97"/>
        <v>0</v>
      </c>
      <c r="AU114" s="613">
        <f t="shared" si="97"/>
        <v>0</v>
      </c>
      <c r="AV114" s="613">
        <f t="shared" si="97"/>
        <v>0</v>
      </c>
      <c r="AW114" s="613">
        <f t="shared" si="97"/>
        <v>0</v>
      </c>
      <c r="AX114" s="613">
        <f t="shared" si="97"/>
        <v>0</v>
      </c>
      <c r="AY114" s="613">
        <f t="shared" si="97"/>
        <v>0</v>
      </c>
      <c r="AZ114" s="613">
        <f t="shared" si="97"/>
        <v>0</v>
      </c>
      <c r="BA114" s="613">
        <f t="shared" si="97"/>
        <v>0</v>
      </c>
      <c r="BB114" s="613">
        <f t="shared" si="97"/>
        <v>0</v>
      </c>
      <c r="BC114" s="613">
        <f t="shared" si="97"/>
        <v>0</v>
      </c>
      <c r="BD114" s="613">
        <f t="shared" si="97"/>
        <v>0</v>
      </c>
      <c r="BE114" s="613">
        <f t="shared" si="97"/>
        <v>0</v>
      </c>
      <c r="BF114" s="613">
        <f t="shared" si="97"/>
        <v>0</v>
      </c>
      <c r="BG114" s="613">
        <f t="shared" si="97"/>
        <v>0</v>
      </c>
      <c r="BH114" s="613"/>
      <c r="BI114" s="651">
        <f t="shared" si="92"/>
        <v>-1595.3639081249985</v>
      </c>
      <c r="BJ114" s="613"/>
      <c r="BM114" s="613">
        <f>SUMIF($T$13:$BG$13,BM$13,$T114:$BG114)</f>
        <v>0</v>
      </c>
      <c r="BN114" s="613">
        <f t="shared" ref="BN114:BV114" si="98">SUMIF($T$13:$BG$13,BN$13,$T114:$BG114)</f>
        <v>0</v>
      </c>
      <c r="BO114" s="613">
        <f t="shared" si="98"/>
        <v>-1595.3639081249985</v>
      </c>
      <c r="BP114" s="613">
        <f t="shared" si="98"/>
        <v>0</v>
      </c>
      <c r="BQ114" s="613">
        <f t="shared" si="98"/>
        <v>0</v>
      </c>
      <c r="BR114" s="613">
        <f t="shared" si="98"/>
        <v>0</v>
      </c>
      <c r="BS114" s="613">
        <f t="shared" si="98"/>
        <v>0</v>
      </c>
      <c r="BT114" s="613">
        <f t="shared" si="98"/>
        <v>0</v>
      </c>
      <c r="BU114" s="613">
        <f t="shared" si="98"/>
        <v>0</v>
      </c>
      <c r="BV114" s="613">
        <f t="shared" si="98"/>
        <v>0</v>
      </c>
      <c r="BW114" s="613"/>
      <c r="BX114" s="652">
        <f t="shared" si="94"/>
        <v>-1595.3639081249985</v>
      </c>
    </row>
    <row r="115" spans="2:76">
      <c r="B115" s="607"/>
      <c r="D115" s="77" t="s">
        <v>667</v>
      </c>
      <c r="E115" s="1226">
        <f>GA!G485</f>
        <v>0</v>
      </c>
      <c r="F115" s="613"/>
      <c r="G115" s="613"/>
      <c r="H115" s="613"/>
      <c r="I115" s="613"/>
      <c r="J115" s="613"/>
      <c r="K115" s="613"/>
      <c r="L115" s="613"/>
      <c r="M115" s="613"/>
      <c r="N115" s="613"/>
      <c r="O115" s="613"/>
      <c r="P115" s="613"/>
      <c r="Q115" s="613"/>
      <c r="R115" s="613"/>
      <c r="S115" s="613"/>
      <c r="T115" s="613">
        <f t="shared" ref="T115:BG115" si="99">T113*-$E$115</f>
        <v>0</v>
      </c>
      <c r="U115" s="613">
        <f t="shared" si="99"/>
        <v>0</v>
      </c>
      <c r="V115" s="613">
        <f t="shared" si="99"/>
        <v>0</v>
      </c>
      <c r="W115" s="613">
        <f t="shared" si="99"/>
        <v>0</v>
      </c>
      <c r="X115" s="613">
        <f t="shared" si="99"/>
        <v>0</v>
      </c>
      <c r="Y115" s="613">
        <f t="shared" si="99"/>
        <v>0</v>
      </c>
      <c r="Z115" s="613">
        <f t="shared" si="99"/>
        <v>0</v>
      </c>
      <c r="AA115" s="613">
        <f t="shared" si="99"/>
        <v>0</v>
      </c>
      <c r="AB115" s="613">
        <f t="shared" si="99"/>
        <v>0</v>
      </c>
      <c r="AC115" s="613">
        <f t="shared" si="99"/>
        <v>0</v>
      </c>
      <c r="AD115" s="613">
        <f t="shared" si="99"/>
        <v>0</v>
      </c>
      <c r="AE115" s="613">
        <f t="shared" si="99"/>
        <v>0</v>
      </c>
      <c r="AF115" s="613">
        <f t="shared" si="99"/>
        <v>0</v>
      </c>
      <c r="AG115" s="613">
        <f t="shared" si="99"/>
        <v>0</v>
      </c>
      <c r="AH115" s="613">
        <f t="shared" si="99"/>
        <v>0</v>
      </c>
      <c r="AI115" s="613">
        <f t="shared" si="99"/>
        <v>0</v>
      </c>
      <c r="AJ115" s="613">
        <f t="shared" si="99"/>
        <v>0</v>
      </c>
      <c r="AK115" s="613">
        <f t="shared" si="99"/>
        <v>0</v>
      </c>
      <c r="AL115" s="613">
        <f t="shared" si="99"/>
        <v>0</v>
      </c>
      <c r="AM115" s="613">
        <f t="shared" si="99"/>
        <v>0</v>
      </c>
      <c r="AN115" s="613">
        <f t="shared" si="99"/>
        <v>0</v>
      </c>
      <c r="AO115" s="613">
        <f t="shared" si="99"/>
        <v>0</v>
      </c>
      <c r="AP115" s="613">
        <f t="shared" si="99"/>
        <v>0</v>
      </c>
      <c r="AQ115" s="613">
        <f t="shared" si="99"/>
        <v>0</v>
      </c>
      <c r="AR115" s="613">
        <f t="shared" si="99"/>
        <v>0</v>
      </c>
      <c r="AS115" s="613">
        <f t="shared" si="99"/>
        <v>0</v>
      </c>
      <c r="AT115" s="613">
        <f t="shared" si="99"/>
        <v>0</v>
      </c>
      <c r="AU115" s="613">
        <f t="shared" si="99"/>
        <v>0</v>
      </c>
      <c r="AV115" s="613">
        <f t="shared" si="99"/>
        <v>0</v>
      </c>
      <c r="AW115" s="613">
        <f t="shared" si="99"/>
        <v>0</v>
      </c>
      <c r="AX115" s="613">
        <f t="shared" si="99"/>
        <v>0</v>
      </c>
      <c r="AY115" s="613">
        <f t="shared" si="99"/>
        <v>0</v>
      </c>
      <c r="AZ115" s="613">
        <f t="shared" si="99"/>
        <v>0</v>
      </c>
      <c r="BA115" s="613">
        <f t="shared" si="99"/>
        <v>0</v>
      </c>
      <c r="BB115" s="613">
        <f t="shared" si="99"/>
        <v>0</v>
      </c>
      <c r="BC115" s="613">
        <f t="shared" si="99"/>
        <v>0</v>
      </c>
      <c r="BD115" s="613">
        <f t="shared" si="99"/>
        <v>0</v>
      </c>
      <c r="BE115" s="613">
        <f t="shared" si="99"/>
        <v>0</v>
      </c>
      <c r="BF115" s="613">
        <f t="shared" si="99"/>
        <v>0</v>
      </c>
      <c r="BG115" s="613">
        <f t="shared" si="99"/>
        <v>0</v>
      </c>
      <c r="BH115" s="613"/>
      <c r="BI115" s="651">
        <f>SUM(T115:BG115)</f>
        <v>0</v>
      </c>
      <c r="BJ115" s="613"/>
      <c r="BM115" s="613">
        <f>SUMIF($T$13:$BG$13,BM$13,$T115:$BG115)</f>
        <v>0</v>
      </c>
      <c r="BN115" s="613">
        <f t="shared" ref="BN115:BV115" si="100">SUMIF($T$13:$BG$13,BN$13,$T115:$BG115)</f>
        <v>0</v>
      </c>
      <c r="BO115" s="613">
        <f t="shared" si="100"/>
        <v>0</v>
      </c>
      <c r="BP115" s="613">
        <f t="shared" si="100"/>
        <v>0</v>
      </c>
      <c r="BQ115" s="613">
        <f t="shared" si="100"/>
        <v>0</v>
      </c>
      <c r="BR115" s="613">
        <f t="shared" si="100"/>
        <v>0</v>
      </c>
      <c r="BS115" s="613">
        <f t="shared" si="100"/>
        <v>0</v>
      </c>
      <c r="BT115" s="613">
        <f t="shared" si="100"/>
        <v>0</v>
      </c>
      <c r="BU115" s="613">
        <f t="shared" si="100"/>
        <v>0</v>
      </c>
      <c r="BV115" s="613">
        <f t="shared" si="100"/>
        <v>0</v>
      </c>
      <c r="BW115" s="613"/>
      <c r="BX115" s="652">
        <f>SUM(BM115:BV115)</f>
        <v>0</v>
      </c>
    </row>
    <row r="116" spans="2:76">
      <c r="B116" s="607"/>
      <c r="D116" s="395" t="s">
        <v>668</v>
      </c>
      <c r="E116" s="666"/>
      <c r="F116" s="633"/>
      <c r="G116" s="633"/>
      <c r="H116" s="633"/>
      <c r="I116" s="633"/>
      <c r="J116" s="633"/>
      <c r="K116" s="633"/>
      <c r="L116" s="633"/>
      <c r="M116" s="633"/>
      <c r="N116" s="633"/>
      <c r="O116" s="633"/>
      <c r="P116" s="633"/>
      <c r="Q116" s="633"/>
      <c r="R116" s="633"/>
      <c r="S116" s="631"/>
      <c r="T116" s="631">
        <f>SUM(T113:T115)</f>
        <v>0</v>
      </c>
      <c r="U116" s="631">
        <f t="shared" ref="U116:BG116" si="101">SUM(U113:U115)</f>
        <v>0</v>
      </c>
      <c r="V116" s="631">
        <f t="shared" si="101"/>
        <v>0</v>
      </c>
      <c r="W116" s="631">
        <f t="shared" si="101"/>
        <v>0</v>
      </c>
      <c r="X116" s="631">
        <f t="shared" si="101"/>
        <v>0</v>
      </c>
      <c r="Y116" s="631">
        <f t="shared" si="101"/>
        <v>0</v>
      </c>
      <c r="Z116" s="631">
        <f t="shared" si="101"/>
        <v>0</v>
      </c>
      <c r="AA116" s="631">
        <f t="shared" si="101"/>
        <v>0</v>
      </c>
      <c r="AB116" s="631">
        <f t="shared" si="101"/>
        <v>0</v>
      </c>
      <c r="AC116" s="631">
        <f t="shared" si="101"/>
        <v>0</v>
      </c>
      <c r="AD116" s="631">
        <f t="shared" si="101"/>
        <v>0</v>
      </c>
      <c r="AE116" s="631">
        <f t="shared" si="101"/>
        <v>1225607.6423418738</v>
      </c>
      <c r="AF116" s="631">
        <f t="shared" si="101"/>
        <v>0</v>
      </c>
      <c r="AG116" s="631">
        <f t="shared" si="101"/>
        <v>0</v>
      </c>
      <c r="AH116" s="631">
        <f t="shared" si="101"/>
        <v>0</v>
      </c>
      <c r="AI116" s="631">
        <f t="shared" si="101"/>
        <v>0</v>
      </c>
      <c r="AJ116" s="631">
        <f t="shared" si="101"/>
        <v>0</v>
      </c>
      <c r="AK116" s="631">
        <f t="shared" si="101"/>
        <v>0</v>
      </c>
      <c r="AL116" s="631">
        <f t="shared" si="101"/>
        <v>0</v>
      </c>
      <c r="AM116" s="631">
        <f t="shared" si="101"/>
        <v>0</v>
      </c>
      <c r="AN116" s="631">
        <f t="shared" si="101"/>
        <v>0</v>
      </c>
      <c r="AO116" s="631">
        <f t="shared" si="101"/>
        <v>0</v>
      </c>
      <c r="AP116" s="631">
        <f t="shared" si="101"/>
        <v>0</v>
      </c>
      <c r="AQ116" s="631">
        <f t="shared" si="101"/>
        <v>0</v>
      </c>
      <c r="AR116" s="631">
        <f t="shared" si="101"/>
        <v>0</v>
      </c>
      <c r="AS116" s="631">
        <f t="shared" si="101"/>
        <v>0</v>
      </c>
      <c r="AT116" s="631">
        <f t="shared" si="101"/>
        <v>0</v>
      </c>
      <c r="AU116" s="631">
        <f t="shared" si="101"/>
        <v>0</v>
      </c>
      <c r="AV116" s="631">
        <f t="shared" si="101"/>
        <v>0</v>
      </c>
      <c r="AW116" s="631">
        <f t="shared" si="101"/>
        <v>0</v>
      </c>
      <c r="AX116" s="631">
        <f t="shared" si="101"/>
        <v>0</v>
      </c>
      <c r="AY116" s="631">
        <f t="shared" si="101"/>
        <v>0</v>
      </c>
      <c r="AZ116" s="631">
        <f t="shared" si="101"/>
        <v>0</v>
      </c>
      <c r="BA116" s="631">
        <f t="shared" si="101"/>
        <v>0</v>
      </c>
      <c r="BB116" s="631">
        <f t="shared" si="101"/>
        <v>0</v>
      </c>
      <c r="BC116" s="631">
        <f t="shared" si="101"/>
        <v>0</v>
      </c>
      <c r="BD116" s="631">
        <f t="shared" si="101"/>
        <v>0</v>
      </c>
      <c r="BE116" s="631">
        <f t="shared" si="101"/>
        <v>0</v>
      </c>
      <c r="BF116" s="631">
        <f t="shared" si="101"/>
        <v>0</v>
      </c>
      <c r="BG116" s="631">
        <f t="shared" si="101"/>
        <v>0</v>
      </c>
      <c r="BH116" s="613"/>
      <c r="BI116" s="458">
        <f t="shared" si="92"/>
        <v>1225607.6423418738</v>
      </c>
      <c r="BJ116" s="613"/>
      <c r="BK116" s="39" t="b">
        <f>ROUND(BI116,GA!$G$112)=ROUND(BX116,GA!$G$112)</f>
        <v>1</v>
      </c>
      <c r="BM116" s="631">
        <f t="shared" ref="BM116:BV116" si="102">SUM(BM113:BM114)</f>
        <v>0</v>
      </c>
      <c r="BN116" s="631">
        <f t="shared" si="102"/>
        <v>0</v>
      </c>
      <c r="BO116" s="631">
        <f t="shared" si="102"/>
        <v>1225607.6423418738</v>
      </c>
      <c r="BP116" s="631">
        <f t="shared" si="102"/>
        <v>0</v>
      </c>
      <c r="BQ116" s="631">
        <f t="shared" si="102"/>
        <v>0</v>
      </c>
      <c r="BR116" s="631">
        <f t="shared" si="102"/>
        <v>0</v>
      </c>
      <c r="BS116" s="631">
        <f t="shared" si="102"/>
        <v>0</v>
      </c>
      <c r="BT116" s="631">
        <f t="shared" si="102"/>
        <v>0</v>
      </c>
      <c r="BU116" s="631">
        <f t="shared" si="102"/>
        <v>0</v>
      </c>
      <c r="BV116" s="631">
        <f t="shared" si="102"/>
        <v>0</v>
      </c>
      <c r="BW116" s="613"/>
      <c r="BX116" s="631">
        <f t="shared" si="94"/>
        <v>1225607.6423418738</v>
      </c>
    </row>
    <row r="117" spans="2:76">
      <c r="B117" s="607"/>
      <c r="D117" s="593"/>
      <c r="F117" s="613"/>
      <c r="G117" s="613"/>
      <c r="H117" s="613"/>
      <c r="I117" s="613"/>
      <c r="J117" s="613"/>
      <c r="K117" s="613"/>
      <c r="L117" s="613"/>
      <c r="M117" s="613"/>
      <c r="N117" s="613"/>
      <c r="O117" s="613"/>
      <c r="P117" s="613"/>
      <c r="Q117" s="613"/>
      <c r="R117" s="613"/>
      <c r="S117" s="613"/>
      <c r="T117" s="613"/>
      <c r="U117" s="613"/>
      <c r="V117" s="613"/>
      <c r="W117" s="613"/>
      <c r="X117" s="613"/>
      <c r="Y117" s="613"/>
      <c r="Z117" s="613"/>
      <c r="AA117" s="613"/>
      <c r="AB117" s="613"/>
      <c r="AC117" s="613"/>
      <c r="AD117" s="613"/>
      <c r="AE117" s="613"/>
      <c r="AF117" s="613"/>
      <c r="AG117" s="613"/>
      <c r="AH117" s="613"/>
      <c r="AI117" s="613"/>
      <c r="AJ117" s="613"/>
      <c r="AK117" s="613"/>
      <c r="AL117" s="613"/>
      <c r="AM117" s="613"/>
      <c r="AN117" s="613"/>
      <c r="AO117" s="613"/>
      <c r="AP117" s="613"/>
      <c r="AQ117" s="613"/>
      <c r="AR117" s="613"/>
      <c r="AS117" s="613"/>
      <c r="AT117" s="613"/>
      <c r="AU117" s="613"/>
      <c r="AV117" s="613"/>
      <c r="AW117" s="613"/>
      <c r="AX117" s="613"/>
      <c r="AY117" s="613"/>
      <c r="AZ117" s="613"/>
      <c r="BA117" s="613"/>
      <c r="BB117" s="613"/>
      <c r="BC117" s="613"/>
      <c r="BD117" s="613"/>
      <c r="BE117" s="613"/>
      <c r="BF117" s="613"/>
      <c r="BG117" s="613"/>
      <c r="BH117" s="613"/>
      <c r="BI117" s="651"/>
      <c r="BJ117" s="613"/>
    </row>
    <row r="118" spans="2:76">
      <c r="B118" s="607"/>
      <c r="D118" s="674" t="s">
        <v>1067</v>
      </c>
      <c r="E118" s="675"/>
      <c r="F118" s="676"/>
      <c r="G118" s="676"/>
      <c r="H118" s="676"/>
      <c r="I118" s="676"/>
      <c r="J118" s="676"/>
      <c r="K118" s="676"/>
      <c r="L118" s="676"/>
      <c r="M118" s="676"/>
      <c r="N118" s="676"/>
      <c r="O118" s="676"/>
      <c r="P118" s="676"/>
      <c r="Q118" s="676"/>
      <c r="R118" s="677">
        <f t="shared" ref="R118:BG118" si="103">R107+R116</f>
        <v>-41208.162841401987</v>
      </c>
      <c r="S118" s="677">
        <f t="shared" si="103"/>
        <v>-1807942.7348842241</v>
      </c>
      <c r="T118" s="677">
        <f t="shared" si="103"/>
        <v>0</v>
      </c>
      <c r="U118" s="677">
        <f t="shared" si="103"/>
        <v>0</v>
      </c>
      <c r="V118" s="677">
        <f t="shared" si="103"/>
        <v>17432.702255411175</v>
      </c>
      <c r="W118" s="677">
        <f t="shared" si="103"/>
        <v>17453.043076705777</v>
      </c>
      <c r="X118" s="677">
        <f t="shared" si="103"/>
        <v>17473.348245337766</v>
      </c>
      <c r="Y118" s="677">
        <f t="shared" si="103"/>
        <v>17493.617328952449</v>
      </c>
      <c r="Z118" s="677">
        <f t="shared" si="103"/>
        <v>17513.849892571849</v>
      </c>
      <c r="AA118" s="677">
        <f t="shared" si="103"/>
        <v>17534.045498580766</v>
      </c>
      <c r="AB118" s="677">
        <f t="shared" si="103"/>
        <v>17554.203706712789</v>
      </c>
      <c r="AC118" s="677">
        <f t="shared" si="103"/>
        <v>17574.32407403626</v>
      </c>
      <c r="AD118" s="677">
        <f t="shared" si="103"/>
        <v>17594.406154940145</v>
      </c>
      <c r="AE118" s="677">
        <f t="shared" si="103"/>
        <v>1243222.0918429936</v>
      </c>
      <c r="AF118" s="677">
        <f t="shared" si="103"/>
        <v>0</v>
      </c>
      <c r="AG118" s="677">
        <f t="shared" si="103"/>
        <v>0</v>
      </c>
      <c r="AH118" s="677">
        <f t="shared" si="103"/>
        <v>0</v>
      </c>
      <c r="AI118" s="677">
        <f t="shared" si="103"/>
        <v>0</v>
      </c>
      <c r="AJ118" s="677">
        <f t="shared" si="103"/>
        <v>0</v>
      </c>
      <c r="AK118" s="677">
        <f t="shared" si="103"/>
        <v>0</v>
      </c>
      <c r="AL118" s="677">
        <f t="shared" si="103"/>
        <v>0</v>
      </c>
      <c r="AM118" s="677">
        <f t="shared" si="103"/>
        <v>0</v>
      </c>
      <c r="AN118" s="677">
        <f t="shared" si="103"/>
        <v>0</v>
      </c>
      <c r="AO118" s="677">
        <f t="shared" si="103"/>
        <v>0</v>
      </c>
      <c r="AP118" s="677">
        <f t="shared" si="103"/>
        <v>0</v>
      </c>
      <c r="AQ118" s="677">
        <f t="shared" si="103"/>
        <v>0</v>
      </c>
      <c r="AR118" s="677">
        <f t="shared" si="103"/>
        <v>0</v>
      </c>
      <c r="AS118" s="677">
        <f t="shared" si="103"/>
        <v>0</v>
      </c>
      <c r="AT118" s="677">
        <f t="shared" si="103"/>
        <v>0</v>
      </c>
      <c r="AU118" s="677">
        <f t="shared" si="103"/>
        <v>0</v>
      </c>
      <c r="AV118" s="677">
        <f t="shared" si="103"/>
        <v>0</v>
      </c>
      <c r="AW118" s="677">
        <f t="shared" si="103"/>
        <v>0</v>
      </c>
      <c r="AX118" s="677">
        <f t="shared" si="103"/>
        <v>0</v>
      </c>
      <c r="AY118" s="677">
        <f t="shared" si="103"/>
        <v>0</v>
      </c>
      <c r="AZ118" s="677">
        <f t="shared" si="103"/>
        <v>0</v>
      </c>
      <c r="BA118" s="677">
        <f t="shared" si="103"/>
        <v>0</v>
      </c>
      <c r="BB118" s="677">
        <f t="shared" si="103"/>
        <v>0</v>
      </c>
      <c r="BC118" s="677">
        <f t="shared" si="103"/>
        <v>0</v>
      </c>
      <c r="BD118" s="677">
        <f t="shared" si="103"/>
        <v>0</v>
      </c>
      <c r="BE118" s="677">
        <f t="shared" si="103"/>
        <v>0</v>
      </c>
      <c r="BF118" s="677">
        <f t="shared" si="103"/>
        <v>0</v>
      </c>
      <c r="BG118" s="677">
        <f t="shared" si="103"/>
        <v>0</v>
      </c>
      <c r="BH118" s="613"/>
      <c r="BI118" s="678">
        <f>SUM(T118:BG118)</f>
        <v>1400845.6320762425</v>
      </c>
      <c r="BJ118" s="613"/>
      <c r="BK118" s="39" t="b">
        <f>ROUND(BI118,GA!$G$112)=ROUND(BX118,GA!$G$112)</f>
        <v>1</v>
      </c>
      <c r="BM118" s="677">
        <f t="shared" ref="BM118:BV118" si="104">SUMIF($T$13:$BG$13,BM$13,$T118:$BG118)</f>
        <v>34885.745332116952</v>
      </c>
      <c r="BN118" s="677">
        <f t="shared" si="104"/>
        <v>70014.860965442815</v>
      </c>
      <c r="BO118" s="677">
        <f t="shared" si="104"/>
        <v>1295945.0257786829</v>
      </c>
      <c r="BP118" s="677">
        <f t="shared" si="104"/>
        <v>0</v>
      </c>
      <c r="BQ118" s="677">
        <f t="shared" si="104"/>
        <v>0</v>
      </c>
      <c r="BR118" s="677">
        <f t="shared" si="104"/>
        <v>0</v>
      </c>
      <c r="BS118" s="677">
        <f t="shared" si="104"/>
        <v>0</v>
      </c>
      <c r="BT118" s="677">
        <f t="shared" si="104"/>
        <v>0</v>
      </c>
      <c r="BU118" s="677">
        <f t="shared" si="104"/>
        <v>0</v>
      </c>
      <c r="BV118" s="677">
        <f t="shared" si="104"/>
        <v>0</v>
      </c>
      <c r="BW118" s="613"/>
      <c r="BX118" s="677">
        <f>SUM(BM118:BV118)</f>
        <v>1400845.6320762427</v>
      </c>
    </row>
    <row r="119" spans="2:76" s="398" customFormat="1" hidden="1" outlineLevel="1">
      <c r="B119" s="686" t="s">
        <v>503</v>
      </c>
      <c r="D119" s="687" t="s">
        <v>329</v>
      </c>
      <c r="E119" s="762" t="b">
        <f>COUNTIF(T119:BG119,"TRUE")=COUNTA(T119:BG119)</f>
        <v>1</v>
      </c>
      <c r="F119" s="763"/>
      <c r="G119" s="763"/>
      <c r="H119" s="763"/>
      <c r="I119" s="763"/>
      <c r="J119" s="763"/>
      <c r="K119" s="763"/>
      <c r="L119" s="763"/>
      <c r="M119" s="763"/>
      <c r="N119" s="763"/>
      <c r="O119" s="763"/>
      <c r="P119" s="763"/>
      <c r="Q119" s="763"/>
      <c r="R119" s="763"/>
      <c r="S119" s="763"/>
      <c r="T119" s="762" t="b">
        <f>ROUND(SUMIFS(PCF!T:T,PCF!$C:$C,$E$1,PCF!$I:$I,$B$119),2)=ROUND(T118,2)</f>
        <v>1</v>
      </c>
      <c r="U119" s="762" t="b">
        <f>ROUND(SUMIFS(PCF!U:U,PCF!$C:$C,$E$1,PCF!$I:$I,$B$119),2)=ROUND(U118,2)</f>
        <v>1</v>
      </c>
      <c r="V119" s="762" t="b">
        <f>ROUND(SUMIFS(PCF!V:V,PCF!$C:$C,$E$1,PCF!$I:$I,$B$119),2)=ROUND(V118,2)</f>
        <v>1</v>
      </c>
      <c r="W119" s="762" t="b">
        <f>ROUND(SUMIFS(PCF!W:W,PCF!$C:$C,$E$1,PCF!$I:$I,$B$119),2)=ROUND(W118,2)</f>
        <v>1</v>
      </c>
      <c r="X119" s="762" t="b">
        <f>ROUND(SUMIFS(PCF!X:X,PCF!$C:$C,$E$1,PCF!$I:$I,$B$119),2)=ROUND(X118,2)</f>
        <v>1</v>
      </c>
      <c r="Y119" s="762" t="b">
        <f>ROUND(SUMIFS(PCF!Y:Y,PCF!$C:$C,$E$1,PCF!$I:$I,$B$119),2)=ROUND(Y118,2)</f>
        <v>1</v>
      </c>
      <c r="Z119" s="762" t="b">
        <f>ROUND(SUMIFS(PCF!Z:Z,PCF!$C:$C,$E$1,PCF!$I:$I,$B$119),2)=ROUND(Z118,2)</f>
        <v>1</v>
      </c>
      <c r="AA119" s="762" t="b">
        <f>ROUND(SUMIFS(PCF!AA:AA,PCF!$C:$C,$E$1,PCF!$I:$I,$B$119),2)=ROUND(AA118,2)</f>
        <v>1</v>
      </c>
      <c r="AB119" s="762" t="b">
        <f>ROUND(SUMIFS(PCF!AB:AB,PCF!$C:$C,$E$1,PCF!$I:$I,$B$119),2)=ROUND(AB118,2)</f>
        <v>1</v>
      </c>
      <c r="AC119" s="762" t="b">
        <f>ROUND(SUMIFS(PCF!AC:AC,PCF!$C:$C,$E$1,PCF!$I:$I,$B$119),2)=ROUND(AC118,2)</f>
        <v>1</v>
      </c>
      <c r="AD119" s="762" t="b">
        <f>ROUND(SUMIFS(PCF!AD:AD,PCF!$C:$C,$E$1,PCF!$I:$I,$B$119),2)=ROUND(AD118,2)</f>
        <v>1</v>
      </c>
      <c r="AE119" s="762" t="b">
        <f>ROUND(SUMIFS(PCF!AE:AE,PCF!$C:$C,$E$1,PCF!$I:$I,$B$119),2)=ROUND(AE118,2)</f>
        <v>1</v>
      </c>
      <c r="AF119" s="762" t="b">
        <f>ROUND(SUMIFS(PCF!AF:AF,PCF!$C:$C,$E$1,PCF!$I:$I,$B$119),2)=ROUND(AF118,2)</f>
        <v>1</v>
      </c>
      <c r="AG119" s="762" t="b">
        <f>ROUND(SUMIFS(PCF!AG:AG,PCF!$C:$C,$E$1,PCF!$I:$I,$B$119),2)=ROUND(AG118,2)</f>
        <v>1</v>
      </c>
      <c r="AH119" s="762" t="b">
        <f>ROUND(SUMIFS(PCF!AH:AH,PCF!$C:$C,$E$1,PCF!$I:$I,$B$119),2)=ROUND(AH118,2)</f>
        <v>1</v>
      </c>
      <c r="AI119" s="762" t="b">
        <f>ROUND(SUMIFS(PCF!AI:AI,PCF!$C:$C,$E$1,PCF!$I:$I,$B$119),2)=ROUND(AI118,2)</f>
        <v>1</v>
      </c>
      <c r="AJ119" s="762" t="b">
        <f>ROUND(SUMIFS(PCF!AJ:AJ,PCF!$C:$C,$E$1,PCF!$I:$I,$B$119),2)=ROUND(AJ118,2)</f>
        <v>1</v>
      </c>
      <c r="AK119" s="762" t="b">
        <f>ROUND(SUMIFS(PCF!AK:AK,PCF!$C:$C,$E$1,PCF!$I:$I,$B$119),2)=ROUND(AK118,2)</f>
        <v>1</v>
      </c>
      <c r="AL119" s="762" t="b">
        <f>ROUND(SUMIFS(PCF!AL:AL,PCF!$C:$C,$E$1,PCF!$I:$I,$B$119),2)=ROUND(AL118,2)</f>
        <v>1</v>
      </c>
      <c r="AM119" s="762" t="b">
        <f>ROUND(SUMIFS(PCF!AM:AM,PCF!$C:$C,$E$1,PCF!$I:$I,$B$119),2)=ROUND(AM118,2)</f>
        <v>1</v>
      </c>
      <c r="AN119" s="762" t="b">
        <f>ROUND(SUMIFS(PCF!AN:AN,PCF!$C:$C,$E$1,PCF!$I:$I,$B$119),2)=ROUND(AN118,2)</f>
        <v>1</v>
      </c>
      <c r="AO119" s="762" t="b">
        <f>ROUND(SUMIFS(PCF!AO:AO,PCF!$C:$C,$E$1,PCF!$I:$I,$B$119),2)=ROUND(AO118,2)</f>
        <v>1</v>
      </c>
      <c r="AP119" s="762" t="b">
        <f>ROUND(SUMIFS(PCF!AP:AP,PCF!$C:$C,$E$1,PCF!$I:$I,$B$119),2)=ROUND(AP118,2)</f>
        <v>1</v>
      </c>
      <c r="AQ119" s="762" t="b">
        <f>ROUND(SUMIFS(PCF!AQ:AQ,PCF!$C:$C,$E$1,PCF!$I:$I,$B$119),2)=ROUND(AQ118,2)</f>
        <v>1</v>
      </c>
      <c r="AR119" s="762" t="b">
        <f>ROUND(SUMIFS(PCF!AR:AR,PCF!$C:$C,$E$1,PCF!$I:$I,$B$119),2)=ROUND(AR118,2)</f>
        <v>1</v>
      </c>
      <c r="AS119" s="762" t="b">
        <f>ROUND(SUMIFS(PCF!AS:AS,PCF!$C:$C,$E$1,PCF!$I:$I,$B$119),2)=ROUND(AS118,2)</f>
        <v>1</v>
      </c>
      <c r="AT119" s="762" t="b">
        <f>ROUND(SUMIFS(PCF!AT:AT,PCF!$C:$C,$E$1,PCF!$I:$I,$B$119),2)=ROUND(AT118,2)</f>
        <v>1</v>
      </c>
      <c r="AU119" s="762" t="b">
        <f>ROUND(SUMIFS(PCF!AU:AU,PCF!$C:$C,$E$1,PCF!$I:$I,$B$119),2)=ROUND(AU118,2)</f>
        <v>1</v>
      </c>
      <c r="AV119" s="762" t="b">
        <f>ROUND(SUMIFS(PCF!AV:AV,PCF!$C:$C,$E$1,PCF!$I:$I,$B$119),2)=ROUND(AV118,2)</f>
        <v>1</v>
      </c>
      <c r="AW119" s="762" t="b">
        <f>ROUND(SUMIFS(PCF!AW:AW,PCF!$C:$C,$E$1,PCF!$I:$I,$B$119),2)=ROUND(AW118,2)</f>
        <v>1</v>
      </c>
      <c r="AX119" s="762" t="b">
        <f>ROUND(SUMIFS(PCF!AX:AX,PCF!$C:$C,$E$1,PCF!$I:$I,$B$119),2)=ROUND(AX118,2)</f>
        <v>1</v>
      </c>
      <c r="AY119" s="762" t="b">
        <f>ROUND(SUMIFS(PCF!AY:AY,PCF!$C:$C,$E$1,PCF!$I:$I,$B$119),2)=ROUND(AY118,2)</f>
        <v>1</v>
      </c>
      <c r="AZ119" s="762" t="b">
        <f>ROUND(SUMIFS(PCF!AZ:AZ,PCF!$C:$C,$E$1,PCF!$I:$I,$B$119),2)=ROUND(AZ118,2)</f>
        <v>1</v>
      </c>
      <c r="BA119" s="762" t="b">
        <f>ROUND(SUMIFS(PCF!BA:BA,PCF!$C:$C,$E$1,PCF!$I:$I,$B$119),2)=ROUND(BA118,2)</f>
        <v>1</v>
      </c>
      <c r="BB119" s="762" t="b">
        <f>ROUND(SUMIFS(PCF!BB:BB,PCF!$C:$C,$E$1,PCF!$I:$I,$B$119),2)=ROUND(BB118,2)</f>
        <v>1</v>
      </c>
      <c r="BC119" s="762" t="b">
        <f>ROUND(SUMIFS(PCF!BC:BC,PCF!$C:$C,$E$1,PCF!$I:$I,$B$119),2)=ROUND(BC118,2)</f>
        <v>1</v>
      </c>
      <c r="BD119" s="762" t="b">
        <f>ROUND(SUMIFS(PCF!BD:BD,PCF!$C:$C,$E$1,PCF!$I:$I,$B$119),2)=ROUND(BD118,2)</f>
        <v>1</v>
      </c>
      <c r="BE119" s="762" t="b">
        <f>ROUND(SUMIFS(PCF!BE:BE,PCF!$C:$C,$E$1,PCF!$I:$I,$B$119),2)=ROUND(BE118,2)</f>
        <v>1</v>
      </c>
      <c r="BF119" s="762" t="b">
        <f>ROUND(SUMIFS(PCF!BF:BF,PCF!$C:$C,$E$1,PCF!$I:$I,$B$119),2)=ROUND(BF118,2)</f>
        <v>1</v>
      </c>
      <c r="BG119" s="762" t="b">
        <f>ROUND(SUMIFS(PCF!BG:BG,PCF!$C:$C,$E$1,PCF!$I:$I,$B$119),2)=ROUND(BG118,2)</f>
        <v>1</v>
      </c>
      <c r="BH119" s="763"/>
      <c r="BI119" s="764" t="s">
        <v>153</v>
      </c>
      <c r="BJ119" s="670"/>
    </row>
    <row r="120" spans="2:76" collapsed="1">
      <c r="B120" s="607"/>
      <c r="D120" s="593"/>
      <c r="BI120" s="594"/>
    </row>
    <row r="121" spans="2:76">
      <c r="D121" s="688" t="s">
        <v>1068</v>
      </c>
      <c r="E121" s="689">
        <v>0.1</v>
      </c>
      <c r="F121" s="690"/>
      <c r="G121" s="690"/>
      <c r="H121" s="690"/>
      <c r="I121" s="690"/>
      <c r="J121" s="690"/>
      <c r="K121" s="690"/>
      <c r="L121" s="690"/>
      <c r="M121" s="690"/>
      <c r="N121" s="690"/>
      <c r="O121" s="690"/>
      <c r="P121" s="690"/>
      <c r="Q121" s="690"/>
      <c r="R121" s="690"/>
      <c r="S121" s="691">
        <f>XNPV($E$121,T118:BG118,T11:BG11)</f>
        <v>1093365.6640830666</v>
      </c>
      <c r="U121" s="613"/>
      <c r="BI121" s="594"/>
    </row>
    <row r="122" spans="2:76">
      <c r="D122" s="692" t="s">
        <v>1068</v>
      </c>
      <c r="E122" s="693">
        <v>0.125</v>
      </c>
      <c r="F122" s="694"/>
      <c r="G122" s="694"/>
      <c r="H122" s="694"/>
      <c r="I122" s="694"/>
      <c r="J122" s="694"/>
      <c r="K122" s="694"/>
      <c r="L122" s="694"/>
      <c r="M122" s="694"/>
      <c r="N122" s="694"/>
      <c r="O122" s="694"/>
      <c r="P122" s="694"/>
      <c r="Q122" s="694"/>
      <c r="R122" s="694"/>
      <c r="S122" s="695">
        <f>XNPV($E$122,T118:BG118,T11:BG11)</f>
        <v>1031617.2431441343</v>
      </c>
      <c r="T122" s="613"/>
      <c r="U122" s="613"/>
      <c r="V122" s="613"/>
      <c r="W122" s="613"/>
      <c r="X122" s="613"/>
      <c r="Y122" s="613"/>
      <c r="Z122" s="613"/>
      <c r="AA122" s="613"/>
      <c r="AB122" s="613"/>
      <c r="AC122" s="613"/>
      <c r="AD122" s="613"/>
      <c r="AE122" s="613"/>
      <c r="BI122" s="594"/>
    </row>
    <row r="123" spans="2:76">
      <c r="D123" s="696" t="s">
        <v>1068</v>
      </c>
      <c r="E123" s="697">
        <v>0.15</v>
      </c>
      <c r="F123" s="698"/>
      <c r="G123" s="698"/>
      <c r="H123" s="698"/>
      <c r="I123" s="698"/>
      <c r="J123" s="698"/>
      <c r="K123" s="698"/>
      <c r="L123" s="698"/>
      <c r="M123" s="698"/>
      <c r="N123" s="698"/>
      <c r="O123" s="698"/>
      <c r="P123" s="698"/>
      <c r="Q123" s="698"/>
      <c r="R123" s="698"/>
      <c r="S123" s="699">
        <f>XNPV($E$123,T118:BG118,T11:BG11)</f>
        <v>974715.67062553822</v>
      </c>
      <c r="T123" s="626"/>
      <c r="U123" s="626"/>
      <c r="V123" s="626"/>
      <c r="W123" s="626"/>
      <c r="X123" s="626"/>
      <c r="Y123" s="626"/>
      <c r="Z123" s="626"/>
      <c r="AA123" s="626"/>
      <c r="AB123" s="626"/>
      <c r="AC123" s="626"/>
      <c r="AD123" s="626"/>
      <c r="AE123" s="626"/>
      <c r="AF123" s="626"/>
      <c r="AG123" s="626"/>
      <c r="AH123" s="626"/>
      <c r="AI123" s="626"/>
      <c r="AJ123" s="626"/>
      <c r="AK123" s="626"/>
      <c r="AL123" s="626"/>
      <c r="AM123" s="626"/>
      <c r="AN123" s="626"/>
      <c r="AO123" s="626"/>
      <c r="AP123" s="626"/>
      <c r="AQ123" s="626"/>
      <c r="AR123" s="626"/>
      <c r="AS123" s="626"/>
      <c r="AT123" s="626"/>
      <c r="AU123" s="626"/>
      <c r="AV123" s="626"/>
      <c r="AW123" s="626"/>
      <c r="AX123" s="626"/>
      <c r="AY123" s="626"/>
      <c r="AZ123" s="626"/>
      <c r="BA123" s="626"/>
      <c r="BB123" s="626"/>
      <c r="BC123" s="626"/>
      <c r="BD123" s="626"/>
      <c r="BE123" s="626"/>
      <c r="BF123" s="626"/>
      <c r="BG123" s="626"/>
      <c r="BH123" s="626"/>
      <c r="BI123" s="649"/>
    </row>
    <row r="125" spans="2:76" hidden="1" outlineLevel="1">
      <c r="D125" s="391" t="s">
        <v>564</v>
      </c>
      <c r="E125" s="391"/>
      <c r="F125" s="391"/>
      <c r="G125" s="391"/>
      <c r="H125" s="391"/>
      <c r="I125" s="391"/>
      <c r="J125" s="391"/>
      <c r="K125" s="391"/>
      <c r="L125" s="391"/>
      <c r="M125" s="391"/>
      <c r="N125" s="391"/>
      <c r="O125" s="391"/>
      <c r="P125" s="391"/>
      <c r="Q125" s="391"/>
      <c r="R125" s="391"/>
      <c r="S125" s="391"/>
      <c r="T125" s="391"/>
      <c r="U125" s="391"/>
      <c r="V125" s="391"/>
      <c r="W125" s="391"/>
      <c r="X125" s="391"/>
      <c r="Y125" s="391"/>
      <c r="Z125" s="391"/>
      <c r="AA125" s="391"/>
      <c r="AB125" s="391"/>
      <c r="AC125" s="391"/>
      <c r="AD125" s="391"/>
      <c r="AE125" s="391"/>
      <c r="AF125" s="391"/>
      <c r="AG125" s="391"/>
      <c r="AH125" s="391"/>
      <c r="AI125" s="391"/>
      <c r="AJ125" s="391"/>
      <c r="AK125" s="391"/>
      <c r="AL125" s="391"/>
      <c r="AM125" s="391"/>
      <c r="AN125" s="391"/>
      <c r="AO125" s="391"/>
      <c r="AP125" s="391"/>
      <c r="AQ125" s="391"/>
      <c r="AR125" s="391"/>
      <c r="AS125" s="391"/>
      <c r="AT125" s="391"/>
      <c r="AU125" s="391"/>
      <c r="AV125" s="391"/>
      <c r="AW125" s="391"/>
      <c r="AX125" s="391"/>
      <c r="AY125" s="391"/>
      <c r="AZ125" s="391"/>
      <c r="BA125" s="391"/>
      <c r="BB125" s="391"/>
      <c r="BC125" s="391"/>
      <c r="BD125" s="391"/>
      <c r="BE125" s="391"/>
      <c r="BF125" s="391"/>
      <c r="BG125" s="391"/>
      <c r="BH125" s="391"/>
      <c r="BI125" s="391"/>
    </row>
    <row r="126" spans="2:76" hidden="1" outlineLevel="1">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row>
    <row r="127" spans="2:76" hidden="1" outlineLevel="1">
      <c r="D127" s="253" t="s">
        <v>692</v>
      </c>
      <c r="E127" s="253"/>
      <c r="F127" s="253"/>
      <c r="G127" s="253"/>
      <c r="H127" s="253"/>
      <c r="I127" s="253"/>
      <c r="J127" s="253"/>
      <c r="K127" s="253"/>
      <c r="L127" s="253"/>
      <c r="M127" s="253"/>
      <c r="N127" s="253"/>
      <c r="O127" s="253"/>
      <c r="P127" s="253"/>
      <c r="Q127" s="253"/>
      <c r="R127" s="253"/>
      <c r="S127" s="254"/>
      <c r="T127" s="254">
        <f>S132</f>
        <v>1960974.937154186</v>
      </c>
      <c r="U127" s="254">
        <f t="shared" ref="U127:BG127" si="105">T132</f>
        <v>1951170.0624684151</v>
      </c>
      <c r="V127" s="254">
        <f t="shared" si="105"/>
        <v>1941365.1877826443</v>
      </c>
      <c r="W127" s="254">
        <f t="shared" si="105"/>
        <v>1931560.3130968735</v>
      </c>
      <c r="X127" s="254">
        <f t="shared" si="105"/>
        <v>1921755.4384111026</v>
      </c>
      <c r="Y127" s="254">
        <f t="shared" si="105"/>
        <v>1911950.5637253318</v>
      </c>
      <c r="Z127" s="254">
        <f t="shared" si="105"/>
        <v>1902145.689039561</v>
      </c>
      <c r="AA127" s="254">
        <f t="shared" si="105"/>
        <v>1892340.8143537901</v>
      </c>
      <c r="AB127" s="254">
        <f t="shared" si="105"/>
        <v>1882535.9396680193</v>
      </c>
      <c r="AC127" s="254">
        <f t="shared" si="105"/>
        <v>1872731.0649822485</v>
      </c>
      <c r="AD127" s="254">
        <f t="shared" si="105"/>
        <v>1862926.1902964776</v>
      </c>
      <c r="AE127" s="254">
        <f t="shared" si="105"/>
        <v>1853121.3156107068</v>
      </c>
      <c r="AF127" s="254">
        <f t="shared" si="105"/>
        <v>843316.44092493609</v>
      </c>
      <c r="AG127" s="254">
        <f t="shared" si="105"/>
        <v>833511.56623916514</v>
      </c>
      <c r="AH127" s="254">
        <f t="shared" si="105"/>
        <v>823706.69155339419</v>
      </c>
      <c r="AI127" s="254">
        <f t="shared" si="105"/>
        <v>813901.81686762325</v>
      </c>
      <c r="AJ127" s="254">
        <f t="shared" si="105"/>
        <v>804096.9421818523</v>
      </c>
      <c r="AK127" s="254">
        <f t="shared" si="105"/>
        <v>794292.06749608135</v>
      </c>
      <c r="AL127" s="254">
        <f t="shared" si="105"/>
        <v>784487.1928103104</v>
      </c>
      <c r="AM127" s="254">
        <f t="shared" si="105"/>
        <v>774682.31812453945</v>
      </c>
      <c r="AN127" s="254">
        <f t="shared" si="105"/>
        <v>0</v>
      </c>
      <c r="AO127" s="254">
        <f t="shared" si="105"/>
        <v>0</v>
      </c>
      <c r="AP127" s="254">
        <f t="shared" si="105"/>
        <v>0</v>
      </c>
      <c r="AQ127" s="254">
        <f t="shared" si="105"/>
        <v>0</v>
      </c>
      <c r="AR127" s="254">
        <f t="shared" si="105"/>
        <v>0</v>
      </c>
      <c r="AS127" s="254">
        <f t="shared" si="105"/>
        <v>0</v>
      </c>
      <c r="AT127" s="254">
        <f t="shared" si="105"/>
        <v>0</v>
      </c>
      <c r="AU127" s="254">
        <f t="shared" si="105"/>
        <v>0</v>
      </c>
      <c r="AV127" s="254">
        <f t="shared" si="105"/>
        <v>0</v>
      </c>
      <c r="AW127" s="254">
        <f t="shared" si="105"/>
        <v>0</v>
      </c>
      <c r="AX127" s="254">
        <f t="shared" si="105"/>
        <v>0</v>
      </c>
      <c r="AY127" s="254">
        <f t="shared" si="105"/>
        <v>0</v>
      </c>
      <c r="AZ127" s="254">
        <f t="shared" si="105"/>
        <v>0</v>
      </c>
      <c r="BA127" s="254">
        <f t="shared" si="105"/>
        <v>0</v>
      </c>
      <c r="BB127" s="254">
        <f t="shared" si="105"/>
        <v>0</v>
      </c>
      <c r="BC127" s="254">
        <f t="shared" si="105"/>
        <v>0</v>
      </c>
      <c r="BD127" s="254">
        <f t="shared" si="105"/>
        <v>0</v>
      </c>
      <c r="BE127" s="254">
        <f t="shared" si="105"/>
        <v>0</v>
      </c>
      <c r="BF127" s="254">
        <f t="shared" si="105"/>
        <v>0</v>
      </c>
      <c r="BG127" s="254">
        <f t="shared" si="105"/>
        <v>0</v>
      </c>
    </row>
    <row r="128" spans="2:76" hidden="1" outlineLevel="1">
      <c r="D128" t="s">
        <v>693</v>
      </c>
      <c r="E128"/>
      <c r="F128"/>
      <c r="G128"/>
      <c r="H128"/>
      <c r="I128"/>
      <c r="J128"/>
      <c r="K128"/>
      <c r="L128"/>
      <c r="M128"/>
      <c r="N128"/>
      <c r="O128"/>
      <c r="P128"/>
      <c r="Q128"/>
      <c r="R128"/>
      <c r="S128" s="310">
        <f>-SUM($R$118:$S$118)*GA!$G$501*GA!$G$494*(S12=GA!$G$495)</f>
        <v>1960974.937154186</v>
      </c>
      <c r="T128" s="310">
        <f>-SUM($R$118:$S$118)*GA!$G$501*GA!$G$494*(T12=GA!$G$495)</f>
        <v>0</v>
      </c>
      <c r="U128" s="310">
        <f>-SUM($R$118:$S$118)*GA!$G$501*GA!$G$494*(U12=GA!$G$495)</f>
        <v>0</v>
      </c>
      <c r="V128" s="310">
        <f>-SUM($R$118:$S$118)*GA!$G$501*GA!$G$494*(V12=GA!$G$495)</f>
        <v>0</v>
      </c>
      <c r="W128" s="310">
        <f>-SUM($R$118:$S$118)*GA!$G$501*GA!$G$494*(W12=GA!$G$495)</f>
        <v>0</v>
      </c>
      <c r="X128" s="310">
        <f>-SUM($R$118:$S$118)*GA!$G$501*GA!$G$494*(X12=GA!$G$495)</f>
        <v>0</v>
      </c>
      <c r="Y128" s="310">
        <f>-SUM($R$118:$S$118)*GA!$G$501*GA!$G$494*(Y12=GA!$G$495)</f>
        <v>0</v>
      </c>
      <c r="Z128" s="310">
        <f>-SUM($R$118:$S$118)*GA!$G$501*GA!$G$494*(Z12=GA!$G$495)</f>
        <v>0</v>
      </c>
      <c r="AA128" s="310">
        <f>-SUM($R$118:$S$118)*GA!$G$501*GA!$G$494*(AA12=GA!$G$495)</f>
        <v>0</v>
      </c>
      <c r="AB128" s="310">
        <f>-SUM($R$118:$S$118)*GA!$G$501*GA!$G$494*(AB12=GA!$G$495)</f>
        <v>0</v>
      </c>
      <c r="AC128" s="310">
        <f>-SUM($R$118:$S$118)*GA!$G$501*GA!$G$494*(AC12=GA!$G$495)</f>
        <v>0</v>
      </c>
      <c r="AD128" s="310">
        <f>-SUM($R$118:$S$118)*GA!$G$501*GA!$G$494*(AD12=GA!$G$495)</f>
        <v>0</v>
      </c>
      <c r="AE128" s="310">
        <f>-SUM($R$118:$S$118)*GA!$G$501*GA!$G$494*(AE12=GA!$G$495)</f>
        <v>0</v>
      </c>
      <c r="AF128" s="310">
        <f>-SUM($R$118:$S$118)*GA!$G$501*GA!$G$494*(AF12=GA!$G$495)</f>
        <v>0</v>
      </c>
      <c r="AG128" s="310">
        <f>-SUM($R$118:$S$118)*GA!$G$501*GA!$G$494*(AG12=GA!$G$495)</f>
        <v>0</v>
      </c>
      <c r="AH128" s="310">
        <f>-SUM($R$118:$S$118)*GA!$G$501*GA!$G$494*(AH12=GA!$G$495)</f>
        <v>0</v>
      </c>
      <c r="AI128" s="310">
        <f>-SUM($R$118:$S$118)*GA!$G$501*GA!$G$494*(AI12=GA!$G$495)</f>
        <v>0</v>
      </c>
      <c r="AJ128" s="310">
        <f>-SUM($R$118:$S$118)*GA!$G$501*GA!$G$494*(AJ12=GA!$G$495)</f>
        <v>0</v>
      </c>
      <c r="AK128" s="310">
        <f>-SUM($R$118:$S$118)*GA!$G$501*GA!$G$494*(AK12=GA!$G$495)</f>
        <v>0</v>
      </c>
      <c r="AL128" s="310">
        <f>-SUM($R$118:$S$118)*GA!$G$501*GA!$G$494*(AL12=GA!$G$495)</f>
        <v>0</v>
      </c>
      <c r="AM128" s="310">
        <f>-SUM($R$118:$S$118)*GA!$G$501*GA!$G$494*(AM12=GA!$G$495)</f>
        <v>0</v>
      </c>
      <c r="AN128" s="310">
        <f>-SUM($R$118:$S$118)*GA!$G$501*GA!$G$494*(AN12=GA!$G$495)</f>
        <v>0</v>
      </c>
      <c r="AO128" s="310">
        <f>-SUM($R$118:$S$118)*GA!$G$501*GA!$G$494*(AO12=GA!$G$495)</f>
        <v>0</v>
      </c>
      <c r="AP128" s="310">
        <f>-SUM($R$118:$S$118)*GA!$G$501*GA!$G$494*(AP12=GA!$G$495)</f>
        <v>0</v>
      </c>
      <c r="AQ128" s="310">
        <f>-SUM($R$118:$S$118)*GA!$G$501*GA!$G$494*(AQ12=GA!$G$495)</f>
        <v>0</v>
      </c>
      <c r="AR128" s="310">
        <f>-SUM($R$118:$S$118)*GA!$G$501*GA!$G$494*(AR12=GA!$G$495)</f>
        <v>0</v>
      </c>
      <c r="AS128" s="310">
        <f>-SUM($R$118:$S$118)*GA!$G$501*GA!$G$494*(AS12=GA!$G$495)</f>
        <v>0</v>
      </c>
      <c r="AT128" s="310">
        <f>-SUM($R$118:$S$118)*GA!$G$501*GA!$G$494*(AT12=GA!$G$495)</f>
        <v>0</v>
      </c>
      <c r="AU128" s="310">
        <f>-SUM($R$118:$S$118)*GA!$G$501*GA!$G$494*(AU12=GA!$G$495)</f>
        <v>0</v>
      </c>
      <c r="AV128" s="310">
        <f>-SUM($R$118:$S$118)*GA!$G$501*GA!$G$494*(AV12=GA!$G$495)</f>
        <v>0</v>
      </c>
      <c r="AW128" s="310">
        <f>-SUM($R$118:$S$118)*GA!$G$501*GA!$G$494*(AW12=GA!$G$495)</f>
        <v>0</v>
      </c>
      <c r="AX128" s="310">
        <f>-SUM($R$118:$S$118)*GA!$G$501*GA!$G$494*(AX12=GA!$G$495)</f>
        <v>0</v>
      </c>
      <c r="AY128" s="310">
        <f>-SUM($R$118:$S$118)*GA!$G$501*GA!$G$494*(AY12=GA!$G$495)</f>
        <v>0</v>
      </c>
      <c r="AZ128" s="310">
        <f>-SUM($R$118:$S$118)*GA!$G$501*GA!$G$494*(AZ12=GA!$G$495)</f>
        <v>0</v>
      </c>
      <c r="BA128" s="310">
        <f>-SUM($R$118:$S$118)*GA!$G$501*GA!$G$494*(BA12=GA!$G$495)</f>
        <v>0</v>
      </c>
      <c r="BB128" s="310">
        <f>-SUM($R$118:$S$118)*GA!$G$501*GA!$G$494*(BB12=GA!$G$495)</f>
        <v>0</v>
      </c>
      <c r="BC128" s="310">
        <f>-SUM($R$118:$S$118)*GA!$G$501*GA!$G$494*(BC12=GA!$G$495)</f>
        <v>0</v>
      </c>
      <c r="BD128" s="310">
        <f>-SUM($R$118:$S$118)*GA!$G$501*GA!$G$494*(BD12=GA!$G$495)</f>
        <v>0</v>
      </c>
      <c r="BE128" s="310">
        <f>-SUM($R$118:$S$118)*GA!$G$501*GA!$G$494*(BE12=GA!$G$495)</f>
        <v>0</v>
      </c>
      <c r="BF128" s="310">
        <f>-SUM($R$118:$S$118)*GA!$G$501*GA!$G$494*(BF12=GA!$G$495)</f>
        <v>0</v>
      </c>
      <c r="BG128" s="310">
        <f>-SUM($R$118:$S$118)*GA!$G$501*GA!$G$494*(BG12=GA!$G$495)</f>
        <v>0</v>
      </c>
    </row>
    <row r="129" spans="4:59" hidden="1" outlineLevel="1">
      <c r="D129" t="s">
        <v>703</v>
      </c>
      <c r="E129"/>
      <c r="F129"/>
      <c r="G129"/>
      <c r="H129"/>
      <c r="I129"/>
      <c r="J129"/>
      <c r="K129"/>
      <c r="L129"/>
      <c r="M129"/>
      <c r="N129"/>
      <c r="O129"/>
      <c r="P129"/>
      <c r="Q129"/>
      <c r="R129"/>
      <c r="S129" s="402"/>
      <c r="T129" s="231">
        <f>MAX(SUM($S$128:$BG$128)*-(INDEX(GA!$Q$526:$Q$565,MATCH($E$1,GA!$E$526:$E$565))/4),-T127)</f>
        <v>-9804.8746857709302</v>
      </c>
      <c r="U129" s="231">
        <f>MAX(SUM($S$128:$BG$128)*-(INDEX(GA!$Q$526:$Q$565,MATCH($E$1,GA!$E$526:$E$565))/4),-U127)</f>
        <v>-9804.8746857709302</v>
      </c>
      <c r="V129" s="231">
        <f>MAX(SUM($S$128:$BG$128)*-(INDEX(GA!$Q$526:$Q$565,MATCH($E$1,GA!$E$526:$E$565))/4),-V127)</f>
        <v>-9804.8746857709302</v>
      </c>
      <c r="W129" s="231">
        <f>MAX(SUM($S$128:$BG$128)*-(INDEX(GA!$Q$526:$Q$565,MATCH($E$1,GA!$E$526:$E$565))/4),-W127)</f>
        <v>-9804.8746857709302</v>
      </c>
      <c r="X129" s="231">
        <f>MAX(SUM($S$128:$BG$128)*-(INDEX(GA!$Q$526:$Q$565,MATCH($E$1,GA!$E$526:$E$565))/4),-X127)</f>
        <v>-9804.8746857709302</v>
      </c>
      <c r="Y129" s="231">
        <f>MAX(SUM($S$128:$BG$128)*-(INDEX(GA!$Q$526:$Q$565,MATCH($E$1,GA!$E$526:$E$565))/4),-Y127)</f>
        <v>-9804.8746857709302</v>
      </c>
      <c r="Z129" s="231">
        <f>MAX(SUM($S$128:$BG$128)*-(INDEX(GA!$Q$526:$Q$565,MATCH($E$1,GA!$E$526:$E$565))/4),-Z127)</f>
        <v>-9804.8746857709302</v>
      </c>
      <c r="AA129" s="231">
        <f>MAX(SUM($S$128:$BG$128)*-(INDEX(GA!$Q$526:$Q$565,MATCH($E$1,GA!$E$526:$E$565))/4),-AA127)</f>
        <v>-9804.8746857709302</v>
      </c>
      <c r="AB129" s="231">
        <f>MAX(SUM($S$128:$BG$128)*-(INDEX(GA!$Q$526:$Q$565,MATCH($E$1,GA!$E$526:$E$565))/4),-AB127)</f>
        <v>-9804.8746857709302</v>
      </c>
      <c r="AC129" s="231">
        <f>MAX(SUM($S$128:$BG$128)*-(INDEX(GA!$Q$526:$Q$565,MATCH($E$1,GA!$E$526:$E$565))/4),-AC127)</f>
        <v>-9804.8746857709302</v>
      </c>
      <c r="AD129" s="231">
        <f>MAX(SUM($S$128:$BG$128)*-(INDEX(GA!$Q$526:$Q$565,MATCH($E$1,GA!$E$526:$E$565))/4),-AD127)</f>
        <v>-9804.8746857709302</v>
      </c>
      <c r="AE129" s="231">
        <f>MAX(SUM($S$128:$BG$128)*-(INDEX(GA!$Q$526:$Q$565,MATCH($E$1,GA!$E$526:$E$565))/4),-AE127)</f>
        <v>-9804.8746857709302</v>
      </c>
      <c r="AF129" s="231">
        <f>MAX(SUM($S$128:$BG$128)*-(INDEX(GA!$Q$526:$Q$565,MATCH($E$1,GA!$E$526:$E$565))/4),-AF127)</f>
        <v>-9804.8746857709302</v>
      </c>
      <c r="AG129" s="231">
        <f>MAX(SUM($S$128:$BG$128)*-(INDEX(GA!$Q$526:$Q$565,MATCH($E$1,GA!$E$526:$E$565))/4),-AG127)</f>
        <v>-9804.8746857709302</v>
      </c>
      <c r="AH129" s="231">
        <f>MAX(SUM($S$128:$BG$128)*-(INDEX(GA!$Q$526:$Q$565,MATCH($E$1,GA!$E$526:$E$565))/4),-AH127)</f>
        <v>-9804.8746857709302</v>
      </c>
      <c r="AI129" s="231">
        <f>MAX(SUM($S$128:$BG$128)*-(INDEX(GA!$Q$526:$Q$565,MATCH($E$1,GA!$E$526:$E$565))/4),-AI127)</f>
        <v>-9804.8746857709302</v>
      </c>
      <c r="AJ129" s="231">
        <f>MAX(SUM($S$128:$BG$128)*-(INDEX(GA!$Q$526:$Q$565,MATCH($E$1,GA!$E$526:$E$565))/4),-AJ127)</f>
        <v>-9804.8746857709302</v>
      </c>
      <c r="AK129" s="231">
        <f>MAX(SUM($S$128:$BG$128)*-(INDEX(GA!$Q$526:$Q$565,MATCH($E$1,GA!$E$526:$E$565))/4),-AK127)</f>
        <v>-9804.8746857709302</v>
      </c>
      <c r="AL129" s="231">
        <f>MAX(SUM($S$128:$BG$128)*-(INDEX(GA!$Q$526:$Q$565,MATCH($E$1,GA!$E$526:$E$565))/4),-AL127)</f>
        <v>-9804.8746857709302</v>
      </c>
      <c r="AM129" s="231">
        <f>MAX(SUM($S$128:$BG$128)*-(INDEX(GA!$Q$526:$Q$565,MATCH($E$1,GA!$E$526:$E$565))/4),-AM127)</f>
        <v>-9804.8746857709302</v>
      </c>
      <c r="AN129" s="231">
        <f>MAX(SUM($S$128:$BG$128)*-(INDEX(GA!$Q$526:$Q$565,MATCH($E$1,GA!$E$526:$E$565))/4),-AN127)</f>
        <v>0</v>
      </c>
      <c r="AO129" s="231">
        <f>MAX(SUM($S$128:$BG$128)*-(INDEX(GA!$Q$526:$Q$565,MATCH($E$1,GA!$E$526:$E$565))/4),-AO127)</f>
        <v>0</v>
      </c>
      <c r="AP129" s="231">
        <f>MAX(SUM($S$128:$BG$128)*-(INDEX(GA!$Q$526:$Q$565,MATCH($E$1,GA!$E$526:$E$565))/4),-AP127)</f>
        <v>0</v>
      </c>
      <c r="AQ129" s="231">
        <f>MAX(SUM($S$128:$BG$128)*-(INDEX(GA!$Q$526:$Q$565,MATCH($E$1,GA!$E$526:$E$565))/4),-AQ127)</f>
        <v>0</v>
      </c>
      <c r="AR129" s="231">
        <f>MAX(SUM($S$128:$BG$128)*-(INDEX(GA!$Q$526:$Q$565,MATCH($E$1,GA!$E$526:$E$565))/4),-AR127)</f>
        <v>0</v>
      </c>
      <c r="AS129" s="231">
        <f>MAX(SUM($S$128:$BG$128)*-(INDEX(GA!$Q$526:$Q$565,MATCH($E$1,GA!$E$526:$E$565))/4),-AS127)</f>
        <v>0</v>
      </c>
      <c r="AT129" s="231">
        <f>MAX(SUM($S$128:$BG$128)*-(INDEX(GA!$Q$526:$Q$565,MATCH($E$1,GA!$E$526:$E$565))/4),-AT127)</f>
        <v>0</v>
      </c>
      <c r="AU129" s="231">
        <f>MAX(SUM($S$128:$BG$128)*-(INDEX(GA!$Q$526:$Q$565,MATCH($E$1,GA!$E$526:$E$565))/4),-AU127)</f>
        <v>0</v>
      </c>
      <c r="AV129" s="231">
        <f>MAX(SUM($S$128:$BG$128)*-(INDEX(GA!$Q$526:$Q$565,MATCH($E$1,GA!$E$526:$E$565))/4),-AV127)</f>
        <v>0</v>
      </c>
      <c r="AW129" s="231">
        <f>MAX(SUM($S$128:$BG$128)*-(INDEX(GA!$Q$526:$Q$565,MATCH($E$1,GA!$E$526:$E$565))/4),-AW127)</f>
        <v>0</v>
      </c>
      <c r="AX129" s="231">
        <f>MAX(SUM($S$128:$BG$128)*-(INDEX(GA!$Q$526:$Q$565,MATCH($E$1,GA!$E$526:$E$565))/4),-AX127)</f>
        <v>0</v>
      </c>
      <c r="AY129" s="231">
        <f>MAX(SUM($S$128:$BG$128)*-(INDEX(GA!$Q$526:$Q$565,MATCH($E$1,GA!$E$526:$E$565))/4),-AY127)</f>
        <v>0</v>
      </c>
      <c r="AZ129" s="231">
        <f>MAX(SUM($S$128:$BG$128)*-(INDEX(GA!$Q$526:$Q$565,MATCH($E$1,GA!$E$526:$E$565))/4),-AZ127)</f>
        <v>0</v>
      </c>
      <c r="BA129" s="231">
        <f>MAX(SUM($S$128:$BG$128)*-(INDEX(GA!$Q$526:$Q$565,MATCH($E$1,GA!$E$526:$E$565))/4),-BA127)</f>
        <v>0</v>
      </c>
      <c r="BB129" s="231">
        <f>MAX(SUM($S$128:$BG$128)*-(INDEX(GA!$Q$526:$Q$565,MATCH($E$1,GA!$E$526:$E$565))/4),-BB127)</f>
        <v>0</v>
      </c>
      <c r="BC129" s="231">
        <f>MAX(SUM($S$128:$BG$128)*-(INDEX(GA!$Q$526:$Q$565,MATCH($E$1,GA!$E$526:$E$565))/4),-BC127)</f>
        <v>0</v>
      </c>
      <c r="BD129" s="231">
        <f>MAX(SUM($S$128:$BG$128)*-(INDEX(GA!$Q$526:$Q$565,MATCH($E$1,GA!$E$526:$E$565))/4),-BD127)</f>
        <v>0</v>
      </c>
      <c r="BE129" s="231">
        <f>MAX(SUM($S$128:$BG$128)*-(INDEX(GA!$Q$526:$Q$565,MATCH($E$1,GA!$E$526:$E$565))/4),-BE127)</f>
        <v>0</v>
      </c>
      <c r="BF129" s="231">
        <f>MAX(SUM($S$128:$BG$128)*-(INDEX(GA!$Q$526:$Q$565,MATCH($E$1,GA!$E$526:$E$565))/4),-BF127)</f>
        <v>0</v>
      </c>
      <c r="BG129" s="231">
        <f>MAX(SUM($S$128:$BG$128)*-(INDEX(GA!$Q$526:$Q$565,MATCH($E$1,GA!$E$526:$E$565))/4),-BG127)</f>
        <v>0</v>
      </c>
    </row>
    <row r="130" spans="4:59" hidden="1" outlineLevel="1">
      <c r="D130" t="s">
        <v>704</v>
      </c>
      <c r="E130"/>
      <c r="F130"/>
      <c r="G130"/>
      <c r="H130"/>
      <c r="I130"/>
      <c r="J130"/>
      <c r="K130"/>
      <c r="L130"/>
      <c r="M130"/>
      <c r="N130"/>
      <c r="O130"/>
      <c r="P130"/>
      <c r="Q130"/>
      <c r="R130"/>
      <c r="S130" s="402"/>
      <c r="T130" s="231">
        <f>-MIN(SUM(T127:T129),T116,INDEX(TDCF!T$132:T$134,MATCH($E$1,TDCF!$C$132:$C$134,0)))</f>
        <v>0</v>
      </c>
      <c r="U130" s="231">
        <f>-MIN(SUM(U127:U129),U116,INDEX(TDCF!U$132:U$134,MATCH($E$1,TDCF!$C$132:$C$134,0)))</f>
        <v>0</v>
      </c>
      <c r="V130" s="231">
        <f>-MIN(SUM(V127:V129),V116,INDEX(TDCF!V$132:V$134,MATCH($E$1,TDCF!$C$132:$C$134,0)))</f>
        <v>0</v>
      </c>
      <c r="W130" s="231">
        <f>-MIN(SUM(W127:W129),W116,INDEX(TDCF!W$132:W$134,MATCH($E$1,TDCF!$C$132:$C$134,0)))</f>
        <v>0</v>
      </c>
      <c r="X130" s="231">
        <f>-MIN(SUM(X127:X129),X116,INDEX(TDCF!X$132:X$134,MATCH($E$1,TDCF!$C$132:$C$134,0)))</f>
        <v>0</v>
      </c>
      <c r="Y130" s="231">
        <f>-MIN(SUM(Y127:Y129),Y116,INDEX(TDCF!Y$132:Y$134,MATCH($E$1,TDCF!$C$132:$C$134,0)))</f>
        <v>0</v>
      </c>
      <c r="Z130" s="231">
        <f>-MIN(SUM(Z127:Z129),Z116,INDEX(TDCF!Z$132:Z$134,MATCH($E$1,TDCF!$C$132:$C$134,0)))</f>
        <v>0</v>
      </c>
      <c r="AA130" s="231">
        <f>-MIN(SUM(AA127:AA129),AA116,INDEX(TDCF!AA$132:AA$134,MATCH($E$1,TDCF!$C$132:$C$134,0)))</f>
        <v>0</v>
      </c>
      <c r="AB130" s="231">
        <f>-MIN(SUM(AB127:AB129),AB116,INDEX(TDCF!AB$132:AB$134,MATCH($E$1,TDCF!$C$132:$C$134,0)))</f>
        <v>0</v>
      </c>
      <c r="AC130" s="231">
        <f>-MIN(SUM(AC127:AC129),AC116,INDEX(TDCF!AC$132:AC$134,MATCH($E$1,TDCF!$C$132:$C$134,0)))</f>
        <v>0</v>
      </c>
      <c r="AD130" s="231">
        <f>-MIN(SUM(AD127:AD129),AD116,INDEX(TDCF!AD$132:AD$134,MATCH($E$1,TDCF!$C$132:$C$134,0)))</f>
        <v>0</v>
      </c>
      <c r="AE130" s="231">
        <f>-MIN(SUM(AE127:AE129),AE116,INDEX(TDCF!AE$132:AE$134,MATCH($E$1,TDCF!$C$132:$C$134,0)))</f>
        <v>-999999.99999999988</v>
      </c>
      <c r="AF130" s="231">
        <f>-MIN(SUM(AF127:AF129),AF116,INDEX(TDCF!AF$132:AF$134,MATCH($E$1,TDCF!$C$132:$C$134,0)))</f>
        <v>0</v>
      </c>
      <c r="AG130" s="231">
        <f>-MIN(SUM(AG127:AG129),AG116,INDEX(TDCF!AG$132:AG$134,MATCH($E$1,TDCF!$C$132:$C$134,0)))</f>
        <v>0</v>
      </c>
      <c r="AH130" s="231">
        <f>-MIN(SUM(AH127:AH129),AH116,INDEX(TDCF!AH$132:AH$134,MATCH($E$1,TDCF!$C$132:$C$134,0)))</f>
        <v>0</v>
      </c>
      <c r="AI130" s="231">
        <f>-MIN(SUM(AI127:AI129),AI116,INDEX(TDCF!AI$132:AI$134,MATCH($E$1,TDCF!$C$132:$C$134,0)))</f>
        <v>0</v>
      </c>
      <c r="AJ130" s="231">
        <f>-MIN(SUM(AJ127:AJ129),AJ116,INDEX(TDCF!AJ$132:AJ$134,MATCH($E$1,TDCF!$C$132:$C$134,0)))</f>
        <v>0</v>
      </c>
      <c r="AK130" s="231">
        <f>-MIN(SUM(AK127:AK129),AK116,INDEX(TDCF!AK$132:AK$134,MATCH($E$1,TDCF!$C$132:$C$134,0)))</f>
        <v>0</v>
      </c>
      <c r="AL130" s="231">
        <f>-MIN(SUM(AL127:AL129),AL116,INDEX(TDCF!AL$132:AL$134,MATCH($E$1,TDCF!$C$132:$C$134,0)))</f>
        <v>0</v>
      </c>
      <c r="AM130" s="231">
        <f>-MIN(SUM(AM127:AM129),AM116,INDEX(TDCF!AM$132:AM$134,MATCH($E$1,TDCF!$C$132:$C$134,0)))</f>
        <v>0</v>
      </c>
      <c r="AN130" s="231">
        <f>-MIN(SUM(AN127:AN129),AN116,INDEX(TDCF!AN$132:AN$134,MATCH($E$1,TDCF!$C$132:$C$134,0)))</f>
        <v>0</v>
      </c>
      <c r="AO130" s="231">
        <f>-MIN(SUM(AO127:AO129),AO116,INDEX(TDCF!AO$132:AO$134,MATCH($E$1,TDCF!$C$132:$C$134,0)))</f>
        <v>0</v>
      </c>
      <c r="AP130" s="231">
        <f>-MIN(SUM(AP127:AP129),AP116,INDEX(TDCF!AP$132:AP$134,MATCH($E$1,TDCF!$C$132:$C$134,0)))</f>
        <v>0</v>
      </c>
      <c r="AQ130" s="231">
        <f>-MIN(SUM(AQ127:AQ129),AQ116,INDEX(TDCF!AQ$132:AQ$134,MATCH($E$1,TDCF!$C$132:$C$134,0)))</f>
        <v>0</v>
      </c>
      <c r="AR130" s="231">
        <f>-MIN(SUM(AR127:AR129),AR116,INDEX(TDCF!AR$132:AR$134,MATCH($E$1,TDCF!$C$132:$C$134,0)))</f>
        <v>0</v>
      </c>
      <c r="AS130" s="231">
        <f>-MIN(SUM(AS127:AS129),AS116,INDEX(TDCF!AS$132:AS$134,MATCH($E$1,TDCF!$C$132:$C$134,0)))</f>
        <v>0</v>
      </c>
      <c r="AT130" s="231">
        <f>-MIN(SUM(AT127:AT129),AT116,INDEX(TDCF!AT$132:AT$134,MATCH($E$1,TDCF!$C$132:$C$134,0)))</f>
        <v>0</v>
      </c>
      <c r="AU130" s="231">
        <f>-MIN(SUM(AU127:AU129),AU116,INDEX(TDCF!AU$132:AU$134,MATCH($E$1,TDCF!$C$132:$C$134,0)))</f>
        <v>0</v>
      </c>
      <c r="AV130" s="231">
        <f>-MIN(SUM(AV127:AV129),AV116,INDEX(TDCF!AV$132:AV$134,MATCH($E$1,TDCF!$C$132:$C$134,0)))</f>
        <v>0</v>
      </c>
      <c r="AW130" s="231">
        <f>-MIN(SUM(AW127:AW129),AW116,INDEX(TDCF!AW$132:AW$134,MATCH($E$1,TDCF!$C$132:$C$134,0)))</f>
        <v>0</v>
      </c>
      <c r="AX130" s="231">
        <f>-MIN(SUM(AX127:AX129),AX116,INDEX(TDCF!AX$132:AX$134,MATCH($E$1,TDCF!$C$132:$C$134,0)))</f>
        <v>0</v>
      </c>
      <c r="AY130" s="231">
        <f>-MIN(SUM(AY127:AY129),AY116,INDEX(TDCF!AY$132:AY$134,MATCH($E$1,TDCF!$C$132:$C$134,0)))</f>
        <v>0</v>
      </c>
      <c r="AZ130" s="231">
        <f>-MIN(SUM(AZ127:AZ129),AZ116,INDEX(TDCF!AZ$132:AZ$134,MATCH($E$1,TDCF!$C$132:$C$134,0)))</f>
        <v>0</v>
      </c>
      <c r="BA130" s="231">
        <f>-MIN(SUM(BA127:BA129),BA116,INDEX(TDCF!BA$132:BA$134,MATCH($E$1,TDCF!$C$132:$C$134,0)))</f>
        <v>0</v>
      </c>
      <c r="BB130" s="231">
        <f>-MIN(SUM(BB127:BB129),BB116,INDEX(TDCF!BB$132:BB$134,MATCH($E$1,TDCF!$C$132:$C$134,0)))</f>
        <v>0</v>
      </c>
      <c r="BC130" s="231">
        <f>-MIN(SUM(BC127:BC129),BC116,INDEX(TDCF!BC$132:BC$134,MATCH($E$1,TDCF!$C$132:$C$134,0)))</f>
        <v>0</v>
      </c>
      <c r="BD130" s="231">
        <f>-MIN(SUM(BD127:BD129),BD116,INDEX(TDCF!BD$132:BD$134,MATCH($E$1,TDCF!$C$132:$C$134,0)))</f>
        <v>0</v>
      </c>
      <c r="BE130" s="231">
        <f>-MIN(SUM(BE127:BE129),BE116,INDEX(TDCF!BE$132:BE$134,MATCH($E$1,TDCF!$C$132:$C$134,0)))</f>
        <v>0</v>
      </c>
      <c r="BF130" s="231">
        <f>-MIN(SUM(BF127:BF129),BF116,INDEX(TDCF!BF$132:BF$134,MATCH($E$1,TDCF!$C$132:$C$134,0)))</f>
        <v>0</v>
      </c>
      <c r="BG130" s="231">
        <f>-MIN(SUM(BG127:BG129),BG116,INDEX(TDCF!BG$132:BG$134,MATCH($E$1,TDCF!$C$132:$C$134,0)))</f>
        <v>0</v>
      </c>
    </row>
    <row r="131" spans="4:59" hidden="1" outlineLevel="1">
      <c r="D131" t="s">
        <v>705</v>
      </c>
      <c r="E131"/>
      <c r="F131"/>
      <c r="G131"/>
      <c r="H131"/>
      <c r="I131"/>
      <c r="J131"/>
      <c r="K131"/>
      <c r="L131"/>
      <c r="M131"/>
      <c r="N131"/>
      <c r="O131"/>
      <c r="P131"/>
      <c r="Q131"/>
      <c r="R131"/>
      <c r="S131" s="402"/>
      <c r="T131" s="310">
        <f>-SUM(T$127:T$130)*(T$12=GA!$G$518)</f>
        <v>0</v>
      </c>
      <c r="U131" s="310">
        <f>-SUM(U$127:U$130)*(U$12=GA!$G$518)</f>
        <v>0</v>
      </c>
      <c r="V131" s="310">
        <f>-SUM(V$127:V$130)*(V$12=GA!$G$518)</f>
        <v>0</v>
      </c>
      <c r="W131" s="310">
        <f>-SUM(W$127:W$130)*(W$12=GA!$G$518)</f>
        <v>0</v>
      </c>
      <c r="X131" s="310">
        <f>-SUM(X$127:X$130)*(X$12=GA!$G$518)</f>
        <v>0</v>
      </c>
      <c r="Y131" s="310">
        <f>-SUM(Y$127:Y$130)*(Y$12=GA!$G$518)</f>
        <v>0</v>
      </c>
      <c r="Z131" s="310">
        <f>-SUM(Z$127:Z$130)*(Z$12=GA!$G$518)</f>
        <v>0</v>
      </c>
      <c r="AA131" s="310">
        <f>-SUM(AA$127:AA$130)*(AA$12=GA!$G$518)</f>
        <v>0</v>
      </c>
      <c r="AB131" s="310">
        <f>-SUM(AB$127:AB$130)*(AB$12=GA!$G$518)</f>
        <v>0</v>
      </c>
      <c r="AC131" s="310">
        <f>-SUM(AC$127:AC$130)*(AC$12=GA!$G$518)</f>
        <v>0</v>
      </c>
      <c r="AD131" s="310">
        <f>-SUM(AD$127:AD$130)*(AD$12=GA!$G$518)</f>
        <v>0</v>
      </c>
      <c r="AE131" s="310">
        <f>-SUM(AE$127:AE$130)*(AE$12=GA!$G$518)</f>
        <v>0</v>
      </c>
      <c r="AF131" s="310">
        <f>-SUM(AF$127:AF$130)*(AF$12=GA!$G$518)</f>
        <v>0</v>
      </c>
      <c r="AG131" s="310">
        <f>-SUM(AG$127:AG$130)*(AG$12=GA!$G$518)</f>
        <v>0</v>
      </c>
      <c r="AH131" s="310">
        <f>-SUM(AH$127:AH$130)*(AH$12=GA!$G$518)</f>
        <v>0</v>
      </c>
      <c r="AI131" s="310">
        <f>-SUM(AI$127:AI$130)*(AI$12=GA!$G$518)</f>
        <v>0</v>
      </c>
      <c r="AJ131" s="310">
        <f>-SUM(AJ$127:AJ$130)*(AJ$12=GA!$G$518)</f>
        <v>0</v>
      </c>
      <c r="AK131" s="310">
        <f>-SUM(AK$127:AK$130)*(AK$12=GA!$G$518)</f>
        <v>0</v>
      </c>
      <c r="AL131" s="310">
        <f>-SUM(AL$127:AL$130)*(AL$12=GA!$G$518)</f>
        <v>0</v>
      </c>
      <c r="AM131" s="310">
        <f>-SUM(AM$127:AM$130)*(AM$12=GA!$G$518)</f>
        <v>-764877.4434387685</v>
      </c>
      <c r="AN131" s="310">
        <f>-SUM(AN$127:AN$130)*(AN$12=GA!$G$518)</f>
        <v>0</v>
      </c>
      <c r="AO131" s="310">
        <f>-SUM(AO$127:AO$130)*(AO$12=GA!$G$518)</f>
        <v>0</v>
      </c>
      <c r="AP131" s="310">
        <f>-SUM(AP$127:AP$130)*(AP$12=GA!$G$518)</f>
        <v>0</v>
      </c>
      <c r="AQ131" s="310">
        <f>-SUM(AQ$127:AQ$130)*(AQ$12=GA!$G$518)</f>
        <v>0</v>
      </c>
      <c r="AR131" s="310">
        <f>-SUM(AR$127:AR$130)*(AR$12=GA!$G$518)</f>
        <v>0</v>
      </c>
      <c r="AS131" s="310">
        <f>-SUM(AS$127:AS$130)*(AS$12=GA!$G$518)</f>
        <v>0</v>
      </c>
      <c r="AT131" s="310">
        <f>-SUM(AT$127:AT$130)*(AT$12=GA!$G$518)</f>
        <v>0</v>
      </c>
      <c r="AU131" s="310">
        <f>-SUM(AU$127:AU$130)*(AU$12=GA!$G$518)</f>
        <v>0</v>
      </c>
      <c r="AV131" s="310">
        <f>-SUM(AV$127:AV$130)*(AV$12=GA!$G$518)</f>
        <v>0</v>
      </c>
      <c r="AW131" s="310">
        <f>-SUM(AW$127:AW$130)*(AW$12=GA!$G$518)</f>
        <v>0</v>
      </c>
      <c r="AX131" s="310">
        <f>-SUM(AX$127:AX$130)*(AX$12=GA!$G$518)</f>
        <v>0</v>
      </c>
      <c r="AY131" s="310">
        <f>-SUM(AY$127:AY$130)*(AY$12=GA!$G$518)</f>
        <v>0</v>
      </c>
      <c r="AZ131" s="310">
        <f>-SUM(AZ$127:AZ$130)*(AZ$12=GA!$G$518)</f>
        <v>0</v>
      </c>
      <c r="BA131" s="310">
        <f>-SUM(BA$127:BA$130)*(BA$12=GA!$G$518)</f>
        <v>0</v>
      </c>
      <c r="BB131" s="310">
        <f>-SUM(BB$127:BB$130)*(BB$12=GA!$G$518)</f>
        <v>0</v>
      </c>
      <c r="BC131" s="310">
        <f>-SUM(BC$127:BC$130)*(BC$12=GA!$G$518)</f>
        <v>0</v>
      </c>
      <c r="BD131" s="310">
        <f>-SUM(BD$127:BD$130)*(BD$12=GA!$G$518)</f>
        <v>0</v>
      </c>
      <c r="BE131" s="310">
        <f>-SUM(BE$127:BE$130)*(BE$12=GA!$G$518)</f>
        <v>0</v>
      </c>
      <c r="BF131" s="310">
        <f>-SUM(BF$127:BF$130)*(BF$12=GA!$G$518)</f>
        <v>0</v>
      </c>
      <c r="BG131" s="310">
        <f>-SUM(BG$127:BG$130)*(BG$12=GA!$G$518)</f>
        <v>0</v>
      </c>
    </row>
    <row r="132" spans="4:59" hidden="1" outlineLevel="1">
      <c r="D132" s="268" t="s">
        <v>706</v>
      </c>
      <c r="E132" s="268"/>
      <c r="F132" s="268"/>
      <c r="G132" s="268"/>
      <c r="H132" s="268"/>
      <c r="I132" s="268"/>
      <c r="J132" s="268"/>
      <c r="K132" s="268"/>
      <c r="L132" s="268"/>
      <c r="M132" s="268"/>
      <c r="N132" s="268"/>
      <c r="O132" s="268"/>
      <c r="P132" s="268"/>
      <c r="Q132" s="268"/>
      <c r="R132" s="268"/>
      <c r="S132" s="254">
        <f t="shared" ref="S132:BG132" si="106">SUM(S127:S131)</f>
        <v>1960974.937154186</v>
      </c>
      <c r="T132" s="254">
        <f t="shared" si="106"/>
        <v>1951170.0624684151</v>
      </c>
      <c r="U132" s="254">
        <f t="shared" si="106"/>
        <v>1941365.1877826443</v>
      </c>
      <c r="V132" s="254">
        <f t="shared" si="106"/>
        <v>1931560.3130968735</v>
      </c>
      <c r="W132" s="254">
        <f t="shared" si="106"/>
        <v>1921755.4384111026</v>
      </c>
      <c r="X132" s="254">
        <f t="shared" si="106"/>
        <v>1911950.5637253318</v>
      </c>
      <c r="Y132" s="254">
        <f t="shared" si="106"/>
        <v>1902145.689039561</v>
      </c>
      <c r="Z132" s="254">
        <f t="shared" si="106"/>
        <v>1892340.8143537901</v>
      </c>
      <c r="AA132" s="254">
        <f t="shared" si="106"/>
        <v>1882535.9396680193</v>
      </c>
      <c r="AB132" s="254">
        <f t="shared" si="106"/>
        <v>1872731.0649822485</v>
      </c>
      <c r="AC132" s="254">
        <f t="shared" si="106"/>
        <v>1862926.1902964776</v>
      </c>
      <c r="AD132" s="254">
        <f t="shared" si="106"/>
        <v>1853121.3156107068</v>
      </c>
      <c r="AE132" s="254">
        <f t="shared" si="106"/>
        <v>843316.44092493609</v>
      </c>
      <c r="AF132" s="254">
        <f t="shared" si="106"/>
        <v>833511.56623916514</v>
      </c>
      <c r="AG132" s="254">
        <f t="shared" si="106"/>
        <v>823706.69155339419</v>
      </c>
      <c r="AH132" s="254">
        <f t="shared" si="106"/>
        <v>813901.81686762325</v>
      </c>
      <c r="AI132" s="254">
        <f t="shared" si="106"/>
        <v>804096.9421818523</v>
      </c>
      <c r="AJ132" s="254">
        <f t="shared" si="106"/>
        <v>794292.06749608135</v>
      </c>
      <c r="AK132" s="254">
        <f t="shared" si="106"/>
        <v>784487.1928103104</v>
      </c>
      <c r="AL132" s="254">
        <f t="shared" si="106"/>
        <v>774682.31812453945</v>
      </c>
      <c r="AM132" s="254">
        <f t="shared" si="106"/>
        <v>0</v>
      </c>
      <c r="AN132" s="254">
        <f t="shared" si="106"/>
        <v>0</v>
      </c>
      <c r="AO132" s="254">
        <f t="shared" si="106"/>
        <v>0</v>
      </c>
      <c r="AP132" s="254">
        <f t="shared" si="106"/>
        <v>0</v>
      </c>
      <c r="AQ132" s="254">
        <f t="shared" si="106"/>
        <v>0</v>
      </c>
      <c r="AR132" s="254">
        <f t="shared" si="106"/>
        <v>0</v>
      </c>
      <c r="AS132" s="254">
        <f t="shared" si="106"/>
        <v>0</v>
      </c>
      <c r="AT132" s="254">
        <f t="shared" si="106"/>
        <v>0</v>
      </c>
      <c r="AU132" s="254">
        <f t="shared" si="106"/>
        <v>0</v>
      </c>
      <c r="AV132" s="254">
        <f t="shared" si="106"/>
        <v>0</v>
      </c>
      <c r="AW132" s="254">
        <f t="shared" si="106"/>
        <v>0</v>
      </c>
      <c r="AX132" s="254">
        <f t="shared" si="106"/>
        <v>0</v>
      </c>
      <c r="AY132" s="254">
        <f t="shared" si="106"/>
        <v>0</v>
      </c>
      <c r="AZ132" s="254">
        <f t="shared" si="106"/>
        <v>0</v>
      </c>
      <c r="BA132" s="254">
        <f t="shared" si="106"/>
        <v>0</v>
      </c>
      <c r="BB132" s="254">
        <f t="shared" si="106"/>
        <v>0</v>
      </c>
      <c r="BC132" s="254">
        <f t="shared" si="106"/>
        <v>0</v>
      </c>
      <c r="BD132" s="254">
        <f t="shared" si="106"/>
        <v>0</v>
      </c>
      <c r="BE132" s="254">
        <f t="shared" si="106"/>
        <v>0</v>
      </c>
      <c r="BF132" s="254">
        <f t="shared" si="106"/>
        <v>0</v>
      </c>
      <c r="BG132" s="254">
        <f t="shared" si="106"/>
        <v>0</v>
      </c>
    </row>
    <row r="133" spans="4:59" hidden="1" outlineLevel="1">
      <c r="D133"/>
      <c r="E133"/>
      <c r="F133"/>
      <c r="G133"/>
      <c r="H133"/>
      <c r="I133"/>
      <c r="J133"/>
      <c r="K133"/>
      <c r="L133"/>
      <c r="M133"/>
      <c r="N133"/>
      <c r="O133"/>
      <c r="P133"/>
      <c r="Q133"/>
      <c r="R133"/>
      <c r="S133" s="310"/>
      <c r="T133" s="310"/>
      <c r="U133" s="310"/>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row>
    <row r="134" spans="4:59" hidden="1" outlineLevel="1">
      <c r="D134" s="364" t="s">
        <v>721</v>
      </c>
      <c r="E134" s="17"/>
      <c r="F134" s="17"/>
      <c r="G134" s="17"/>
      <c r="H134" s="17"/>
      <c r="I134" s="17"/>
      <c r="J134" s="17"/>
      <c r="K134" s="17"/>
      <c r="L134" s="17"/>
      <c r="M134" s="17"/>
      <c r="N134" s="17"/>
      <c r="O134" s="17"/>
      <c r="P134" s="17"/>
      <c r="Q134" s="17"/>
      <c r="R134" s="17"/>
      <c r="S134" s="369"/>
      <c r="T134" s="369"/>
      <c r="U134" s="369"/>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row>
    <row r="135" spans="4:59" hidden="1" outlineLevel="1">
      <c r="D135" t="s">
        <v>719</v>
      </c>
      <c r="E135"/>
      <c r="F135"/>
      <c r="G135"/>
      <c r="H135"/>
      <c r="I135"/>
      <c r="J135"/>
      <c r="K135"/>
      <c r="L135"/>
      <c r="M135"/>
      <c r="N135"/>
      <c r="O135"/>
      <c r="P135"/>
      <c r="Q135"/>
      <c r="R135"/>
      <c r="S135" s="392"/>
      <c r="T135" s="117">
        <f>INDEX(GA!$G$526:$G$565,MATCH(T$12,GA!$E$526:$E$565,0))+INDEX(GA!$L$526:$L$565,MATCH($T12,GA!$E$526:$E$565,0))</f>
        <v>1.7500000000000002E-2</v>
      </c>
      <c r="U135" s="117">
        <f>INDEX(GA!$G$526:$G$565,MATCH(U$12,GA!$E$526:$E$565,0))+INDEX(GA!$L$526:$L$565,MATCH($T12,GA!$E$526:$E$565,0))</f>
        <v>1.7500000000000002E-2</v>
      </c>
      <c r="V135" s="117">
        <f>INDEX(GA!$G$526:$G$565,MATCH(V$12,GA!$E$526:$E$565,0))+INDEX(GA!$L$526:$L$565,MATCH($T12,GA!$E$526:$E$565,0))</f>
        <v>1.7500000000000002E-2</v>
      </c>
      <c r="W135" s="117">
        <f>INDEX(GA!$G$526:$G$565,MATCH(W$12,GA!$E$526:$E$565,0))+INDEX(GA!$L$526:$L$565,MATCH($T12,GA!$E$526:$E$565,0))</f>
        <v>1.7500000000000002E-2</v>
      </c>
      <c r="X135" s="117">
        <f>INDEX(GA!$G$526:$G$565,MATCH(X$12,GA!$E$526:$E$565,0))+INDEX(GA!$L$526:$L$565,MATCH($T12,GA!$E$526:$E$565,0))</f>
        <v>1.7500000000000002E-2</v>
      </c>
      <c r="Y135" s="117">
        <f>INDEX(GA!$G$526:$G$565,MATCH(Y$12,GA!$E$526:$E$565,0))+INDEX(GA!$L$526:$L$565,MATCH($T12,GA!$E$526:$E$565,0))</f>
        <v>1.7500000000000002E-2</v>
      </c>
      <c r="Z135" s="117">
        <f>INDEX(GA!$G$526:$G$565,MATCH(Z$12,GA!$E$526:$E$565,0))+INDEX(GA!$L$526:$L$565,MATCH($T12,GA!$E$526:$E$565,0))</f>
        <v>1.7500000000000002E-2</v>
      </c>
      <c r="AA135" s="117">
        <f>INDEX(GA!$G$526:$G$565,MATCH(AA$12,GA!$E$526:$E$565,0))+INDEX(GA!$L$526:$L$565,MATCH($T12,GA!$E$526:$E$565,0))</f>
        <v>1.7500000000000002E-2</v>
      </c>
      <c r="AB135" s="117">
        <f>INDEX(GA!$G$526:$G$565,MATCH(AB$12,GA!$E$526:$E$565,0))+INDEX(GA!$L$526:$L$565,MATCH($T12,GA!$E$526:$E$565,0))</f>
        <v>1.7500000000000002E-2</v>
      </c>
      <c r="AC135" s="117">
        <f>INDEX(GA!$G$526:$G$565,MATCH(AC$12,GA!$E$526:$E$565,0))+INDEX(GA!$L$526:$L$565,MATCH($T12,GA!$E$526:$E$565,0))</f>
        <v>1.7500000000000002E-2</v>
      </c>
      <c r="AD135" s="117">
        <f>INDEX(GA!$G$526:$G$565,MATCH(AD$12,GA!$E$526:$E$565,0))+INDEX(GA!$L$526:$L$565,MATCH($T12,GA!$E$526:$E$565,0))</f>
        <v>1.7500000000000002E-2</v>
      </c>
      <c r="AE135" s="117">
        <f>INDEX(GA!$G$526:$G$565,MATCH(AE$12,GA!$E$526:$E$565,0))+INDEX(GA!$L$526:$L$565,MATCH($T12,GA!$E$526:$E$565,0))</f>
        <v>1.7500000000000002E-2</v>
      </c>
      <c r="AF135" s="117">
        <f>INDEX(GA!$G$526:$G$565,MATCH(AF$12,GA!$E$526:$E$565,0))+INDEX(GA!$L$526:$L$565,MATCH($T12,GA!$E$526:$E$565,0))</f>
        <v>1.7500000000000002E-2</v>
      </c>
      <c r="AG135" s="117">
        <f>INDEX(GA!$G$526:$G$565,MATCH(AG$12,GA!$E$526:$E$565,0))+INDEX(GA!$L$526:$L$565,MATCH($T12,GA!$E$526:$E$565,0))</f>
        <v>1.7500000000000002E-2</v>
      </c>
      <c r="AH135" s="117">
        <f>INDEX(GA!$G$526:$G$565,MATCH(AH$12,GA!$E$526:$E$565,0))+INDEX(GA!$L$526:$L$565,MATCH($T12,GA!$E$526:$E$565,0))</f>
        <v>1.7500000000000002E-2</v>
      </c>
      <c r="AI135" s="117">
        <f>INDEX(GA!$G$526:$G$565,MATCH(AI$12,GA!$E$526:$E$565,0))+INDEX(GA!$L$526:$L$565,MATCH($T12,GA!$E$526:$E$565,0))</f>
        <v>1.7500000000000002E-2</v>
      </c>
      <c r="AJ135" s="117">
        <f>INDEX(GA!$G$526:$G$565,MATCH(AJ$12,GA!$E$526:$E$565,0))+INDEX(GA!$L$526:$L$565,MATCH($T12,GA!$E$526:$E$565,0))</f>
        <v>1.7500000000000002E-2</v>
      </c>
      <c r="AK135" s="117">
        <f>INDEX(GA!$G$526:$G$565,MATCH(AK$12,GA!$E$526:$E$565,0))+INDEX(GA!$L$526:$L$565,MATCH($T12,GA!$E$526:$E$565,0))</f>
        <v>1.7500000000000002E-2</v>
      </c>
      <c r="AL135" s="117">
        <f>INDEX(GA!$G$526:$G$565,MATCH(AL$12,GA!$E$526:$E$565,0))+INDEX(GA!$L$526:$L$565,MATCH($T12,GA!$E$526:$E$565,0))</f>
        <v>1.7500000000000002E-2</v>
      </c>
      <c r="AM135" s="117">
        <f>INDEX(GA!$G$526:$G$565,MATCH(AM$12,GA!$E$526:$E$565,0))+INDEX(GA!$L$526:$L$565,MATCH($T12,GA!$E$526:$E$565,0))</f>
        <v>1.7500000000000002E-2</v>
      </c>
      <c r="AN135" s="117">
        <f>INDEX(GA!$G$526:$G$565,MATCH(AN$12,GA!$E$526:$E$565,0))+INDEX(GA!$L$526:$L$565,MATCH($T12,GA!$E$526:$E$565,0))</f>
        <v>1.7590100000000001E-2</v>
      </c>
      <c r="AO135" s="117">
        <f>INDEX(GA!$G$526:$G$565,MATCH(AO$12,GA!$E$526:$E$565,0))+INDEX(GA!$L$526:$L$565,MATCH($T12,GA!$E$526:$E$565,0))</f>
        <v>1.7758800000000002E-2</v>
      </c>
      <c r="AP135" s="117">
        <f>INDEX(GA!$G$526:$G$565,MATCH(AP$12,GA!$E$526:$E$565,0))+INDEX(GA!$L$526:$L$565,MATCH($T12,GA!$E$526:$E$565,0))</f>
        <v>1.8115700000000002E-2</v>
      </c>
      <c r="AQ135" s="117">
        <f>INDEX(GA!$G$526:$G$565,MATCH(AQ$12,GA!$E$526:$E$565,0))+INDEX(GA!$L$526:$L$565,MATCH($T12,GA!$E$526:$E$565,0))</f>
        <v>1.86564E-2</v>
      </c>
      <c r="AR135" s="117">
        <f>INDEX(GA!$G$526:$G$565,MATCH(AR$12,GA!$E$526:$E$565,0))+INDEX(GA!$L$526:$L$565,MATCH($T12,GA!$E$526:$E$565,0))</f>
        <v>1.9347200000000002E-2</v>
      </c>
      <c r="AS135" s="117">
        <f>INDEX(GA!$G$526:$G$565,MATCH(AS$12,GA!$E$526:$E$565,0))+INDEX(GA!$L$526:$L$565,MATCH($T12,GA!$E$526:$E$565,0))</f>
        <v>2.0004500000000001E-2</v>
      </c>
      <c r="AT135" s="117">
        <f>INDEX(GA!$G$526:$G$565,MATCH(AT$12,GA!$E$526:$E$565,0))+INDEX(GA!$L$526:$L$565,MATCH($T12,GA!$E$526:$E$565,0))</f>
        <v>2.0529100000000002E-2</v>
      </c>
      <c r="AU135" s="117">
        <f>INDEX(GA!$G$526:$G$565,MATCH(AU$12,GA!$E$526:$E$565,0))+INDEX(GA!$L$526:$L$565,MATCH($T12,GA!$E$526:$E$565,0))</f>
        <v>2.0886600000000002E-2</v>
      </c>
      <c r="AV135" s="117">
        <f>INDEX(GA!$G$526:$G$565,MATCH(AV$12,GA!$E$526:$E$565,0))+INDEX(GA!$L$526:$L$565,MATCH($T12,GA!$E$526:$E$565,0))</f>
        <v>2.1124400000000002E-2</v>
      </c>
      <c r="AW135" s="117">
        <f>INDEX(GA!$G$526:$G$565,MATCH(AW$12,GA!$E$526:$E$565,0))+INDEX(GA!$L$526:$L$565,MATCH($T12,GA!$E$526:$E$565,0))</f>
        <v>2.1332700000000003E-2</v>
      </c>
      <c r="AX135" s="117">
        <f>INDEX(GA!$G$526:$G$565,MATCH(AX$12,GA!$E$526:$E$565,0))+INDEX(GA!$L$526:$L$565,MATCH($T12,GA!$E$526:$E$565,0))</f>
        <v>2.1619600000000003E-2</v>
      </c>
      <c r="AY135" s="117">
        <f>INDEX(GA!$G$526:$G$565,MATCH(AY$12,GA!$E$526:$E$565,0))+INDEX(GA!$L$526:$L$565,MATCH($T12,GA!$E$526:$E$565,0))</f>
        <v>2.2002800000000003E-2</v>
      </c>
      <c r="AZ135" s="117">
        <f>INDEX(GA!$G$526:$G$565,MATCH(AZ$12,GA!$E$526:$E$565,0))+INDEX(GA!$L$526:$L$565,MATCH($T12,GA!$E$526:$E$565,0))</f>
        <v>2.2472400000000003E-2</v>
      </c>
      <c r="BA135" s="117">
        <f>INDEX(GA!$G$526:$G$565,MATCH(BA$12,GA!$E$526:$E$565,0))+INDEX(GA!$L$526:$L$565,MATCH($T12,GA!$E$526:$E$565,0))</f>
        <v>2.29141E-2</v>
      </c>
      <c r="BB135" s="117">
        <f>INDEX(GA!$G$526:$G$565,MATCH(BB$12,GA!$E$526:$E$565,0))+INDEX(GA!$L$526:$L$565,MATCH($T12,GA!$E$526:$E$565,0))</f>
        <v>2.3303400000000002E-2</v>
      </c>
      <c r="BC135" s="117">
        <f>INDEX(GA!$G$526:$G$565,MATCH(BC$12,GA!$E$526:$E$565,0))+INDEX(GA!$L$526:$L$565,MATCH($T12,GA!$E$526:$E$565,0))</f>
        <v>2.3611900000000002E-2</v>
      </c>
      <c r="BD135" s="117">
        <f>INDEX(GA!$G$526:$G$565,MATCH(BD$12,GA!$E$526:$E$565,0))+INDEX(GA!$L$526:$L$565,MATCH($T12,GA!$E$526:$E$565,0))</f>
        <v>2.3861400000000001E-2</v>
      </c>
      <c r="BE135" s="117">
        <f>INDEX(GA!$G$526:$G$565,MATCH(BE$12,GA!$E$526:$E$565,0))+INDEX(GA!$L$526:$L$565,MATCH($T12,GA!$E$526:$E$565,0))</f>
        <v>2.4068900000000001E-2</v>
      </c>
      <c r="BF135" s="117">
        <f>INDEX(GA!$G$526:$G$565,MATCH(BF$12,GA!$E$526:$E$565,0))+INDEX(GA!$L$526:$L$565,MATCH($T12,GA!$E$526:$E$565,0))</f>
        <v>2.4302700000000003E-2</v>
      </c>
      <c r="BG135" s="117">
        <f>INDEX(GA!$G$526:$G$565,MATCH(BG$12,GA!$E$526:$E$565,0))+INDEX(GA!$L$526:$L$565,MATCH($T12,GA!$E$526:$E$565,0))</f>
        <v>2.4565700000000003E-2</v>
      </c>
    </row>
    <row r="136" spans="4:59" hidden="1" outlineLevel="1">
      <c r="D136" s="253" t="s">
        <v>720</v>
      </c>
      <c r="E136" s="268"/>
      <c r="F136" s="268"/>
      <c r="G136" s="268"/>
      <c r="H136" s="268"/>
      <c r="I136" s="268"/>
      <c r="J136" s="268"/>
      <c r="K136" s="268"/>
      <c r="L136" s="268"/>
      <c r="M136" s="268"/>
      <c r="N136" s="268"/>
      <c r="O136" s="268"/>
      <c r="P136" s="268"/>
      <c r="Q136" s="268"/>
      <c r="R136" s="268"/>
      <c r="S136" s="153"/>
      <c r="T136" s="254">
        <f>IFERROR(-T135*T127*T$15/GA!$G$599,0)</f>
        <v>-8769.9156911617774</v>
      </c>
      <c r="U136" s="254">
        <f>IFERROR(-U135*U127*U$15/GA!$G$599,0)</f>
        <v>-8726.0661127059702</v>
      </c>
      <c r="V136" s="254">
        <f>IFERROR(-V135*V127*V$15/GA!$G$599,0)</f>
        <v>-8587.8446153996156</v>
      </c>
      <c r="W136" s="254">
        <f>IFERROR(-W135*W127*W$15/GA!$G$599,0)</f>
        <v>-8450.5763697988223</v>
      </c>
      <c r="X136" s="254">
        <f>IFERROR(-X135*X127*X$15/GA!$G$599,0)</f>
        <v>-8594.5173773385432</v>
      </c>
      <c r="Y136" s="254">
        <f>IFERROR(-Y135*Y127*Y$15/GA!$G$599,0)</f>
        <v>-8550.6677988827341</v>
      </c>
      <c r="Z136" s="254">
        <f>IFERROR(-Z135*Z127*Z$15/GA!$G$599,0)</f>
        <v>-8414.3528049875022</v>
      </c>
      <c r="AA136" s="254">
        <f>IFERROR(-AA135*AA127*AA$15/GA!$G$599,0)</f>
        <v>-8278.9910627978334</v>
      </c>
      <c r="AB136" s="254">
        <f>IFERROR(-AB135*AB127*AB$15/GA!$G$599,0)</f>
        <v>-8419.1190635153089</v>
      </c>
      <c r="AC136" s="254">
        <f>IFERROR(-AC135*AC127*AC$15/GA!$G$599,0)</f>
        <v>-8375.2694850595017</v>
      </c>
      <c r="AD136" s="254">
        <f>IFERROR(-AD135*AD127*AD$15/GA!$G$599,0)</f>
        <v>-8240.8609945753906</v>
      </c>
      <c r="AE136" s="254">
        <f>IFERROR(-AE135*AE127*AE$15/GA!$G$599,0)</f>
        <v>-8197.4880419723631</v>
      </c>
      <c r="AF136" s="254">
        <f>IFERROR(-AF135*AF127*AF$15/GA!$G$599,0)</f>
        <v>-3771.4985274698533</v>
      </c>
      <c r="AG136" s="254">
        <f>IFERROR(-AG135*AG127*AG$15/GA!$G$599,0)</f>
        <v>-3727.6489490140443</v>
      </c>
      <c r="AH136" s="254">
        <f>IFERROR(-AH135*AH127*AH$15/GA!$G$599,0)</f>
        <v>-3643.7580730521677</v>
      </c>
      <c r="AI136" s="254">
        <f>IFERROR(-AI135*AI127*AI$15/GA!$G$599,0)</f>
        <v>-3560.8204487958524</v>
      </c>
      <c r="AJ136" s="254">
        <f>IFERROR(-AJ135*AJ127*AJ$15/GA!$G$599,0)</f>
        <v>-3596.1002136466177</v>
      </c>
      <c r="AK136" s="254">
        <f>IFERROR(-AK135*AK127*AK$15/GA!$G$599,0)</f>
        <v>-3552.2506351908087</v>
      </c>
      <c r="AL136" s="254">
        <f>IFERROR(-AL135*AL127*AL$15/GA!$G$599,0)</f>
        <v>-3470.2662626400538</v>
      </c>
      <c r="AM136" s="254">
        <f>IFERROR(-AM135*AM127*AM$15/GA!$G$599,0)</f>
        <v>-3389.2351417948603</v>
      </c>
      <c r="AN136" s="254">
        <f>IFERROR(-AN135*AN127*AN$15/GA!$G$599,0)</f>
        <v>0</v>
      </c>
      <c r="AO136" s="254">
        <f>IFERROR(-AO135*AO127*AO$15/GA!$G$599,0)</f>
        <v>0</v>
      </c>
      <c r="AP136" s="254">
        <f>IFERROR(-AP135*AP127*AP$15/GA!$G$599,0)</f>
        <v>0</v>
      </c>
      <c r="AQ136" s="254">
        <f>IFERROR(-AQ135*AQ127*AQ$15/GA!$G$599,0)</f>
        <v>0</v>
      </c>
      <c r="AR136" s="254">
        <f>IFERROR(-AR135*AR127*AR$15/GA!$G$599,0)</f>
        <v>0</v>
      </c>
      <c r="AS136" s="254">
        <f>IFERROR(-AS135*AS127*AS$15/GA!$G$599,0)</f>
        <v>0</v>
      </c>
      <c r="AT136" s="254">
        <f>IFERROR(-AT135*AT127*AT$15/GA!$G$599,0)</f>
        <v>0</v>
      </c>
      <c r="AU136" s="254">
        <f>IFERROR(-AU135*AU127*AU$15/GA!$G$599,0)</f>
        <v>0</v>
      </c>
      <c r="AV136" s="254">
        <f>IFERROR(-AV135*AV127*AV$15/GA!$G$599,0)</f>
        <v>0</v>
      </c>
      <c r="AW136" s="254">
        <f>IFERROR(-AW135*AW127*AW$15/GA!$G$599,0)</f>
        <v>0</v>
      </c>
      <c r="AX136" s="254">
        <f>IFERROR(-AX135*AX127*AX$15/GA!$G$599,0)</f>
        <v>0</v>
      </c>
      <c r="AY136" s="254">
        <f>IFERROR(-AY135*AY127*AY$15/GA!$G$599,0)</f>
        <v>0</v>
      </c>
      <c r="AZ136" s="254">
        <f>IFERROR(-AZ135*AZ127*AZ$15/GA!$G$599,0)</f>
        <v>0</v>
      </c>
      <c r="BA136" s="254">
        <f>IFERROR(-BA135*BA127*BA$15/GA!$G$599,0)</f>
        <v>0</v>
      </c>
      <c r="BB136" s="254">
        <f>IFERROR(-BB135*BB127*BB$15/GA!$G$599,0)</f>
        <v>0</v>
      </c>
      <c r="BC136" s="254">
        <f>IFERROR(-BC135*BC127*BC$15/GA!$G$599,0)</f>
        <v>0</v>
      </c>
      <c r="BD136" s="254">
        <f>IFERROR(-BD135*BD127*BD$15/GA!$G$599,0)</f>
        <v>0</v>
      </c>
      <c r="BE136" s="254">
        <f>IFERROR(-BE135*BE127*BE$15/GA!$G$599,0)</f>
        <v>0</v>
      </c>
      <c r="BF136" s="254">
        <f>IFERROR(-BF135*BF127*BF$15/GA!$G$599,0)</f>
        <v>0</v>
      </c>
      <c r="BG136" s="254">
        <f>IFERROR(-BG135*BG127*BG$15/GA!$G$599,0)</f>
        <v>0</v>
      </c>
    </row>
    <row r="137" spans="4:59" hidden="1" outlineLevel="1">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row>
    <row r="138" spans="4:59" hidden="1" outlineLevel="1">
      <c r="D138" s="364" t="s">
        <v>722</v>
      </c>
      <c r="E138" s="17"/>
      <c r="F138" s="17"/>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row>
    <row r="139" spans="4:59" hidden="1" outlineLevel="1">
      <c r="D139" t="s">
        <v>723</v>
      </c>
      <c r="E139" s="410">
        <f>GA!$G$505</f>
        <v>7.4999999999999997E-3</v>
      </c>
      <c r="F139"/>
      <c r="G139"/>
      <c r="H139"/>
      <c r="I139"/>
      <c r="J139"/>
      <c r="K139"/>
      <c r="L139"/>
      <c r="M139"/>
      <c r="N139"/>
      <c r="O139"/>
      <c r="P139"/>
      <c r="Q139"/>
      <c r="R139" s="269"/>
      <c r="S139" s="368">
        <f>-$E$139*S128</f>
        <v>-14707.312028656394</v>
      </c>
      <c r="T139" s="368">
        <f t="shared" ref="T139:BG139" si="107">-$E$139*T128</f>
        <v>0</v>
      </c>
      <c r="U139" s="368">
        <f t="shared" si="107"/>
        <v>0</v>
      </c>
      <c r="V139" s="368">
        <f t="shared" si="107"/>
        <v>0</v>
      </c>
      <c r="W139" s="368">
        <f t="shared" si="107"/>
        <v>0</v>
      </c>
      <c r="X139" s="368">
        <f t="shared" si="107"/>
        <v>0</v>
      </c>
      <c r="Y139" s="368">
        <f t="shared" si="107"/>
        <v>0</v>
      </c>
      <c r="Z139" s="368">
        <f t="shared" si="107"/>
        <v>0</v>
      </c>
      <c r="AA139" s="368">
        <f t="shared" si="107"/>
        <v>0</v>
      </c>
      <c r="AB139" s="368">
        <f t="shared" si="107"/>
        <v>0</v>
      </c>
      <c r="AC139" s="368">
        <f t="shared" si="107"/>
        <v>0</v>
      </c>
      <c r="AD139" s="368">
        <f t="shared" si="107"/>
        <v>0</v>
      </c>
      <c r="AE139" s="368">
        <f t="shared" si="107"/>
        <v>0</v>
      </c>
      <c r="AF139" s="368">
        <f t="shared" si="107"/>
        <v>0</v>
      </c>
      <c r="AG139" s="368">
        <f t="shared" si="107"/>
        <v>0</v>
      </c>
      <c r="AH139" s="368">
        <f t="shared" si="107"/>
        <v>0</v>
      </c>
      <c r="AI139" s="368">
        <f t="shared" si="107"/>
        <v>0</v>
      </c>
      <c r="AJ139" s="368">
        <f t="shared" si="107"/>
        <v>0</v>
      </c>
      <c r="AK139" s="368">
        <f t="shared" si="107"/>
        <v>0</v>
      </c>
      <c r="AL139" s="368">
        <f t="shared" si="107"/>
        <v>0</v>
      </c>
      <c r="AM139" s="368">
        <f t="shared" si="107"/>
        <v>0</v>
      </c>
      <c r="AN139" s="368">
        <f t="shared" si="107"/>
        <v>0</v>
      </c>
      <c r="AO139" s="368">
        <f t="shared" si="107"/>
        <v>0</v>
      </c>
      <c r="AP139" s="368">
        <f t="shared" si="107"/>
        <v>0</v>
      </c>
      <c r="AQ139" s="368">
        <f t="shared" si="107"/>
        <v>0</v>
      </c>
      <c r="AR139" s="368">
        <f t="shared" si="107"/>
        <v>0</v>
      </c>
      <c r="AS139" s="368">
        <f t="shared" si="107"/>
        <v>0</v>
      </c>
      <c r="AT139" s="368">
        <f t="shared" si="107"/>
        <v>0</v>
      </c>
      <c r="AU139" s="368">
        <f t="shared" si="107"/>
        <v>0</v>
      </c>
      <c r="AV139" s="368">
        <f t="shared" si="107"/>
        <v>0</v>
      </c>
      <c r="AW139" s="368">
        <f t="shared" si="107"/>
        <v>0</v>
      </c>
      <c r="AX139" s="368">
        <f t="shared" si="107"/>
        <v>0</v>
      </c>
      <c r="AY139" s="368">
        <f t="shared" si="107"/>
        <v>0</v>
      </c>
      <c r="AZ139" s="368">
        <f t="shared" si="107"/>
        <v>0</v>
      </c>
      <c r="BA139" s="368">
        <f t="shared" si="107"/>
        <v>0</v>
      </c>
      <c r="BB139" s="368">
        <f t="shared" si="107"/>
        <v>0</v>
      </c>
      <c r="BC139" s="368">
        <f t="shared" si="107"/>
        <v>0</v>
      </c>
      <c r="BD139" s="368">
        <f t="shared" si="107"/>
        <v>0</v>
      </c>
      <c r="BE139" s="368">
        <f t="shared" si="107"/>
        <v>0</v>
      </c>
      <c r="BF139" s="368">
        <f t="shared" si="107"/>
        <v>0</v>
      </c>
      <c r="BG139" s="368">
        <f t="shared" si="107"/>
        <v>0</v>
      </c>
    </row>
    <row r="140" spans="4:59" hidden="1" outlineLevel="1">
      <c r="D140" t="s">
        <v>726</v>
      </c>
      <c r="E140" s="410">
        <f>GA!G508</f>
        <v>8.7500000000000008E-3</v>
      </c>
      <c r="F140"/>
      <c r="G140"/>
      <c r="H140"/>
      <c r="I140"/>
      <c r="J140"/>
      <c r="K140"/>
      <c r="L140"/>
      <c r="M140"/>
      <c r="N140"/>
      <c r="O140"/>
      <c r="P140"/>
      <c r="Q140"/>
      <c r="R140"/>
      <c r="S140" s="310">
        <f>IF(T31&gt;0,-(-SUM($R$118:$S$118)*GA!$G$501-SUM($R$128:S128))*$E$140*S$14/GA!$G$599,0)</f>
        <v>0</v>
      </c>
      <c r="T140" s="310">
        <f>IF(U31&gt;0,-(-SUM($R$118:$S$118)*GA!$G$501-SUM($R$128:T128))*$E$140*T$14/GA!$G$599,0)</f>
        <v>0</v>
      </c>
      <c r="U140" s="310">
        <f>IF(V31&gt;0,-(-SUM($R$118:$S$118)*GA!$G$501-SUM($R$128:U128))*$E$140*U$14/GA!$G$599,0)</f>
        <v>0</v>
      </c>
      <c r="V140" s="310">
        <f>IF(W31&gt;0,-(-SUM($R$118:$S$118)*GA!$G$501-SUM($R$128:V128))*$E$140*V$14/GA!$G$599,0)</f>
        <v>0</v>
      </c>
      <c r="W140" s="310">
        <f>IF(X31&gt;0,-(-SUM($R$118:$S$118)*GA!$G$501-SUM($R$128:W128))*$E$140*W$14/GA!$G$599,0)</f>
        <v>0</v>
      </c>
      <c r="X140" s="310">
        <f>IF(Y31&gt;0,-(-SUM($R$118:$S$118)*GA!$G$501-SUM($R$128:X128))*$E$140*X$14/GA!$G$599,0)</f>
        <v>0</v>
      </c>
      <c r="Y140" s="310">
        <f>IF(Z31&gt;0,-(-SUM($R$118:$S$118)*GA!$G$501-SUM($R$128:Y128))*$E$140*Y$14/GA!$G$599,0)</f>
        <v>0</v>
      </c>
      <c r="Z140" s="310">
        <f>IF(AA31&gt;0,-(-SUM($R$118:$S$118)*GA!$G$501-SUM($R$128:Z128))*$E$140*Z$14/GA!$G$599,0)</f>
        <v>0</v>
      </c>
      <c r="AA140" s="310">
        <f>IF(AB31&gt;0,-(-SUM($R$118:$S$118)*GA!$G$501-SUM($R$128:AA128))*$E$140*AA$14/GA!$G$599,0)</f>
        <v>0</v>
      </c>
      <c r="AB140" s="310">
        <f>IF(AC31&gt;0,-(-SUM($R$118:$S$118)*GA!$G$501-SUM($R$128:AB128))*$E$140*AB$14/GA!$G$599,0)</f>
        <v>0</v>
      </c>
      <c r="AC140" s="310">
        <f>IF(AD31&gt;0,-(-SUM($R$118:$S$118)*GA!$G$501-SUM($R$128:AC128))*$E$140*AC$14/GA!$G$599,0)</f>
        <v>0</v>
      </c>
      <c r="AD140" s="310">
        <f>IF(AE31&gt;0,-(-SUM($R$118:$S$118)*GA!$G$501-SUM($R$128:AD128))*$E$140*AD$14/GA!$G$599,0)</f>
        <v>0</v>
      </c>
      <c r="AE140" s="310">
        <f>IF(AF31&gt;0,-(-SUM($R$118:$S$118)*GA!$G$501-SUM($R$128:AE128))*$E$140*AE$14/GA!$G$599,0)</f>
        <v>0</v>
      </c>
      <c r="AF140" s="310">
        <f>IF(AG31&gt;0,-(-SUM($R$118:$S$118)*GA!$G$501-SUM($R$128:AF128))*$E$140*AF$14/GA!$G$599,0)</f>
        <v>0</v>
      </c>
      <c r="AG140" s="310">
        <f>IF(AH31&gt;0,-(-SUM($R$118:$S$118)*GA!$G$501-SUM($R$128:AG128))*$E$140*AG$14/GA!$G$599,0)</f>
        <v>0</v>
      </c>
      <c r="AH140" s="310">
        <f>IF(AI31&gt;0,-(-SUM($R$118:$S$118)*GA!$G$501-SUM($R$128:AH128))*$E$140*AH$14/GA!$G$599,0)</f>
        <v>0</v>
      </c>
      <c r="AI140" s="310">
        <f>IF(AJ31&gt;0,-(-SUM($R$118:$S$118)*GA!$G$501-SUM($R$128:AI128))*$E$140*AI$14/GA!$G$599,0)</f>
        <v>0</v>
      </c>
      <c r="AJ140" s="310">
        <f>IF(AK31&gt;0,-(-SUM($R$118:$S$118)*GA!$G$501-SUM($R$128:AJ128))*$E$140*AJ$14/GA!$G$599,0)</f>
        <v>0</v>
      </c>
      <c r="AK140" s="310">
        <f>IF(AL31&gt;0,-(-SUM($R$118:$S$118)*GA!$G$501-SUM($R$128:AK128))*$E$140*AK$14/GA!$G$599,0)</f>
        <v>0</v>
      </c>
      <c r="AL140" s="310">
        <f>IF(AM31&gt;0,-(-SUM($R$118:$S$118)*GA!$G$501-SUM($R$128:AL128))*$E$140*AL$14/GA!$G$599,0)</f>
        <v>0</v>
      </c>
      <c r="AM140" s="310">
        <f>IF(AN31&gt;0,-(-SUM($R$118:$S$118)*GA!$G$501-SUM($R$128:AM128))*$E$140*AM$14/GA!$G$599,0)</f>
        <v>0</v>
      </c>
      <c r="AN140" s="310">
        <f>IF(AO31&gt;0,-(-SUM($R$118:$S$118)*GA!$G$501-SUM($R$128:AN128))*$E$140*AN$14/GA!$G$599,0)</f>
        <v>0</v>
      </c>
      <c r="AO140" s="310">
        <f>IF(AP31&gt;0,-(-SUM($R$118:$S$118)*GA!$G$501-SUM($R$128:AO128))*$E$140*AO$14/GA!$G$599,0)</f>
        <v>0</v>
      </c>
      <c r="AP140" s="310">
        <f>IF(AQ31&gt;0,-(-SUM($R$118:$S$118)*GA!$G$501-SUM($R$128:AP128))*$E$140*AP$14/GA!$G$599,0)</f>
        <v>0</v>
      </c>
      <c r="AQ140" s="310">
        <f>IF(AR31&gt;0,-(-SUM($R$118:$S$118)*GA!$G$501-SUM($R$128:AQ128))*$E$140*AQ$14/GA!$G$599,0)</f>
        <v>0</v>
      </c>
      <c r="AR140" s="310">
        <f>IF(AS31&gt;0,-(-SUM($R$118:$S$118)*GA!$G$501-SUM($R$128:AR128))*$E$140*AR$14/GA!$G$599,0)</f>
        <v>0</v>
      </c>
      <c r="AS140" s="310">
        <f>IF(AT31&gt;0,-(-SUM($R$118:$S$118)*GA!$G$501-SUM($R$128:AS128))*$E$140*AS$14/GA!$G$599,0)</f>
        <v>0</v>
      </c>
      <c r="AT140" s="310">
        <f>IF(AU31&gt;0,-(-SUM($R$118:$S$118)*GA!$G$501-SUM($R$128:AT128))*$E$140*AT$14/GA!$G$599,0)</f>
        <v>0</v>
      </c>
      <c r="AU140" s="310">
        <f>IF(AV31&gt;0,-(-SUM($R$118:$S$118)*GA!$G$501-SUM($R$128:AU128))*$E$140*AU$14/GA!$G$599,0)</f>
        <v>0</v>
      </c>
      <c r="AV140" s="310">
        <f>IF(AW31&gt;0,-(-SUM($R$118:$S$118)*GA!$G$501-SUM($R$128:AV128))*$E$140*AV$14/GA!$G$599,0)</f>
        <v>0</v>
      </c>
      <c r="AW140" s="310">
        <f>IF(AX31&gt;0,-(-SUM($R$118:$S$118)*GA!$G$501-SUM($R$128:AW128))*$E$140*AW$14/GA!$G$599,0)</f>
        <v>0</v>
      </c>
      <c r="AX140" s="310">
        <f>IF(AY31&gt;0,-(-SUM($R$118:$S$118)*GA!$G$501-SUM($R$128:AX128))*$E$140*AX$14/GA!$G$599,0)</f>
        <v>0</v>
      </c>
      <c r="AY140" s="310">
        <f>IF(AZ31&gt;0,-(-SUM($R$118:$S$118)*GA!$G$501-SUM($R$128:AY128))*$E$140*AY$14/GA!$G$599,0)</f>
        <v>0</v>
      </c>
      <c r="AZ140" s="310">
        <f>IF(BA31&gt;0,-(-SUM($R$118:$S$118)*GA!$G$501-SUM($R$128:AZ128))*$E$140*AZ$14/GA!$G$599,0)</f>
        <v>0</v>
      </c>
      <c r="BA140" s="310">
        <f>IF(BB31&gt;0,-(-SUM($R$118:$S$118)*GA!$G$501-SUM($R$128:BA128))*$E$140*BA$14/GA!$G$599,0)</f>
        <v>0</v>
      </c>
      <c r="BB140" s="310">
        <f>IF(BC31&gt;0,-(-SUM($R$118:$S$118)*GA!$G$501-SUM($R$128:BB128))*$E$140*BB$14/GA!$G$599,0)</f>
        <v>0</v>
      </c>
      <c r="BC140" s="310">
        <f>IF(BD31&gt;0,-(-SUM($R$118:$S$118)*GA!$G$501-SUM($R$128:BC128))*$E$140*BC$14/GA!$G$599,0)</f>
        <v>0</v>
      </c>
      <c r="BD140" s="310">
        <f>IF(BE31&gt;0,-(-SUM($R$118:$S$118)*GA!$G$501-SUM($R$128:BD128))*$E$140*BD$14/GA!$G$599,0)</f>
        <v>0</v>
      </c>
      <c r="BE140" s="310">
        <f>IF(BF31&gt;0,-(-SUM($R$118:$S$118)*GA!$G$501-SUM($R$128:BE128))*$E$140*BE$14/GA!$G$599,0)</f>
        <v>0</v>
      </c>
      <c r="BF140" s="310">
        <f>IF(BG31&gt;0,-(-SUM($R$118:$S$118)*GA!$G$501-SUM($R$128:BF128))*$E$140*BF$14/GA!$G$599,0)</f>
        <v>0</v>
      </c>
      <c r="BG140" s="310">
        <f>IF(BH31&gt;0,-(-SUM($R$118:$S$118)*GA!$G$501-SUM($R$128:BG128))*$E$140*BG$14/GA!$G$599,0)</f>
        <v>0</v>
      </c>
    </row>
    <row r="141" spans="4:59" hidden="1" outlineLevel="1">
      <c r="D141" t="s">
        <v>1333</v>
      </c>
      <c r="E141" s="410"/>
      <c r="F141"/>
      <c r="G141"/>
      <c r="H141"/>
      <c r="I141"/>
      <c r="J141"/>
      <c r="K141"/>
      <c r="L141"/>
      <c r="M141"/>
      <c r="N141"/>
      <c r="O141"/>
      <c r="P141"/>
      <c r="Q141"/>
      <c r="R141"/>
      <c r="S141" s="310">
        <f>-(SUM(S127:S128)&gt;0)*SUM($S$128:$BG$128)/GA!$G$499*SUM(GA!$G$510:$G$511)/4</f>
        <v>0</v>
      </c>
      <c r="T141" s="310">
        <f>-(SUM(T127:T128)&gt;0)*SUM($S$128:$BG$128)/GA!$G$499*SUM(GA!$G$510:$G$511)/4</f>
        <v>0</v>
      </c>
      <c r="U141" s="310">
        <f>-(SUM(U127:U128)&gt;0)*SUM($S$128:$BG$128)/GA!$G$499*SUM(GA!$G$510:$G$511)/4</f>
        <v>0</v>
      </c>
      <c r="V141" s="310">
        <f>-(SUM(V127:V128)&gt;0)*SUM($S$128:$BG$128)/GA!$G$499*SUM(GA!$G$510:$G$511)/4</f>
        <v>0</v>
      </c>
      <c r="W141" s="310">
        <f>-(SUM(W127:W128)&gt;0)*SUM($S$128:$BG$128)/GA!$G$499*SUM(GA!$G$510:$G$511)/4</f>
        <v>0</v>
      </c>
      <c r="X141" s="310">
        <f>-(SUM(X127:X128)&gt;0)*SUM($S$128:$BG$128)/GA!$G$499*SUM(GA!$G$510:$G$511)/4</f>
        <v>0</v>
      </c>
      <c r="Y141" s="310">
        <f>-(SUM(Y127:Y128)&gt;0)*SUM($S$128:$BG$128)/GA!$G$499*SUM(GA!$G$510:$G$511)/4</f>
        <v>0</v>
      </c>
      <c r="Z141" s="310">
        <f>-(SUM(Z127:Z128)&gt;0)*SUM($S$128:$BG$128)/GA!$G$499*SUM(GA!$G$510:$G$511)/4</f>
        <v>0</v>
      </c>
      <c r="AA141" s="310">
        <f>-(SUM(AA127:AA128)&gt;0)*SUM($S$128:$BG$128)/GA!$G$499*SUM(GA!$G$510:$G$511)/4</f>
        <v>0</v>
      </c>
      <c r="AB141" s="310">
        <f>-(SUM(AB127:AB128)&gt;0)*SUM($S$128:$BG$128)/GA!$G$499*SUM(GA!$G$510:$G$511)/4</f>
        <v>0</v>
      </c>
      <c r="AC141" s="310">
        <f>-(SUM(AC127:AC128)&gt;0)*SUM($S$128:$BG$128)/GA!$G$499*SUM(GA!$G$510:$G$511)/4</f>
        <v>0</v>
      </c>
      <c r="AD141" s="310">
        <f>-(SUM(AD127:AD128)&gt;0)*SUM($S$128:$BG$128)/GA!$G$499*SUM(GA!$G$510:$G$511)/4</f>
        <v>0</v>
      </c>
      <c r="AE141" s="310">
        <f>-(SUM(AE127:AE128)&gt;0)*SUM($S$128:$BG$128)/GA!$G$499*SUM(GA!$G$510:$G$511)/4</f>
        <v>0</v>
      </c>
      <c r="AF141" s="310">
        <f>-(SUM(AF127:AF128)&gt;0)*SUM($S$128:$BG$128)/GA!$G$499*SUM(GA!$G$510:$G$511)/4</f>
        <v>0</v>
      </c>
      <c r="AG141" s="310">
        <f>-(SUM(AG127:AG128)&gt;0)*SUM($S$128:$BG$128)/GA!$G$499*SUM(GA!$G$510:$G$511)/4</f>
        <v>0</v>
      </c>
      <c r="AH141" s="310">
        <f>-(SUM(AH127:AH128)&gt;0)*SUM($S$128:$BG$128)/GA!$G$499*SUM(GA!$G$510:$G$511)/4</f>
        <v>0</v>
      </c>
      <c r="AI141" s="310">
        <f>-(SUM(AI127:AI128)&gt;0)*SUM($S$128:$BG$128)/GA!$G$499*SUM(GA!$G$510:$G$511)/4</f>
        <v>0</v>
      </c>
      <c r="AJ141" s="310">
        <f>-(SUM(AJ127:AJ128)&gt;0)*SUM($S$128:$BG$128)/GA!$G$499*SUM(GA!$G$510:$G$511)/4</f>
        <v>0</v>
      </c>
      <c r="AK141" s="310">
        <f>-(SUM(AK127:AK128)&gt;0)*SUM($S$128:$BG$128)/GA!$G$499*SUM(GA!$G$510:$G$511)/4</f>
        <v>0</v>
      </c>
      <c r="AL141" s="310">
        <f>-(SUM(AL127:AL128)&gt;0)*SUM($S$128:$BG$128)/GA!$G$499*SUM(GA!$G$510:$G$511)/4</f>
        <v>0</v>
      </c>
      <c r="AM141" s="310">
        <f>-(SUM(AM127:AM128)&gt;0)*SUM($S$128:$BG$128)/GA!$G$499*SUM(GA!$G$510:$G$511)/4</f>
        <v>0</v>
      </c>
      <c r="AN141" s="310">
        <f>-(SUM(AN127:AN128)&gt;0)*SUM($S$128:$BG$128)/GA!$G$499*SUM(GA!$G$510:$G$511)/4</f>
        <v>0</v>
      </c>
      <c r="AO141" s="310">
        <f>-(SUM(AO127:AO128)&gt;0)*SUM($S$128:$BG$128)/GA!$G$499*SUM(GA!$G$510:$G$511)/4</f>
        <v>0</v>
      </c>
      <c r="AP141" s="310">
        <f>-(SUM(AP127:AP128)&gt;0)*SUM($S$128:$BG$128)/GA!$G$499*SUM(GA!$G$510:$G$511)/4</f>
        <v>0</v>
      </c>
      <c r="AQ141" s="310">
        <f>-(SUM(AQ127:AQ128)&gt;0)*SUM($S$128:$BG$128)/GA!$G$499*SUM(GA!$G$510:$G$511)/4</f>
        <v>0</v>
      </c>
      <c r="AR141" s="310">
        <f>-(SUM(AR127:AR128)&gt;0)*SUM($S$128:$BG$128)/GA!$G$499*SUM(GA!$G$510:$G$511)/4</f>
        <v>0</v>
      </c>
      <c r="AS141" s="310">
        <f>-(SUM(AS127:AS128)&gt;0)*SUM($S$128:$BG$128)/GA!$G$499*SUM(GA!$G$510:$G$511)/4</f>
        <v>0</v>
      </c>
      <c r="AT141" s="310">
        <f>-(SUM(AT127:AT128)&gt;0)*SUM($S$128:$BG$128)/GA!$G$499*SUM(GA!$G$510:$G$511)/4</f>
        <v>0</v>
      </c>
      <c r="AU141" s="310">
        <f>-(SUM(AU127:AU128)&gt;0)*SUM($S$128:$BG$128)/GA!$G$499*SUM(GA!$G$510:$G$511)/4</f>
        <v>0</v>
      </c>
      <c r="AV141" s="310">
        <f>-(SUM(AV127:AV128)&gt;0)*SUM($S$128:$BG$128)/GA!$G$499*SUM(GA!$G$510:$G$511)/4</f>
        <v>0</v>
      </c>
      <c r="AW141" s="310">
        <f>-(SUM(AW127:AW128)&gt;0)*SUM($S$128:$BG$128)/GA!$G$499*SUM(GA!$G$510:$G$511)/4</f>
        <v>0</v>
      </c>
      <c r="AX141" s="310">
        <f>-(SUM(AX127:AX128)&gt;0)*SUM($S$128:$BG$128)/GA!$G$499*SUM(GA!$G$510:$G$511)/4</f>
        <v>0</v>
      </c>
      <c r="AY141" s="310">
        <f>-(SUM(AY127:AY128)&gt;0)*SUM($S$128:$BG$128)/GA!$G$499*SUM(GA!$G$510:$G$511)/4</f>
        <v>0</v>
      </c>
      <c r="AZ141" s="310">
        <f>-(SUM(AZ127:AZ128)&gt;0)*SUM($S$128:$BG$128)/GA!$G$499*SUM(GA!$G$510:$G$511)/4</f>
        <v>0</v>
      </c>
      <c r="BA141" s="310">
        <f>-(SUM(BA127:BA128)&gt;0)*SUM($S$128:$BG$128)/GA!$G$499*SUM(GA!$G$510:$G$511)/4</f>
        <v>0</v>
      </c>
      <c r="BB141" s="310">
        <f>-(SUM(BB127:BB128)&gt;0)*SUM($S$128:$BG$128)/GA!$G$499*SUM(GA!$G$510:$G$511)/4</f>
        <v>0</v>
      </c>
      <c r="BC141" s="310">
        <f>-(SUM(BC127:BC128)&gt;0)*SUM($S$128:$BG$128)/GA!$G$499*SUM(GA!$G$510:$G$511)/4</f>
        <v>0</v>
      </c>
      <c r="BD141" s="310">
        <f>-(SUM(BD127:BD128)&gt;0)*SUM($S$128:$BG$128)/GA!$G$499*SUM(GA!$G$510:$G$511)/4</f>
        <v>0</v>
      </c>
      <c r="BE141" s="310">
        <f>-(SUM(BE127:BE128)&gt;0)*SUM($S$128:$BG$128)/GA!$G$499*SUM(GA!$G$510:$G$511)/4</f>
        <v>0</v>
      </c>
      <c r="BF141" s="310">
        <f>-(SUM(BF127:BF128)&gt;0)*SUM($S$128:$BG$128)/GA!$G$499*SUM(GA!$G$510:$G$511)/4</f>
        <v>0</v>
      </c>
      <c r="BG141" s="310">
        <f>-(SUM(BG127:BG128)&gt;0)*SUM($S$128:$BG$128)/GA!$G$499*SUM(GA!$G$510:$G$511)/4</f>
        <v>0</v>
      </c>
    </row>
    <row r="142" spans="4:59" hidden="1" outlineLevel="1">
      <c r="D142" t="s">
        <v>729</v>
      </c>
      <c r="E142"/>
      <c r="F142"/>
      <c r="G142"/>
      <c r="H142"/>
      <c r="I142"/>
      <c r="J142"/>
      <c r="K142"/>
      <c r="L142"/>
      <c r="M142"/>
      <c r="N142"/>
      <c r="O142"/>
      <c r="P142"/>
      <c r="Q142"/>
      <c r="R142"/>
      <c r="S142" s="310">
        <f>-SUM($S$128:$BG$128)*GA!$G$506/GA!$G$499</f>
        <v>-36866.328818498696</v>
      </c>
      <c r="T142" s="392"/>
      <c r="U142" s="392"/>
      <c r="V142" s="392"/>
      <c r="W142" s="392"/>
      <c r="X142" s="392"/>
      <c r="Y142" s="392"/>
      <c r="Z142" s="392"/>
      <c r="AA142" s="392"/>
      <c r="AB142" s="392"/>
      <c r="AC142" s="392"/>
      <c r="AD142" s="392"/>
      <c r="AE142" s="392"/>
      <c r="AF142" s="392"/>
      <c r="AG142" s="392"/>
      <c r="AH142" s="392"/>
      <c r="AI142" s="392"/>
      <c r="AJ142" s="392"/>
      <c r="AK142" s="392"/>
      <c r="AL142" s="392"/>
      <c r="AM142" s="392"/>
      <c r="AN142" s="392"/>
      <c r="AO142" s="392"/>
      <c r="AP142" s="392"/>
      <c r="AQ142" s="392"/>
      <c r="AR142" s="392"/>
      <c r="AS142" s="392"/>
      <c r="AT142" s="392"/>
      <c r="AU142" s="392"/>
      <c r="AV142" s="392"/>
      <c r="AW142" s="392"/>
      <c r="AX142" s="392"/>
      <c r="AY142" s="392"/>
      <c r="AZ142" s="392"/>
      <c r="BA142" s="392"/>
      <c r="BB142" s="392"/>
      <c r="BC142" s="392"/>
      <c r="BD142" s="392"/>
      <c r="BE142" s="392"/>
      <c r="BF142" s="392"/>
      <c r="BG142" s="392"/>
    </row>
    <row r="143" spans="4:59" hidden="1" outlineLevel="1">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row>
    <row r="144" spans="4:59" hidden="1" outlineLevel="1">
      <c r="D144" s="253" t="s">
        <v>1389</v>
      </c>
      <c r="E144" s="268"/>
      <c r="F144" s="268"/>
      <c r="G144" s="268"/>
      <c r="H144" s="268"/>
      <c r="I144" s="268"/>
      <c r="J144" s="268"/>
      <c r="K144" s="268"/>
      <c r="L144" s="268"/>
      <c r="M144" s="268"/>
      <c r="N144" s="268"/>
      <c r="O144" s="268"/>
      <c r="P144" s="268"/>
      <c r="Q144" s="268"/>
      <c r="R144" s="268"/>
      <c r="S144" s="254">
        <f>S136+SUM(S128:S131)+SUM(S139:S142)</f>
        <v>1909401.2963070308</v>
      </c>
      <c r="T144" s="254">
        <f t="shared" ref="T144:BG144" si="108">T136+SUM(T128:T131)+SUM(T139:T142)</f>
        <v>-18574.790376932709</v>
      </c>
      <c r="U144" s="254">
        <f t="shared" si="108"/>
        <v>-18530.940798476899</v>
      </c>
      <c r="V144" s="254">
        <f t="shared" si="108"/>
        <v>-18392.719301170546</v>
      </c>
      <c r="W144" s="254">
        <f t="shared" si="108"/>
        <v>-18255.451055569752</v>
      </c>
      <c r="X144" s="254">
        <f t="shared" si="108"/>
        <v>-18399.392063109473</v>
      </c>
      <c r="Y144" s="254">
        <f t="shared" si="108"/>
        <v>-18355.542484653663</v>
      </c>
      <c r="Z144" s="254">
        <f t="shared" si="108"/>
        <v>-18219.227490758432</v>
      </c>
      <c r="AA144" s="254">
        <f t="shared" si="108"/>
        <v>-18083.865748568765</v>
      </c>
      <c r="AB144" s="254">
        <f t="shared" si="108"/>
        <v>-18223.993749286237</v>
      </c>
      <c r="AC144" s="254">
        <f t="shared" si="108"/>
        <v>-18180.144170830434</v>
      </c>
      <c r="AD144" s="254">
        <f t="shared" si="108"/>
        <v>-18045.735680346319</v>
      </c>
      <c r="AE144" s="254">
        <f t="shared" si="108"/>
        <v>-1018002.3627277432</v>
      </c>
      <c r="AF144" s="254">
        <f t="shared" si="108"/>
        <v>-13576.373213240784</v>
      </c>
      <c r="AG144" s="254">
        <f t="shared" si="108"/>
        <v>-13532.523634784975</v>
      </c>
      <c r="AH144" s="254">
        <f t="shared" si="108"/>
        <v>-13448.632758823098</v>
      </c>
      <c r="AI144" s="254">
        <f t="shared" si="108"/>
        <v>-13365.695134566782</v>
      </c>
      <c r="AJ144" s="254">
        <f t="shared" si="108"/>
        <v>-13400.974899417548</v>
      </c>
      <c r="AK144" s="254">
        <f t="shared" si="108"/>
        <v>-13357.125320961739</v>
      </c>
      <c r="AL144" s="254">
        <f t="shared" si="108"/>
        <v>-13275.140948410984</v>
      </c>
      <c r="AM144" s="254">
        <f t="shared" si="108"/>
        <v>-778071.55326633435</v>
      </c>
      <c r="AN144" s="254">
        <f t="shared" si="108"/>
        <v>0</v>
      </c>
      <c r="AO144" s="254">
        <f t="shared" si="108"/>
        <v>0</v>
      </c>
      <c r="AP144" s="254">
        <f t="shared" si="108"/>
        <v>0</v>
      </c>
      <c r="AQ144" s="254">
        <f t="shared" si="108"/>
        <v>0</v>
      </c>
      <c r="AR144" s="254">
        <f t="shared" si="108"/>
        <v>0</v>
      </c>
      <c r="AS144" s="254">
        <f t="shared" si="108"/>
        <v>0</v>
      </c>
      <c r="AT144" s="254">
        <f t="shared" si="108"/>
        <v>0</v>
      </c>
      <c r="AU144" s="254">
        <f t="shared" si="108"/>
        <v>0</v>
      </c>
      <c r="AV144" s="254">
        <f t="shared" si="108"/>
        <v>0</v>
      </c>
      <c r="AW144" s="254">
        <f t="shared" si="108"/>
        <v>0</v>
      </c>
      <c r="AX144" s="254">
        <f t="shared" si="108"/>
        <v>0</v>
      </c>
      <c r="AY144" s="254">
        <f t="shared" si="108"/>
        <v>0</v>
      </c>
      <c r="AZ144" s="254">
        <f t="shared" si="108"/>
        <v>0</v>
      </c>
      <c r="BA144" s="254">
        <f t="shared" si="108"/>
        <v>0</v>
      </c>
      <c r="BB144" s="254">
        <f t="shared" si="108"/>
        <v>0</v>
      </c>
      <c r="BC144" s="254">
        <f t="shared" si="108"/>
        <v>0</v>
      </c>
      <c r="BD144" s="254">
        <f t="shared" si="108"/>
        <v>0</v>
      </c>
      <c r="BE144" s="254">
        <f t="shared" si="108"/>
        <v>0</v>
      </c>
      <c r="BF144" s="254">
        <f t="shared" si="108"/>
        <v>0</v>
      </c>
      <c r="BG144" s="254">
        <f t="shared" si="108"/>
        <v>0</v>
      </c>
    </row>
    <row r="145" spans="4:59" hidden="1" outlineLevel="1">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row>
    <row r="146" spans="4:59" hidden="1" outlineLevel="1">
      <c r="D146" s="253" t="s">
        <v>1395</v>
      </c>
      <c r="E146" s="253"/>
      <c r="F146" s="253"/>
      <c r="G146" s="253"/>
      <c r="H146" s="253"/>
      <c r="I146" s="253"/>
      <c r="J146" s="253"/>
      <c r="K146" s="253"/>
      <c r="L146" s="253"/>
      <c r="M146" s="253"/>
      <c r="N146" s="253"/>
      <c r="O146" s="253"/>
      <c r="P146" s="253"/>
      <c r="Q146" s="253"/>
      <c r="R146" s="254">
        <f t="shared" ref="R146:BG146" si="109">R118+R144</f>
        <v>-41208.162841401987</v>
      </c>
      <c r="S146" s="254">
        <f t="shared" si="109"/>
        <v>101458.5614228067</v>
      </c>
      <c r="T146" s="254">
        <f t="shared" si="109"/>
        <v>-18574.790376932709</v>
      </c>
      <c r="U146" s="254">
        <f t="shared" si="109"/>
        <v>-18530.940798476899</v>
      </c>
      <c r="V146" s="254">
        <f t="shared" si="109"/>
        <v>-960.01704575937038</v>
      </c>
      <c r="W146" s="254">
        <f t="shared" si="109"/>
        <v>-802.40797886397559</v>
      </c>
      <c r="X146" s="254">
        <f t="shared" si="109"/>
        <v>-926.04381777170784</v>
      </c>
      <c r="Y146" s="254">
        <f t="shared" si="109"/>
        <v>-861.92515570121395</v>
      </c>
      <c r="Z146" s="254">
        <f t="shared" si="109"/>
        <v>-705.37759818658378</v>
      </c>
      <c r="AA146" s="254">
        <f t="shared" si="109"/>
        <v>-549.82024998799898</v>
      </c>
      <c r="AB146" s="254">
        <f t="shared" si="109"/>
        <v>-669.79004257344786</v>
      </c>
      <c r="AC146" s="254">
        <f t="shared" si="109"/>
        <v>-605.82009679417388</v>
      </c>
      <c r="AD146" s="254">
        <f t="shared" si="109"/>
        <v>-451.32952540617407</v>
      </c>
      <c r="AE146" s="254">
        <f t="shared" si="109"/>
        <v>225219.7291152504</v>
      </c>
      <c r="AF146" s="254">
        <f t="shared" si="109"/>
        <v>-13576.373213240784</v>
      </c>
      <c r="AG146" s="254">
        <f t="shared" si="109"/>
        <v>-13532.523634784975</v>
      </c>
      <c r="AH146" s="254">
        <f t="shared" si="109"/>
        <v>-13448.632758823098</v>
      </c>
      <c r="AI146" s="254">
        <f t="shared" si="109"/>
        <v>-13365.695134566782</v>
      </c>
      <c r="AJ146" s="254">
        <f t="shared" si="109"/>
        <v>-13400.974899417548</v>
      </c>
      <c r="AK146" s="254">
        <f t="shared" si="109"/>
        <v>-13357.125320961739</v>
      </c>
      <c r="AL146" s="254">
        <f t="shared" si="109"/>
        <v>-13275.140948410984</v>
      </c>
      <c r="AM146" s="254">
        <f t="shared" si="109"/>
        <v>-778071.55326633435</v>
      </c>
      <c r="AN146" s="254">
        <f t="shared" si="109"/>
        <v>0</v>
      </c>
      <c r="AO146" s="254">
        <f t="shared" si="109"/>
        <v>0</v>
      </c>
      <c r="AP146" s="254">
        <f t="shared" si="109"/>
        <v>0</v>
      </c>
      <c r="AQ146" s="254">
        <f t="shared" si="109"/>
        <v>0</v>
      </c>
      <c r="AR146" s="254">
        <f t="shared" si="109"/>
        <v>0</v>
      </c>
      <c r="AS146" s="254">
        <f t="shared" si="109"/>
        <v>0</v>
      </c>
      <c r="AT146" s="254">
        <f t="shared" si="109"/>
        <v>0</v>
      </c>
      <c r="AU146" s="254">
        <f t="shared" si="109"/>
        <v>0</v>
      </c>
      <c r="AV146" s="254">
        <f t="shared" si="109"/>
        <v>0</v>
      </c>
      <c r="AW146" s="254">
        <f t="shared" si="109"/>
        <v>0</v>
      </c>
      <c r="AX146" s="254">
        <f t="shared" si="109"/>
        <v>0</v>
      </c>
      <c r="AY146" s="254">
        <f t="shared" si="109"/>
        <v>0</v>
      </c>
      <c r="AZ146" s="254">
        <f t="shared" si="109"/>
        <v>0</v>
      </c>
      <c r="BA146" s="254">
        <f t="shared" si="109"/>
        <v>0</v>
      </c>
      <c r="BB146" s="254">
        <f t="shared" si="109"/>
        <v>0</v>
      </c>
      <c r="BC146" s="254">
        <f t="shared" si="109"/>
        <v>0</v>
      </c>
      <c r="BD146" s="254">
        <f t="shared" si="109"/>
        <v>0</v>
      </c>
      <c r="BE146" s="254">
        <f t="shared" si="109"/>
        <v>0</v>
      </c>
      <c r="BF146" s="254">
        <f t="shared" si="109"/>
        <v>0</v>
      </c>
      <c r="BG146" s="254">
        <f t="shared" si="109"/>
        <v>0</v>
      </c>
    </row>
    <row r="147" spans="4:59" hidden="1" outlineLevel="1">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row>
    <row r="148" spans="4:59" hidden="1" outlineLevel="1">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row>
    <row r="149" spans="4:59" hidden="1" outlineLevel="1">
      <c r="D149" s="391" t="s">
        <v>697</v>
      </c>
      <c r="E149" s="391"/>
      <c r="F149" s="391"/>
      <c r="G149" s="391"/>
      <c r="H149" s="391"/>
      <c r="I149" s="391"/>
      <c r="J149" s="391"/>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row>
    <row r="150" spans="4:59" hidden="1" outlineLevel="1">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row>
    <row r="151" spans="4:59" hidden="1" outlineLevel="1">
      <c r="D151" s="253" t="s">
        <v>692</v>
      </c>
      <c r="E151" s="253"/>
      <c r="F151" s="253"/>
      <c r="G151" s="253"/>
      <c r="H151" s="253"/>
      <c r="I151" s="253"/>
      <c r="J151" s="253"/>
      <c r="K151" s="253"/>
      <c r="L151" s="253"/>
      <c r="M151" s="253"/>
      <c r="N151" s="253"/>
      <c r="O151" s="253"/>
      <c r="P151" s="253"/>
      <c r="Q151" s="253"/>
      <c r="R151" s="253"/>
      <c r="S151" s="439"/>
      <c r="T151" s="254">
        <f>S154</f>
        <v>0</v>
      </c>
      <c r="U151" s="254">
        <f t="shared" ref="U151:BG151" si="110">T154</f>
        <v>0</v>
      </c>
      <c r="V151" s="254">
        <f t="shared" si="110"/>
        <v>0</v>
      </c>
      <c r="W151" s="254">
        <f t="shared" si="110"/>
        <v>0</v>
      </c>
      <c r="X151" s="254">
        <f t="shared" si="110"/>
        <v>0</v>
      </c>
      <c r="Y151" s="254">
        <f t="shared" si="110"/>
        <v>0</v>
      </c>
      <c r="Z151" s="254">
        <f t="shared" si="110"/>
        <v>0</v>
      </c>
      <c r="AA151" s="254">
        <f t="shared" si="110"/>
        <v>0</v>
      </c>
      <c r="AB151" s="254">
        <f t="shared" si="110"/>
        <v>0</v>
      </c>
      <c r="AC151" s="254">
        <f t="shared" si="110"/>
        <v>0</v>
      </c>
      <c r="AD151" s="254">
        <f t="shared" si="110"/>
        <v>0</v>
      </c>
      <c r="AE151" s="254">
        <f t="shared" si="110"/>
        <v>0</v>
      </c>
      <c r="AF151" s="254">
        <f t="shared" si="110"/>
        <v>0</v>
      </c>
      <c r="AG151" s="254">
        <f t="shared" si="110"/>
        <v>0</v>
      </c>
      <c r="AH151" s="254">
        <f t="shared" si="110"/>
        <v>0</v>
      </c>
      <c r="AI151" s="254">
        <f t="shared" si="110"/>
        <v>0</v>
      </c>
      <c r="AJ151" s="254">
        <f t="shared" si="110"/>
        <v>0</v>
      </c>
      <c r="AK151" s="254">
        <f t="shared" si="110"/>
        <v>0</v>
      </c>
      <c r="AL151" s="254">
        <f t="shared" si="110"/>
        <v>0</v>
      </c>
      <c r="AM151" s="254">
        <f t="shared" si="110"/>
        <v>0</v>
      </c>
      <c r="AN151" s="254">
        <f t="shared" si="110"/>
        <v>0</v>
      </c>
      <c r="AO151" s="254">
        <f t="shared" si="110"/>
        <v>0</v>
      </c>
      <c r="AP151" s="254">
        <f t="shared" si="110"/>
        <v>0</v>
      </c>
      <c r="AQ151" s="254">
        <f t="shared" si="110"/>
        <v>0</v>
      </c>
      <c r="AR151" s="254">
        <f t="shared" si="110"/>
        <v>0</v>
      </c>
      <c r="AS151" s="254">
        <f t="shared" si="110"/>
        <v>0</v>
      </c>
      <c r="AT151" s="254">
        <f t="shared" si="110"/>
        <v>0</v>
      </c>
      <c r="AU151" s="254">
        <f t="shared" si="110"/>
        <v>0</v>
      </c>
      <c r="AV151" s="254">
        <f t="shared" si="110"/>
        <v>0</v>
      </c>
      <c r="AW151" s="254">
        <f t="shared" si="110"/>
        <v>0</v>
      </c>
      <c r="AX151" s="254">
        <f t="shared" si="110"/>
        <v>0</v>
      </c>
      <c r="AY151" s="254">
        <f t="shared" si="110"/>
        <v>0</v>
      </c>
      <c r="AZ151" s="254">
        <f t="shared" si="110"/>
        <v>0</v>
      </c>
      <c r="BA151" s="254">
        <f t="shared" si="110"/>
        <v>0</v>
      </c>
      <c r="BB151" s="254">
        <f t="shared" si="110"/>
        <v>0</v>
      </c>
      <c r="BC151" s="254">
        <f t="shared" si="110"/>
        <v>0</v>
      </c>
      <c r="BD151" s="254">
        <f t="shared" si="110"/>
        <v>0</v>
      </c>
      <c r="BE151" s="254">
        <f t="shared" si="110"/>
        <v>0</v>
      </c>
      <c r="BF151" s="254">
        <f t="shared" si="110"/>
        <v>0</v>
      </c>
      <c r="BG151" s="254">
        <f t="shared" si="110"/>
        <v>0</v>
      </c>
    </row>
    <row r="152" spans="4:59" hidden="1" outlineLevel="1">
      <c r="D152" t="s">
        <v>737</v>
      </c>
      <c r="E152"/>
      <c r="F152"/>
      <c r="G152"/>
      <c r="H152"/>
      <c r="I152"/>
      <c r="J152"/>
      <c r="K152"/>
      <c r="L152"/>
      <c r="M152"/>
      <c r="N152"/>
      <c r="O152"/>
      <c r="P152"/>
      <c r="Q152"/>
      <c r="R152"/>
      <c r="S152" s="392"/>
      <c r="T152" s="310">
        <f>-SUM(T101:T102)*GA!$G$579*GA!$G$572</f>
        <v>0</v>
      </c>
      <c r="U152" s="310">
        <f>-SUM(U101:U102)*GA!$G$579*GA!$G$572</f>
        <v>0</v>
      </c>
      <c r="V152" s="310">
        <f>-SUM(V101:V102)*GA!$G$579*GA!$G$572</f>
        <v>0</v>
      </c>
      <c r="W152" s="310">
        <f>-SUM(W101:W102)*GA!$G$579*GA!$G$572</f>
        <v>0</v>
      </c>
      <c r="X152" s="310">
        <f>-SUM(X101:X102)*GA!$G$579*GA!$G$572</f>
        <v>0</v>
      </c>
      <c r="Y152" s="310">
        <f>-SUM(Y101:Y102)*GA!$G$579*GA!$G$572</f>
        <v>0</v>
      </c>
      <c r="Z152" s="310">
        <f>-SUM(Z101:Z102)*GA!$G$579*GA!$G$572</f>
        <v>0</v>
      </c>
      <c r="AA152" s="310">
        <f>-SUM(AA101:AA102)*GA!$G$579*GA!$G$572</f>
        <v>0</v>
      </c>
      <c r="AB152" s="310">
        <f>-SUM(AB101:AB102)*GA!$G$579*GA!$G$572</f>
        <v>0</v>
      </c>
      <c r="AC152" s="310">
        <f>-SUM(AC101:AC102)*GA!$G$579*GA!$G$572</f>
        <v>0</v>
      </c>
      <c r="AD152" s="310">
        <f>-SUM(AD101:AD102)*GA!$G$579*GA!$G$572</f>
        <v>0</v>
      </c>
      <c r="AE152" s="310">
        <f>-SUM(AE101:AE102)*GA!$G$579*GA!$G$572</f>
        <v>0</v>
      </c>
      <c r="AF152" s="310">
        <f>-SUM(AF101:AF102)*GA!$G$579*GA!$G$572</f>
        <v>0</v>
      </c>
      <c r="AG152" s="310">
        <f>-SUM(AG101:AG102)*GA!$G$579*GA!$G$572</f>
        <v>0</v>
      </c>
      <c r="AH152" s="310">
        <f>-SUM(AH101:AH102)*GA!$G$579*GA!$G$572</f>
        <v>0</v>
      </c>
      <c r="AI152" s="310">
        <f>-SUM(AI101:AI102)*GA!$G$579*GA!$G$572</f>
        <v>0</v>
      </c>
      <c r="AJ152" s="310">
        <f>-SUM(AJ101:AJ102)*GA!$G$579*GA!$G$572</f>
        <v>0</v>
      </c>
      <c r="AK152" s="310">
        <f>-SUM(AK101:AK102)*GA!$G$579*GA!$G$572</f>
        <v>0</v>
      </c>
      <c r="AL152" s="310">
        <f>-SUM(AL101:AL102)*GA!$G$579*GA!$G$572</f>
        <v>0</v>
      </c>
      <c r="AM152" s="310">
        <f>-SUM(AM101:AM102)*GA!$G$579*GA!$G$572</f>
        <v>0</v>
      </c>
      <c r="AN152" s="310">
        <f>-SUM(AN101:AN102)*GA!$G$579*GA!$G$572</f>
        <v>0</v>
      </c>
      <c r="AO152" s="310">
        <f>-SUM(AO101:AO102)*GA!$G$579*GA!$G$572</f>
        <v>0</v>
      </c>
      <c r="AP152" s="310">
        <f>-SUM(AP101:AP102)*GA!$G$579*GA!$G$572</f>
        <v>0</v>
      </c>
      <c r="AQ152" s="310">
        <f>-SUM(AQ101:AQ102)*GA!$G$579*GA!$G$572</f>
        <v>0</v>
      </c>
      <c r="AR152" s="310">
        <f>-SUM(AR101:AR102)*GA!$G$579*GA!$G$572</f>
        <v>0</v>
      </c>
      <c r="AS152" s="310">
        <f>-SUM(AS101:AS102)*GA!$G$579*GA!$G$572</f>
        <v>0</v>
      </c>
      <c r="AT152" s="310">
        <f>-SUM(AT101:AT102)*GA!$G$579*GA!$G$572</f>
        <v>0</v>
      </c>
      <c r="AU152" s="310">
        <f>-SUM(AU101:AU102)*GA!$G$579*GA!$G$572</f>
        <v>0</v>
      </c>
      <c r="AV152" s="310">
        <f>-SUM(AV101:AV102)*GA!$G$579*GA!$G$572</f>
        <v>0</v>
      </c>
      <c r="AW152" s="310">
        <f>-SUM(AW101:AW102)*GA!$G$579*GA!$G$572</f>
        <v>0</v>
      </c>
      <c r="AX152" s="310">
        <f>-SUM(AX101:AX102)*GA!$G$579*GA!$G$572</f>
        <v>0</v>
      </c>
      <c r="AY152" s="310">
        <f>-SUM(AY101:AY102)*GA!$G$579*GA!$G$572</f>
        <v>0</v>
      </c>
      <c r="AZ152" s="310">
        <f>-SUM(AZ101:AZ102)*GA!$G$579*GA!$G$572</f>
        <v>0</v>
      </c>
      <c r="BA152" s="310">
        <f>-SUM(BA101:BA102)*GA!$G$579*GA!$G$572</f>
        <v>0</v>
      </c>
      <c r="BB152" s="310">
        <f>-SUM(BB101:BB102)*GA!$G$579*GA!$G$572</f>
        <v>0</v>
      </c>
      <c r="BC152" s="310">
        <f>-SUM(BC101:BC102)*GA!$G$579*GA!$G$572</f>
        <v>0</v>
      </c>
      <c r="BD152" s="310">
        <f>-SUM(BD101:BD102)*GA!$G$579*GA!$G$572</f>
        <v>0</v>
      </c>
      <c r="BE152" s="310">
        <f>-SUM(BE101:BE102)*GA!$G$579*GA!$G$572</f>
        <v>0</v>
      </c>
      <c r="BF152" s="310">
        <f>-SUM(BF101:BF102)*GA!$G$579*GA!$G$572</f>
        <v>0</v>
      </c>
      <c r="BG152" s="310">
        <f>-SUM(BG101:BG102)*GA!$G$579*GA!$G$572</f>
        <v>0</v>
      </c>
    </row>
    <row r="153" spans="4:59" hidden="1" outlineLevel="1">
      <c r="D153" t="s">
        <v>580</v>
      </c>
      <c r="E153"/>
      <c r="F153"/>
      <c r="G153"/>
      <c r="H153"/>
      <c r="I153"/>
      <c r="J153"/>
      <c r="K153"/>
      <c r="L153"/>
      <c r="M153"/>
      <c r="N153"/>
      <c r="O153"/>
      <c r="P153"/>
      <c r="Q153"/>
      <c r="R153"/>
      <c r="S153" s="392"/>
      <c r="T153" s="310">
        <f>MIN(-MIN(T116,T151)-SUM(T151:T152)*(T12=GA!$G$594),0)</f>
        <v>0</v>
      </c>
      <c r="U153" s="310">
        <f>MIN(-MIN(U116,U151)-SUM(U151:U152)*(U12=GA!$G$594),0)</f>
        <v>0</v>
      </c>
      <c r="V153" s="310">
        <f>MIN(-MIN(V116,V151)-SUM(V151:V152)*(V12=GA!$G$594),0)</f>
        <v>0</v>
      </c>
      <c r="W153" s="310">
        <f>MIN(-MIN(W116,W151)-SUM(W151:W152)*(W12=GA!$G$594),0)</f>
        <v>0</v>
      </c>
      <c r="X153" s="310">
        <f>MIN(-MIN(X116,X151)-SUM(X151:X152)*(X12=GA!$G$594),0)</f>
        <v>0</v>
      </c>
      <c r="Y153" s="310">
        <f>MIN(-MIN(Y116,Y151)-SUM(Y151:Y152)*(Y12=GA!$G$594),0)</f>
        <v>0</v>
      </c>
      <c r="Z153" s="310">
        <f>MIN(-MIN(Z116,Z151)-SUM(Z151:Z152)*(Z12=GA!$G$594),0)</f>
        <v>0</v>
      </c>
      <c r="AA153" s="310">
        <f>MIN(-MIN(AA116,AA151)-SUM(AA151:AA152)*(AA12=GA!$G$594),0)</f>
        <v>0</v>
      </c>
      <c r="AB153" s="310">
        <f>MIN(-MIN(AB116,AB151)-SUM(AB151:AB152)*(AB12=GA!$G$594),0)</f>
        <v>0</v>
      </c>
      <c r="AC153" s="310">
        <f>MIN(-MIN(AC116,AC151)-SUM(AC151:AC152)*(AC12=GA!$G$594),0)</f>
        <v>0</v>
      </c>
      <c r="AD153" s="310">
        <f>MIN(-MIN(AD116,AD151)-SUM(AD151:AD152)*(AD12=GA!$G$594),0)</f>
        <v>0</v>
      </c>
      <c r="AE153" s="310">
        <f>MIN(-MIN(AE116,AE151)-SUM(AE151:AE152)*(AE12=GA!$G$594),0)</f>
        <v>0</v>
      </c>
      <c r="AF153" s="310">
        <f>MIN(-MIN(AF116,AF151)-SUM(AF151:AF152)*(AF12=GA!$G$594),0)</f>
        <v>0</v>
      </c>
      <c r="AG153" s="310">
        <f>MIN(-MIN(AG116,AG151)-SUM(AG151:AG152)*(AG12=GA!$G$594),0)</f>
        <v>0</v>
      </c>
      <c r="AH153" s="310">
        <f>MIN(-MIN(AH116,AH151)-SUM(AH151:AH152)*(AH12=GA!$G$594),0)</f>
        <v>0</v>
      </c>
      <c r="AI153" s="310">
        <f>MIN(-MIN(AI116,AI151)-SUM(AI151:AI152)*(AI12=GA!$G$594),0)</f>
        <v>0</v>
      </c>
      <c r="AJ153" s="310">
        <f>MIN(-MIN(AJ116,AJ151)-SUM(AJ151:AJ152)*(AJ12=GA!$G$594),0)</f>
        <v>0</v>
      </c>
      <c r="AK153" s="310">
        <f>MIN(-MIN(AK116,AK151)-SUM(AK151:AK152)*(AK12=GA!$G$594),0)</f>
        <v>0</v>
      </c>
      <c r="AL153" s="310">
        <f>MIN(-MIN(AL116,AL151)-SUM(AL151:AL152)*(AL12=GA!$G$594),0)</f>
        <v>0</v>
      </c>
      <c r="AM153" s="310">
        <f>MIN(-MIN(AM116,AM151)-SUM(AM151:AM152)*(AM12=GA!$G$594),0)</f>
        <v>0</v>
      </c>
      <c r="AN153" s="310">
        <f>MIN(-MIN(AN116,AN151)-SUM(AN151:AN152)*(AN12=GA!$G$594),0)</f>
        <v>0</v>
      </c>
      <c r="AO153" s="310">
        <f>MIN(-MIN(AO116,AO151)-SUM(AO151:AO152)*(AO12=GA!$G$594),0)</f>
        <v>0</v>
      </c>
      <c r="AP153" s="310">
        <f>MIN(-MIN(AP116,AP151)-SUM(AP151:AP152)*(AP12=GA!$G$594),0)</f>
        <v>0</v>
      </c>
      <c r="AQ153" s="310">
        <f>MIN(-MIN(AQ116,AQ151)-SUM(AQ151:AQ152)*(AQ12=GA!$G$594),0)</f>
        <v>0</v>
      </c>
      <c r="AR153" s="310">
        <f>MIN(-MIN(AR116,AR151)-SUM(AR151:AR152)*(AR12=GA!$G$594),0)</f>
        <v>0</v>
      </c>
      <c r="AS153" s="310">
        <f>MIN(-MIN(AS116,AS151)-SUM(AS151:AS152)*(AS12=GA!$G$594),0)</f>
        <v>0</v>
      </c>
      <c r="AT153" s="310">
        <f>MIN(-MIN(AT116,AT151)-SUM(AT151:AT152)*(AT12=GA!$G$594),0)</f>
        <v>0</v>
      </c>
      <c r="AU153" s="310">
        <f>MIN(-MIN(AU116,AU151)-SUM(AU151:AU152)*(AU12=GA!$G$594),0)</f>
        <v>0</v>
      </c>
      <c r="AV153" s="310">
        <f>MIN(-MIN(AV116,AV151)-SUM(AV151:AV152)*(AV12=GA!$G$594),0)</f>
        <v>0</v>
      </c>
      <c r="AW153" s="310">
        <f>MIN(-MIN(AW116,AW151)-SUM(AW151:AW152)*(AW12=GA!$G$594),0)</f>
        <v>0</v>
      </c>
      <c r="AX153" s="310">
        <f>MIN(-MIN(AX116,AX151)-SUM(AX151:AX152)*(AX12=GA!$G$594),0)</f>
        <v>0</v>
      </c>
      <c r="AY153" s="310">
        <f>MIN(-MIN(AY116,AY151)-SUM(AY151:AY152)*(AY12=GA!$G$594),0)</f>
        <v>0</v>
      </c>
      <c r="AZ153" s="310">
        <f>MIN(-MIN(AZ116,AZ151)-SUM(AZ151:AZ152)*(AZ12=GA!$G$594),0)</f>
        <v>0</v>
      </c>
      <c r="BA153" s="310">
        <f>MIN(-MIN(BA116,BA151)-SUM(BA151:BA152)*(BA12=GA!$G$594),0)</f>
        <v>0</v>
      </c>
      <c r="BB153" s="310">
        <f>MIN(-MIN(BB116,BB151)-SUM(BB151:BB152)*(BB12=GA!$G$594),0)</f>
        <v>0</v>
      </c>
      <c r="BC153" s="310">
        <f>MIN(-MIN(BC116,BC151)-SUM(BC151:BC152)*(BC12=GA!$G$594),0)</f>
        <v>0</v>
      </c>
      <c r="BD153" s="310">
        <f>MIN(-MIN(BD116,BD151)-SUM(BD151:BD152)*(BD12=GA!$G$594),0)</f>
        <v>0</v>
      </c>
      <c r="BE153" s="310">
        <f>MIN(-MIN(BE116,BE151)-SUM(BE151:BE152)*(BE12=GA!$G$594),0)</f>
        <v>0</v>
      </c>
      <c r="BF153" s="310">
        <f>MIN(-MIN(BF116,BF151)-SUM(BF151:BF152)*(BF12=GA!$G$594),0)</f>
        <v>0</v>
      </c>
      <c r="BG153" s="310">
        <f>MIN(-MIN(BG116,BG151)-SUM(BG151:BG152)*(BG12=GA!$G$594),0)</f>
        <v>0</v>
      </c>
    </row>
    <row r="154" spans="4:59" hidden="1" outlineLevel="1">
      <c r="D154" s="253" t="s">
        <v>706</v>
      </c>
      <c r="E154" s="268"/>
      <c r="F154" s="268"/>
      <c r="G154" s="268"/>
      <c r="H154" s="268"/>
      <c r="I154" s="268"/>
      <c r="J154" s="268"/>
      <c r="K154" s="268"/>
      <c r="L154" s="268"/>
      <c r="M154" s="268"/>
      <c r="N154" s="268"/>
      <c r="O154" s="268"/>
      <c r="P154" s="268"/>
      <c r="Q154" s="268"/>
      <c r="R154" s="268"/>
      <c r="S154" s="254">
        <f t="shared" ref="S154:BG154" si="111">SUM(S151:S153)</f>
        <v>0</v>
      </c>
      <c r="T154" s="254">
        <f t="shared" si="111"/>
        <v>0</v>
      </c>
      <c r="U154" s="254">
        <f t="shared" si="111"/>
        <v>0</v>
      </c>
      <c r="V154" s="254">
        <f t="shared" si="111"/>
        <v>0</v>
      </c>
      <c r="W154" s="254">
        <f t="shared" si="111"/>
        <v>0</v>
      </c>
      <c r="X154" s="254">
        <f t="shared" si="111"/>
        <v>0</v>
      </c>
      <c r="Y154" s="254">
        <f t="shared" si="111"/>
        <v>0</v>
      </c>
      <c r="Z154" s="254">
        <f t="shared" si="111"/>
        <v>0</v>
      </c>
      <c r="AA154" s="254">
        <f t="shared" si="111"/>
        <v>0</v>
      </c>
      <c r="AB154" s="254">
        <f t="shared" si="111"/>
        <v>0</v>
      </c>
      <c r="AC154" s="254">
        <f t="shared" si="111"/>
        <v>0</v>
      </c>
      <c r="AD154" s="254">
        <f t="shared" si="111"/>
        <v>0</v>
      </c>
      <c r="AE154" s="254">
        <f t="shared" si="111"/>
        <v>0</v>
      </c>
      <c r="AF154" s="254">
        <f t="shared" si="111"/>
        <v>0</v>
      </c>
      <c r="AG154" s="254">
        <f t="shared" si="111"/>
        <v>0</v>
      </c>
      <c r="AH154" s="254">
        <f t="shared" si="111"/>
        <v>0</v>
      </c>
      <c r="AI154" s="254">
        <f t="shared" si="111"/>
        <v>0</v>
      </c>
      <c r="AJ154" s="254">
        <f t="shared" si="111"/>
        <v>0</v>
      </c>
      <c r="AK154" s="254">
        <f t="shared" si="111"/>
        <v>0</v>
      </c>
      <c r="AL154" s="254">
        <f t="shared" si="111"/>
        <v>0</v>
      </c>
      <c r="AM154" s="254">
        <f t="shared" si="111"/>
        <v>0</v>
      </c>
      <c r="AN154" s="254">
        <f t="shared" si="111"/>
        <v>0</v>
      </c>
      <c r="AO154" s="254">
        <f t="shared" si="111"/>
        <v>0</v>
      </c>
      <c r="AP154" s="254">
        <f t="shared" si="111"/>
        <v>0</v>
      </c>
      <c r="AQ154" s="254">
        <f t="shared" si="111"/>
        <v>0</v>
      </c>
      <c r="AR154" s="254">
        <f t="shared" si="111"/>
        <v>0</v>
      </c>
      <c r="AS154" s="254">
        <f t="shared" si="111"/>
        <v>0</v>
      </c>
      <c r="AT154" s="254">
        <f t="shared" si="111"/>
        <v>0</v>
      </c>
      <c r="AU154" s="254">
        <f t="shared" si="111"/>
        <v>0</v>
      </c>
      <c r="AV154" s="254">
        <f t="shared" si="111"/>
        <v>0</v>
      </c>
      <c r="AW154" s="254">
        <f t="shared" si="111"/>
        <v>0</v>
      </c>
      <c r="AX154" s="254">
        <f t="shared" si="111"/>
        <v>0</v>
      </c>
      <c r="AY154" s="254">
        <f t="shared" si="111"/>
        <v>0</v>
      </c>
      <c r="AZ154" s="254">
        <f t="shared" si="111"/>
        <v>0</v>
      </c>
      <c r="BA154" s="254">
        <f t="shared" si="111"/>
        <v>0</v>
      </c>
      <c r="BB154" s="254">
        <f t="shared" si="111"/>
        <v>0</v>
      </c>
      <c r="BC154" s="254">
        <f t="shared" si="111"/>
        <v>0</v>
      </c>
      <c r="BD154" s="254">
        <f t="shared" si="111"/>
        <v>0</v>
      </c>
      <c r="BE154" s="254">
        <f t="shared" si="111"/>
        <v>0</v>
      </c>
      <c r="BF154" s="254">
        <f t="shared" si="111"/>
        <v>0</v>
      </c>
      <c r="BG154" s="254">
        <f t="shared" si="111"/>
        <v>0</v>
      </c>
    </row>
    <row r="155" spans="4:59" hidden="1" outlineLevel="1">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row>
    <row r="156" spans="4:59" hidden="1" outlineLevel="1">
      <c r="D156" s="364" t="s">
        <v>721</v>
      </c>
      <c r="E156" s="17"/>
      <c r="F156" s="17"/>
      <c r="G156" s="17"/>
      <c r="H156" s="17"/>
      <c r="I156" s="17"/>
      <c r="J156" s="17"/>
      <c r="K156" s="17"/>
      <c r="L156" s="17"/>
      <c r="M156" s="17"/>
      <c r="N156" s="17"/>
      <c r="O156" s="17"/>
      <c r="P156" s="17"/>
      <c r="Q156" s="17"/>
      <c r="R156" s="17"/>
      <c r="S156" s="369"/>
      <c r="T156" s="369"/>
      <c r="U156" s="369"/>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row>
    <row r="157" spans="4:59" hidden="1" outlineLevel="1">
      <c r="D157" t="s">
        <v>719</v>
      </c>
      <c r="E157"/>
      <c r="F157"/>
      <c r="G157"/>
      <c r="H157"/>
      <c r="I157"/>
      <c r="J157"/>
      <c r="K157"/>
      <c r="L157"/>
      <c r="M157"/>
      <c r="N157"/>
      <c r="O157"/>
      <c r="P157"/>
      <c r="Q157"/>
      <c r="R157"/>
      <c r="S157" s="392"/>
      <c r="T157" s="117">
        <f>INDEX(GA!$G$602:$G$641,MATCH(T$12,GA!$E$602:$E$641,0))+INDEX(GA!$G$526:$G$565,MATCH(T$12,GA!$E$526:$E$565,0))</f>
        <v>1.7500000000000002E-2</v>
      </c>
      <c r="U157" s="117">
        <f>INDEX(GA!$G$602:$G$641,MATCH(U$12,GA!$E$602:$E$641,0))+INDEX(GA!$G$526:$G$565,MATCH(U$12,GA!$E$526:$E$565,0))</f>
        <v>1.7500000000000002E-2</v>
      </c>
      <c r="V157" s="117">
        <f>INDEX(GA!$G$602:$G$641,MATCH(V$12,GA!$E$602:$E$641,0))+INDEX(GA!$G$526:$G$565,MATCH(V$12,GA!$E$526:$E$565,0))</f>
        <v>1.7500000000000002E-2</v>
      </c>
      <c r="W157" s="117">
        <f>INDEX(GA!$G$602:$G$641,MATCH(W$12,GA!$E$602:$E$641,0))+INDEX(GA!$G$526:$G$565,MATCH(W$12,GA!$E$526:$E$565,0))</f>
        <v>1.7500000000000002E-2</v>
      </c>
      <c r="X157" s="117">
        <f>INDEX(GA!$G$602:$G$641,MATCH(X$12,GA!$E$602:$E$641,0))+INDEX(GA!$G$526:$G$565,MATCH(X$12,GA!$E$526:$E$565,0))</f>
        <v>1.7500000000000002E-2</v>
      </c>
      <c r="Y157" s="117">
        <f>INDEX(GA!$G$602:$G$641,MATCH(Y$12,GA!$E$602:$E$641,0))+INDEX(GA!$G$526:$G$565,MATCH(Y$12,GA!$E$526:$E$565,0))</f>
        <v>1.7500000000000002E-2</v>
      </c>
      <c r="Z157" s="117">
        <f>INDEX(GA!$G$602:$G$641,MATCH(Z$12,GA!$E$602:$E$641,0))+INDEX(GA!$G$526:$G$565,MATCH(Z$12,GA!$E$526:$E$565,0))</f>
        <v>1.7500000000000002E-2</v>
      </c>
      <c r="AA157" s="117">
        <f>INDEX(GA!$G$602:$G$641,MATCH(AA$12,GA!$E$602:$E$641,0))+INDEX(GA!$G$526:$G$565,MATCH(AA$12,GA!$E$526:$E$565,0))</f>
        <v>1.7500000000000002E-2</v>
      </c>
      <c r="AB157" s="117">
        <f>INDEX(GA!$G$602:$G$641,MATCH(AB$12,GA!$E$602:$E$641,0))+INDEX(GA!$G$526:$G$565,MATCH(AB$12,GA!$E$526:$E$565,0))</f>
        <v>1.7500000000000002E-2</v>
      </c>
      <c r="AC157" s="117">
        <f>INDEX(GA!$G$602:$G$641,MATCH(AC$12,GA!$E$602:$E$641,0))+INDEX(GA!$G$526:$G$565,MATCH(AC$12,GA!$E$526:$E$565,0))</f>
        <v>1.7500000000000002E-2</v>
      </c>
      <c r="AD157" s="117">
        <f>INDEX(GA!$G$602:$G$641,MATCH(AD$12,GA!$E$602:$E$641,0))+INDEX(GA!$G$526:$G$565,MATCH(AD$12,GA!$E$526:$E$565,0))</f>
        <v>1.7500000000000002E-2</v>
      </c>
      <c r="AE157" s="117">
        <f>INDEX(GA!$G$602:$G$641,MATCH(AE$12,GA!$E$602:$E$641,0))+INDEX(GA!$G$526:$G$565,MATCH(AE$12,GA!$E$526:$E$565,0))</f>
        <v>1.7500000000000002E-2</v>
      </c>
      <c r="AF157" s="117">
        <f>INDEX(GA!$G$602:$G$641,MATCH(AF$12,GA!$E$602:$E$641,0))+INDEX(GA!$G$526:$G$565,MATCH(AF$12,GA!$E$526:$E$565,0))</f>
        <v>1.7500000000000002E-2</v>
      </c>
      <c r="AG157" s="117">
        <f>INDEX(GA!$G$602:$G$641,MATCH(AG$12,GA!$E$602:$E$641,0))+INDEX(GA!$G$526:$G$565,MATCH(AG$12,GA!$E$526:$E$565,0))</f>
        <v>1.7500000000000002E-2</v>
      </c>
      <c r="AH157" s="117">
        <f>INDEX(GA!$G$602:$G$641,MATCH(AH$12,GA!$E$602:$E$641,0))+INDEX(GA!$G$526:$G$565,MATCH(AH$12,GA!$E$526:$E$565,0))</f>
        <v>1.7500000000000002E-2</v>
      </c>
      <c r="AI157" s="117">
        <f>INDEX(GA!$G$602:$G$641,MATCH(AI$12,GA!$E$602:$E$641,0))+INDEX(GA!$G$526:$G$565,MATCH(AI$12,GA!$E$526:$E$565,0))</f>
        <v>1.7500000000000002E-2</v>
      </c>
      <c r="AJ157" s="117">
        <f>INDEX(GA!$G$602:$G$641,MATCH(AJ$12,GA!$E$602:$E$641,0))+INDEX(GA!$G$526:$G$565,MATCH(AJ$12,GA!$E$526:$E$565,0))</f>
        <v>1.7500000000000002E-2</v>
      </c>
      <c r="AK157" s="117">
        <f>INDEX(GA!$G$602:$G$641,MATCH(AK$12,GA!$E$602:$E$641,0))+INDEX(GA!$G$526:$G$565,MATCH(AK$12,GA!$E$526:$E$565,0))</f>
        <v>1.7500000000000002E-2</v>
      </c>
      <c r="AL157" s="117">
        <f>INDEX(GA!$G$602:$G$641,MATCH(AL$12,GA!$E$602:$E$641,0))+INDEX(GA!$G$526:$G$565,MATCH(AL$12,GA!$E$526:$E$565,0))</f>
        <v>1.7500000000000002E-2</v>
      </c>
      <c r="AM157" s="117">
        <f>INDEX(GA!$G$602:$G$641,MATCH(AM$12,GA!$E$602:$E$641,0))+INDEX(GA!$G$526:$G$565,MATCH(AM$12,GA!$E$526:$E$565,0))</f>
        <v>1.7500000000000002E-2</v>
      </c>
      <c r="AN157" s="117">
        <f>INDEX(GA!$G$602:$G$641,MATCH(AN$12,GA!$E$602:$E$641,0))+INDEX(GA!$G$526:$G$565,MATCH(AN$12,GA!$E$526:$E$565,0))</f>
        <v>1.7590100000000001E-2</v>
      </c>
      <c r="AO157" s="117">
        <f>INDEX(GA!$G$602:$G$641,MATCH(AO$12,GA!$E$602:$E$641,0))+INDEX(GA!$G$526:$G$565,MATCH(AO$12,GA!$E$526:$E$565,0))</f>
        <v>1.7758800000000002E-2</v>
      </c>
      <c r="AP157" s="117">
        <f>INDEX(GA!$G$602:$G$641,MATCH(AP$12,GA!$E$602:$E$641,0))+INDEX(GA!$G$526:$G$565,MATCH(AP$12,GA!$E$526:$E$565,0))</f>
        <v>1.8115700000000002E-2</v>
      </c>
      <c r="AQ157" s="117">
        <f>INDEX(GA!$G$602:$G$641,MATCH(AQ$12,GA!$E$602:$E$641,0))+INDEX(GA!$G$526:$G$565,MATCH(AQ$12,GA!$E$526:$E$565,0))</f>
        <v>1.86564E-2</v>
      </c>
      <c r="AR157" s="117">
        <f>INDEX(GA!$G$602:$G$641,MATCH(AR$12,GA!$E$602:$E$641,0))+INDEX(GA!$G$526:$G$565,MATCH(AR$12,GA!$E$526:$E$565,0))</f>
        <v>1.9347200000000002E-2</v>
      </c>
      <c r="AS157" s="117">
        <f>INDEX(GA!$G$602:$G$641,MATCH(AS$12,GA!$E$602:$E$641,0))+INDEX(GA!$G$526:$G$565,MATCH(AS$12,GA!$E$526:$E$565,0))</f>
        <v>2.0004500000000001E-2</v>
      </c>
      <c r="AT157" s="117">
        <f>INDEX(GA!$G$602:$G$641,MATCH(AT$12,GA!$E$602:$E$641,0))+INDEX(GA!$G$526:$G$565,MATCH(AT$12,GA!$E$526:$E$565,0))</f>
        <v>2.0529100000000002E-2</v>
      </c>
      <c r="AU157" s="117">
        <f>INDEX(GA!$G$602:$G$641,MATCH(AU$12,GA!$E$602:$E$641,0))+INDEX(GA!$G$526:$G$565,MATCH(AU$12,GA!$E$526:$E$565,0))</f>
        <v>2.0886600000000002E-2</v>
      </c>
      <c r="AV157" s="117">
        <f>INDEX(GA!$G$602:$G$641,MATCH(AV$12,GA!$E$602:$E$641,0))+INDEX(GA!$G$526:$G$565,MATCH(AV$12,GA!$E$526:$E$565,0))</f>
        <v>2.1124400000000002E-2</v>
      </c>
      <c r="AW157" s="117">
        <f>INDEX(GA!$G$602:$G$641,MATCH(AW$12,GA!$E$602:$E$641,0))+INDEX(GA!$G$526:$G$565,MATCH(AW$12,GA!$E$526:$E$565,0))</f>
        <v>2.1332700000000003E-2</v>
      </c>
      <c r="AX157" s="117">
        <f>INDEX(GA!$G$602:$G$641,MATCH(AX$12,GA!$E$602:$E$641,0))+INDEX(GA!$G$526:$G$565,MATCH(AX$12,GA!$E$526:$E$565,0))</f>
        <v>2.1619600000000003E-2</v>
      </c>
      <c r="AY157" s="117">
        <f>INDEX(GA!$G$602:$G$641,MATCH(AY$12,GA!$E$602:$E$641,0))+INDEX(GA!$G$526:$G$565,MATCH(AY$12,GA!$E$526:$E$565,0))</f>
        <v>2.2002800000000003E-2</v>
      </c>
      <c r="AZ157" s="117">
        <f>INDEX(GA!$G$602:$G$641,MATCH(AZ$12,GA!$E$602:$E$641,0))+INDEX(GA!$G$526:$G$565,MATCH(AZ$12,GA!$E$526:$E$565,0))</f>
        <v>2.2472400000000003E-2</v>
      </c>
      <c r="BA157" s="117">
        <f>INDEX(GA!$G$602:$G$641,MATCH(BA$12,GA!$E$602:$E$641,0))+INDEX(GA!$G$526:$G$565,MATCH(BA$12,GA!$E$526:$E$565,0))</f>
        <v>2.29141E-2</v>
      </c>
      <c r="BB157" s="117">
        <f>INDEX(GA!$G$602:$G$641,MATCH(BB$12,GA!$E$602:$E$641,0))+INDEX(GA!$G$526:$G$565,MATCH(BB$12,GA!$E$526:$E$565,0))</f>
        <v>2.3303400000000002E-2</v>
      </c>
      <c r="BC157" s="117">
        <f>INDEX(GA!$G$602:$G$641,MATCH(BC$12,GA!$E$602:$E$641,0))+INDEX(GA!$G$526:$G$565,MATCH(BC$12,GA!$E$526:$E$565,0))</f>
        <v>2.3611900000000002E-2</v>
      </c>
      <c r="BD157" s="117">
        <f>INDEX(GA!$G$602:$G$641,MATCH(BD$12,GA!$E$602:$E$641,0))+INDEX(GA!$G$526:$G$565,MATCH(BD$12,GA!$E$526:$E$565,0))</f>
        <v>2.3861400000000001E-2</v>
      </c>
      <c r="BE157" s="117">
        <f>INDEX(GA!$G$602:$G$641,MATCH(BE$12,GA!$E$602:$E$641,0))+INDEX(GA!$G$526:$G$565,MATCH(BE$12,GA!$E$526:$E$565,0))</f>
        <v>2.4068900000000001E-2</v>
      </c>
      <c r="BF157" s="117">
        <f>INDEX(GA!$G$602:$G$641,MATCH(BF$12,GA!$E$602:$E$641,0))+INDEX(GA!$G$526:$G$565,MATCH(BF$12,GA!$E$526:$E$565,0))</f>
        <v>2.4302700000000003E-2</v>
      </c>
      <c r="BG157" s="117">
        <f>INDEX(GA!$G$602:$G$641,MATCH(BG$12,GA!$E$602:$E$641,0))+INDEX(GA!$G$526:$G$565,MATCH(BG$12,GA!$E$526:$E$565,0))</f>
        <v>2.4565700000000003E-2</v>
      </c>
    </row>
    <row r="158" spans="4:59" hidden="1" outlineLevel="1">
      <c r="D158" s="253" t="s">
        <v>720</v>
      </c>
      <c r="E158" s="268"/>
      <c r="F158" s="268"/>
      <c r="G158" s="268"/>
      <c r="H158" s="268"/>
      <c r="I158" s="268"/>
      <c r="J158" s="268"/>
      <c r="K158" s="268"/>
      <c r="L158" s="268"/>
      <c r="M158" s="268"/>
      <c r="N158" s="268"/>
      <c r="O158" s="268"/>
      <c r="P158" s="268"/>
      <c r="Q158" s="268"/>
      <c r="R158" s="268"/>
      <c r="S158" s="153"/>
      <c r="T158" s="254">
        <f>-T157*T151*T$15/GA!$G$599</f>
        <v>0</v>
      </c>
      <c r="U158" s="254">
        <f>-U157*U151*U$15/GA!$G$599</f>
        <v>0</v>
      </c>
      <c r="V158" s="254">
        <f>-V157*V151*V$15/GA!$G$599</f>
        <v>0</v>
      </c>
      <c r="W158" s="254">
        <f>-W157*W151*W$15/GA!$G$599</f>
        <v>0</v>
      </c>
      <c r="X158" s="254">
        <f>-X157*X151*X$15/GA!$G$599</f>
        <v>0</v>
      </c>
      <c r="Y158" s="254">
        <f>-Y157*Y151*Y$15/GA!$G$599</f>
        <v>0</v>
      </c>
      <c r="Z158" s="254">
        <f>-Z157*Z151*Z$15/GA!$G$599</f>
        <v>0</v>
      </c>
      <c r="AA158" s="254">
        <f>-AA157*AA151*AA$15/GA!$G$599</f>
        <v>0</v>
      </c>
      <c r="AB158" s="254">
        <f>-AB157*AB151*AB$15/GA!$G$599</f>
        <v>0</v>
      </c>
      <c r="AC158" s="254">
        <f>-AC157*AC151*AC$15/GA!$G$599</f>
        <v>0</v>
      </c>
      <c r="AD158" s="254">
        <f>-AD157*AD151*AD$15/GA!$G$599</f>
        <v>0</v>
      </c>
      <c r="AE158" s="254">
        <f>-AE157*AE151*AE$15/GA!$G$599</f>
        <v>0</v>
      </c>
      <c r="AF158" s="254">
        <f>-AF157*AF151*AF$15/GA!$G$599</f>
        <v>0</v>
      </c>
      <c r="AG158" s="254">
        <f>-AG157*AG151*AG$15/GA!$G$599</f>
        <v>0</v>
      </c>
      <c r="AH158" s="254">
        <f>-AH157*AH151*AH$15/GA!$G$599</f>
        <v>0</v>
      </c>
      <c r="AI158" s="254">
        <f>-AI157*AI151*AI$15/GA!$G$599</f>
        <v>0</v>
      </c>
      <c r="AJ158" s="254">
        <f>-AJ157*AJ151*AJ$15/GA!$G$599</f>
        <v>0</v>
      </c>
      <c r="AK158" s="254">
        <f>-AK157*AK151*AK$15/GA!$G$599</f>
        <v>0</v>
      </c>
      <c r="AL158" s="254">
        <f>-AL157*AL151*AL$15/GA!$G$599</f>
        <v>0</v>
      </c>
      <c r="AM158" s="254">
        <f>-AM157*AM151*AM$15/GA!$G$599</f>
        <v>0</v>
      </c>
      <c r="AN158" s="254">
        <f>-AN157*AN151*AN$15/GA!$G$599</f>
        <v>0</v>
      </c>
      <c r="AO158" s="254">
        <f>-AO157*AO151*AO$15/GA!$G$599</f>
        <v>0</v>
      </c>
      <c r="AP158" s="254">
        <f>-AP157*AP151*AP$15/GA!$G$599</f>
        <v>0</v>
      </c>
      <c r="AQ158" s="254">
        <f>-AQ157*AQ151*AQ$15/GA!$G$599</f>
        <v>0</v>
      </c>
      <c r="AR158" s="254">
        <f>-AR157*AR151*AR$15/GA!$G$599</f>
        <v>0</v>
      </c>
      <c r="AS158" s="254">
        <f>-AS157*AS151*AS$15/GA!$G$599</f>
        <v>0</v>
      </c>
      <c r="AT158" s="254">
        <f>-AT157*AT151*AT$15/GA!$G$599</f>
        <v>0</v>
      </c>
      <c r="AU158" s="254">
        <f>-AU157*AU151*AU$15/GA!$G$599</f>
        <v>0</v>
      </c>
      <c r="AV158" s="254">
        <f>-AV157*AV151*AV$15/GA!$G$599</f>
        <v>0</v>
      </c>
      <c r="AW158" s="254">
        <f>-AW157*AW151*AW$15/GA!$G$599</f>
        <v>0</v>
      </c>
      <c r="AX158" s="254">
        <f>-AX157*AX151*AX$15/GA!$G$599</f>
        <v>0</v>
      </c>
      <c r="AY158" s="254">
        <f>-AY157*AY151*AY$15/GA!$G$599</f>
        <v>0</v>
      </c>
      <c r="AZ158" s="254">
        <f>-AZ157*AZ151*AZ$15/GA!$G$599</f>
        <v>0</v>
      </c>
      <c r="BA158" s="254">
        <f>-BA157*BA151*BA$15/GA!$G$599</f>
        <v>0</v>
      </c>
      <c r="BB158" s="254">
        <f>-BB157*BB151*BB$15/GA!$G$599</f>
        <v>0</v>
      </c>
      <c r="BC158" s="254">
        <f>-BC157*BC151*BC$15/GA!$G$599</f>
        <v>0</v>
      </c>
      <c r="BD158" s="254">
        <f>-BD157*BD151*BD$15/GA!$G$599</f>
        <v>0</v>
      </c>
      <c r="BE158" s="254">
        <f>-BE157*BE151*BE$15/GA!$G$599</f>
        <v>0</v>
      </c>
      <c r="BF158" s="254">
        <f>-BF157*BF151*BF$15/GA!$G$599</f>
        <v>0</v>
      </c>
      <c r="BG158" s="254">
        <f>-BG157*BG151*BG$15/GA!$G$599</f>
        <v>0</v>
      </c>
    </row>
    <row r="159" spans="4:59" hidden="1" outlineLevel="1">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row>
    <row r="160" spans="4:59" hidden="1" outlineLevel="1">
      <c r="D160" s="39" t="s">
        <v>722</v>
      </c>
      <c r="E160"/>
      <c r="F160"/>
      <c r="G160"/>
      <c r="H160"/>
      <c r="I160"/>
      <c r="J160"/>
      <c r="K160"/>
      <c r="L160"/>
      <c r="M160"/>
      <c r="N160"/>
      <c r="O160"/>
      <c r="P160"/>
      <c r="Q160"/>
      <c r="R160"/>
      <c r="S160"/>
      <c r="T160" s="31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row>
    <row r="161" spans="4:59" hidden="1" outlineLevel="1">
      <c r="D161" s="269" t="s">
        <v>723</v>
      </c>
      <c r="E161" s="412">
        <f>GA!$G$583</f>
        <v>5.0000000000000001E-3</v>
      </c>
      <c r="F161" s="269"/>
      <c r="G161" s="269"/>
      <c r="H161" s="269"/>
      <c r="I161" s="269"/>
      <c r="J161" s="269"/>
      <c r="K161" s="269"/>
      <c r="L161" s="269"/>
      <c r="M161" s="269"/>
      <c r="N161" s="269"/>
      <c r="O161" s="269"/>
      <c r="P161" s="269"/>
      <c r="Q161" s="269"/>
      <c r="R161" s="269"/>
      <c r="S161" s="248"/>
      <c r="T161" s="368">
        <f>-AND(T151=0,T152&gt;0)*SUM($T$152:$BG$152)*$E$161</f>
        <v>0</v>
      </c>
      <c r="U161" s="368">
        <f t="shared" ref="U161:BG161" si="112">-AND(U151=0,U152&gt;0)*SUM($T$152:$BG$152)*$E$161</f>
        <v>0</v>
      </c>
      <c r="V161" s="368">
        <f t="shared" si="112"/>
        <v>0</v>
      </c>
      <c r="W161" s="368">
        <f t="shared" si="112"/>
        <v>0</v>
      </c>
      <c r="X161" s="368">
        <f t="shared" si="112"/>
        <v>0</v>
      </c>
      <c r="Y161" s="368">
        <f t="shared" si="112"/>
        <v>0</v>
      </c>
      <c r="Z161" s="368">
        <f t="shared" si="112"/>
        <v>0</v>
      </c>
      <c r="AA161" s="368">
        <f t="shared" si="112"/>
        <v>0</v>
      </c>
      <c r="AB161" s="368">
        <f t="shared" si="112"/>
        <v>0</v>
      </c>
      <c r="AC161" s="368">
        <f t="shared" si="112"/>
        <v>0</v>
      </c>
      <c r="AD161" s="368">
        <f t="shared" si="112"/>
        <v>0</v>
      </c>
      <c r="AE161" s="368">
        <f t="shared" si="112"/>
        <v>0</v>
      </c>
      <c r="AF161" s="368">
        <f t="shared" si="112"/>
        <v>0</v>
      </c>
      <c r="AG161" s="368">
        <f t="shared" si="112"/>
        <v>0</v>
      </c>
      <c r="AH161" s="368">
        <f t="shared" si="112"/>
        <v>0</v>
      </c>
      <c r="AI161" s="368">
        <f t="shared" si="112"/>
        <v>0</v>
      </c>
      <c r="AJ161" s="368">
        <f t="shared" si="112"/>
        <v>0</v>
      </c>
      <c r="AK161" s="368">
        <f t="shared" si="112"/>
        <v>0</v>
      </c>
      <c r="AL161" s="368">
        <f t="shared" si="112"/>
        <v>0</v>
      </c>
      <c r="AM161" s="368">
        <f t="shared" si="112"/>
        <v>0</v>
      </c>
      <c r="AN161" s="368">
        <f t="shared" si="112"/>
        <v>0</v>
      </c>
      <c r="AO161" s="368">
        <f t="shared" si="112"/>
        <v>0</v>
      </c>
      <c r="AP161" s="368">
        <f t="shared" si="112"/>
        <v>0</v>
      </c>
      <c r="AQ161" s="368">
        <f t="shared" si="112"/>
        <v>0</v>
      </c>
      <c r="AR161" s="368">
        <f t="shared" si="112"/>
        <v>0</v>
      </c>
      <c r="AS161" s="368">
        <f t="shared" si="112"/>
        <v>0</v>
      </c>
      <c r="AT161" s="368">
        <f t="shared" si="112"/>
        <v>0</v>
      </c>
      <c r="AU161" s="368">
        <f t="shared" si="112"/>
        <v>0</v>
      </c>
      <c r="AV161" s="368">
        <f t="shared" si="112"/>
        <v>0</v>
      </c>
      <c r="AW161" s="368">
        <f t="shared" si="112"/>
        <v>0</v>
      </c>
      <c r="AX161" s="368">
        <f t="shared" si="112"/>
        <v>0</v>
      </c>
      <c r="AY161" s="368">
        <f t="shared" si="112"/>
        <v>0</v>
      </c>
      <c r="AZ161" s="368">
        <f t="shared" si="112"/>
        <v>0</v>
      </c>
      <c r="BA161" s="368">
        <f t="shared" si="112"/>
        <v>0</v>
      </c>
      <c r="BB161" s="368">
        <f t="shared" si="112"/>
        <v>0</v>
      </c>
      <c r="BC161" s="368">
        <f t="shared" si="112"/>
        <v>0</v>
      </c>
      <c r="BD161" s="368">
        <f t="shared" si="112"/>
        <v>0</v>
      </c>
      <c r="BE161" s="368">
        <f t="shared" si="112"/>
        <v>0</v>
      </c>
      <c r="BF161" s="368">
        <f t="shared" si="112"/>
        <v>0</v>
      </c>
      <c r="BG161" s="368">
        <f t="shared" si="112"/>
        <v>0</v>
      </c>
    </row>
    <row r="162" spans="4:59" hidden="1" outlineLevel="1">
      <c r="D162" t="s">
        <v>726</v>
      </c>
      <c r="E162" s="410"/>
      <c r="F162"/>
      <c r="G162"/>
      <c r="H162"/>
      <c r="I162"/>
      <c r="J162"/>
      <c r="K162"/>
      <c r="L162"/>
      <c r="M162"/>
      <c r="N162"/>
      <c r="O162"/>
      <c r="P162"/>
      <c r="Q162"/>
      <c r="R162"/>
      <c r="S162" s="392"/>
      <c r="T162" s="310">
        <f>IF(T31&gt;0,-(SUM($T$152:$BG$152)-SUM($S$152:T152))*GA!$G$586*T$15/GA!$G$599,0)</f>
        <v>0</v>
      </c>
      <c r="U162" s="310">
        <f>IF(U31&gt;0,-(SUM($T$152:$BG$152)-SUM($S$152:U152))*GA!$G$586*U$15/GA!$G$599,0)</f>
        <v>0</v>
      </c>
      <c r="V162" s="310">
        <f>IF(V31&gt;0,-(SUM($T$152:$BG$152)-SUM($S$152:V152))*GA!$G$586*V$15/GA!$G$599,0)</f>
        <v>0</v>
      </c>
      <c r="W162" s="310">
        <f>IF(W31&gt;0,-(SUM($T$152:$BG$152)-SUM($S$152:W152))*GA!$G$586*W$15/GA!$G$599,0)</f>
        <v>0</v>
      </c>
      <c r="X162" s="310">
        <f>IF(X31&gt;0,-(SUM($T$152:$BG$152)-SUM($S$152:X152))*GA!$G$586*X$15/GA!$G$599,0)</f>
        <v>0</v>
      </c>
      <c r="Y162" s="310">
        <f>IF(Y31&gt;0,-(SUM($T$152:$BG$152)-SUM($S$152:Y152))*GA!$G$586*Y$15/GA!$G$599,0)</f>
        <v>0</v>
      </c>
      <c r="Z162" s="310">
        <f>IF(Z31&gt;0,-(SUM($T$152:$BG$152)-SUM($S$152:Z152))*GA!$G$586*Z$15/GA!$G$599,0)</f>
        <v>0</v>
      </c>
      <c r="AA162" s="310">
        <f>IF(AA31&gt;0,-(SUM($T$152:$BG$152)-SUM($S$152:AA152))*GA!$G$586*AA$15/GA!$G$599,0)</f>
        <v>0</v>
      </c>
      <c r="AB162" s="310">
        <f>IF(AB31&gt;0,-(SUM($T$152:$BG$152)-SUM($S$152:AB152))*GA!$G$586*AB$15/GA!$G$599,0)</f>
        <v>0</v>
      </c>
      <c r="AC162" s="310">
        <f>IF(AC31&gt;0,-(SUM($T$152:$BG$152)-SUM($S$152:AC152))*GA!$G$586*AC$15/GA!$G$599,0)</f>
        <v>0</v>
      </c>
      <c r="AD162" s="310">
        <f>IF(AD31&gt;0,-(SUM($T$152:$BG$152)-SUM($S$152:AD152))*GA!$G$586*AD$15/GA!$G$599,0)</f>
        <v>0</v>
      </c>
      <c r="AE162" s="310">
        <f>IF(AE31&gt;0,-(SUM($T$152:$BG$152)-SUM($S$152:AE152))*GA!$G$586*AE$15/GA!$G$599,0)</f>
        <v>0</v>
      </c>
      <c r="AF162" s="310">
        <f>IF(AF31&gt;0,-(SUM($T$152:$BG$152)-SUM($S$152:AF152))*GA!$G$586*AF$15/GA!$G$599,0)</f>
        <v>0</v>
      </c>
      <c r="AG162" s="310">
        <f>IF(AG31&gt;0,-(SUM($T$152:$BG$152)-SUM($S$152:AG152))*GA!$G$586*AG$15/GA!$G$599,0)</f>
        <v>0</v>
      </c>
      <c r="AH162" s="310">
        <f>IF(AH31&gt;0,-(SUM($T$152:$BG$152)-SUM($S$152:AH152))*GA!$G$586*AH$15/GA!$G$599,0)</f>
        <v>0</v>
      </c>
      <c r="AI162" s="310">
        <f>IF(AI31&gt;0,-(SUM($T$152:$BG$152)-SUM($S$152:AI152))*GA!$G$586*AI$15/GA!$G$599,0)</f>
        <v>0</v>
      </c>
      <c r="AJ162" s="310">
        <f>IF(AJ31&gt;0,-(SUM($T$152:$BG$152)-SUM($S$152:AJ152))*GA!$G$586*AJ$15/GA!$G$599,0)</f>
        <v>0</v>
      </c>
      <c r="AK162" s="310">
        <f>IF(AK31&gt;0,-(SUM($T$152:$BG$152)-SUM($S$152:AK152))*GA!$G$586*AK$15/GA!$G$599,0)</f>
        <v>0</v>
      </c>
      <c r="AL162" s="310">
        <f>IF(AL31&gt;0,-(SUM($T$152:$BG$152)-SUM($S$152:AL152))*GA!$G$586*AL$15/GA!$G$599,0)</f>
        <v>0</v>
      </c>
      <c r="AM162" s="310">
        <f>IF(AM31&gt;0,-(SUM($T$152:$BG$152)-SUM($S$152:AM152))*GA!$G$586*AM$15/GA!$G$599,0)</f>
        <v>0</v>
      </c>
      <c r="AN162" s="310">
        <f>IF(AN31&gt;0,-(SUM($T$152:$BG$152)-SUM($S$152:AN152))*GA!$G$586*AN$15/GA!$G$599,0)</f>
        <v>0</v>
      </c>
      <c r="AO162" s="310">
        <f>IF(AO31&gt;0,-(SUM($T$152:$BG$152)-SUM($S$152:AO152))*GA!$G$586*AO$15/GA!$G$599,0)</f>
        <v>0</v>
      </c>
      <c r="AP162" s="310">
        <f>IF(AP31&gt;0,-(SUM($T$152:$BG$152)-SUM($S$152:AP152))*GA!$G$586*AP$15/GA!$G$599,0)</f>
        <v>0</v>
      </c>
      <c r="AQ162" s="310">
        <f>IF(AQ31&gt;0,-(SUM($T$152:$BG$152)-SUM($S$152:AQ152))*GA!$G$586*AQ$15/GA!$G$599,0)</f>
        <v>0</v>
      </c>
      <c r="AR162" s="310">
        <f>IF(AR31&gt;0,-(SUM($T$152:$BG$152)-SUM($S$152:AR152))*GA!$G$586*AR$15/GA!$G$599,0)</f>
        <v>0</v>
      </c>
      <c r="AS162" s="310">
        <f>IF(AS31&gt;0,-(SUM($T$152:$BG$152)-SUM($S$152:AS152))*GA!$G$586*AS$15/GA!$G$599,0)</f>
        <v>0</v>
      </c>
      <c r="AT162" s="310">
        <f>IF(AT31&gt;0,-(SUM($T$152:$BG$152)-SUM($S$152:AT152))*GA!$G$586*AT$15/GA!$G$599,0)</f>
        <v>0</v>
      </c>
      <c r="AU162" s="310">
        <f>IF(AU31&gt;0,-(SUM($T$152:$BG$152)-SUM($S$152:AU152))*GA!$G$586*AU$15/GA!$G$599,0)</f>
        <v>0</v>
      </c>
      <c r="AV162" s="310">
        <f>IF(AV31&gt;0,-(SUM($T$152:$BG$152)-SUM($S$152:AV152))*GA!$G$586*AV$15/GA!$G$599,0)</f>
        <v>0</v>
      </c>
      <c r="AW162" s="310">
        <f>IF(AW31&gt;0,-(SUM($T$152:$BG$152)-SUM($S$152:AW152))*GA!$G$586*AW$15/GA!$G$599,0)</f>
        <v>0</v>
      </c>
      <c r="AX162" s="310">
        <f>IF(AX31&gt;0,-(SUM($T$152:$BG$152)-SUM($S$152:AX152))*GA!$G$586*AX$15/GA!$G$599,0)</f>
        <v>0</v>
      </c>
      <c r="AY162" s="310">
        <f>IF(AY31&gt;0,-(SUM($T$152:$BG$152)-SUM($S$152:AY152))*GA!$G$586*AY$15/GA!$G$599,0)</f>
        <v>0</v>
      </c>
      <c r="AZ162" s="310">
        <f>IF(AZ31&gt;0,-(SUM($T$152:$BG$152)-SUM($S$152:AZ152))*GA!$G$586*AZ$15/GA!$G$599,0)</f>
        <v>0</v>
      </c>
      <c r="BA162" s="310">
        <f>IF(BA31&gt;0,-(SUM($T$152:$BG$152)-SUM($S$152:BA152))*GA!$G$586*BA$15/GA!$G$599,0)</f>
        <v>0</v>
      </c>
      <c r="BB162" s="310">
        <f>IF(BB31&gt;0,-(SUM($T$152:$BG$152)-SUM($S$152:BB152))*GA!$G$586*BB$15/GA!$G$599,0)</f>
        <v>0</v>
      </c>
      <c r="BC162" s="310">
        <f>IF(BC31&gt;0,-(SUM($T$152:$BG$152)-SUM($S$152:BC152))*GA!$G$586*BC$15/GA!$G$599,0)</f>
        <v>0</v>
      </c>
      <c r="BD162" s="310">
        <f>IF(BD31&gt;0,-(SUM($T$152:$BG$152)-SUM($S$152:BD152))*GA!$G$586*BD$15/GA!$G$599,0)</f>
        <v>0</v>
      </c>
      <c r="BE162" s="310">
        <f>IF(BE31&gt;0,-(SUM($T$152:$BG$152)-SUM($S$152:BE152))*GA!$G$586*BE$15/GA!$G$599,0)</f>
        <v>0</v>
      </c>
      <c r="BF162" s="310">
        <f>IF(BF31&gt;0,-(SUM($T$152:$BG$152)-SUM($S$152:BF152))*GA!$G$586*BF$15/GA!$G$599,0)</f>
        <v>0</v>
      </c>
      <c r="BG162" s="310">
        <f>IF(BG31&gt;0,-(SUM($T$152:$BG$152)-SUM($S$152:BG152))*GA!$G$586*BG$15/GA!$G$599,0)</f>
        <v>0</v>
      </c>
    </row>
    <row r="163" spans="4:59" hidden="1" outlineLevel="1">
      <c r="D163" t="s">
        <v>729</v>
      </c>
      <c r="E163"/>
      <c r="F163"/>
      <c r="G163"/>
      <c r="H163"/>
      <c r="I163"/>
      <c r="J163"/>
      <c r="K163"/>
      <c r="L163"/>
      <c r="M163"/>
      <c r="N163"/>
      <c r="O163"/>
      <c r="P163"/>
      <c r="Q163"/>
      <c r="R163"/>
      <c r="S163" s="310">
        <f>IFERROR((SUM($T$152:$BG$152)/GA!$G$576)*GA!$G$584,0)</f>
        <v>0</v>
      </c>
      <c r="T163" s="392"/>
      <c r="U163" s="392"/>
      <c r="V163" s="392"/>
      <c r="W163" s="392"/>
      <c r="X163" s="392"/>
      <c r="Y163" s="392"/>
      <c r="Z163" s="392"/>
      <c r="AA163" s="392"/>
      <c r="AB163" s="392"/>
      <c r="AC163" s="392"/>
      <c r="AD163" s="392"/>
      <c r="AE163" s="392"/>
      <c r="AF163" s="392"/>
      <c r="AG163" s="392"/>
      <c r="AH163" s="392"/>
      <c r="AI163" s="392"/>
      <c r="AJ163" s="392"/>
      <c r="AK163" s="392"/>
      <c r="AL163" s="392"/>
      <c r="AM163" s="392"/>
      <c r="AN163" s="392"/>
      <c r="AO163" s="392"/>
      <c r="AP163" s="392"/>
      <c r="AQ163" s="392"/>
      <c r="AR163" s="392"/>
      <c r="AS163" s="392"/>
      <c r="AT163" s="392"/>
      <c r="AU163" s="392"/>
      <c r="AV163" s="392"/>
      <c r="AW163" s="392"/>
      <c r="AX163" s="392"/>
      <c r="AY163" s="392"/>
      <c r="AZ163" s="392"/>
      <c r="BA163" s="392"/>
      <c r="BB163" s="392"/>
      <c r="BC163" s="392"/>
      <c r="BD163" s="392"/>
      <c r="BE163" s="392"/>
      <c r="BF163" s="392"/>
      <c r="BG163" s="392"/>
    </row>
    <row r="164" spans="4:59" hidden="1" outlineLevel="1">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row>
    <row r="165" spans="4:59" hidden="1" outlineLevel="1">
      <c r="D165" s="253" t="s">
        <v>1389</v>
      </c>
      <c r="E165" s="253"/>
      <c r="F165" s="253"/>
      <c r="G165" s="253"/>
      <c r="H165" s="253"/>
      <c r="I165" s="253"/>
      <c r="J165" s="253"/>
      <c r="K165" s="253"/>
      <c r="L165" s="253"/>
      <c r="M165" s="253"/>
      <c r="N165" s="253"/>
      <c r="O165" s="253"/>
      <c r="P165" s="253"/>
      <c r="Q165" s="253"/>
      <c r="R165" s="253"/>
      <c r="S165" s="254">
        <f>SUM(S152:S153)+S158+S161+S163+S162</f>
        <v>0</v>
      </c>
      <c r="T165" s="254">
        <f t="shared" ref="T165:BG165" si="113">SUM(T152:T153)+T158+T161+T163+T162</f>
        <v>0</v>
      </c>
      <c r="U165" s="254">
        <f t="shared" si="113"/>
        <v>0</v>
      </c>
      <c r="V165" s="254">
        <f t="shared" si="113"/>
        <v>0</v>
      </c>
      <c r="W165" s="254">
        <f t="shared" si="113"/>
        <v>0</v>
      </c>
      <c r="X165" s="254">
        <f t="shared" si="113"/>
        <v>0</v>
      </c>
      <c r="Y165" s="254">
        <f t="shared" si="113"/>
        <v>0</v>
      </c>
      <c r="Z165" s="254">
        <f t="shared" si="113"/>
        <v>0</v>
      </c>
      <c r="AA165" s="254">
        <f t="shared" si="113"/>
        <v>0</v>
      </c>
      <c r="AB165" s="254">
        <f t="shared" si="113"/>
        <v>0</v>
      </c>
      <c r="AC165" s="254">
        <f t="shared" si="113"/>
        <v>0</v>
      </c>
      <c r="AD165" s="254">
        <f t="shared" si="113"/>
        <v>0</v>
      </c>
      <c r="AE165" s="254">
        <f t="shared" si="113"/>
        <v>0</v>
      </c>
      <c r="AF165" s="254">
        <f t="shared" si="113"/>
        <v>0</v>
      </c>
      <c r="AG165" s="254">
        <f t="shared" si="113"/>
        <v>0</v>
      </c>
      <c r="AH165" s="254">
        <f t="shared" si="113"/>
        <v>0</v>
      </c>
      <c r="AI165" s="254">
        <f t="shared" si="113"/>
        <v>0</v>
      </c>
      <c r="AJ165" s="254">
        <f t="shared" si="113"/>
        <v>0</v>
      </c>
      <c r="AK165" s="254">
        <f t="shared" si="113"/>
        <v>0</v>
      </c>
      <c r="AL165" s="254">
        <f t="shared" si="113"/>
        <v>0</v>
      </c>
      <c r="AM165" s="254">
        <f t="shared" si="113"/>
        <v>0</v>
      </c>
      <c r="AN165" s="254">
        <f t="shared" si="113"/>
        <v>0</v>
      </c>
      <c r="AO165" s="254">
        <f t="shared" si="113"/>
        <v>0</v>
      </c>
      <c r="AP165" s="254">
        <f t="shared" si="113"/>
        <v>0</v>
      </c>
      <c r="AQ165" s="254">
        <f t="shared" si="113"/>
        <v>0</v>
      </c>
      <c r="AR165" s="254">
        <f t="shared" si="113"/>
        <v>0</v>
      </c>
      <c r="AS165" s="254">
        <f t="shared" si="113"/>
        <v>0</v>
      </c>
      <c r="AT165" s="254">
        <f t="shared" si="113"/>
        <v>0</v>
      </c>
      <c r="AU165" s="254">
        <f t="shared" si="113"/>
        <v>0</v>
      </c>
      <c r="AV165" s="254">
        <f t="shared" si="113"/>
        <v>0</v>
      </c>
      <c r="AW165" s="254">
        <f t="shared" si="113"/>
        <v>0</v>
      </c>
      <c r="AX165" s="254">
        <f t="shared" si="113"/>
        <v>0</v>
      </c>
      <c r="AY165" s="254">
        <f t="shared" si="113"/>
        <v>0</v>
      </c>
      <c r="AZ165" s="254">
        <f t="shared" si="113"/>
        <v>0</v>
      </c>
      <c r="BA165" s="254">
        <f t="shared" si="113"/>
        <v>0</v>
      </c>
      <c r="BB165" s="254">
        <f t="shared" si="113"/>
        <v>0</v>
      </c>
      <c r="BC165" s="254">
        <f t="shared" si="113"/>
        <v>0</v>
      </c>
      <c r="BD165" s="254">
        <f t="shared" si="113"/>
        <v>0</v>
      </c>
      <c r="BE165" s="254">
        <f t="shared" si="113"/>
        <v>0</v>
      </c>
      <c r="BF165" s="254">
        <f t="shared" si="113"/>
        <v>0</v>
      </c>
      <c r="BG165" s="254">
        <f t="shared" si="113"/>
        <v>0</v>
      </c>
    </row>
    <row r="166" spans="4:59" hidden="1" outlineLevel="1">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row>
    <row r="167" spans="4:59" hidden="1" outlineLevel="1">
      <c r="D167" s="253" t="s">
        <v>1394</v>
      </c>
      <c r="E167" s="253"/>
      <c r="F167" s="253"/>
      <c r="G167" s="253"/>
      <c r="H167" s="253"/>
      <c r="I167" s="253"/>
      <c r="J167" s="253"/>
      <c r="K167" s="253"/>
      <c r="L167" s="253"/>
      <c r="M167" s="253"/>
      <c r="N167" s="253"/>
      <c r="O167" s="253"/>
      <c r="P167" s="253"/>
      <c r="Q167" s="253"/>
      <c r="R167" s="254">
        <f t="shared" ref="R167:BG167" si="114">R146+R165</f>
        <v>-41208.162841401987</v>
      </c>
      <c r="S167" s="254">
        <f t="shared" si="114"/>
        <v>101458.5614228067</v>
      </c>
      <c r="T167" s="254">
        <f t="shared" si="114"/>
        <v>-18574.790376932709</v>
      </c>
      <c r="U167" s="254">
        <f t="shared" si="114"/>
        <v>-18530.940798476899</v>
      </c>
      <c r="V167" s="254">
        <f t="shared" si="114"/>
        <v>-960.01704575937038</v>
      </c>
      <c r="W167" s="254">
        <f t="shared" si="114"/>
        <v>-802.40797886397559</v>
      </c>
      <c r="X167" s="254">
        <f t="shared" si="114"/>
        <v>-926.04381777170784</v>
      </c>
      <c r="Y167" s="254">
        <f t="shared" si="114"/>
        <v>-861.92515570121395</v>
      </c>
      <c r="Z167" s="254">
        <f t="shared" si="114"/>
        <v>-705.37759818658378</v>
      </c>
      <c r="AA167" s="254">
        <f t="shared" si="114"/>
        <v>-549.82024998799898</v>
      </c>
      <c r="AB167" s="254">
        <f t="shared" si="114"/>
        <v>-669.79004257344786</v>
      </c>
      <c r="AC167" s="254">
        <f t="shared" si="114"/>
        <v>-605.82009679417388</v>
      </c>
      <c r="AD167" s="254">
        <f t="shared" si="114"/>
        <v>-451.32952540617407</v>
      </c>
      <c r="AE167" s="254">
        <f t="shared" si="114"/>
        <v>225219.7291152504</v>
      </c>
      <c r="AF167" s="254">
        <f t="shared" si="114"/>
        <v>-13576.373213240784</v>
      </c>
      <c r="AG167" s="254">
        <f t="shared" si="114"/>
        <v>-13532.523634784975</v>
      </c>
      <c r="AH167" s="254">
        <f t="shared" si="114"/>
        <v>-13448.632758823098</v>
      </c>
      <c r="AI167" s="254">
        <f t="shared" si="114"/>
        <v>-13365.695134566782</v>
      </c>
      <c r="AJ167" s="254">
        <f t="shared" si="114"/>
        <v>-13400.974899417548</v>
      </c>
      <c r="AK167" s="254">
        <f t="shared" si="114"/>
        <v>-13357.125320961739</v>
      </c>
      <c r="AL167" s="254">
        <f t="shared" si="114"/>
        <v>-13275.140948410984</v>
      </c>
      <c r="AM167" s="254">
        <f t="shared" si="114"/>
        <v>-778071.55326633435</v>
      </c>
      <c r="AN167" s="254">
        <f t="shared" si="114"/>
        <v>0</v>
      </c>
      <c r="AO167" s="254">
        <f t="shared" si="114"/>
        <v>0</v>
      </c>
      <c r="AP167" s="254">
        <f t="shared" si="114"/>
        <v>0</v>
      </c>
      <c r="AQ167" s="254">
        <f t="shared" si="114"/>
        <v>0</v>
      </c>
      <c r="AR167" s="254">
        <f t="shared" si="114"/>
        <v>0</v>
      </c>
      <c r="AS167" s="254">
        <f t="shared" si="114"/>
        <v>0</v>
      </c>
      <c r="AT167" s="254">
        <f t="shared" si="114"/>
        <v>0</v>
      </c>
      <c r="AU167" s="254">
        <f t="shared" si="114"/>
        <v>0</v>
      </c>
      <c r="AV167" s="254">
        <f t="shared" si="114"/>
        <v>0</v>
      </c>
      <c r="AW167" s="254">
        <f t="shared" si="114"/>
        <v>0</v>
      </c>
      <c r="AX167" s="254">
        <f t="shared" si="114"/>
        <v>0</v>
      </c>
      <c r="AY167" s="254">
        <f t="shared" si="114"/>
        <v>0</v>
      </c>
      <c r="AZ167" s="254">
        <f t="shared" si="114"/>
        <v>0</v>
      </c>
      <c r="BA167" s="254">
        <f t="shared" si="114"/>
        <v>0</v>
      </c>
      <c r="BB167" s="254">
        <f t="shared" si="114"/>
        <v>0</v>
      </c>
      <c r="BC167" s="254">
        <f t="shared" si="114"/>
        <v>0</v>
      </c>
      <c r="BD167" s="254">
        <f t="shared" si="114"/>
        <v>0</v>
      </c>
      <c r="BE167" s="254">
        <f t="shared" si="114"/>
        <v>0</v>
      </c>
      <c r="BF167" s="254">
        <f t="shared" si="114"/>
        <v>0</v>
      </c>
      <c r="BG167" s="254">
        <f t="shared" si="114"/>
        <v>0</v>
      </c>
    </row>
    <row r="168" spans="4:59" collapsed="1"/>
    <row r="169" spans="4:59">
      <c r="D169" s="445" t="s">
        <v>1331</v>
      </c>
      <c r="E169" s="447"/>
      <c r="R169" s="445" t="s">
        <v>1330</v>
      </c>
      <c r="S169" s="446"/>
      <c r="T169" s="447"/>
      <c r="V169"/>
    </row>
    <row r="170" spans="4:59">
      <c r="D170" s="194" t="s">
        <v>743</v>
      </c>
      <c r="E170" s="449">
        <f>SUM(T118:BG118)</f>
        <v>1400845.6320762425</v>
      </c>
      <c r="R170" s="194" t="s">
        <v>743</v>
      </c>
      <c r="S170" s="448"/>
      <c r="T170" s="449">
        <f>SUM(T167:BG167)</f>
        <v>-690446.55274774414</v>
      </c>
      <c r="V170"/>
    </row>
    <row r="171" spans="4:59">
      <c r="D171" s="77" t="s">
        <v>744</v>
      </c>
      <c r="E171" s="451">
        <f>SUM(R118:BG118)</f>
        <v>-448305.26564938365</v>
      </c>
      <c r="R171" s="77" t="s">
        <v>744</v>
      </c>
      <c r="S171" s="450"/>
      <c r="T171" s="451">
        <f>SUM(R167:BG167)</f>
        <v>-630196.15416633943</v>
      </c>
    </row>
    <row r="172" spans="4:59">
      <c r="D172" s="77" t="s">
        <v>745</v>
      </c>
      <c r="E172" s="1204">
        <f>E170/(-S118-R118)</f>
        <v>0.75756155638743206</v>
      </c>
      <c r="R172" s="77" t="s">
        <v>745</v>
      </c>
      <c r="S172" s="452"/>
      <c r="T172" s="1204">
        <f>T170/(-S167-R167)</f>
        <v>11.459618010906222</v>
      </c>
    </row>
    <row r="173" spans="4:59">
      <c r="D173" s="346" t="s">
        <v>746</v>
      </c>
      <c r="E173" s="1206">
        <f>XIRR(R118:BG118,R11:BG11)</f>
        <v>2.9802322387695314E-9</v>
      </c>
      <c r="R173" s="346" t="s">
        <v>746</v>
      </c>
      <c r="S173" s="1205"/>
      <c r="T173" s="1206">
        <f>XIRR(R167:BG167,R11:BG11)</f>
        <v>2.9802322387695314E-9</v>
      </c>
    </row>
  </sheetData>
  <conditionalFormatting sqref="BK118">
    <cfRule type="cellIs" dxfId="161" priority="25" operator="equal">
      <formula>"CHECK"</formula>
    </cfRule>
    <cfRule type="cellIs" dxfId="160" priority="26" operator="equal">
      <formula>"OK"</formula>
    </cfRule>
  </conditionalFormatting>
  <conditionalFormatting sqref="BK118">
    <cfRule type="expression" dxfId="159" priority="23">
      <formula>BK118=FALSE</formula>
    </cfRule>
    <cfRule type="expression" dxfId="158" priority="24">
      <formula>BK118=TRUE</formula>
    </cfRule>
  </conditionalFormatting>
  <conditionalFormatting sqref="BK116">
    <cfRule type="cellIs" dxfId="157" priority="21" operator="equal">
      <formula>"CHECK"</formula>
    </cfRule>
    <cfRule type="cellIs" dxfId="156" priority="22" operator="equal">
      <formula>"OK"</formula>
    </cfRule>
  </conditionalFormatting>
  <conditionalFormatting sqref="BK116">
    <cfRule type="expression" dxfId="155" priority="19">
      <formula>BK116=FALSE</formula>
    </cfRule>
    <cfRule type="expression" dxfId="154" priority="20">
      <formula>BK116=TRUE</formula>
    </cfRule>
  </conditionalFormatting>
  <conditionalFormatting sqref="BK107">
    <cfRule type="cellIs" dxfId="153" priority="17" operator="equal">
      <formula>"CHECK"</formula>
    </cfRule>
    <cfRule type="cellIs" dxfId="152" priority="18" operator="equal">
      <formula>"OK"</formula>
    </cfRule>
  </conditionalFormatting>
  <conditionalFormatting sqref="BK107">
    <cfRule type="expression" dxfId="151" priority="15">
      <formula>BK107=FALSE</formula>
    </cfRule>
    <cfRule type="expression" dxfId="150" priority="16">
      <formula>BK107=TRUE</formula>
    </cfRule>
  </conditionalFormatting>
  <conditionalFormatting sqref="BK87">
    <cfRule type="cellIs" dxfId="149" priority="13" operator="equal">
      <formula>"CHECK"</formula>
    </cfRule>
    <cfRule type="cellIs" dxfId="148" priority="14" operator="equal">
      <formula>"OK"</formula>
    </cfRule>
  </conditionalFormatting>
  <conditionalFormatting sqref="BK87">
    <cfRule type="expression" dxfId="147" priority="11">
      <formula>BK87=FALSE</formula>
    </cfRule>
    <cfRule type="expression" dxfId="146" priority="12">
      <formula>BK87=TRUE</formula>
    </cfRule>
  </conditionalFormatting>
  <conditionalFormatting sqref="BK68">
    <cfRule type="cellIs" dxfId="145" priority="9" operator="equal">
      <formula>"CHECK"</formula>
    </cfRule>
    <cfRule type="cellIs" dxfId="144" priority="10" operator="equal">
      <formula>"OK"</formula>
    </cfRule>
  </conditionalFormatting>
  <conditionalFormatting sqref="BK68">
    <cfRule type="expression" dxfId="143" priority="7">
      <formula>BK68=FALSE</formula>
    </cfRule>
    <cfRule type="expression" dxfId="142" priority="8">
      <formula>BK68=TRUE</formula>
    </cfRule>
  </conditionalFormatting>
  <conditionalFormatting sqref="BK72">
    <cfRule type="cellIs" dxfId="141" priority="5" operator="equal">
      <formula>"CHECK"</formula>
    </cfRule>
    <cfRule type="cellIs" dxfId="140" priority="6" operator="equal">
      <formula>"OK"</formula>
    </cfRule>
  </conditionalFormatting>
  <conditionalFormatting sqref="BK72">
    <cfRule type="expression" dxfId="139" priority="3">
      <formula>BK72=FALSE</formula>
    </cfRule>
    <cfRule type="expression" dxfId="138" priority="4">
      <formula>BK72=TRUE</formula>
    </cfRule>
  </conditionalFormatting>
  <conditionalFormatting sqref="E119 T119:BG119 BI119">
    <cfRule type="cellIs" dxfId="137" priority="1" operator="equal">
      <formula>FALSE</formula>
    </cfRule>
    <cfRule type="cellIs" dxfId="136" priority="2" operator="equal">
      <formula>TRUE</formula>
    </cfRule>
  </conditionalFormatting>
  <pageMargins left="0.23622047244094491" right="0.23622047244094491" top="0.74803149606299213" bottom="0.74803149606299213" header="0.31496062992125984" footer="0.31496062992125984"/>
  <pageSetup paperSize="9" scale="35" orientation="portrait" r:id="rId1"/>
  <headerFooter>
    <oddHeader>&amp;C&amp;F Property Cash Flow</oddHeader>
    <oddFooter>&amp;C- Strictly Private &amp; Confidential -&amp;R&amp;P of &amp;N</oddFooter>
  </headerFooter>
  <ignoredErrors>
    <ignoredError sqref="T36:BG36 T38:BG3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8D013-2DCD-427C-A1BA-C1ECDB010148}">
  <sheetPr codeName="Sheet8">
    <tabColor rgb="FF89BD3A"/>
  </sheetPr>
  <dimension ref="A1:EZ23"/>
  <sheetViews>
    <sheetView topLeftCell="EG5" workbookViewId="0">
      <selection activeCell="EU30" sqref="EU30"/>
    </sheetView>
  </sheetViews>
  <sheetFormatPr baseColWidth="10" defaultColWidth="9.28515625" defaultRowHeight="15" outlineLevelCol="1"/>
  <cols>
    <col min="1" max="1" width="2.28515625" customWidth="1"/>
    <col min="2" max="3" width="9.42578125" bestFit="1" customWidth="1"/>
    <col min="5" max="5" width="16" customWidth="1"/>
    <col min="6" max="6" width="28.42578125" bestFit="1" customWidth="1"/>
    <col min="7" max="8" width="19.5703125" customWidth="1"/>
    <col min="9" max="9" width="16.7109375" customWidth="1"/>
    <col min="10" max="10" width="22" customWidth="1"/>
    <col min="11" max="11" width="15.42578125" customWidth="1"/>
    <col min="12" max="12" width="17.42578125" customWidth="1"/>
    <col min="13" max="15" width="9.42578125" bestFit="1" customWidth="1"/>
    <col min="17" max="18" width="9.42578125" bestFit="1" customWidth="1"/>
    <col min="19" max="19" width="12" customWidth="1"/>
    <col min="20" max="20" width="9.42578125" bestFit="1" customWidth="1"/>
    <col min="21" max="21" width="13.42578125" customWidth="1"/>
    <col min="22" max="22" width="9.42578125" bestFit="1" customWidth="1"/>
    <col min="23" max="23" width="12.7109375" customWidth="1"/>
    <col min="24" max="24" width="20.42578125" customWidth="1"/>
    <col min="25" max="25" width="13" customWidth="1"/>
    <col min="26" max="26" width="9.42578125" bestFit="1" customWidth="1"/>
    <col min="27" max="27" width="12.5703125" bestFit="1" customWidth="1"/>
    <col min="28" max="28" width="10.28515625" bestFit="1" customWidth="1"/>
    <col min="29" max="29" width="19.42578125" customWidth="1"/>
    <col min="30" max="30" width="12.7109375" customWidth="1"/>
    <col min="31" max="31" width="17" customWidth="1"/>
    <col min="32" max="32" width="20" customWidth="1"/>
    <col min="33" max="33" width="14" customWidth="1"/>
    <col min="34" max="34" width="13.42578125" customWidth="1"/>
    <col min="35" max="35" width="12.5703125" bestFit="1" customWidth="1"/>
    <col min="36" max="36" width="16.42578125" customWidth="1"/>
    <col min="37" max="37" width="11.7109375" customWidth="1"/>
    <col min="38" max="38" width="9.42578125" bestFit="1" customWidth="1"/>
    <col min="39" max="39" width="12.5703125" bestFit="1" customWidth="1"/>
    <col min="40" max="40" width="12.42578125" bestFit="1" customWidth="1"/>
    <col min="41" max="41" width="18.7109375" customWidth="1"/>
    <col min="42" max="42" width="11.42578125" bestFit="1" customWidth="1"/>
    <col min="43" max="43" width="13.5703125" bestFit="1" customWidth="1"/>
    <col min="45" max="46" width="13.42578125" bestFit="1" customWidth="1"/>
    <col min="47" max="49" width="13.42578125" customWidth="1"/>
    <col min="50" max="50" width="14.5703125" customWidth="1"/>
    <col min="51" max="51" width="9.42578125" bestFit="1" customWidth="1"/>
    <col min="52" max="52" width="13.5703125" bestFit="1" customWidth="1"/>
    <col min="53" max="53" width="11.5703125" customWidth="1"/>
    <col min="54" max="54" width="9.42578125" bestFit="1" customWidth="1"/>
    <col min="57" max="57" width="11.28515625" customWidth="1"/>
    <col min="58" max="59" width="12.5703125" customWidth="1"/>
    <col min="60" max="60" width="13.42578125" customWidth="1"/>
    <col min="61" max="61" width="13.28515625" customWidth="1"/>
    <col min="62" max="62" width="14.28515625" customWidth="1"/>
    <col min="63" max="63" width="19.28515625" customWidth="1"/>
    <col min="64" max="64" width="13.5703125" customWidth="1"/>
    <col min="66" max="67" width="14" customWidth="1"/>
    <col min="68" max="68" width="12.42578125" customWidth="1"/>
    <col min="72" max="72" width="0" hidden="1" customWidth="1" outlineLevel="1"/>
    <col min="73" max="73" width="32.5703125" customWidth="1" collapsed="1"/>
    <col min="74" max="74" width="10.28515625" bestFit="1" customWidth="1"/>
    <col min="75" max="76" width="14.42578125" bestFit="1" customWidth="1"/>
    <col min="77" max="77" width="10" bestFit="1" customWidth="1"/>
    <col min="79" max="79" width="9.42578125" bestFit="1" customWidth="1"/>
    <col min="80" max="80" width="12.42578125" customWidth="1"/>
    <col min="81" max="81" width="11" customWidth="1"/>
    <col min="82" max="82" width="16.5703125" customWidth="1"/>
    <col min="83" max="83" width="12.42578125" customWidth="1"/>
    <col min="84" max="84" width="16.7109375" customWidth="1"/>
    <col min="85" max="85" width="17.5703125" customWidth="1"/>
    <col min="86" max="86" width="14.42578125" customWidth="1"/>
    <col min="87" max="87" width="19.5703125" customWidth="1"/>
    <col min="88" max="91" width="17.5703125" customWidth="1"/>
    <col min="92" max="92" width="16.42578125" bestFit="1" customWidth="1"/>
    <col min="93" max="93" width="17.42578125" bestFit="1" customWidth="1"/>
    <col min="94" max="94" width="16" bestFit="1" customWidth="1"/>
    <col min="95" max="95" width="15.5703125" bestFit="1" customWidth="1"/>
    <col min="96" max="96" width="9.5703125" bestFit="1" customWidth="1"/>
    <col min="97" max="97" width="17.42578125" bestFit="1" customWidth="1"/>
    <col min="98" max="98" width="9.42578125" bestFit="1" customWidth="1"/>
    <col min="100" max="100" width="12.5703125" customWidth="1"/>
    <col min="101" max="101" width="18" customWidth="1"/>
    <col min="102" max="102" width="15.5703125" customWidth="1"/>
    <col min="103" max="104" width="21.28515625" customWidth="1"/>
    <col min="105" max="105" width="21.5703125" customWidth="1"/>
    <col min="106" max="106" width="13.5703125" customWidth="1"/>
    <col min="107" max="107" width="12.5703125" customWidth="1"/>
    <col min="108" max="108" width="20.5703125" customWidth="1"/>
    <col min="109" max="109" width="19.5703125" customWidth="1"/>
    <col min="110" max="110" width="16" customWidth="1"/>
    <col min="111" max="111" width="9.42578125" bestFit="1" customWidth="1"/>
    <col min="112" max="112" width="22.42578125" customWidth="1"/>
    <col min="114" max="114" width="18.42578125" customWidth="1"/>
    <col min="115" max="115" width="14.42578125" customWidth="1"/>
    <col min="116" max="116" width="9.42578125" bestFit="1" customWidth="1"/>
    <col min="117" max="117" width="9.5703125" bestFit="1" customWidth="1"/>
    <col min="118" max="119" width="13.7109375" customWidth="1"/>
    <col min="120" max="120" width="13.5703125" customWidth="1"/>
    <col min="121" max="122" width="10.42578125" customWidth="1"/>
    <col min="123" max="123" width="16.28515625" customWidth="1"/>
    <col min="124" max="124" width="13.42578125" customWidth="1"/>
    <col min="125" max="125" width="11.42578125" customWidth="1"/>
    <col min="127" max="127" width="9.42578125" bestFit="1" customWidth="1"/>
    <col min="129" max="129" width="9.42578125" bestFit="1" customWidth="1"/>
    <col min="131" max="134" width="18.42578125" customWidth="1"/>
    <col min="135" max="135" width="0.5703125" customWidth="1"/>
    <col min="136" max="139" width="13.7109375" customWidth="1"/>
    <col min="140" max="140" width="14.7109375" customWidth="1"/>
    <col min="141" max="142" width="13.7109375" customWidth="1"/>
    <col min="143" max="143" width="19.42578125" customWidth="1"/>
    <col min="144" max="144" width="0.5703125" customWidth="1"/>
    <col min="145" max="151" width="14.5703125" customWidth="1"/>
    <col min="152" max="152" width="0.7109375" customWidth="1"/>
    <col min="153" max="153" width="14.5703125" customWidth="1"/>
    <col min="155" max="155" width="14.42578125" bestFit="1" customWidth="1"/>
    <col min="156" max="156" width="14.42578125" customWidth="1"/>
  </cols>
  <sheetData>
    <row r="1" spans="1:156" s="35" customFormat="1">
      <c r="A1" s="1" t="str">
        <f ca="1">UPPER(MID(CELL("filename",A1),FIND("[",CELL("filename",A1))+1,FIND("]",CELL("filename",A1))-FIND("[",CELL("filename",A1))-5))</f>
        <v>VORLAGE.</v>
      </c>
      <c r="C1" s="58"/>
    </row>
    <row r="2" spans="1:156" s="35" customFormat="1">
      <c r="A2" s="1" t="s">
        <v>867</v>
      </c>
      <c r="C2" s="58"/>
    </row>
    <row r="3" spans="1:156" s="35" customFormat="1" ht="17.25">
      <c r="C3" s="58"/>
      <c r="I3" s="156"/>
      <c r="J3" s="156"/>
    </row>
    <row r="5" spans="1:156" s="36" customFormat="1">
      <c r="B5" s="38">
        <f>MAX($B$1:B4)+1</f>
        <v>1</v>
      </c>
      <c r="C5" s="37" t="s">
        <v>868</v>
      </c>
      <c r="D5" s="37"/>
    </row>
    <row r="8" spans="1:156">
      <c r="B8" s="258"/>
      <c r="C8" s="922"/>
      <c r="D8" s="922"/>
      <c r="E8" s="76" t="s">
        <v>868</v>
      </c>
      <c r="F8" s="923"/>
      <c r="G8" s="923"/>
      <c r="H8" s="923"/>
      <c r="I8" s="923"/>
      <c r="J8" s="923"/>
      <c r="K8" s="924"/>
      <c r="L8" s="924"/>
      <c r="M8" s="924"/>
      <c r="N8" s="924"/>
      <c r="O8" s="924"/>
      <c r="P8" s="923"/>
      <c r="Q8" s="923"/>
      <c r="R8" s="923"/>
      <c r="S8" s="923"/>
      <c r="T8" s="923"/>
      <c r="U8" s="923"/>
      <c r="V8" s="923"/>
      <c r="W8" s="923"/>
      <c r="X8" s="923"/>
      <c r="Y8" s="923"/>
      <c r="Z8" s="923"/>
      <c r="AA8" s="923"/>
      <c r="AB8" s="923"/>
      <c r="AC8" s="923"/>
      <c r="AD8" s="923"/>
      <c r="AE8" s="923"/>
      <c r="AF8" s="923"/>
      <c r="AG8" s="923"/>
      <c r="AH8" s="923"/>
      <c r="AI8" s="925"/>
      <c r="AJ8" s="925"/>
      <c r="AK8" s="925"/>
      <c r="AL8" s="925"/>
      <c r="AM8" s="925"/>
      <c r="AN8" s="923"/>
      <c r="AO8" s="923"/>
      <c r="AP8" s="924"/>
      <c r="AQ8" s="923"/>
      <c r="AR8" s="923"/>
      <c r="AS8" s="923"/>
      <c r="AT8" s="923"/>
      <c r="AU8" s="923"/>
      <c r="AV8" s="923"/>
      <c r="AW8" s="923"/>
      <c r="AX8" s="923"/>
      <c r="AY8" s="923"/>
      <c r="AZ8" s="923"/>
      <c r="BA8" s="923"/>
      <c r="BB8" s="923"/>
      <c r="BC8" s="923"/>
      <c r="BD8" s="923"/>
      <c r="BE8" s="923"/>
      <c r="BF8" s="923"/>
      <c r="BG8" s="923"/>
      <c r="BH8" s="923"/>
      <c r="BI8" s="923"/>
      <c r="BJ8" s="923"/>
      <c r="BK8" s="923"/>
      <c r="BL8" s="923"/>
      <c r="BM8" s="923"/>
      <c r="BN8" s="923"/>
      <c r="BO8" s="923"/>
      <c r="BP8" s="923"/>
      <c r="BQ8" s="923"/>
      <c r="BR8" s="924"/>
      <c r="BS8" s="923"/>
      <c r="BT8" s="923"/>
      <c r="BU8" s="923"/>
      <c r="BV8" s="923"/>
      <c r="BW8" s="923"/>
      <c r="BX8" s="923"/>
      <c r="BY8" s="924"/>
      <c r="BZ8" s="923"/>
      <c r="CA8" s="923"/>
      <c r="CB8" s="923"/>
      <c r="CC8" s="923"/>
      <c r="CD8" s="923"/>
      <c r="CE8" s="923"/>
      <c r="CF8" s="923"/>
      <c r="CG8" s="923"/>
      <c r="CH8" s="923"/>
      <c r="CI8" s="923"/>
      <c r="CJ8" s="923"/>
      <c r="CK8" s="923"/>
      <c r="CL8" s="923"/>
      <c r="CM8" s="923"/>
      <c r="CN8" s="923"/>
      <c r="CO8" s="923"/>
      <c r="CP8" s="923"/>
      <c r="CQ8" s="923"/>
      <c r="CR8" s="923"/>
      <c r="CS8" s="923"/>
      <c r="CT8" s="923"/>
      <c r="CU8" s="923"/>
      <c r="CV8" s="923"/>
      <c r="CW8" s="923"/>
      <c r="CX8" s="923"/>
      <c r="CY8" s="923"/>
      <c r="CZ8" s="923"/>
      <c r="DA8" s="923"/>
      <c r="DB8" s="923"/>
      <c r="DC8" s="923"/>
      <c r="DD8" s="923"/>
      <c r="DE8" s="923"/>
      <c r="DF8" s="923"/>
      <c r="DG8" s="923"/>
      <c r="DH8" s="923"/>
      <c r="DI8" s="923"/>
      <c r="DJ8" s="923"/>
      <c r="DK8" s="923"/>
      <c r="DL8" s="923"/>
      <c r="DM8" s="923"/>
      <c r="DN8" s="923"/>
      <c r="DO8" s="923"/>
      <c r="DP8" s="923"/>
      <c r="DQ8" s="923"/>
      <c r="DR8" s="923"/>
      <c r="DS8" s="923"/>
      <c r="DT8" s="923"/>
      <c r="DU8" s="923"/>
      <c r="DV8" s="923"/>
      <c r="DW8" s="923"/>
      <c r="DX8" s="923"/>
      <c r="DY8" s="926"/>
      <c r="DZ8" s="258"/>
      <c r="EA8" s="76" t="s">
        <v>869</v>
      </c>
      <c r="EB8" s="923"/>
      <c r="EC8" s="923"/>
      <c r="ED8" s="923"/>
      <c r="EE8" s="923"/>
      <c r="EF8" s="923"/>
      <c r="EG8" s="923"/>
      <c r="EH8" s="923"/>
      <c r="EI8" s="923"/>
      <c r="EJ8" s="923"/>
      <c r="EK8" s="923"/>
      <c r="EL8" s="923"/>
      <c r="EM8" s="923"/>
      <c r="EN8" s="923"/>
      <c r="EO8" s="923"/>
      <c r="EP8" s="923"/>
      <c r="EQ8" s="923"/>
      <c r="ER8" s="923"/>
      <c r="ES8" s="923"/>
      <c r="ET8" s="923"/>
      <c r="EU8" s="923"/>
      <c r="EV8" s="923"/>
      <c r="EW8" s="926"/>
      <c r="EY8" s="76" t="s">
        <v>1515</v>
      </c>
      <c r="EZ8" s="926"/>
    </row>
    <row r="9" spans="1:156">
      <c r="B9" s="258"/>
      <c r="C9" s="922"/>
      <c r="D9" s="922"/>
      <c r="E9" s="542"/>
      <c r="F9" s="258"/>
      <c r="G9" s="258"/>
      <c r="H9" s="258"/>
      <c r="I9" s="258"/>
      <c r="J9" s="258"/>
      <c r="K9" s="922"/>
      <c r="L9" s="922"/>
      <c r="M9" s="922"/>
      <c r="N9" s="922"/>
      <c r="O9" s="922"/>
      <c r="P9" s="258"/>
      <c r="Q9" s="258"/>
      <c r="R9" s="258"/>
      <c r="S9" s="258"/>
      <c r="T9" s="258"/>
      <c r="U9" s="258"/>
      <c r="V9" s="258"/>
      <c r="W9" s="258"/>
      <c r="X9" s="258"/>
      <c r="Y9" s="258"/>
      <c r="Z9" s="258"/>
      <c r="AA9" s="258"/>
      <c r="AB9" s="258"/>
      <c r="AC9" s="258"/>
      <c r="AD9" s="258"/>
      <c r="AE9" s="258"/>
      <c r="AF9" s="258"/>
      <c r="AG9" s="258"/>
      <c r="AH9" s="258"/>
      <c r="AI9" s="825"/>
      <c r="AJ9" s="825"/>
      <c r="AK9" s="825"/>
      <c r="AL9" s="825"/>
      <c r="AM9" s="825"/>
      <c r="AN9" s="258"/>
      <c r="AO9" s="258"/>
      <c r="AP9" s="922"/>
      <c r="AQ9" s="258"/>
      <c r="AR9" s="258"/>
      <c r="AS9" s="258"/>
      <c r="AT9" s="258"/>
      <c r="AU9" s="258"/>
      <c r="AV9" s="258"/>
      <c r="AW9" s="258"/>
      <c r="AX9" s="258"/>
      <c r="AY9" s="258"/>
      <c r="AZ9" s="258"/>
      <c r="BA9" s="258"/>
      <c r="BB9" s="258"/>
      <c r="BC9" s="258"/>
      <c r="BD9" s="258"/>
      <c r="BE9" s="258"/>
      <c r="BF9" s="258"/>
      <c r="BG9" s="258"/>
      <c r="BH9" s="258"/>
      <c r="BI9" s="258"/>
      <c r="BJ9" s="258"/>
      <c r="BK9" s="258"/>
      <c r="BL9" s="258"/>
      <c r="BM9" s="258"/>
      <c r="BN9" s="258"/>
      <c r="BO9" s="258"/>
      <c r="BP9" s="258"/>
      <c r="BQ9" s="258"/>
      <c r="BR9" s="922"/>
      <c r="BS9" s="258"/>
      <c r="BT9" s="258"/>
      <c r="BU9" s="258"/>
      <c r="BV9" s="258"/>
      <c r="BW9" s="258"/>
      <c r="BX9" s="258"/>
      <c r="BY9" s="922"/>
      <c r="BZ9" s="258"/>
      <c r="CA9" s="258"/>
      <c r="CB9" s="258"/>
      <c r="CC9" s="258"/>
      <c r="CD9" s="258"/>
      <c r="CE9" s="258"/>
      <c r="CF9" s="258"/>
      <c r="CG9" s="258"/>
      <c r="CH9" s="258"/>
      <c r="CI9" s="258"/>
      <c r="CJ9" s="258"/>
      <c r="CK9" s="258"/>
      <c r="CL9" s="258"/>
      <c r="CM9" s="258"/>
      <c r="CN9" s="258"/>
      <c r="CO9" s="258"/>
      <c r="CP9" s="258"/>
      <c r="CQ9" s="258"/>
      <c r="CR9" s="258"/>
      <c r="CS9" s="258"/>
      <c r="CT9" s="258"/>
      <c r="CU9" s="258"/>
      <c r="CV9" s="258"/>
      <c r="CW9" s="258"/>
      <c r="CX9" s="258"/>
      <c r="CY9" s="258"/>
      <c r="CZ9" s="258"/>
      <c r="DA9" s="258"/>
      <c r="DB9" s="258"/>
      <c r="DC9" s="258"/>
      <c r="DD9" s="258"/>
      <c r="DE9" s="258"/>
      <c r="DF9" s="258"/>
      <c r="DG9" s="258"/>
      <c r="DH9" s="258"/>
      <c r="DI9" s="258"/>
      <c r="DJ9" s="258"/>
      <c r="DK9" s="258"/>
      <c r="DL9" s="258"/>
      <c r="DM9" s="258"/>
      <c r="DN9" s="258"/>
      <c r="DO9" s="258"/>
      <c r="DP9" s="258"/>
      <c r="DQ9" s="258"/>
      <c r="DR9" s="258"/>
      <c r="DS9" s="258"/>
      <c r="DT9" s="258"/>
      <c r="DU9" s="258"/>
      <c r="DV9" s="258"/>
      <c r="DW9" s="258"/>
      <c r="DX9" s="258"/>
      <c r="DY9" s="927"/>
      <c r="DZ9" s="258"/>
      <c r="EA9" s="542"/>
      <c r="EB9" s="258"/>
      <c r="EC9" s="258"/>
      <c r="ED9" s="258"/>
      <c r="EE9" s="258"/>
      <c r="EF9" s="258"/>
      <c r="EG9" s="258"/>
      <c r="EH9" s="258"/>
      <c r="EI9" s="258"/>
      <c r="EJ9" s="258"/>
      <c r="EK9" s="258"/>
      <c r="EL9" s="258"/>
      <c r="EM9" s="258"/>
      <c r="EN9" s="258"/>
      <c r="EO9" s="258"/>
      <c r="EP9" s="258"/>
      <c r="EQ9" s="258"/>
      <c r="ER9" s="258"/>
      <c r="ES9" s="258"/>
      <c r="ET9" s="258"/>
      <c r="EU9" s="258"/>
      <c r="EV9" s="258"/>
      <c r="EW9" s="927"/>
      <c r="EY9" s="542"/>
      <c r="EZ9" s="927"/>
    </row>
    <row r="10" spans="1:156">
      <c r="B10" s="258"/>
      <c r="C10" s="922"/>
      <c r="D10" s="922"/>
      <c r="E10" s="542"/>
      <c r="F10" s="258"/>
      <c r="G10" s="258"/>
      <c r="H10" s="258"/>
      <c r="I10" s="258"/>
      <c r="J10" s="258"/>
      <c r="K10" s="922"/>
      <c r="L10" s="922"/>
      <c r="M10" s="922"/>
      <c r="N10" s="922"/>
      <c r="O10" s="922"/>
      <c r="P10" s="258"/>
      <c r="Q10" s="258"/>
      <c r="R10" s="258"/>
      <c r="S10" s="258"/>
      <c r="T10" s="258"/>
      <c r="U10" s="258"/>
      <c r="V10" s="258"/>
      <c r="W10" s="258"/>
      <c r="X10" s="258"/>
      <c r="Y10" s="258"/>
      <c r="Z10" s="258"/>
      <c r="AA10" s="258"/>
      <c r="AB10" s="258"/>
      <c r="AC10" s="258"/>
      <c r="AD10" s="258"/>
      <c r="AE10" s="258"/>
      <c r="AF10" s="258"/>
      <c r="AG10" s="258"/>
      <c r="AH10" s="258"/>
      <c r="AI10" s="825"/>
      <c r="AJ10" s="825"/>
      <c r="AK10" s="825"/>
      <c r="AL10" s="825"/>
      <c r="AM10" s="825"/>
      <c r="AN10" s="258"/>
      <c r="AO10" s="258"/>
      <c r="AP10" s="922"/>
      <c r="AQ10" s="258"/>
      <c r="AR10" s="258"/>
      <c r="AS10" s="258"/>
      <c r="AT10" s="258"/>
      <c r="AU10" s="258"/>
      <c r="AV10" s="258"/>
      <c r="AW10" s="258"/>
      <c r="AX10" s="258"/>
      <c r="AY10" s="258"/>
      <c r="AZ10" s="258"/>
      <c r="BA10" s="258"/>
      <c r="BB10" s="258"/>
      <c r="BC10" s="258"/>
      <c r="BD10" s="258"/>
      <c r="BE10" s="258"/>
      <c r="BF10" s="258"/>
      <c r="BG10" s="258"/>
      <c r="BH10" s="258"/>
      <c r="BI10" s="258"/>
      <c r="BJ10" s="258"/>
      <c r="BK10" s="258"/>
      <c r="BL10" s="258"/>
      <c r="BM10" s="258"/>
      <c r="BN10" s="258"/>
      <c r="BO10" s="258"/>
      <c r="BP10" s="258"/>
      <c r="BQ10" s="258"/>
      <c r="BR10" s="922"/>
      <c r="BS10" s="258"/>
      <c r="BT10" s="258"/>
      <c r="BU10" s="258"/>
      <c r="BV10" s="258"/>
      <c r="BW10" s="258"/>
      <c r="BX10" s="258"/>
      <c r="BY10" s="922"/>
      <c r="BZ10" s="258"/>
      <c r="CA10" s="258"/>
      <c r="CB10" s="258"/>
      <c r="CC10" s="258"/>
      <c r="CD10" s="258"/>
      <c r="CE10" s="258"/>
      <c r="CF10" s="258"/>
      <c r="CG10" s="258"/>
      <c r="CH10" s="258"/>
      <c r="CI10" s="258"/>
      <c r="CJ10" s="258"/>
      <c r="CK10" s="258"/>
      <c r="CL10" s="258"/>
      <c r="CM10" s="258"/>
      <c r="CN10" s="258"/>
      <c r="CO10" s="258"/>
      <c r="CP10" s="258"/>
      <c r="CQ10" s="258"/>
      <c r="CR10" s="258"/>
      <c r="CS10" s="258"/>
      <c r="CT10" s="258"/>
      <c r="CU10" s="258"/>
      <c r="CV10" s="258"/>
      <c r="CW10" s="258"/>
      <c r="CX10" s="258"/>
      <c r="CY10" s="258"/>
      <c r="CZ10" s="258"/>
      <c r="DA10" s="258"/>
      <c r="DB10" s="258"/>
      <c r="DC10" s="258"/>
      <c r="DD10" s="258"/>
      <c r="DE10" s="258"/>
      <c r="DF10" s="258"/>
      <c r="DG10" s="258"/>
      <c r="DH10" s="258"/>
      <c r="DI10" s="258"/>
      <c r="DJ10" s="258"/>
      <c r="DK10" s="258"/>
      <c r="DL10" s="258"/>
      <c r="DM10" s="258"/>
      <c r="DN10" s="258"/>
      <c r="DO10" s="258"/>
      <c r="DP10" s="258"/>
      <c r="DQ10" s="258"/>
      <c r="DR10" s="258"/>
      <c r="DS10" s="258"/>
      <c r="DT10" s="258"/>
      <c r="DU10" s="258"/>
      <c r="DV10" s="258"/>
      <c r="DW10" s="258"/>
      <c r="DX10" s="258"/>
      <c r="DY10" s="927"/>
      <c r="DZ10" s="258"/>
      <c r="EA10" s="542"/>
      <c r="EB10" s="258"/>
      <c r="EC10" s="258"/>
      <c r="ED10" s="258"/>
      <c r="EE10" s="258"/>
      <c r="EF10" s="258"/>
      <c r="EG10" s="258"/>
      <c r="EH10" s="258"/>
      <c r="EI10" s="258"/>
      <c r="EJ10" s="258"/>
      <c r="EK10" s="258"/>
      <c r="EL10" s="258"/>
      <c r="EM10" s="258"/>
      <c r="EN10" s="258"/>
      <c r="EO10" s="258"/>
      <c r="EP10" s="258"/>
      <c r="EQ10" s="258"/>
      <c r="ER10" s="258"/>
      <c r="ES10" s="258"/>
      <c r="ET10" s="258"/>
      <c r="EU10" s="258"/>
      <c r="EV10" s="258"/>
      <c r="EW10" s="927"/>
      <c r="EY10" s="542"/>
      <c r="EZ10" s="927"/>
    </row>
    <row r="11" spans="1:156">
      <c r="B11" s="258"/>
      <c r="C11" s="922"/>
      <c r="D11" s="922"/>
      <c r="E11" s="542"/>
      <c r="F11" s="258"/>
      <c r="G11" s="258"/>
      <c r="H11" s="258"/>
      <c r="I11" s="258"/>
      <c r="J11" s="258"/>
      <c r="K11" s="922"/>
      <c r="L11" s="922"/>
      <c r="M11" s="922"/>
      <c r="N11" s="922"/>
      <c r="O11" s="922"/>
      <c r="P11" s="258"/>
      <c r="Q11" s="258"/>
      <c r="R11" s="258"/>
      <c r="S11" s="258"/>
      <c r="T11" s="258"/>
      <c r="U11" s="258"/>
      <c r="V11" s="258"/>
      <c r="W11" s="258"/>
      <c r="X11" s="258"/>
      <c r="Y11" s="258"/>
      <c r="Z11" s="258"/>
      <c r="AA11" s="258"/>
      <c r="AB11" s="258"/>
      <c r="AC11" s="258"/>
      <c r="AD11" s="258"/>
      <c r="AE11" s="258"/>
      <c r="AF11" s="258"/>
      <c r="AG11" s="258"/>
      <c r="AH11" s="258"/>
      <c r="AI11" s="825"/>
      <c r="AJ11" s="825"/>
      <c r="AK11" s="825"/>
      <c r="AL11" s="825"/>
      <c r="AM11" s="825"/>
      <c r="AN11" s="258"/>
      <c r="AO11" s="258"/>
      <c r="AP11" s="922"/>
      <c r="AQ11" s="258"/>
      <c r="AR11" s="258"/>
      <c r="AS11" s="258"/>
      <c r="AT11" s="258"/>
      <c r="AU11" s="258"/>
      <c r="AV11" s="258"/>
      <c r="AW11" s="258"/>
      <c r="AX11" s="258"/>
      <c r="AY11" s="258"/>
      <c r="AZ11" s="258"/>
      <c r="BA11" s="258"/>
      <c r="BB11" s="258"/>
      <c r="BC11" s="258"/>
      <c r="BD11" s="258"/>
      <c r="BE11" s="258"/>
      <c r="BF11" s="258"/>
      <c r="BG11" s="258"/>
      <c r="BH11" s="258"/>
      <c r="BI11" s="258"/>
      <c r="BJ11" s="258"/>
      <c r="BK11" s="258"/>
      <c r="BL11" s="258"/>
      <c r="BM11" s="258"/>
      <c r="BN11" s="258"/>
      <c r="BO11" s="258"/>
      <c r="BP11" s="258"/>
      <c r="BQ11" s="258"/>
      <c r="BR11" s="922"/>
      <c r="BS11" s="258"/>
      <c r="BT11" s="258"/>
      <c r="BU11" s="258"/>
      <c r="BV11" s="258"/>
      <c r="BW11" s="258"/>
      <c r="BX11" s="258"/>
      <c r="BY11" s="922"/>
      <c r="BZ11" s="258"/>
      <c r="CA11" s="258"/>
      <c r="CB11" s="258"/>
      <c r="CC11" s="258"/>
      <c r="CD11" s="258"/>
      <c r="CE11" s="258"/>
      <c r="CF11" s="258"/>
      <c r="CG11" s="258"/>
      <c r="CH11" s="258"/>
      <c r="CI11" s="258"/>
      <c r="CJ11" s="258"/>
      <c r="CK11" s="258"/>
      <c r="CL11" s="258"/>
      <c r="CM11" s="258"/>
      <c r="CN11" s="258"/>
      <c r="CO11" s="258"/>
      <c r="CP11" s="258"/>
      <c r="CQ11" s="258"/>
      <c r="CR11" s="258"/>
      <c r="CS11" s="258"/>
      <c r="CT11" s="258"/>
      <c r="CU11" s="258"/>
      <c r="CV11" s="258"/>
      <c r="CW11" s="258"/>
      <c r="CX11" s="258"/>
      <c r="CY11" s="258"/>
      <c r="CZ11" s="258"/>
      <c r="DA11" s="258"/>
      <c r="DB11" s="258"/>
      <c r="DC11" s="258"/>
      <c r="DD11" s="258"/>
      <c r="DE11" s="258"/>
      <c r="DF11" s="258"/>
      <c r="DG11" s="258"/>
      <c r="DH11" s="258"/>
      <c r="DI11" s="258"/>
      <c r="DJ11" s="258"/>
      <c r="DK11" s="258"/>
      <c r="DL11" s="258"/>
      <c r="DM11" s="258"/>
      <c r="DN11" s="258"/>
      <c r="DO11" s="258"/>
      <c r="DP11" s="258"/>
      <c r="DQ11" s="258"/>
      <c r="DR11" s="258"/>
      <c r="DS11" s="258"/>
      <c r="DT11" s="258"/>
      <c r="DU11" s="258"/>
      <c r="DV11" s="258"/>
      <c r="DW11" s="258"/>
      <c r="DX11" s="258"/>
      <c r="DY11" s="927"/>
      <c r="DZ11" s="258"/>
      <c r="EA11" s="542"/>
      <c r="EB11" s="258"/>
      <c r="EC11" s="258"/>
      <c r="ED11" s="258"/>
      <c r="EE11" s="258"/>
      <c r="EF11" s="258"/>
      <c r="EG11" s="258"/>
      <c r="EH11" s="258"/>
      <c r="EI11" s="258"/>
      <c r="EJ11" s="258"/>
      <c r="EK11" s="258"/>
      <c r="EL11" s="258"/>
      <c r="EM11" s="258"/>
      <c r="EN11" s="258"/>
      <c r="EO11" s="258"/>
      <c r="EP11" s="258"/>
      <c r="EQ11" s="258"/>
      <c r="ER11" s="258"/>
      <c r="ES11" s="258"/>
      <c r="ET11" s="258"/>
      <c r="EU11" s="258"/>
      <c r="EV11" s="258"/>
      <c r="EW11" s="927"/>
      <c r="EY11" s="542"/>
      <c r="EZ11" s="927"/>
    </row>
    <row r="12" spans="1:156" ht="17.25">
      <c r="B12" s="258"/>
      <c r="C12" s="922"/>
      <c r="D12" s="922"/>
      <c r="E12" s="542"/>
      <c r="F12" s="258"/>
      <c r="G12" s="258"/>
      <c r="H12" s="258"/>
      <c r="I12" s="258"/>
      <c r="J12" s="258"/>
      <c r="K12" s="922"/>
      <c r="L12" s="922"/>
      <c r="M12" s="922"/>
      <c r="N12" s="922"/>
      <c r="O12" s="922"/>
      <c r="P12" s="258"/>
      <c r="Q12" s="258"/>
      <c r="R12" s="258"/>
      <c r="S12" s="258"/>
      <c r="T12" s="258"/>
      <c r="U12" s="258"/>
      <c r="V12" s="258"/>
      <c r="W12" s="258"/>
      <c r="X12" s="258"/>
      <c r="Y12" s="258"/>
      <c r="Z12" s="258"/>
      <c r="AA12" s="258"/>
      <c r="AB12" s="258"/>
      <c r="AC12" s="258"/>
      <c r="AD12" s="258"/>
      <c r="AE12" s="258"/>
      <c r="AF12" s="258"/>
      <c r="AG12" s="258"/>
      <c r="AH12" s="258"/>
      <c r="AI12" s="825"/>
      <c r="AJ12" s="825"/>
      <c r="AK12" s="825"/>
      <c r="AL12" s="825"/>
      <c r="AM12" s="825"/>
      <c r="AN12" s="258"/>
      <c r="AO12" s="258"/>
      <c r="AP12" s="922"/>
      <c r="AQ12" s="258"/>
      <c r="AR12" s="258"/>
      <c r="AS12" s="258"/>
      <c r="AT12" s="258"/>
      <c r="AU12" s="258"/>
      <c r="AV12" s="258"/>
      <c r="AW12" s="258"/>
      <c r="AX12" s="258"/>
      <c r="AY12" s="258"/>
      <c r="AZ12" s="258"/>
      <c r="BA12" s="258"/>
      <c r="BB12" s="258"/>
      <c r="BC12" s="258"/>
      <c r="BD12" s="258"/>
      <c r="BE12" s="258"/>
      <c r="BF12" s="258"/>
      <c r="BG12" s="258"/>
      <c r="BH12" s="258"/>
      <c r="BI12" s="258"/>
      <c r="BJ12" s="258"/>
      <c r="BK12" s="258"/>
      <c r="BL12" s="258"/>
      <c r="BM12" s="258"/>
      <c r="BN12" s="258"/>
      <c r="BO12" s="258"/>
      <c r="BP12" s="258"/>
      <c r="BQ12" s="258"/>
      <c r="BR12" s="922"/>
      <c r="BS12" s="258"/>
      <c r="BT12" s="258"/>
      <c r="BU12" s="258"/>
      <c r="BV12" s="258"/>
      <c r="BW12" s="258"/>
      <c r="BX12" s="258"/>
      <c r="BY12" s="922"/>
      <c r="BZ12" s="258"/>
      <c r="CA12" s="258"/>
      <c r="CB12" s="258"/>
      <c r="CC12" s="258"/>
      <c r="CD12" s="258"/>
      <c r="CE12" s="258"/>
      <c r="CF12" s="258"/>
      <c r="CG12" s="258"/>
      <c r="CH12" s="258"/>
      <c r="CI12" s="258"/>
      <c r="CJ12" s="258"/>
      <c r="CK12" s="258"/>
      <c r="CL12" s="258"/>
      <c r="CM12" s="258"/>
      <c r="CN12" s="258"/>
      <c r="CO12" s="258"/>
      <c r="CP12" s="258"/>
      <c r="CQ12" s="258"/>
      <c r="CR12" s="258"/>
      <c r="CS12" s="258"/>
      <c r="CT12" s="258"/>
      <c r="CU12" s="258"/>
      <c r="CV12" s="258"/>
      <c r="CW12" s="258"/>
      <c r="CX12" s="258"/>
      <c r="CY12" s="258"/>
      <c r="CZ12" s="258"/>
      <c r="DA12" s="258"/>
      <c r="DB12" s="258"/>
      <c r="DC12" s="258"/>
      <c r="DD12" s="258"/>
      <c r="DE12" s="258"/>
      <c r="DF12" s="258"/>
      <c r="DG12" s="258"/>
      <c r="DH12" s="258"/>
      <c r="DI12" s="258"/>
      <c r="DJ12" s="258"/>
      <c r="DK12" s="258"/>
      <c r="DL12" s="258"/>
      <c r="DM12" s="258"/>
      <c r="DN12" s="258"/>
      <c r="DO12" s="258"/>
      <c r="DP12" s="258"/>
      <c r="DQ12" s="258"/>
      <c r="DR12" s="258"/>
      <c r="DS12" s="258"/>
      <c r="DT12" s="258"/>
      <c r="DU12" s="258"/>
      <c r="DV12" s="258"/>
      <c r="DW12" s="258"/>
      <c r="DX12" s="258"/>
      <c r="DY12" s="927"/>
      <c r="DZ12" s="258"/>
      <c r="EA12" s="928" t="s">
        <v>870</v>
      </c>
      <c r="EB12" s="833"/>
      <c r="EC12" s="833"/>
      <c r="ED12" s="833"/>
      <c r="EE12" s="833"/>
      <c r="EF12" s="833"/>
      <c r="EG12" s="833"/>
      <c r="EH12" s="833"/>
      <c r="EI12" s="833"/>
      <c r="EJ12" s="833"/>
      <c r="EK12" s="833"/>
      <c r="EL12" s="833"/>
      <c r="EM12" s="833"/>
      <c r="EN12" s="833"/>
      <c r="EO12" s="833"/>
      <c r="EP12" s="833"/>
      <c r="EQ12" s="833"/>
      <c r="ER12" s="833"/>
      <c r="ES12" s="833"/>
      <c r="ET12" s="833"/>
      <c r="EU12" s="833"/>
      <c r="EV12" s="833"/>
      <c r="EW12" s="929"/>
      <c r="EY12" s="928" t="s">
        <v>1515</v>
      </c>
      <c r="EZ12" s="929"/>
    </row>
    <row r="13" spans="1:156" ht="17.25">
      <c r="B13" s="258"/>
      <c r="C13" s="922"/>
      <c r="D13" s="922"/>
      <c r="E13" s="542"/>
      <c r="F13" s="258"/>
      <c r="G13" s="258"/>
      <c r="H13" s="258"/>
      <c r="I13" s="258"/>
      <c r="J13" s="258"/>
      <c r="K13" s="922"/>
      <c r="L13" s="922"/>
      <c r="M13" s="922"/>
      <c r="N13" s="922"/>
      <c r="O13" s="922"/>
      <c r="P13" s="930"/>
      <c r="Q13" s="76" t="s">
        <v>871</v>
      </c>
      <c r="R13" s="37"/>
      <c r="S13" s="37"/>
      <c r="T13" s="37"/>
      <c r="U13" s="37"/>
      <c r="V13" s="37"/>
      <c r="W13" s="37"/>
      <c r="X13" s="37"/>
      <c r="Y13" s="37"/>
      <c r="Z13" s="37"/>
      <c r="AA13" s="37"/>
      <c r="AB13" s="37"/>
      <c r="AC13" s="37"/>
      <c r="AD13" s="37"/>
      <c r="AE13" s="37"/>
      <c r="AF13" s="37"/>
      <c r="AG13" s="37"/>
      <c r="AH13" s="37"/>
      <c r="AI13" s="37"/>
      <c r="AJ13" s="37"/>
      <c r="AK13" s="37"/>
      <c r="AL13" s="37"/>
      <c r="AM13" s="37"/>
      <c r="AN13" s="37"/>
      <c r="AO13" s="37"/>
      <c r="AP13" s="172"/>
      <c r="AQ13" s="931"/>
      <c r="AR13" s="931"/>
      <c r="AS13" s="76" t="s">
        <v>872</v>
      </c>
      <c r="AT13" s="932"/>
      <c r="AU13" s="932"/>
      <c r="AV13" s="932"/>
      <c r="AW13" s="932"/>
      <c r="AX13" s="932"/>
      <c r="AY13" s="932"/>
      <c r="AZ13" s="933"/>
      <c r="BA13" s="932"/>
      <c r="BB13" s="934"/>
      <c r="BC13" s="931"/>
      <c r="BD13" s="76" t="s">
        <v>873</v>
      </c>
      <c r="BE13" s="935"/>
      <c r="BF13" s="935"/>
      <c r="BG13" s="935"/>
      <c r="BH13" s="935"/>
      <c r="BI13" s="935"/>
      <c r="BJ13" s="935"/>
      <c r="BK13" s="935"/>
      <c r="BL13" s="935"/>
      <c r="BM13" s="935"/>
      <c r="BN13" s="935"/>
      <c r="BO13" s="935"/>
      <c r="BP13" s="935"/>
      <c r="BQ13" s="935"/>
      <c r="BR13" s="936"/>
      <c r="BS13" s="931"/>
      <c r="BT13" s="931"/>
      <c r="BU13" s="76" t="s">
        <v>874</v>
      </c>
      <c r="BV13" s="935"/>
      <c r="BW13" s="935"/>
      <c r="BX13" s="935"/>
      <c r="BY13" s="936"/>
      <c r="BZ13" s="931"/>
      <c r="CA13" s="76" t="s">
        <v>875</v>
      </c>
      <c r="CB13" s="935"/>
      <c r="CC13" s="935"/>
      <c r="CD13" s="935"/>
      <c r="CE13" s="935"/>
      <c r="CF13" s="935"/>
      <c r="CG13" s="935"/>
      <c r="CH13" s="935"/>
      <c r="CI13" s="935"/>
      <c r="CJ13" s="935"/>
      <c r="CK13" s="935"/>
      <c r="CL13" s="935"/>
      <c r="CM13" s="935"/>
      <c r="CN13" s="935"/>
      <c r="CO13" s="935"/>
      <c r="CP13" s="935"/>
      <c r="CQ13" s="935"/>
      <c r="CR13" s="935"/>
      <c r="CS13" s="935"/>
      <c r="CT13" s="936"/>
      <c r="CU13" s="930"/>
      <c r="CV13" s="76" t="s">
        <v>876</v>
      </c>
      <c r="CW13" s="935"/>
      <c r="CX13" s="935"/>
      <c r="CY13" s="935"/>
      <c r="CZ13" s="935"/>
      <c r="DA13" s="935"/>
      <c r="DB13" s="935"/>
      <c r="DC13" s="935"/>
      <c r="DD13" s="935"/>
      <c r="DE13" s="935"/>
      <c r="DF13" s="935"/>
      <c r="DG13" s="935"/>
      <c r="DH13" s="936"/>
      <c r="DI13" s="930"/>
      <c r="DJ13" s="76" t="s">
        <v>877</v>
      </c>
      <c r="DK13" s="935"/>
      <c r="DL13" s="935"/>
      <c r="DM13" s="935"/>
      <c r="DN13" s="935"/>
      <c r="DO13" s="935"/>
      <c r="DP13" s="935"/>
      <c r="DQ13" s="935"/>
      <c r="DR13" s="935"/>
      <c r="DS13" s="935"/>
      <c r="DT13" s="935"/>
      <c r="DU13" s="936"/>
      <c r="DV13" s="930"/>
      <c r="DW13" s="258"/>
      <c r="DX13" s="930"/>
      <c r="DY13" s="927"/>
      <c r="DZ13" s="930"/>
      <c r="EA13" s="928"/>
      <c r="EB13" s="833"/>
      <c r="EC13" s="833"/>
      <c r="ED13" s="833"/>
      <c r="EE13" s="833"/>
      <c r="EF13" s="833"/>
      <c r="EG13" s="833"/>
      <c r="EH13" s="833"/>
      <c r="EI13" s="833"/>
      <c r="EJ13" s="833"/>
      <c r="EK13" s="833"/>
      <c r="EL13" s="833"/>
      <c r="EM13" s="833"/>
      <c r="EN13" s="833"/>
      <c r="EO13" s="833"/>
      <c r="EP13" s="833"/>
      <c r="EQ13" s="833"/>
      <c r="ER13" s="833"/>
      <c r="ES13" s="833"/>
      <c r="ET13" s="833"/>
      <c r="EU13" s="833"/>
      <c r="EV13" s="833"/>
      <c r="EW13" s="929"/>
      <c r="EY13" s="928"/>
      <c r="EZ13" s="929"/>
    </row>
    <row r="14" spans="1:156" ht="17.25">
      <c r="B14" s="258"/>
      <c r="C14" s="922"/>
      <c r="D14" s="922"/>
      <c r="E14" s="542"/>
      <c r="F14" s="258"/>
      <c r="G14" s="258"/>
      <c r="H14" s="258"/>
      <c r="I14" s="258"/>
      <c r="J14" s="258"/>
      <c r="K14" s="922"/>
      <c r="L14" s="922"/>
      <c r="M14" s="922"/>
      <c r="N14" s="922"/>
      <c r="O14" s="922"/>
      <c r="P14" s="930"/>
      <c r="Q14" s="928"/>
      <c r="R14" s="833"/>
      <c r="S14" s="833"/>
      <c r="T14" s="833"/>
      <c r="U14" s="833"/>
      <c r="V14" s="833"/>
      <c r="W14" s="833"/>
      <c r="X14" s="833"/>
      <c r="Y14" s="833"/>
      <c r="Z14" s="833"/>
      <c r="AA14" s="833"/>
      <c r="AB14" s="833"/>
      <c r="AC14" s="833"/>
      <c r="AD14" s="833"/>
      <c r="AE14" s="833"/>
      <c r="AF14" s="833"/>
      <c r="AG14" s="833"/>
      <c r="AH14" s="833"/>
      <c r="AI14" s="833"/>
      <c r="AJ14" s="833"/>
      <c r="AK14" s="833"/>
      <c r="AL14" s="833"/>
      <c r="AM14" s="833"/>
      <c r="AN14" s="833"/>
      <c r="AO14" s="833"/>
      <c r="AP14" s="929"/>
      <c r="AQ14" s="931"/>
      <c r="AR14" s="931"/>
      <c r="AS14" s="928"/>
      <c r="AT14" s="833"/>
      <c r="AU14" s="833"/>
      <c r="AV14" s="833"/>
      <c r="AW14" s="833"/>
      <c r="AX14" s="833"/>
      <c r="AY14" s="833"/>
      <c r="AZ14" s="833"/>
      <c r="BA14" s="833"/>
      <c r="BB14" s="929"/>
      <c r="BC14" s="931"/>
      <c r="BD14" s="928"/>
      <c r="BE14" s="833"/>
      <c r="BF14" s="833"/>
      <c r="BG14" s="833"/>
      <c r="BH14" s="833"/>
      <c r="BI14" s="833"/>
      <c r="BJ14" s="833"/>
      <c r="BK14" s="833"/>
      <c r="BL14" s="833"/>
      <c r="BM14" s="833"/>
      <c r="BN14" s="833"/>
      <c r="BO14" s="833"/>
      <c r="BP14" s="833"/>
      <c r="BQ14" s="833"/>
      <c r="BR14" s="929"/>
      <c r="BS14" s="931"/>
      <c r="BT14" s="931"/>
      <c r="BU14" s="928"/>
      <c r="BV14" s="833"/>
      <c r="BW14" s="833"/>
      <c r="BX14" s="833"/>
      <c r="BY14" s="929"/>
      <c r="BZ14" s="931"/>
      <c r="CA14" s="928"/>
      <c r="CB14" s="833"/>
      <c r="CC14" s="833"/>
      <c r="CD14" s="833"/>
      <c r="CE14" s="833"/>
      <c r="CF14" s="833"/>
      <c r="CG14" s="833"/>
      <c r="CH14" s="833"/>
      <c r="CI14" s="833"/>
      <c r="CJ14" s="833"/>
      <c r="CK14" s="833"/>
      <c r="CL14" s="833"/>
      <c r="CM14" s="833"/>
      <c r="CN14" s="833"/>
      <c r="CO14" s="833"/>
      <c r="CP14" s="833"/>
      <c r="CQ14" s="833"/>
      <c r="CR14" s="833"/>
      <c r="CS14" s="833"/>
      <c r="CT14" s="929"/>
      <c r="CU14" s="930"/>
      <c r="CV14" s="928"/>
      <c r="CW14" s="833"/>
      <c r="CX14" s="833"/>
      <c r="CY14" s="833"/>
      <c r="CZ14" s="833"/>
      <c r="DA14" s="833"/>
      <c r="DB14" s="833"/>
      <c r="DC14" s="833"/>
      <c r="DD14" s="833"/>
      <c r="DE14" s="833"/>
      <c r="DF14" s="833"/>
      <c r="DG14" s="833"/>
      <c r="DH14" s="929"/>
      <c r="DI14" s="930"/>
      <c r="DJ14" s="928"/>
      <c r="DK14" s="833"/>
      <c r="DL14" s="833"/>
      <c r="DM14" s="833"/>
      <c r="DN14" s="833"/>
      <c r="DO14" s="833"/>
      <c r="DP14" s="833"/>
      <c r="DQ14" s="833"/>
      <c r="DR14" s="833"/>
      <c r="DS14" s="833"/>
      <c r="DT14" s="833"/>
      <c r="DU14" s="929"/>
      <c r="DV14" s="930"/>
      <c r="DW14" s="258"/>
      <c r="DX14" s="930"/>
      <c r="DY14" s="927"/>
      <c r="DZ14" s="930"/>
      <c r="EA14" s="928"/>
      <c r="EB14" s="833"/>
      <c r="EC14" s="833"/>
      <c r="ED14" s="833"/>
      <c r="EE14" s="833"/>
      <c r="EF14" s="833"/>
      <c r="EG14" s="833"/>
      <c r="EH14" s="833"/>
      <c r="EI14" s="833"/>
      <c r="EJ14" s="833"/>
      <c r="EK14" s="833"/>
      <c r="EL14" s="833"/>
      <c r="EM14" s="833"/>
      <c r="EN14" s="833"/>
      <c r="EO14" s="833"/>
      <c r="EP14" s="833"/>
      <c r="EQ14" s="833"/>
      <c r="ER14" s="833"/>
      <c r="ES14" s="833"/>
      <c r="ET14" s="833"/>
      <c r="EU14" s="833"/>
      <c r="EV14" s="833"/>
      <c r="EW14" s="929"/>
      <c r="EY14" s="928"/>
      <c r="EZ14" s="929"/>
    </row>
    <row r="15" spans="1:156" ht="17.25">
      <c r="B15" s="937"/>
      <c r="C15" s="938"/>
      <c r="D15" s="938"/>
      <c r="E15" s="939"/>
      <c r="F15" s="937"/>
      <c r="G15" s="937"/>
      <c r="H15" s="937"/>
      <c r="I15" s="937"/>
      <c r="J15" s="937"/>
      <c r="K15" s="938"/>
      <c r="L15" s="938"/>
      <c r="M15" s="938"/>
      <c r="N15" s="938"/>
      <c r="O15" s="938"/>
      <c r="P15" s="940"/>
      <c r="Q15" s="941"/>
      <c r="R15" s="942"/>
      <c r="S15" s="942"/>
      <c r="T15" s="942"/>
      <c r="U15" s="942"/>
      <c r="V15" s="942"/>
      <c r="W15" s="942"/>
      <c r="X15" s="942"/>
      <c r="Y15" s="942"/>
      <c r="Z15" s="942"/>
      <c r="AA15" s="942"/>
      <c r="AB15" s="942"/>
      <c r="AC15" s="942"/>
      <c r="AD15" s="942"/>
      <c r="AE15" s="942"/>
      <c r="AF15" s="942"/>
      <c r="AG15" s="942"/>
      <c r="AH15" s="942"/>
      <c r="AI15" s="942"/>
      <c r="AJ15" s="942"/>
      <c r="AK15" s="942"/>
      <c r="AL15" s="942"/>
      <c r="AM15" s="942"/>
      <c r="AN15" s="942"/>
      <c r="AO15" s="942"/>
      <c r="AP15" s="943"/>
      <c r="AQ15" s="944"/>
      <c r="AR15" s="944"/>
      <c r="AS15" s="941"/>
      <c r="AT15" s="942"/>
      <c r="AU15" s="942"/>
      <c r="AV15" s="942"/>
      <c r="AW15" s="942"/>
      <c r="AX15" s="942"/>
      <c r="AY15" s="942"/>
      <c r="AZ15" s="942"/>
      <c r="BA15" s="942"/>
      <c r="BB15" s="943"/>
      <c r="BC15" s="944"/>
      <c r="BD15" s="988" t="s">
        <v>303</v>
      </c>
      <c r="BE15" s="207" t="s">
        <v>301</v>
      </c>
      <c r="BF15" s="942"/>
      <c r="BG15" s="207" t="s">
        <v>309</v>
      </c>
      <c r="BH15" s="207" t="s">
        <v>408</v>
      </c>
      <c r="BI15" s="942"/>
      <c r="BJ15" s="207" t="s">
        <v>424</v>
      </c>
      <c r="BK15" s="942"/>
      <c r="BL15" s="207" t="s">
        <v>168</v>
      </c>
      <c r="BM15" s="207" t="s">
        <v>416</v>
      </c>
      <c r="BN15" s="207" t="s">
        <v>420</v>
      </c>
      <c r="BO15" s="207" t="s">
        <v>418</v>
      </c>
      <c r="BP15" s="207" t="s">
        <v>411</v>
      </c>
      <c r="BQ15" s="207" t="s">
        <v>435</v>
      </c>
      <c r="BR15" s="207" t="s">
        <v>300</v>
      </c>
      <c r="BS15" s="944"/>
      <c r="BT15" s="944"/>
      <c r="BU15" s="941"/>
      <c r="BV15" s="942"/>
      <c r="BW15" s="942"/>
      <c r="BX15" s="942"/>
      <c r="BY15" s="943"/>
      <c r="BZ15" s="944"/>
      <c r="CA15" s="941"/>
      <c r="CB15" s="207" t="s">
        <v>301</v>
      </c>
      <c r="CC15" s="942"/>
      <c r="CD15" s="207" t="s">
        <v>321</v>
      </c>
      <c r="CE15" s="207" t="s">
        <v>365</v>
      </c>
      <c r="CF15" s="207" t="s">
        <v>408</v>
      </c>
      <c r="CG15" s="942"/>
      <c r="CH15" s="207" t="s">
        <v>878</v>
      </c>
      <c r="CI15" s="942"/>
      <c r="CJ15" s="942"/>
      <c r="CK15" s="942"/>
      <c r="CL15" s="942"/>
      <c r="CM15" s="942"/>
      <c r="CN15" s="207" t="s">
        <v>435</v>
      </c>
      <c r="CO15" s="207" t="s">
        <v>880</v>
      </c>
      <c r="CP15" s="945"/>
      <c r="CQ15" s="945"/>
      <c r="CR15" s="945"/>
      <c r="CS15" s="945"/>
      <c r="CT15" s="207" t="s">
        <v>300</v>
      </c>
      <c r="CU15" s="940"/>
      <c r="CV15" s="207" t="s">
        <v>881</v>
      </c>
      <c r="CW15" s="945"/>
      <c r="CX15" s="945"/>
      <c r="CY15" s="945"/>
      <c r="CZ15" s="945"/>
      <c r="DA15" s="207" t="s">
        <v>884</v>
      </c>
      <c r="DB15" s="942"/>
      <c r="DC15" s="942"/>
      <c r="DD15" s="207" t="s">
        <v>318</v>
      </c>
      <c r="DE15" s="207" t="s">
        <v>527</v>
      </c>
      <c r="DF15" s="942"/>
      <c r="DG15" s="207" t="s">
        <v>379</v>
      </c>
      <c r="DH15" s="943"/>
      <c r="DI15" s="940"/>
      <c r="DJ15" s="207" t="s">
        <v>474</v>
      </c>
      <c r="DK15" s="942"/>
      <c r="DL15" s="942"/>
      <c r="DM15" s="942"/>
      <c r="DN15" s="942"/>
      <c r="DO15" s="942"/>
      <c r="DP15" s="207" t="s">
        <v>527</v>
      </c>
      <c r="DQ15" s="942"/>
      <c r="DR15" s="942"/>
      <c r="DS15" s="942"/>
      <c r="DT15" s="942"/>
      <c r="DU15" s="943"/>
      <c r="DV15" s="940"/>
      <c r="DW15" s="937"/>
      <c r="DX15" s="940"/>
      <c r="DY15" s="946"/>
      <c r="DZ15" s="940"/>
      <c r="EA15" s="207" t="s">
        <v>309</v>
      </c>
      <c r="EB15" s="207" t="s">
        <v>168</v>
      </c>
      <c r="EC15" s="207" t="s">
        <v>416</v>
      </c>
      <c r="ED15" s="207" t="s">
        <v>435</v>
      </c>
      <c r="EE15" s="258"/>
      <c r="EF15" s="207" t="s">
        <v>439</v>
      </c>
      <c r="EG15" s="207" t="s">
        <v>441</v>
      </c>
      <c r="EH15" s="207" t="s">
        <v>318</v>
      </c>
      <c r="EI15" s="207" t="s">
        <v>1043</v>
      </c>
      <c r="EJ15" s="207" t="s">
        <v>393</v>
      </c>
      <c r="EK15" s="207" t="s">
        <v>882</v>
      </c>
      <c r="EL15" s="207" t="s">
        <v>379</v>
      </c>
      <c r="EM15" s="937"/>
      <c r="EN15" s="937"/>
      <c r="EO15" s="207" t="s">
        <v>474</v>
      </c>
      <c r="EP15" s="207" t="s">
        <v>483</v>
      </c>
      <c r="EQ15" s="207" t="s">
        <v>527</v>
      </c>
      <c r="ER15" s="937"/>
      <c r="ES15" s="149">
        <f>GA!$G$484</f>
        <v>1.2999999999999999E-3</v>
      </c>
      <c r="ET15" s="149">
        <f>GA!G485</f>
        <v>0</v>
      </c>
      <c r="EU15" s="937"/>
      <c r="EV15" s="937"/>
      <c r="EW15" s="946"/>
      <c r="EY15" s="988" t="s">
        <v>654</v>
      </c>
      <c r="EZ15" s="1567"/>
    </row>
    <row r="16" spans="1:156" ht="18" thickBot="1">
      <c r="B16" s="937"/>
      <c r="C16" s="938"/>
      <c r="D16" s="938"/>
      <c r="E16" s="939"/>
      <c r="F16" s="937"/>
      <c r="G16" s="937"/>
      <c r="H16" s="937"/>
      <c r="I16" s="937"/>
      <c r="J16" s="937"/>
      <c r="K16" s="938"/>
      <c r="L16" s="938"/>
      <c r="M16" s="938"/>
      <c r="N16" s="938"/>
      <c r="O16" s="938"/>
      <c r="P16" s="940"/>
      <c r="Q16" s="941"/>
      <c r="R16" s="942"/>
      <c r="S16" s="942"/>
      <c r="T16" s="942"/>
      <c r="U16" s="942"/>
      <c r="V16" s="942"/>
      <c r="W16" s="942"/>
      <c r="X16" s="942"/>
      <c r="Y16" s="942"/>
      <c r="Z16" s="942"/>
      <c r="AA16" s="942"/>
      <c r="AB16" s="942"/>
      <c r="AC16" s="942"/>
      <c r="AD16" s="942"/>
      <c r="AE16" s="942"/>
      <c r="AF16" s="942"/>
      <c r="AG16" s="942"/>
      <c r="AH16" s="942"/>
      <c r="AI16" s="942"/>
      <c r="AJ16" s="942"/>
      <c r="AK16" s="942"/>
      <c r="AL16" s="942"/>
      <c r="AM16" s="942"/>
      <c r="AN16" s="942"/>
      <c r="AO16" s="942"/>
      <c r="AP16" s="943"/>
      <c r="AQ16" s="944"/>
      <c r="AR16" s="944"/>
      <c r="AS16" s="941"/>
      <c r="AT16" s="942"/>
      <c r="AU16" s="942"/>
      <c r="AV16" s="942"/>
      <c r="AW16" s="942"/>
      <c r="AX16" s="942"/>
      <c r="AY16" s="942"/>
      <c r="AZ16" s="942"/>
      <c r="BA16" s="942"/>
      <c r="BB16" s="943"/>
      <c r="BC16" s="944"/>
      <c r="BD16" s="941"/>
      <c r="BE16" s="945"/>
      <c r="BF16" s="942"/>
      <c r="BG16" s="945"/>
      <c r="BH16" s="945"/>
      <c r="BI16" s="942"/>
      <c r="BJ16" s="945"/>
      <c r="BK16" s="942"/>
      <c r="BL16" s="945"/>
      <c r="BM16" s="945"/>
      <c r="BN16" s="945"/>
      <c r="BO16" s="945"/>
      <c r="BP16" s="945"/>
      <c r="BQ16" s="942"/>
      <c r="BR16" s="947"/>
      <c r="BS16" s="944"/>
      <c r="BT16" s="944"/>
      <c r="BU16" s="941"/>
      <c r="BV16" s="942"/>
      <c r="BW16" s="942"/>
      <c r="BX16" s="942"/>
      <c r="BY16" s="943"/>
      <c r="BZ16" s="944"/>
      <c r="CA16" s="941"/>
      <c r="CB16" s="945"/>
      <c r="CC16" s="942"/>
      <c r="CD16" s="942"/>
      <c r="CE16" s="945"/>
      <c r="CF16" s="945"/>
      <c r="CG16" s="942"/>
      <c r="CH16" s="945"/>
      <c r="CI16" s="942"/>
      <c r="CJ16" s="942"/>
      <c r="CK16" s="942"/>
      <c r="CL16" s="942"/>
      <c r="CM16" s="942"/>
      <c r="CN16" s="945"/>
      <c r="CO16" s="945"/>
      <c r="CP16" s="945"/>
      <c r="CQ16" s="945"/>
      <c r="CR16" s="945"/>
      <c r="CS16" s="945"/>
      <c r="CT16" s="947"/>
      <c r="CU16" s="940"/>
      <c r="CV16" s="653"/>
      <c r="CW16" s="945"/>
      <c r="CX16" s="945"/>
      <c r="CY16" s="945"/>
      <c r="CZ16" s="945"/>
      <c r="DA16" s="945"/>
      <c r="DB16" s="942"/>
      <c r="DC16" s="942"/>
      <c r="DD16" s="945"/>
      <c r="DE16" s="945"/>
      <c r="DF16" s="942"/>
      <c r="DG16" s="945"/>
      <c r="DH16" s="943"/>
      <c r="DI16" s="940"/>
      <c r="DJ16" s="653"/>
      <c r="DK16" s="942"/>
      <c r="DL16" s="942"/>
      <c r="DM16" s="942"/>
      <c r="DN16" s="942"/>
      <c r="DO16" s="942"/>
      <c r="DP16" s="945"/>
      <c r="DQ16" s="942"/>
      <c r="DR16" s="942"/>
      <c r="DS16" s="942"/>
      <c r="DT16" s="942"/>
      <c r="DU16" s="943"/>
      <c r="DV16" s="940"/>
      <c r="DW16" s="937"/>
      <c r="DX16" s="940"/>
      <c r="DY16" s="946"/>
      <c r="DZ16" s="940"/>
      <c r="EA16" s="653"/>
      <c r="EB16" s="945"/>
      <c r="EC16" s="258"/>
      <c r="ED16" s="945"/>
      <c r="EE16" s="258"/>
      <c r="EF16" s="945"/>
      <c r="EG16" s="945"/>
      <c r="EH16" s="945"/>
      <c r="EI16" s="945"/>
      <c r="EJ16" s="945"/>
      <c r="EK16" s="945"/>
      <c r="EL16" s="945"/>
      <c r="EM16" s="937"/>
      <c r="EN16" s="937"/>
      <c r="EO16" s="945"/>
      <c r="EP16" s="945"/>
      <c r="EQ16" s="945"/>
      <c r="ER16" s="937"/>
      <c r="ES16" s="948"/>
      <c r="ET16" s="948"/>
      <c r="EU16" s="937"/>
      <c r="EV16" s="937"/>
      <c r="EW16" s="946"/>
      <c r="EY16" s="653"/>
      <c r="EZ16" s="947"/>
    </row>
    <row r="17" spans="2:156" ht="51.75">
      <c r="B17" s="871" t="s">
        <v>887</v>
      </c>
      <c r="C17" s="871" t="s">
        <v>888</v>
      </c>
      <c r="D17" s="871"/>
      <c r="E17" s="949" t="s">
        <v>109</v>
      </c>
      <c r="F17" s="871" t="s">
        <v>111</v>
      </c>
      <c r="G17" s="871" t="s">
        <v>113</v>
      </c>
      <c r="H17" s="871" t="s">
        <v>1248</v>
      </c>
      <c r="I17" s="871" t="s">
        <v>117</v>
      </c>
      <c r="J17" s="871" t="s">
        <v>889</v>
      </c>
      <c r="K17" s="871" t="s">
        <v>890</v>
      </c>
      <c r="L17" s="871" t="s">
        <v>891</v>
      </c>
      <c r="M17" s="871" t="s">
        <v>892</v>
      </c>
      <c r="N17" s="871" t="s">
        <v>893</v>
      </c>
      <c r="O17" s="871" t="s">
        <v>260</v>
      </c>
      <c r="P17" s="871"/>
      <c r="Q17" s="949" t="s">
        <v>303</v>
      </c>
      <c r="R17" s="871" t="s">
        <v>1539</v>
      </c>
      <c r="S17" s="871" t="s">
        <v>301</v>
      </c>
      <c r="T17" s="871" t="s">
        <v>894</v>
      </c>
      <c r="U17" s="871" t="s">
        <v>302</v>
      </c>
      <c r="V17" s="871" t="s">
        <v>895</v>
      </c>
      <c r="W17" s="871" t="s">
        <v>896</v>
      </c>
      <c r="X17" s="871" t="s">
        <v>1003</v>
      </c>
      <c r="Y17" s="871" t="s">
        <v>897</v>
      </c>
      <c r="Z17" s="871" t="s">
        <v>408</v>
      </c>
      <c r="AA17" s="871" t="s">
        <v>167</v>
      </c>
      <c r="AB17" s="871" t="s">
        <v>898</v>
      </c>
      <c r="AC17" s="871" t="s">
        <v>910</v>
      </c>
      <c r="AD17" s="871" t="s">
        <v>168</v>
      </c>
      <c r="AE17" s="871" t="s">
        <v>415</v>
      </c>
      <c r="AF17" s="871" t="s">
        <v>518</v>
      </c>
      <c r="AG17" s="871" t="s">
        <v>879</v>
      </c>
      <c r="AH17" s="871" t="s">
        <v>411</v>
      </c>
      <c r="AI17" s="871" t="s">
        <v>435</v>
      </c>
      <c r="AJ17" s="871" t="s">
        <v>900</v>
      </c>
      <c r="AK17" s="871" t="s">
        <v>654</v>
      </c>
      <c r="AL17" s="871" t="s">
        <v>651</v>
      </c>
      <c r="AM17" s="871" t="s">
        <v>522</v>
      </c>
      <c r="AN17" s="871" t="s">
        <v>229</v>
      </c>
      <c r="AO17" s="871" t="s">
        <v>1540</v>
      </c>
      <c r="AP17" s="950" t="s">
        <v>901</v>
      </c>
      <c r="AQ17" s="871"/>
      <c r="AR17" s="871"/>
      <c r="AS17" s="949" t="s">
        <v>494</v>
      </c>
      <c r="AT17" s="871" t="s">
        <v>902</v>
      </c>
      <c r="AU17" s="871" t="s">
        <v>1713</v>
      </c>
      <c r="AV17" s="871" t="s">
        <v>1714</v>
      </c>
      <c r="AW17" s="871" t="s">
        <v>1712</v>
      </c>
      <c r="AX17" s="871" t="s">
        <v>903</v>
      </c>
      <c r="AY17" s="871" t="s">
        <v>904</v>
      </c>
      <c r="AZ17" s="871" t="s">
        <v>442</v>
      </c>
      <c r="BA17" s="871" t="s">
        <v>903</v>
      </c>
      <c r="BB17" s="950" t="s">
        <v>904</v>
      </c>
      <c r="BC17" s="871"/>
      <c r="BD17" s="949" t="s">
        <v>303</v>
      </c>
      <c r="BE17" s="871" t="s">
        <v>301</v>
      </c>
      <c r="BF17" s="871" t="s">
        <v>302</v>
      </c>
      <c r="BG17" s="871" t="s">
        <v>897</v>
      </c>
      <c r="BH17" s="871" t="s">
        <v>408</v>
      </c>
      <c r="BI17" s="871" t="s">
        <v>167</v>
      </c>
      <c r="BJ17" s="871" t="s">
        <v>878</v>
      </c>
      <c r="BK17" s="871" t="s">
        <v>899</v>
      </c>
      <c r="BL17" s="871" t="s">
        <v>168</v>
      </c>
      <c r="BM17" s="871" t="s">
        <v>905</v>
      </c>
      <c r="BN17" s="871" t="s">
        <v>518</v>
      </c>
      <c r="BO17" s="871" t="s">
        <v>879</v>
      </c>
      <c r="BP17" s="871" t="s">
        <v>411</v>
      </c>
      <c r="BQ17" s="871" t="s">
        <v>435</v>
      </c>
      <c r="BR17" s="950" t="s">
        <v>300</v>
      </c>
      <c r="BS17" s="871"/>
      <c r="BT17" s="871" t="s">
        <v>906</v>
      </c>
      <c r="BU17" s="949" t="s">
        <v>149</v>
      </c>
      <c r="BV17" s="871" t="s">
        <v>303</v>
      </c>
      <c r="BW17" s="871" t="s">
        <v>907</v>
      </c>
      <c r="BX17" s="871" t="s">
        <v>229</v>
      </c>
      <c r="BY17" s="950" t="s">
        <v>908</v>
      </c>
      <c r="BZ17" s="871"/>
      <c r="CA17" s="949" t="s">
        <v>303</v>
      </c>
      <c r="CB17" s="871" t="s">
        <v>301</v>
      </c>
      <c r="CC17" s="871" t="s">
        <v>909</v>
      </c>
      <c r="CD17" s="871" t="s">
        <v>322</v>
      </c>
      <c r="CE17" s="871" t="s">
        <v>897</v>
      </c>
      <c r="CF17" s="871" t="s">
        <v>408</v>
      </c>
      <c r="CG17" s="871" t="s">
        <v>167</v>
      </c>
      <c r="CH17" s="871" t="s">
        <v>898</v>
      </c>
      <c r="CI17" s="871" t="s">
        <v>910</v>
      </c>
      <c r="CJ17" s="871" t="s">
        <v>415</v>
      </c>
      <c r="CK17" s="871" t="s">
        <v>518</v>
      </c>
      <c r="CL17" s="871" t="s">
        <v>879</v>
      </c>
      <c r="CM17" s="871" t="s">
        <v>411</v>
      </c>
      <c r="CN17" s="871" t="s">
        <v>435</v>
      </c>
      <c r="CO17" s="871" t="s">
        <v>229</v>
      </c>
      <c r="CP17" s="871" t="s">
        <v>900</v>
      </c>
      <c r="CQ17" s="871" t="s">
        <v>654</v>
      </c>
      <c r="CR17" s="871" t="s">
        <v>651</v>
      </c>
      <c r="CS17" s="871" t="s">
        <v>522</v>
      </c>
      <c r="CT17" s="950" t="s">
        <v>911</v>
      </c>
      <c r="CU17" s="871"/>
      <c r="CV17" s="949" t="s">
        <v>912</v>
      </c>
      <c r="CW17" s="871" t="s">
        <v>454</v>
      </c>
      <c r="CX17" s="871" t="s">
        <v>465</v>
      </c>
      <c r="CY17" s="871" t="s">
        <v>942</v>
      </c>
      <c r="CZ17" s="871" t="s">
        <v>943</v>
      </c>
      <c r="DA17" s="871" t="s">
        <v>913</v>
      </c>
      <c r="DB17" s="871" t="s">
        <v>914</v>
      </c>
      <c r="DC17" s="871" t="s">
        <v>915</v>
      </c>
      <c r="DD17" s="871" t="s">
        <v>916</v>
      </c>
      <c r="DE17" s="871" t="s">
        <v>917</v>
      </c>
      <c r="DF17" s="871" t="s">
        <v>918</v>
      </c>
      <c r="DG17" s="871" t="s">
        <v>379</v>
      </c>
      <c r="DH17" s="950" t="s">
        <v>919</v>
      </c>
      <c r="DI17" s="871"/>
      <c r="DJ17" s="949" t="s">
        <v>920</v>
      </c>
      <c r="DK17" s="871" t="s">
        <v>921</v>
      </c>
      <c r="DL17" s="871" t="s">
        <v>922</v>
      </c>
      <c r="DM17" s="871" t="s">
        <v>923</v>
      </c>
      <c r="DN17" s="871" t="s">
        <v>924</v>
      </c>
      <c r="DO17" s="871" t="s">
        <v>926</v>
      </c>
      <c r="DP17" s="871" t="s">
        <v>925</v>
      </c>
      <c r="DQ17" s="871" t="s">
        <v>532</v>
      </c>
      <c r="DR17" s="871" t="s">
        <v>1418</v>
      </c>
      <c r="DS17" s="871" t="s">
        <v>936</v>
      </c>
      <c r="DT17" s="871" t="s">
        <v>927</v>
      </c>
      <c r="DU17" s="950" t="s">
        <v>928</v>
      </c>
      <c r="DV17" s="871"/>
      <c r="DW17" s="871" t="s">
        <v>929</v>
      </c>
      <c r="DX17" s="871"/>
      <c r="DY17" s="950" t="s">
        <v>930</v>
      </c>
      <c r="DZ17" s="871"/>
      <c r="EA17" s="949" t="s">
        <v>365</v>
      </c>
      <c r="EB17" s="871" t="s">
        <v>168</v>
      </c>
      <c r="EC17" s="871" t="s">
        <v>931</v>
      </c>
      <c r="ED17" s="871" t="s">
        <v>435</v>
      </c>
      <c r="EE17" s="871"/>
      <c r="EF17" s="871" t="s">
        <v>651</v>
      </c>
      <c r="EG17" s="871" t="s">
        <v>439</v>
      </c>
      <c r="EH17" s="871" t="s">
        <v>886</v>
      </c>
      <c r="EI17" s="871" t="s">
        <v>444</v>
      </c>
      <c r="EJ17" s="871" t="s">
        <v>1109</v>
      </c>
      <c r="EK17" s="871" t="s">
        <v>882</v>
      </c>
      <c r="EL17" s="871" t="s">
        <v>356</v>
      </c>
      <c r="EM17" s="951" t="s">
        <v>932</v>
      </c>
      <c r="EN17" s="871"/>
      <c r="EO17" s="871" t="s">
        <v>474</v>
      </c>
      <c r="EP17" s="871" t="s">
        <v>884</v>
      </c>
      <c r="EQ17" s="871" t="s">
        <v>317</v>
      </c>
      <c r="ER17" s="871" t="s">
        <v>933</v>
      </c>
      <c r="ES17" s="871" t="s">
        <v>934</v>
      </c>
      <c r="ET17" s="871" t="s">
        <v>935</v>
      </c>
      <c r="EU17" s="951" t="s">
        <v>936</v>
      </c>
      <c r="EV17" s="952"/>
      <c r="EW17" s="953" t="s">
        <v>937</v>
      </c>
      <c r="EY17" s="949" t="s">
        <v>654</v>
      </c>
      <c r="EZ17" s="950" t="s">
        <v>441</v>
      </c>
    </row>
    <row r="18" spans="2:156">
      <c r="B18" s="954">
        <f>INDEX(AA!$E$13:$E$15,MATCH($C18,AA!$C$13:$C$15,0))</f>
        <v>1</v>
      </c>
      <c r="C18" s="235">
        <f>AA!C13</f>
        <v>1</v>
      </c>
      <c r="E18" s="1471" t="str">
        <f>INDEX(AA!$AC$13:$AC$15,MATCH($C18,AA!$C$13:$C$15,0))</f>
        <v>backup</v>
      </c>
      <c r="F18" s="1472" t="str">
        <f>INDEX(AA!$AE$13:$AE$15,MATCH($C18,AA!$C$13:$C$15,0))</f>
        <v>backup</v>
      </c>
      <c r="G18" s="1472" t="str">
        <f>INDEX(AA!$AG$13:$AG$15,MATCH($C18,AA!$C$13:$C$15,0))</f>
        <v>Baden-Wuerttemberg</v>
      </c>
      <c r="H18" s="955" t="str">
        <f>INDEX(GA!$H$296:$H$311,MATCH($G18,GA!$E$296:$E$311,0))</f>
        <v>West</v>
      </c>
      <c r="I18" s="1472" t="str">
        <f>INDEX(AA!$AL$13:$AL$15,MATCH($C18,AA!$C$13:$C$15,0))</f>
        <v>AVC1</v>
      </c>
      <c r="J18" s="1481">
        <f>INDEX(AA!$AK$13:$AK$15,MATCH($C18,AA!$C$13:$C$15,0))</f>
        <v>0</v>
      </c>
      <c r="K18" s="1472" t="str">
        <f>INDEX(AA!$AI$13:$AI$15,MATCH($C18,AA!$C$13:$C$15,0))</f>
        <v>Supermarket</v>
      </c>
      <c r="L18" s="1280" t="str">
        <f>INDEX(AA!$AN$13:$AN$15,MATCH($C18,AA!$C$13:$C$15,0))</f>
        <v>backup</v>
      </c>
      <c r="M18" s="955">
        <f>INDEX(AA!$ED$13:$ED$15,MATCH($C18,AA!$C$13:$C$15,0))</f>
        <v>1</v>
      </c>
      <c r="N18" s="955">
        <f>INDEX(AA!$EE$13:$EE$15,MATCH($C18,AA!$C$13:$C$15,0))</f>
        <v>1</v>
      </c>
      <c r="O18" s="955">
        <f>INDEX(AA!$EF$13:$EF$15,MATCH($C18,AA!$C$13:$C$15,0))</f>
        <v>1</v>
      </c>
      <c r="P18" s="258"/>
      <c r="Q18" s="1233">
        <f>SUMIFS(TA!$V$15:$V$17,TA!$C$15:$C$17,$C18)*$B18</f>
        <v>1000</v>
      </c>
      <c r="R18" s="956">
        <f>IFERROR($Q18/$Q$22,0)</f>
        <v>0.33333333333333331</v>
      </c>
      <c r="S18" s="1232">
        <f>$Q18-SUMIFS(TA!$V$15:$V$17,TA!$C$15:$C$17,$C18,TA!$R$15:$R$17,"vacant")*$B18</f>
        <v>1000</v>
      </c>
      <c r="T18" s="1232">
        <f>MAX($Q18-$S18,0)</f>
        <v>0</v>
      </c>
      <c r="U18" s="956">
        <f>IFERROR(S18/Q18,0)</f>
        <v>1</v>
      </c>
      <c r="V18" s="1232">
        <f>(SUMIFS(TA!$AJ$15:$AJ$17,TA!$C$15:$C$17,AO!$C18)+SUMPRODUCT((TA!$R$15:$R$17="vacant")*(TA!$C$15:$C$17=AO!$C18),TA!$BG$15:$BG$17,TA!$FL$15:$FL$17))*$B18</f>
        <v>100000</v>
      </c>
      <c r="W18" s="957">
        <f>IFERROR(Y18/V18,0)</f>
        <v>1</v>
      </c>
      <c r="X18" s="1232">
        <f>SUMIFS(TA!$AX$15:$AX$17,TA!$C$15:$C$17,$C18)</f>
        <v>0</v>
      </c>
      <c r="Y18" s="1232">
        <f>SUMIFS(TA!$AJ$15:$AJ$17,TA!$C$15:$C$17,$C18)</f>
        <v>100000</v>
      </c>
      <c r="Z18" s="1232">
        <f>SUMIFS(AA!$BF$13:$BF$15,AA!$C$13:$C$15,$C18)</f>
        <v>0</v>
      </c>
      <c r="AA18" s="1230">
        <f>SUM(Y18:Z18)</f>
        <v>100000</v>
      </c>
      <c r="AB18" s="279">
        <f>-SUMIFS(AA!$EV$13:$EV$15,AA!$C$13:$C$15,$C18)</f>
        <v>0</v>
      </c>
      <c r="AC18" s="1230">
        <f>SUM(AA18:AB18)</f>
        <v>100000</v>
      </c>
      <c r="AD18" s="279">
        <f>-AC18*INDEX(AA!$BJ$13:$BJ$15,MATCH($C18,AA!$C$13:$C$15,0))</f>
        <v>0</v>
      </c>
      <c r="AE18" s="279">
        <f>-$AC18*INDEX(AA!$BM$13:$BM$15,MATCH($C18,AA!$C$13:$C$15,0))</f>
        <v>-1200</v>
      </c>
      <c r="AF18" s="279">
        <f>-$AC18*INDEX(AA!$BV$13:$BV$15,MATCH($C18,AA!$C$13:$C$15,0))</f>
        <v>-1200</v>
      </c>
      <c r="AG18" s="279">
        <f>-INDEX(AA!$BP$13:$BP$15,MATCH($C18,AA!$C$13:$C$15,0))*12*$S18*$B18</f>
        <v>-5200</v>
      </c>
      <c r="AH18" s="279">
        <f>-$T18*12*INDEX(AA!$BS$13:$BS$15,MATCH($C18,AA!$C$13:$C$15,0))</f>
        <v>0</v>
      </c>
      <c r="AI18" s="1230">
        <f>SUM(AC18:AH18)</f>
        <v>92400</v>
      </c>
      <c r="AJ18" s="279">
        <f>INDEX(PCF!$T$146:$T$148,MATCH($C18,PCF!$C$146:$C$148,0))*4</f>
        <v>-5776.3881104754146</v>
      </c>
      <c r="AK18" s="279">
        <f>INDEX(PCF!$T$153:$T$155,MATCH($C18,PCF!$C$153:$C$155,0))*4</f>
        <v>-50248.146578660191</v>
      </c>
      <c r="AL18" s="279">
        <f>-$AC18*INDEX(AA!$BY$13:$BY$15,MATCH($C18,AA!$C$13:$C$15,0))</f>
        <v>0</v>
      </c>
      <c r="AM18" s="1230">
        <f>SUM(AI18:AL18)</f>
        <v>36375.465310864398</v>
      </c>
      <c r="AN18" s="279">
        <f>(SUMIFS(TA!$BG$15:$BG$17,TA!$C$15:$C$17,$C18)+$Z18)*$B18</f>
        <v>100000</v>
      </c>
      <c r="AO18" s="279">
        <f>(SUMIFS(TA!$BG$15:$BG$17,TA!$C$15:$C$17,$C18,TA!$R$15:$R$17,"&lt;&gt;vacant")+$Z18)*$B18</f>
        <v>100000</v>
      </c>
      <c r="AP18" s="1358">
        <f>IFERROR(SUMIFS(TA!$GL$15:$GL$17,TA!$C$15:$C$17,$C18)/SUMIFS(TA!$AJ$15:$AJ$17,TA!$C$15:$C$17,$C18,TA!$GL$15:$GL$17,"&lt;&gt;0"),0)*$B18</f>
        <v>17.846575342465755</v>
      </c>
      <c r="AQ18" s="1435">
        <f>SUMPRODUCT((TA!$GK$15:$GK$17)*(TA!$AJ$15:$AJ$17)*(TA!$C$15:$C$17=$C18))/SUMPRODUCT((TA!$AJ$15:$AJ$17)*(TA!$C$15:$C$17=$C18))</f>
        <v>17.846575342465755</v>
      </c>
      <c r="AR18" s="958"/>
      <c r="AS18" s="1233">
        <f>INDEX(PCF!$BM$261:$BM$263,MATCH($C18,PCF!$C$261:$C$263,0))</f>
        <v>1161271.0665564688</v>
      </c>
      <c r="AT18" s="1232">
        <f>INDEX(PCF!$BR$261:$BR$263,MATCH($C18,PCF!$C$261:$C$263,0))</f>
        <v>1702728.7550444414</v>
      </c>
      <c r="AU18" s="1232">
        <f>GA!$G$11*($AT18/$AT$22)</f>
        <v>340.54575100888826</v>
      </c>
      <c r="AV18" s="1232">
        <f>AT18-AU18</f>
        <v>1702388.2092934325</v>
      </c>
      <c r="AW18" s="1232">
        <f>+INDEX(AA!$T:$T,MATCH(AO!$C18,AA!$C:$C,0))-1</f>
        <v>0</v>
      </c>
      <c r="AX18" s="956">
        <f>IFERROR($AC18/$AT18,0)</f>
        <v>5.8729260138318383E-2</v>
      </c>
      <c r="AY18" s="956">
        <f>IFERROR($AI$18/$AT18,0)</f>
        <v>5.4265836367806186E-2</v>
      </c>
      <c r="AZ18" s="1232">
        <f>INDEX(PCF!$BW$261:$BW$263,MATCH($C18,PCF!$C$261:$C$263,0))</f>
        <v>1925462.7034918049</v>
      </c>
      <c r="BA18" s="956">
        <f>IFERROR($AC18/$AZ18,0)</f>
        <v>5.1935568431759872E-2</v>
      </c>
      <c r="BB18" s="812">
        <f>IFERROR($AI$18/$AZ18,0)</f>
        <v>4.7988465230946124E-2</v>
      </c>
      <c r="BC18" s="958"/>
      <c r="BD18" s="1233">
        <f>SUMIFS(PCF!$T:$T,PCF!$C:$C,$C18,PCF!$I:$I,BD$15)</f>
        <v>1000</v>
      </c>
      <c r="BE18" s="1232">
        <f>SUMIFS(PCF!$T:$T,PCF!$C:$C,$C18,PCF!$I:$I,BE$15)</f>
        <v>1000</v>
      </c>
      <c r="BF18" s="956">
        <f>IFERROR(BE18/BD18,0)</f>
        <v>1</v>
      </c>
      <c r="BG18" s="279">
        <f>SUMIFS(PCF!$T:$T,PCF!$C:$C,$C18,PCF!$I:$I,BG$15)</f>
        <v>25046.743737887322</v>
      </c>
      <c r="BH18" s="279">
        <f>SUMIFS(PCF!$T:$T,PCF!$C:$C,$C18,PCF!$I:$I,BH$15)</f>
        <v>0</v>
      </c>
      <c r="BI18" s="1230">
        <f>SUM(BG18:BH18)</f>
        <v>25046.743737887322</v>
      </c>
      <c r="BJ18" s="279">
        <f>SUMIFS(PCF!$T:$T,PCF!$C:$C,$C18,PCF!$I:$I,BJ$15)</f>
        <v>0</v>
      </c>
      <c r="BK18" s="1230">
        <f>SUM(BI18:BJ18)</f>
        <v>25046.743737887322</v>
      </c>
      <c r="BL18" s="279">
        <f>SUMIFS(PCF!$T:$T,PCF!$C:$C,$C18,PCF!$I:$I,BL$15)</f>
        <v>0</v>
      </c>
      <c r="BM18" s="279">
        <f>SUMIFS(PCF!$T:$T,PCF!$C:$C,$C18,PCF!$I:$I,BM$15)</f>
        <v>-300.56092485464785</v>
      </c>
      <c r="BN18" s="279">
        <f>SUMIFS(PCF!$T:$T,PCF!$C:$C,$C18,PCF!$I:$I,BN$15)</f>
        <v>-300.56092485464785</v>
      </c>
      <c r="BO18" s="279">
        <f>SUMIFS(PCF!$T:$T,PCF!$C:$C,$C18,PCF!$I:$I,BO$15)</f>
        <v>-1306.451811045165</v>
      </c>
      <c r="BP18" s="279">
        <f>SUMIFS(PCF!$T:$T,PCF!$C:$C,$C18,PCF!$I:$I,BP$15)</f>
        <v>0</v>
      </c>
      <c r="BQ18" s="279">
        <f>SUMIFS(PCF!$T:$T,PCF!$C:$C,$C18,PCF!$I:$I,BQ$15)</f>
        <v>23139.170077132865</v>
      </c>
      <c r="BR18" s="1359">
        <f>SUMIFS(PCF!$T:$T,PCF!$C:$C,$C18,PCF!$I:$I,BR$15)</f>
        <v>17.597260273972601</v>
      </c>
      <c r="BS18" s="958"/>
      <c r="BT18" s="959"/>
      <c r="BU18" s="987" t="str">
        <f>L18</f>
        <v>backup</v>
      </c>
      <c r="BV18" s="279">
        <f>SUMIFS(TA!$V$15:$V$17,TA!$C$15:$C$17,$C18,TA!$R$15:$R$17,$BU18)</f>
        <v>1000</v>
      </c>
      <c r="BW18" s="279">
        <f>SUMIFS(TA!$AJ$15:$AJ$17,TA!$C$15:$C$17,$C18,TA!$R$15:$R$17,$BU18)</f>
        <v>100000</v>
      </c>
      <c r="BX18" s="279">
        <f>SUMIFS(TA!$BE$15:$BE$17,TA!$C$15:$C$17,$C18,TA!$R$15:$R$17,$BU18)</f>
        <v>0</v>
      </c>
      <c r="BY18" s="1360">
        <f>IFERROR((SUMPRODUCT(TA!$GJ$15:$GJ$17,(TA!$C$15:$C$17=$C18)*(TA!$R$15:$R$17=$BU18)*TA!$AJ$15:$AJ$17)/BW18)*$B18,0)</f>
        <v>17.846575342465755</v>
      </c>
      <c r="BZ18" s="958"/>
      <c r="CA18" s="1335">
        <f>IFERROR(INDEX(PCF!$T$36:$BG$38,MATCH($C18,PCF!$C$36:$C$38,0),MATCH(INDEX(AA!$AA$13:$AA$15,MATCH($C18,AA!$C$13:$C$15,0)),PCF!$T$5:$BG$5,0)),0)</f>
        <v>1000</v>
      </c>
      <c r="CB18" s="279">
        <f>IFERROR(INDEX(PCF!$T$44:$BG$46,MATCH($C18,PCF!$C$44:$C$46,0),MATCH(INDEX(AA!$AA$13:$AA$15,MATCH($C18,AA!$C$13:$C$15,0)),PCF!$T$5:$BG$5,0)),0)</f>
        <v>1000</v>
      </c>
      <c r="CC18" s="956">
        <f>IFERROR(CB18/CA18,0)</f>
        <v>1</v>
      </c>
      <c r="CD18" s="279">
        <f>IFERROR((INDEX(PCF!$T$68:$BG$70,MATCH($C18,PCF!$C$68:$C$70,0),MATCH(INDEX(AA!$AA$13:$AA$15,MATCH($C18,AA!$C$13:$C$15,0)),PCF!$T$5:$BG$5,0))*4)*$B18,0)</f>
        <v>0</v>
      </c>
      <c r="CE18" s="279">
        <f>IFERROR((INDEX(PCF!$T$52:$BG$54,MATCH($C18,PCF!$C$52:$C$54,0),MATCH(INDEX(AA!$AA$13:$AA$15,MATCH($C18,AA!$C$13:$C$15,0)),PCF!$T$5:$BG$5,0))*4)*$B18,0)</f>
        <v>102266.91718749992</v>
      </c>
      <c r="CF18" s="279">
        <f>IFERROR((INDEX(PCF!$T$76:$BG$78,MATCH($C18,PCF!$C$76:$C$78,0),MATCH(INDEX(AA!$AA$13:$AA$15,MATCH($C18,AA!$C$13:$C$15,0)),PCF!$T$5:$BG$5,0))*4)*$B18,0)</f>
        <v>0</v>
      </c>
      <c r="CG18" s="1230">
        <f t="shared" ref="CG18:CG19" si="0">SUM(CE18:CF18)</f>
        <v>102266.91718749992</v>
      </c>
      <c r="CH18" s="279">
        <f>IFERROR((INDEX(PCF!$T$124:$BG$126,MATCH($C18,PCF!$C$124:$C$126,0),MATCH(INDEX(AA!$AA$13:$AA$15,MATCH($C18,AA!$C$13:$C$15,0)),PCF!$T$5:$BG$5,0))*4)*$B18,0)</f>
        <v>0</v>
      </c>
      <c r="CI18" s="1230">
        <f>SUM(CG18:CH18)</f>
        <v>102266.91718749992</v>
      </c>
      <c r="CJ18" s="279">
        <f>IFERROR((INDEX(PCF!$T$100:$BG$102,MATCH($C18,PCF!$C$100:$C$102,0),MATCH(INDEX(AA!$AA$13:$AA$15,MATCH($C18,AA!$C$13:$C$15,0)),PCF!$T$5:$BG$5,0))*4)*$B18,0)</f>
        <v>-1227.2030062499989</v>
      </c>
      <c r="CK18" s="279">
        <f>IFERROR((INDEX(PCF!$T$115:$BG$118,MATCH($C18,PCF!$C$115:$C$118,0),MATCH(INDEX(AA!$AA$13:$AA$15,MATCH($C18,AA!$C$13:$C$15,0)),PCF!$T$5:$BG$5,0))*4)*$B18,0)</f>
        <v>-1227.2030062499989</v>
      </c>
      <c r="CL18" s="279">
        <f>IFERROR((INDEX(PCF!$T$108:$BG$110,MATCH($C18,PCF!$C$108:$C$110,0),MATCH(INDEX(AA!$AA$13:$AA$15,MATCH($C18,AA!$C$13:$C$15,0)),PCF!$T$5:$BG$5,0))*4)*$B18,0)</f>
        <v>-5518.2816000000057</v>
      </c>
      <c r="CM18" s="279">
        <f>IFERROR((INDEX(PCF!$T$92:$BG$94,MATCH($C18,PCF!$C$92:$C$94,0),MATCH(INDEX(AA!$AA$13:$AA$15,MATCH($C18,AA!$C$13:$C$15,0)),PCF!$T$5:$BG$5,0))*4)*$B18,0)</f>
        <v>0</v>
      </c>
      <c r="CN18" s="279">
        <f>IFERROR((INDEX(PCF!$T$132:$BG$134,MATCH($C18,PCF!$C$132:$C$134,0),MATCH(INDEX(AA!$AA$13:$AA$15,MATCH($C18,AA!$C$13:$C$15,0)),PCF!$T$5:$BG$5,0))*4)*$B18,0)</f>
        <v>94294.229574999918</v>
      </c>
      <c r="CO18" s="279">
        <f>IFERROR(((SUMIFS(TA!$BG$15:$BG$17,TA!$C$15:$C$17,$C18))+SUMIFS(TA!$BO$15:$BO$17,TA!$C$15:$C$17,$C18))*$B18*INDEX(IP!$T$15:$BG$15,MATCH(INDEX(AA!$AA:$AA,MATCH(AO!$C18,AA!$C:$C,0)),IP!$T$5:$BG$5,0)),0)</f>
        <v>102266.91718749992</v>
      </c>
      <c r="CP18" s="279">
        <f>IFERROR((INDEX(PCF!$T$146:$BG$148,MATCH($C18,PCF!$C$146:$C$148,0),MATCH(INDEX(AA!$AA$13:$AA$15,MATCH($C18,AA!$C$13:$C$15,0)),PCF!$T$5:$BG$5,0))*4)*$B18,0)</f>
        <v>-5776.3881104754146</v>
      </c>
      <c r="CQ18" s="279">
        <f>IFERROR((INDEX(PCF!$T$153:$BG$155,MATCH($C18,PCF!$C$153:$C$155,0),MATCH(INDEX(AA!$AA$13:$AA$15,MATCH($C18,AA!$C$13:$C$15,0)),PCF!$T$5:$BG$5,0))*4)*$B18,0)</f>
        <v>-17686.800000000014</v>
      </c>
      <c r="CR18" s="279">
        <f>IFERROR((INDEX(PCF!$T$139:$BG$141,MATCH($C18,PCF!$C$139:$C$141,0),MATCH(INDEX(AA!$AA$13:$AA$15,MATCH($C18,AA!$C$13:$C$15,0)),PCF!$T$5:$BG$5,0))*4)*$B18,0)</f>
        <v>0</v>
      </c>
      <c r="CS18" s="279">
        <f>IFERROR((INDEX(PCF!$T$161:$BG$163,MATCH($C18,PCF!$C$161:$C$163,0),MATCH(INDEX(AA!$AA$13:$AA$15,MATCH($C18,AA!$C$13:$C$15,0)),PCF!$T$5:$BG$5,0))*4)*$B18,0)</f>
        <v>70831.041464524489</v>
      </c>
      <c r="CT18" s="1359">
        <f>INDEX(PCF!$BK$60:$BK$62,MATCH($C18,PCF!$C$60:$C$62,0))</f>
        <v>14.846575342465753</v>
      </c>
      <c r="CU18" s="258"/>
      <c r="CV18" s="1335">
        <f>SUMIFS(PCF!$BI$177:$BI$179,PCF!$C$177:$C$179,$C18)*$B18</f>
        <v>0</v>
      </c>
      <c r="CW18" s="279">
        <f>SUMIFS(PCF!$BI$199:$BI$201,PCF!$C$199:$C$201,$C18)*$B18</f>
        <v>0</v>
      </c>
      <c r="CX18" s="279">
        <f>SUMIFS(PCF!$BI$209:$BI$211,PCF!$C$209:$C$211,$C18)*$B18</f>
        <v>0</v>
      </c>
      <c r="CY18" s="279">
        <f>INDEX(PCF!$BI$217:$BI$219,MATCH($C18,PCF!$C$217:$C$219,0))</f>
        <v>0</v>
      </c>
      <c r="CZ18" s="279">
        <f>INDEX(PCF!$BI$184:$BI$186,MATCH($C18,PCF!$C$184:$C$186,0))</f>
        <v>0</v>
      </c>
      <c r="DA18" s="279">
        <f>SUMIFS(PCF!$BI$243:$BI$245,PCF!$C$243:$C$245,$C18)</f>
        <v>0</v>
      </c>
      <c r="DB18" s="1230">
        <f>SUM(CY18:DA18)-CZ18</f>
        <v>0</v>
      </c>
      <c r="DC18" s="1230">
        <f>SUM(DB18,CV18,CZ18)</f>
        <v>0</v>
      </c>
      <c r="DD18" s="279">
        <f>SUMIFS(PCF!$BI:$BI,PCF!$C:$C,$C18,PCF!$I:$I,DD$15)*$B18</f>
        <v>0</v>
      </c>
      <c r="DE18" s="279">
        <f>SUMIFS(PCF!$BI:$BI,PCF!$C:$C,$C18,PCF!$I:$I,DE$15)*$B18</f>
        <v>0</v>
      </c>
      <c r="DF18" s="1230">
        <f>SUM(DD18,DC18)</f>
        <v>0</v>
      </c>
      <c r="DG18" s="279">
        <f>SUMIFS(PCF!$BI:$BI,PCF!$C:$C,$C18,PCF!$I:$I,DG$15)</f>
        <v>0</v>
      </c>
      <c r="DH18" s="1234">
        <f>SUM(DF18,DG18)</f>
        <v>0</v>
      </c>
      <c r="DI18" s="1230"/>
      <c r="DJ18" s="1335">
        <f>SUMIFS(PCF!$BI:$BI,PCF!$C:$C,$C18,PCF!$I:$I,DJ$15)</f>
        <v>1227203.0062499989</v>
      </c>
      <c r="DK18" s="1230">
        <f>SUM(DJ18,DC18)</f>
        <v>1227203.0062499989</v>
      </c>
      <c r="DL18" s="956">
        <f>IFERROR($CI18/$DJ18,0)</f>
        <v>8.3333333333333343E-2</v>
      </c>
      <c r="DM18" s="956">
        <f>IFERROR($CN18/$DJ18,0)</f>
        <v>7.6836700280858691E-2</v>
      </c>
      <c r="DN18" s="1230">
        <f>DA18</f>
        <v>0</v>
      </c>
      <c r="DO18" s="1230">
        <f>SUM(DN18,DJ18)</f>
        <v>1227203.0062499989</v>
      </c>
      <c r="DP18" s="1230">
        <f>DE18</f>
        <v>0</v>
      </c>
      <c r="DQ18" s="1230">
        <f>-SUM(DO18:DP18)*GA!$G$484</f>
        <v>-1595.3639081249985</v>
      </c>
      <c r="DR18" s="1230">
        <f>-SUM(DO18:DP18)*GA!$G$485</f>
        <v>0</v>
      </c>
      <c r="DS18" s="1230">
        <f>SUM(DO18:DR18)</f>
        <v>1225607.6423418738</v>
      </c>
      <c r="DT18" s="1361">
        <f>EOMONTH(GA!$G$53,DU18*3-1)</f>
        <v>45351</v>
      </c>
      <c r="DU18" s="1359">
        <f>INDEX(AA!$AA$13:$AA$15,MATCH($C18,AA!$C$13:$C$15,0))</f>
        <v>12</v>
      </c>
      <c r="DV18" s="258"/>
      <c r="DW18" s="1362">
        <f>((DT18-GA!$G$53)/365)*$B18</f>
        <v>3</v>
      </c>
      <c r="DX18" s="258"/>
      <c r="DY18" s="961">
        <f>(RANK($DO18,$DO$18:$DO$20,0)+COUNTIF($DO$18:$DO$20,$DO18)-1)*($DO18&gt;0)</f>
        <v>3</v>
      </c>
      <c r="DZ18" s="258"/>
      <c r="EA18" s="1335">
        <f>SUMIFS(PCF!$BI:$BI,PCF!$C:$C,$C18,PCF!$I:$I,EA$15)</f>
        <v>303671.12492795952</v>
      </c>
      <c r="EB18" s="279">
        <f>SUMIFS(PCF!$BI:$BI,PCF!$C:$C,$C18,PCF!$I:$I,EB$15)</f>
        <v>0</v>
      </c>
      <c r="EC18" s="279">
        <f>SUMIFS(PCF!$BI:$BI,PCF!$C:$C,$C18,PCF!$I:$I,EC$15)</f>
        <v>-3644.0534991355144</v>
      </c>
      <c r="ED18" s="279">
        <f>SUMIFS(PCF!$BI:$BI,PCF!$C:$C,$C18,PCF!$I:$I,ED$15)</f>
        <v>280270.50433344883</v>
      </c>
      <c r="EE18" s="279"/>
      <c r="EF18" s="279">
        <f>SUMIFS(PCF!$BI:$BI,PCF!$C:$C,$C18,PCF!$I:$I,EF$15)</f>
        <v>0</v>
      </c>
      <c r="EG18" s="279">
        <f>SUMIFS(PCF!$BI:$BI,PCF!$C:$C,$C18,PCF!$I:$I,EG$15)</f>
        <v>-17329.16433142624</v>
      </c>
      <c r="EH18" s="279">
        <f>SUMIFS(PCF!$BI:$BI,PCF!$C:$C,$C18,PCF!$I:$I,EH$15)</f>
        <v>0</v>
      </c>
      <c r="EI18" s="279">
        <f>SUMIFS(PCF!$BI:$BI,PCF!$C:$C,$C18,PCF!$I:$I,EI$15)</f>
        <v>0</v>
      </c>
      <c r="EJ18" s="279">
        <f>SUMIFS(PCF!$BI:$BI,PCF!$C:$C,$C18,PCF!$I:$I,EJ$15)</f>
        <v>0</v>
      </c>
      <c r="EK18" s="279">
        <f>SUMIFS(PCF!$BI:$BI,PCF!$C:$C,$C18,PCF!$I:$I,EK$15)</f>
        <v>0</v>
      </c>
      <c r="EL18" s="279">
        <f>SUMIFS(PCF!$BI:$BI,PCF!$C:$C,$C18,PCF!$I:$I,EL$15)</f>
        <v>0</v>
      </c>
      <c r="EM18" s="1235">
        <f>SUM(ED18:EL18)</f>
        <v>262941.34000202257</v>
      </c>
      <c r="EN18" s="1230"/>
      <c r="EO18" s="279">
        <f>SUMIFS(PCF!$BI:$BI,PCF!$C:$C,$C18,PCF!$I:$I,EO$15)</f>
        <v>1227203.0062499989</v>
      </c>
      <c r="EP18" s="279">
        <f>SUMIFS(PCF!$BI:$BI,PCF!$C:$C,$C18,PCF!$I:$I,EP$15)</f>
        <v>0</v>
      </c>
      <c r="EQ18" s="279">
        <f>SUMIFS(PCF!$BI:$BI,PCF!$C:$C,$C18,PCF!$I:$I,EQ$15)</f>
        <v>0</v>
      </c>
      <c r="ER18" s="1230">
        <f>SUM(EO18:EQ18)</f>
        <v>1227203.0062499989</v>
      </c>
      <c r="ES18" s="1230">
        <f>-ER18*$ES$15</f>
        <v>-1595.3639081249985</v>
      </c>
      <c r="ET18" s="1230">
        <f>ER18*$ET$15</f>
        <v>0</v>
      </c>
      <c r="EU18" s="1235">
        <f>SUM(ER18:ET18)</f>
        <v>1225607.6423418738</v>
      </c>
      <c r="EV18" s="1230"/>
      <c r="EW18" s="1236">
        <f>EM18+EU18</f>
        <v>1488548.9823438963</v>
      </c>
      <c r="EY18" s="1335">
        <f>INDEX(PCF!$BI$153:$BI$155,MATCH(C18,PCF!$C$153:$C$155,0))</f>
        <v>-62121.426408088249</v>
      </c>
      <c r="EZ18" s="1568">
        <f>INDEX(PCF!$BI$146:$BI$148,MATCH(C18,PCF!$C$146:$C$148,0))</f>
        <v>-17329.16433142624</v>
      </c>
    </row>
    <row r="19" spans="2:156">
      <c r="B19" s="954">
        <f>INDEX(AA!$E$13:$E$15,MATCH($C19,AA!$C$13:$C$15,0))</f>
        <v>1</v>
      </c>
      <c r="C19" s="235">
        <f>AA!C14</f>
        <v>2</v>
      </c>
      <c r="E19" s="1471" t="str">
        <f>INDEX(AA!$AC$13:$AC$15,MATCH($C19,AA!$C$13:$C$15,0))</f>
        <v>backup</v>
      </c>
      <c r="F19" s="1472" t="str">
        <f>INDEX(AA!$AE$13:$AE$15,MATCH($C19,AA!$C$13:$C$15,0))</f>
        <v>backup</v>
      </c>
      <c r="G19" s="1472" t="str">
        <f>INDEX(AA!$AG$13:$AG$15,MATCH($C19,AA!$C$13:$C$15,0))</f>
        <v>Baden-Wuerttemberg</v>
      </c>
      <c r="H19" s="955" t="str">
        <f>INDEX(GA!$H$296:$H$311,MATCH($G19,GA!$E$296:$E$311,0))</f>
        <v>West</v>
      </c>
      <c r="I19" s="1472" t="str">
        <f>INDEX(AA!$AL$13:$AL$15,MATCH($C19,AA!$C$13:$C$15,0))</f>
        <v>PTS</v>
      </c>
      <c r="J19" s="1481">
        <f>INDEX(AA!$AK$13:$AK$15,MATCH($C19,AA!$C$13:$C$15,0))</f>
        <v>0</v>
      </c>
      <c r="K19" s="1472" t="str">
        <f>INDEX(AA!$AI$13:$AI$15,MATCH($C19,AA!$C$13:$C$15,0))</f>
        <v>Discounter</v>
      </c>
      <c r="L19" s="1280" t="str">
        <f>INDEX(AA!$AN$13:$AN$15,MATCH($C19,AA!$C$13:$C$15,0))</f>
        <v>backup</v>
      </c>
      <c r="M19" s="955">
        <f>INDEX(AA!$ED$13:$ED$15,MATCH($C19,AA!$C$13:$C$15,0))</f>
        <v>1</v>
      </c>
      <c r="N19" s="955">
        <f>INDEX(AA!$EE$13:$EE$15,MATCH($C19,AA!$C$13:$C$15,0))</f>
        <v>1</v>
      </c>
      <c r="O19" s="955">
        <f>INDEX(AA!$EF$13:$EF$15,MATCH($C19,AA!$C$13:$C$15,0))</f>
        <v>1</v>
      </c>
      <c r="P19" s="258"/>
      <c r="Q19" s="1233">
        <f>SUMIFS(TA!$V$15:$V$17,TA!$C$15:$C$17,$C19)*$B19</f>
        <v>1000</v>
      </c>
      <c r="R19" s="956">
        <f>IFERROR($Q19/$Q$22,0)</f>
        <v>0.33333333333333331</v>
      </c>
      <c r="S19" s="1232">
        <f>$Q19-SUMIFS(TA!$V$15:$V$17,TA!$C$15:$C$17,$C19,TA!$R$15:$R$17,"vacant")*$B19</f>
        <v>1000</v>
      </c>
      <c r="T19" s="1232">
        <f t="shared" ref="T19:T20" si="1">MAX($Q19-$S19,0)</f>
        <v>0</v>
      </c>
      <c r="U19" s="956">
        <f t="shared" ref="U19" si="2">IFERROR(S19/Q19,0)</f>
        <v>1</v>
      </c>
      <c r="V19" s="1232">
        <f>(SUMIFS(TA!$AJ$15:$AJ$17,TA!$C$15:$C$17,AO!$C19)+SUMPRODUCT((TA!$R$15:$R$17="vacant")*(TA!$C$15:$C$17=AO!$C19),TA!$BG$15:$BG$17,TA!$FL$15:$FL$17))*$B19</f>
        <v>100000</v>
      </c>
      <c r="W19" s="957">
        <f t="shared" ref="W19" si="3">IFERROR(Y19/V19,0)</f>
        <v>1</v>
      </c>
      <c r="X19" s="1232">
        <f>SUMIFS(TA!$AX$15:$AX$17,TA!$C$15:$C$17,$C19)</f>
        <v>0</v>
      </c>
      <c r="Y19" s="1232">
        <f>SUMIFS(TA!$AJ$15:$AJ$17,TA!$C$15:$C$17,$C19)</f>
        <v>100000</v>
      </c>
      <c r="Z19" s="1232">
        <f>SUMIFS(AA!$BF$13:$BF$15,AA!$C$13:$C$15,$C19)</f>
        <v>0</v>
      </c>
      <c r="AA19" s="1230">
        <f t="shared" ref="AA19" si="4">SUM(Y19:Z19)</f>
        <v>100000</v>
      </c>
      <c r="AB19" s="279">
        <f>-SUMIFS(AA!$EV$13:$EV$15,AA!$C$13:$C$15,$C19)</f>
        <v>0</v>
      </c>
      <c r="AC19" s="1230">
        <f t="shared" ref="AC19" si="5">SUM(AA19:AB19)</f>
        <v>100000</v>
      </c>
      <c r="AD19" s="279">
        <f>-AC19*INDEX(AA!$BJ$13:$BJ$15,MATCH($C19,AA!$C$13:$C$15,0))</f>
        <v>0</v>
      </c>
      <c r="AE19" s="279">
        <f>-$AC19*INDEX(AA!$BM$13:$BM$15,MATCH($C19,AA!$C$13:$C$15,0))</f>
        <v>-4000</v>
      </c>
      <c r="AF19" s="279">
        <f>-$AC19*INDEX(AA!$BV$13:$BV$15,MATCH($C19,AA!$C$13:$C$15,0))</f>
        <v>-1200</v>
      </c>
      <c r="AG19" s="279">
        <f>-INDEX(AA!$BP$13:$BP$15,MATCH($C19,AA!$C$13:$C$15,0))*12*$S19*$B19</f>
        <v>-4600</v>
      </c>
      <c r="AH19" s="279">
        <f>-$T19*12*INDEX(AA!$BS$13:$BS$15,MATCH($C19,AA!$C$13:$C$15,0))</f>
        <v>0</v>
      </c>
      <c r="AI19" s="1230">
        <f t="shared" ref="AI19" si="6">SUM(AC19:AH19)</f>
        <v>90200</v>
      </c>
      <c r="AJ19" s="279">
        <f>INDEX(PCF!$T$146:$T$148,MATCH($C19,PCF!$C$146:$C$148,0))*4</f>
        <v>0</v>
      </c>
      <c r="AK19" s="279">
        <f>INDEX(PCF!$T$153:$T$155,MATCH($C19,PCF!$C$153:$C$155,0))*4</f>
        <v>0</v>
      </c>
      <c r="AL19" s="279">
        <f>-$AC19*INDEX(AA!$BY$13:$BY$15,MATCH($C19,AA!$C$13:$C$15,0))</f>
        <v>0</v>
      </c>
      <c r="AM19" s="1230">
        <f t="shared" ref="AM19" si="7">SUM(AI19:AL19)</f>
        <v>90200</v>
      </c>
      <c r="AN19" s="279">
        <f>(SUMIFS(TA!$BG$15:$BG$17,TA!$C$15:$C$17,$C19)+$Z19)*$B19</f>
        <v>100000</v>
      </c>
      <c r="AO19" s="279">
        <f>(SUMIFS(TA!$BG$15:$BG$17,TA!$C$15:$C$17,$C19,TA!$R$15:$R$17,"&lt;&gt;vacant")+$Z19)*$B19</f>
        <v>100000</v>
      </c>
      <c r="AP19" s="1358">
        <f>IFERROR(SUMIFS(TA!$GL$15:$GL$17,TA!$C$15:$C$17,$C19)/SUMIFS(TA!$AJ$15:$AJ$17,TA!$C$15:$C$17,$C19,TA!$GL$15:$GL$17,"&lt;&gt;0"),0)*$B19</f>
        <v>17.846575342465755</v>
      </c>
      <c r="AQ19" s="1435">
        <f>SUMPRODUCT((TA!$GK$15:$GK$17)*(TA!$AJ$15:$AJ$17)*(TA!$C$15:$C$17=$C19))/SUMPRODUCT((TA!$AJ$15:$AJ$17)*(TA!$C$15:$C$17=$C19))</f>
        <v>17.846575342465755</v>
      </c>
      <c r="AR19" s="958"/>
      <c r="AS19" s="1233">
        <f>INDEX(PCF!$BM$261:$BM$263,MATCH($C19,PCF!$C$261:$C$263,0))</f>
        <v>1133512.0162967998</v>
      </c>
      <c r="AT19" s="1232">
        <f>INDEX(PCF!$BR$261:$BR$263,MATCH($C19,PCF!$C$261:$C$263,0))</f>
        <v>1662026.6877570669</v>
      </c>
      <c r="AU19" s="1232">
        <f>GA!$G$11*($AT19/$AT$22)</f>
        <v>332.40533755141337</v>
      </c>
      <c r="AV19" s="1232">
        <f t="shared" ref="AV19:AV20" si="8">AT19-AU19</f>
        <v>1661694.2824195155</v>
      </c>
      <c r="AW19" s="1232">
        <f>+INDEX(AA!$T:$T,MATCH(AO!$C19,AA!$C:$C,0))-1</f>
        <v>1</v>
      </c>
      <c r="AX19" s="956">
        <f t="shared" ref="AX19:AX20" si="9">IFERROR($AC19/$AT19,0)</f>
        <v>6.0167505574144353E-2</v>
      </c>
      <c r="AY19" s="956">
        <f t="shared" ref="AY19:AY20" si="10">IFERROR($AI$18/$AT19,0)</f>
        <v>5.5594775150509382E-2</v>
      </c>
      <c r="AZ19" s="1232">
        <f>INDEX(PCF!$BW$261:$BW$263,MATCH($C19,PCF!$C$261:$C$263,0))</f>
        <v>1879436.3987825688</v>
      </c>
      <c r="BA19" s="956">
        <f>IFERROR($AC19/$AZ19,0)</f>
        <v>5.3207440307517936E-2</v>
      </c>
      <c r="BB19" s="812">
        <f>IFERROR($AI$18/$AZ19,0)</f>
        <v>4.916367484414657E-2</v>
      </c>
      <c r="BC19" s="958"/>
      <c r="BD19" s="1233">
        <f>SUMIFS(PCF!$T:$T,PCF!$C:$C,$C19,PCF!$I:$I,BD$15)</f>
        <v>0</v>
      </c>
      <c r="BE19" s="1232">
        <f>SUMIFS(PCF!$T:$T,PCF!$C:$C,$C19,PCF!$I:$I,BE$15)</f>
        <v>0</v>
      </c>
      <c r="BF19" s="956">
        <f t="shared" ref="BF19:BF20" si="11">IFERROR(BE19/BD19,0)</f>
        <v>0</v>
      </c>
      <c r="BG19" s="279">
        <f>SUMIFS(PCF!$T:$T,PCF!$C:$C,$C19,PCF!$I:$I,BG$15)</f>
        <v>0</v>
      </c>
      <c r="BH19" s="279">
        <f>SUMIFS(PCF!$T:$T,PCF!$C:$C,$C19,PCF!$I:$I,BH$15)</f>
        <v>0</v>
      </c>
      <c r="BI19" s="1230">
        <f t="shared" ref="BI19:BI20" si="12">SUM(BG19:BH19)</f>
        <v>0</v>
      </c>
      <c r="BJ19" s="279">
        <f>SUMIFS(PCF!$T:$T,PCF!$C:$C,$C19,PCF!$I:$I,BJ$15)</f>
        <v>0</v>
      </c>
      <c r="BK19" s="1230">
        <f t="shared" ref="BK19:BK20" si="13">SUM(BI19:BJ19)</f>
        <v>0</v>
      </c>
      <c r="BL19" s="279">
        <f>SUMIFS(PCF!$T:$T,PCF!$C:$C,$C19,PCF!$I:$I,BL$15)</f>
        <v>0</v>
      </c>
      <c r="BM19" s="279">
        <f>SUMIFS(PCF!$T:$T,PCF!$C:$C,$C19,PCF!$I:$I,BM$15)</f>
        <v>0</v>
      </c>
      <c r="BN19" s="279">
        <f>SUMIFS(PCF!$T:$T,PCF!$C:$C,$C19,PCF!$I:$I,BN$15)</f>
        <v>0</v>
      </c>
      <c r="BO19" s="279">
        <f>SUMIFS(PCF!$T:$T,PCF!$C:$C,$C19,PCF!$I:$I,BO$15)</f>
        <v>0</v>
      </c>
      <c r="BP19" s="279">
        <f>SUMIFS(PCF!$T:$T,PCF!$C:$C,$C19,PCF!$I:$I,BP$15)</f>
        <v>0</v>
      </c>
      <c r="BQ19" s="279">
        <f>SUMIFS(PCF!$T:$T,PCF!$C:$C,$C19,PCF!$I:$I,BQ$15)</f>
        <v>0</v>
      </c>
      <c r="BR19" s="1359">
        <f>SUMIFS(PCF!$T:$T,PCF!$C:$C,$C19,PCF!$I:$I,BR$15)</f>
        <v>0</v>
      </c>
      <c r="BS19" s="958"/>
      <c r="BT19" s="959"/>
      <c r="BU19" s="987" t="str">
        <f>L19</f>
        <v>backup</v>
      </c>
      <c r="BV19" s="279">
        <f>SUMIFS(TA!$V$15:$V$17,TA!$C$15:$C$17,$C19,TA!$R$15:$R$17,$BU19)</f>
        <v>1000</v>
      </c>
      <c r="BW19" s="279">
        <f>SUMIFS(TA!$AJ$15:$AJ$17,TA!$C$15:$C$17,$C19,TA!$R$15:$R$17,$BU19)</f>
        <v>100000</v>
      </c>
      <c r="BX19" s="279">
        <f>SUMIFS(TA!$BE$15:$BE$17,TA!$C$15:$C$17,$C19,TA!$R$15:$R$17,$BU19)</f>
        <v>0</v>
      </c>
      <c r="BY19" s="1360">
        <f>IFERROR((SUMPRODUCT(TA!$GJ$15:$GJ$17,(TA!$C$15:$C$17=$C19)*(TA!$R$15:$R$17=$BU19)*TA!$AJ$15:$AJ$17)/BW19)*$B19,0)</f>
        <v>17.846575342465755</v>
      </c>
      <c r="BZ19" s="958"/>
      <c r="CA19" s="1335">
        <f>IFERROR(INDEX(PCF!$T$36:$BG$38,MATCH($C19,PCF!$C$36:$C$38,0),MATCH(INDEX(AA!$AA$13:$AA$15,MATCH($C19,AA!$C$13:$C$15,0)),PCF!$T$5:$BG$5,0)),0)</f>
        <v>1000</v>
      </c>
      <c r="CB19" s="279">
        <f>IFERROR(INDEX(PCF!$T$44:$BG$46,MATCH($C19,PCF!$C$44:$C$46,0),MATCH(INDEX(AA!$AA$13:$AA$15,MATCH($C19,AA!$C$13:$C$15,0)),PCF!$T$5:$BG$5,0)),0)</f>
        <v>1000</v>
      </c>
      <c r="CC19" s="956">
        <f t="shared" ref="CC19" si="14">IFERROR(CB19/CA19,0)</f>
        <v>1</v>
      </c>
      <c r="CD19" s="279">
        <f>IFERROR((INDEX(PCF!$T$68:$BG$70,MATCH($C19,PCF!$C$68:$C$70,0),MATCH(INDEX(AA!$AA$13:$AA$15,MATCH($C19,AA!$C$13:$C$15,0)),PCF!$T$5:$BG$5,0))*4)*$B19,0)</f>
        <v>0</v>
      </c>
      <c r="CE19" s="279">
        <f>IFERROR((INDEX(PCF!$T$52:$BG$54,MATCH($C19,PCF!$C$52:$C$54,0),MATCH(INDEX(AA!$AA$13:$AA$15,MATCH($C19,AA!$C$13:$C$15,0)),PCF!$T$5:$BG$5,0))*4)*$B19,0)</f>
        <v>102266.91718749992</v>
      </c>
      <c r="CF19" s="279">
        <f>IFERROR((INDEX(PCF!$T$76:$BG$78,MATCH($C19,PCF!$C$76:$C$78,0),MATCH(INDEX(AA!$AA$13:$AA$15,MATCH($C19,AA!$C$13:$C$15,0)),PCF!$T$5:$BG$5,0))*4)*$B19,0)</f>
        <v>0</v>
      </c>
      <c r="CG19" s="1230">
        <f t="shared" si="0"/>
        <v>102266.91718749992</v>
      </c>
      <c r="CH19" s="279">
        <f>IFERROR((INDEX(PCF!$T$124:$BG$126,MATCH($C19,PCF!$C$124:$C$126,0),MATCH(INDEX(AA!$AA$13:$AA$15,MATCH($C19,AA!$C$13:$C$15,0)),PCF!$T$5:$BG$5,0))*4)*$B19,0)</f>
        <v>0</v>
      </c>
      <c r="CI19" s="1230">
        <f t="shared" ref="CI19" si="15">SUM(CG19:CH19)</f>
        <v>102266.91718749992</v>
      </c>
      <c r="CJ19" s="279">
        <f>IFERROR((INDEX(PCF!$T$100:$BG$102,MATCH($C19,PCF!$C$100:$C$102,0),MATCH(INDEX(AA!$AA$13:$AA$15,MATCH($C19,AA!$C$13:$C$15,0)),PCF!$T$5:$BG$5,0))*4)*$B19,0)</f>
        <v>-4090.6766874999967</v>
      </c>
      <c r="CK19" s="279">
        <f>IFERROR((INDEX(PCF!$T$115:$BG$118,MATCH($C19,PCF!$C$115:$C$118,0),MATCH(INDEX(AA!$AA$13:$AA$15,MATCH($C19,AA!$C$13:$C$15,0)),PCF!$T$5:$BG$5,0))*4)*$B19,0)</f>
        <v>-1227.2030062499989</v>
      </c>
      <c r="CL19" s="279">
        <f>IFERROR((INDEX(PCF!$T$108:$BG$110,MATCH($C19,PCF!$C$108:$C$110,0),MATCH(INDEX(AA!$AA$13:$AA$15,MATCH($C19,AA!$C$13:$C$15,0)),PCF!$T$5:$BG$5,0))*4)*$B19,0)</f>
        <v>-4881.5568000000048</v>
      </c>
      <c r="CM19" s="279">
        <f>IFERROR((INDEX(PCF!$T$92:$BG$94,MATCH($C19,PCF!$C$92:$C$94,0),MATCH(INDEX(AA!$AA$13:$AA$15,MATCH($C19,AA!$C$13:$C$15,0)),PCF!$T$5:$BG$5,0))*4)*$B19,0)</f>
        <v>0</v>
      </c>
      <c r="CN19" s="279">
        <f>IFERROR((INDEX(PCF!$T$132:$BG$134,MATCH($C19,PCF!$C$132:$C$134,0),MATCH(INDEX(AA!$AA$13:$AA$15,MATCH($C19,AA!$C$13:$C$15,0)),PCF!$T$5:$BG$5,0))*4)*$B19,0)</f>
        <v>92067.480693749909</v>
      </c>
      <c r="CO19" s="279">
        <f>IFERROR(((SUMIFS(TA!$BG$15:$BG$17,TA!$C$15:$C$17,$C19))+SUMIFS(TA!$BO$15:$BO$17,TA!$C$15:$C$17,$C19))*$B19*INDEX(IP!$T$15:$BG$15,MATCH(INDEX(AA!$AA:$AA,MATCH(AO!$C19,AA!$C:$C,0)),IP!$T$5:$BG$5,0)),0)</f>
        <v>102266.91718749992</v>
      </c>
      <c r="CP19" s="279">
        <f>IFERROR((INDEX(PCF!$T$146:$BG$148,MATCH($C19,PCF!$C$146:$C$148,0),MATCH(INDEX(AA!$AA$13:$AA$15,MATCH($C19,AA!$C$13:$C$15,0)),PCF!$T$5:$BG$5,0))*4)*$B19,0)</f>
        <v>-5638.3091963477063</v>
      </c>
      <c r="CQ19" s="279">
        <f>IFERROR((INDEX(PCF!$T$153:$BG$155,MATCH($C19,PCF!$C$153:$C$155,0),MATCH(INDEX(AA!$AA$13:$AA$15,MATCH($C19,AA!$C$13:$C$15,0)),PCF!$T$5:$BG$5,0))*4)*$B19,0)</f>
        <v>-17686.800000000014</v>
      </c>
      <c r="CR19" s="279">
        <f>IFERROR((INDEX(PCF!$T$139:$BG$141,MATCH($C19,PCF!$C$139:$C$141,0),MATCH(INDEX(AA!$AA$13:$AA$15,MATCH($C19,AA!$C$13:$C$15,0)),PCF!$T$5:$BG$5,0))*4)*$B19,0)</f>
        <v>0</v>
      </c>
      <c r="CS19" s="279">
        <f>IFERROR((INDEX(PCF!$T$161:$BG$163,MATCH($C19,PCF!$C$161:$C$163,0),MATCH(INDEX(AA!$AA$13:$AA$15,MATCH($C19,AA!$C$13:$C$15,0)),PCF!$T$5:$BG$5,0))*4)*$B19,0)</f>
        <v>68742.371497402186</v>
      </c>
      <c r="CT19" s="1359">
        <f>INDEX(PCF!$BK$60:$BK$62,MATCH($C19,PCF!$C$60:$C$62,0))</f>
        <v>14.846575342465753</v>
      </c>
      <c r="CU19" s="258"/>
      <c r="CV19" s="1335">
        <f>SUMIFS(PCF!$BI$177:$BI$179,PCF!$C$177:$C$179,$C19)*$B19</f>
        <v>0</v>
      </c>
      <c r="CW19" s="279">
        <f>SUMIFS(PCF!$BI$199:$BI$201,PCF!$C$199:$C$201,$C19)*$B19</f>
        <v>0</v>
      </c>
      <c r="CX19" s="279">
        <f>SUMIFS(PCF!$BI$209:$BI$211,PCF!$C$209:$C$211,$C19)*$B19</f>
        <v>0</v>
      </c>
      <c r="CY19" s="279">
        <f>INDEX(PCF!$BI$217:$BI$219,MATCH($C19,PCF!$C$217:$C$219,0))</f>
        <v>0</v>
      </c>
      <c r="CZ19" s="279">
        <f>INDEX(PCF!$BI$184:$BI$186,MATCH($C19,PCF!$C$184:$C$186,0))</f>
        <v>0</v>
      </c>
      <c r="DA19" s="279">
        <f>SUMIFS(PCF!$BI$243:$BI$245,PCF!$C$243:$C$245,$C19)</f>
        <v>0</v>
      </c>
      <c r="DB19" s="1230">
        <f t="shared" ref="DB19" si="16">SUM(CY19:DA19)-CZ19</f>
        <v>0</v>
      </c>
      <c r="DC19" s="1230">
        <f t="shared" ref="DC19" si="17">SUM(DB19,CV19,CZ19)</f>
        <v>0</v>
      </c>
      <c r="DD19" s="279">
        <f>SUMIFS(PCF!$BI:$BI,PCF!$C:$C,$C19,PCF!$I:$I,DD$15)*$B19</f>
        <v>0</v>
      </c>
      <c r="DE19" s="279">
        <f>SUMIFS(PCF!$BI:$BI,PCF!$C:$C,$C19,PCF!$I:$I,DE$15)*$B19</f>
        <v>0</v>
      </c>
      <c r="DF19" s="1230">
        <f t="shared" ref="DF19" si="18">SUM(DD19,DC19)</f>
        <v>0</v>
      </c>
      <c r="DG19" s="279">
        <f>SUMIFS(PCF!$BI:$BI,PCF!$C:$C,$C19,PCF!$I:$I,DG$15)</f>
        <v>0</v>
      </c>
      <c r="DH19" s="1234">
        <f t="shared" ref="DH19" si="19">SUM(DF19,DG19)</f>
        <v>0</v>
      </c>
      <c r="DI19" s="1230"/>
      <c r="DJ19" s="1335">
        <f>SUMIFS(PCF!$BI:$BI,PCF!$C:$C,$C19,PCF!$I:$I,DJ$15)</f>
        <v>1227203.0062499989</v>
      </c>
      <c r="DK19" s="1230">
        <f t="shared" ref="DK19" si="20">SUM(DJ19,DC19)</f>
        <v>1227203.0062499989</v>
      </c>
      <c r="DL19" s="956">
        <f t="shared" ref="DL19:DL20" si="21">IFERROR($CI19/$DJ19,0)</f>
        <v>8.3333333333333343E-2</v>
      </c>
      <c r="DM19" s="956">
        <f t="shared" ref="DM19:DM20" si="22">IFERROR($CN19/$DJ19,0)</f>
        <v>7.5022209222810887E-2</v>
      </c>
      <c r="DN19" s="1230">
        <f t="shared" ref="DN19" si="23">DA19</f>
        <v>0</v>
      </c>
      <c r="DO19" s="1230">
        <f t="shared" ref="DO19" si="24">SUM(DN19,DJ19)</f>
        <v>1227203.0062499989</v>
      </c>
      <c r="DP19" s="1230">
        <f t="shared" ref="DP19" si="25">DE19</f>
        <v>0</v>
      </c>
      <c r="DQ19" s="1230">
        <f>-SUM(DO19:DP19)*GA!$G$484</f>
        <v>-1595.3639081249985</v>
      </c>
      <c r="DR19" s="1230">
        <f>-SUM(DO19:DP19)*GA!$G$485</f>
        <v>0</v>
      </c>
      <c r="DS19" s="1230">
        <f t="shared" ref="DS19" si="26">SUM(DO19:DR19)</f>
        <v>1225607.6423418738</v>
      </c>
      <c r="DT19" s="1361">
        <f>EOMONTH(GA!$G$53,DU19*3-1)</f>
        <v>45351</v>
      </c>
      <c r="DU19" s="1359">
        <f>INDEX(AA!$AA$13:$AA$15,MATCH($C19,AA!$C$13:$C$15,0))</f>
        <v>12</v>
      </c>
      <c r="DV19" s="258"/>
      <c r="DW19" s="1362">
        <f>((DT19-GA!$G$53)/365)*$B19</f>
        <v>3</v>
      </c>
      <c r="DX19" s="258"/>
      <c r="DY19" s="961">
        <f>(RANK($DO19,$DO$18:$DO$20,0)+COUNTIF($DO$18:$DO$20,$DO19)-1)*($DO19&gt;0)</f>
        <v>3</v>
      </c>
      <c r="DZ19" s="258"/>
      <c r="EA19" s="1335">
        <f>SUMIFS(PCF!$BI:$BI,PCF!$C:$C,$C19,PCF!$I:$I,EA$15)</f>
        <v>278624.38119007222</v>
      </c>
      <c r="EB19" s="279">
        <f>SUMIFS(PCF!$BI:$BI,PCF!$C:$C,$C19,PCF!$I:$I,EB$15)</f>
        <v>0</v>
      </c>
      <c r="EC19" s="279">
        <f>SUMIFS(PCF!$BI:$BI,PCF!$C:$C,$C19,PCF!$I:$I,EC$15)</f>
        <v>-11144.97524760289</v>
      </c>
      <c r="ED19" s="279">
        <f>SUMIFS(PCF!$BI:$BI,PCF!$C:$C,$C19,PCF!$I:$I,ED$15)</f>
        <v>251038.24332743947</v>
      </c>
      <c r="EE19" s="279"/>
      <c r="EF19" s="279">
        <f>SUMIFS(PCF!$BI:$BI,PCF!$C:$C,$C19,PCF!$I:$I,EF$15)</f>
        <v>0</v>
      </c>
      <c r="EG19" s="279">
        <f>SUMIFS(PCF!$BI:$BI,PCF!$C:$C,$C19,PCF!$I:$I,EG$15)</f>
        <v>-15505.350289956192</v>
      </c>
      <c r="EH19" s="279">
        <f>SUMIFS(PCF!$BI:$BI,PCF!$C:$C,$C19,PCF!$I:$I,EH$15)</f>
        <v>0</v>
      </c>
      <c r="EI19" s="279">
        <f>SUMIFS(PCF!$BI:$BI,PCF!$C:$C,$C19,PCF!$I:$I,EI$15)</f>
        <v>0</v>
      </c>
      <c r="EJ19" s="279">
        <f>SUMIFS(PCF!$BI:$BI,PCF!$C:$C,$C19,PCF!$I:$I,EJ$15)</f>
        <v>0</v>
      </c>
      <c r="EK19" s="279">
        <f>SUMIFS(PCF!$BI:$BI,PCF!$C:$C,$C19,PCF!$I:$I,EK$15)</f>
        <v>0</v>
      </c>
      <c r="EL19" s="279">
        <f>SUMIFS(PCF!$BI:$BI,PCF!$C:$C,$C19,PCF!$I:$I,EL$15)</f>
        <v>0</v>
      </c>
      <c r="EM19" s="1235">
        <f t="shared" ref="EM19" si="27">SUM(ED19:EL19)</f>
        <v>235532.89303748327</v>
      </c>
      <c r="EN19" s="1230"/>
      <c r="EO19" s="279">
        <f>SUMIFS(PCF!$BI:$BI,PCF!$C:$C,$C19,PCF!$I:$I,EO$15)</f>
        <v>1227203.0062499989</v>
      </c>
      <c r="EP19" s="279">
        <f>SUMIFS(PCF!$BI:$BI,PCF!$C:$C,$C19,PCF!$I:$I,EP$15)</f>
        <v>0</v>
      </c>
      <c r="EQ19" s="279">
        <f>SUMIFS(PCF!$BI:$BI,PCF!$C:$C,$C19,PCF!$I:$I,EQ$15)</f>
        <v>0</v>
      </c>
      <c r="ER19" s="1230">
        <f t="shared" ref="ER19" si="28">SUM(EO19:EQ19)</f>
        <v>1227203.0062499989</v>
      </c>
      <c r="ES19" s="1230">
        <f t="shared" ref="ES19" si="29">-ER19*$ES$15</f>
        <v>-1595.3639081249985</v>
      </c>
      <c r="ET19" s="1230">
        <f t="shared" ref="ET19" si="30">ER19*$ET$15</f>
        <v>0</v>
      </c>
      <c r="EU19" s="1235">
        <f t="shared" ref="EU19" si="31">SUM(ER19:ET19)</f>
        <v>1225607.6423418738</v>
      </c>
      <c r="EV19" s="1230"/>
      <c r="EW19" s="1236">
        <f t="shared" ref="EW19" si="32">EM19+EU19</f>
        <v>1461140.5353793572</v>
      </c>
      <c r="EY19" s="1335">
        <f>INDEX(PCF!$BI$153:$BI$155,MATCH(C19,PCF!$C$153:$C$155,0))</f>
        <v>-49559.389763423205</v>
      </c>
      <c r="EZ19" s="1568">
        <f>INDEX(PCF!$BI$146:$BI$148,MATCH(C19,PCF!$C$146:$C$148,0))</f>
        <v>-15505.350289956192</v>
      </c>
    </row>
    <row r="20" spans="2:156">
      <c r="B20" s="954">
        <f>INDEX(AA!$E$13:$E$15,MATCH($C20,AA!$C$13:$C$15,0))</f>
        <v>1</v>
      </c>
      <c r="C20" s="235">
        <f>AA!C15</f>
        <v>3</v>
      </c>
      <c r="E20" s="1471" t="str">
        <f>INDEX(AA!$AC$13:$AC$15,MATCH($C20,AA!$C$13:$C$15,0))</f>
        <v>backup</v>
      </c>
      <c r="F20" s="1472" t="str">
        <f>INDEX(AA!$AE$13:$AE$15,MATCH($C20,AA!$C$13:$C$15,0))</f>
        <v>backup</v>
      </c>
      <c r="G20" s="1472" t="str">
        <f>INDEX(AA!$AG$13:$AG$15,MATCH($C20,AA!$C$13:$C$15,0))</f>
        <v>Baden-Wuerttemberg</v>
      </c>
      <c r="H20" s="955" t="str">
        <f>INDEX(GA!$H$296:$H$311,MATCH($G20,GA!$E$296:$E$311,0))</f>
        <v>West</v>
      </c>
      <c r="I20" s="1472" t="str">
        <f>INDEX(AA!$AL$13:$AL$15,MATCH($C20,AA!$C$13:$C$15,0))</f>
        <v>LTS</v>
      </c>
      <c r="J20" s="1481">
        <f>INDEX(AA!$AK$13:$AK$15,MATCH($C20,AA!$C$13:$C$15,0))</f>
        <v>0</v>
      </c>
      <c r="K20" s="1472" t="str">
        <f>INDEX(AA!$AI$13:$AI$15,MATCH($C20,AA!$C$13:$C$15,0))</f>
        <v>Cash &amp; Carry</v>
      </c>
      <c r="L20" s="1280" t="str">
        <f>INDEX(AA!$AN$13:$AN$15,MATCH($C20,AA!$C$13:$C$15,0))</f>
        <v>backup</v>
      </c>
      <c r="M20" s="955">
        <f>INDEX(AA!$ED$13:$ED$15,MATCH($C20,AA!$C$13:$C$15,0))</f>
        <v>1</v>
      </c>
      <c r="N20" s="955">
        <f>INDEX(AA!$EE$13:$EE$15,MATCH($C20,AA!$C$13:$C$15,0))</f>
        <v>1</v>
      </c>
      <c r="O20" s="955">
        <f>INDEX(AA!$EF$13:$EF$15,MATCH($C20,AA!$C$13:$C$15,0))</f>
        <v>1</v>
      </c>
      <c r="P20" s="258"/>
      <c r="Q20" s="1233">
        <f>SUMIFS(TA!$V$15:$V$17,TA!$C$15:$C$17,$C20)*$B20</f>
        <v>1000</v>
      </c>
      <c r="R20" s="956">
        <f>IFERROR($Q20/$Q$22,0)</f>
        <v>0.33333333333333331</v>
      </c>
      <c r="S20" s="1232">
        <f>$Q20-SUMIFS(TA!$V$15:$V$17,TA!$C$15:$C$17,$C20,TA!$R$15:$R$17,"vacant")*$B20</f>
        <v>1000</v>
      </c>
      <c r="T20" s="1232">
        <f t="shared" si="1"/>
        <v>0</v>
      </c>
      <c r="U20" s="956">
        <f t="shared" ref="U20" si="33">IFERROR(S20/Q20,0)</f>
        <v>1</v>
      </c>
      <c r="V20" s="1232">
        <f>(SUMIFS(TA!$AJ$15:$AJ$17,TA!$C$15:$C$17,AO!$C20)+SUMPRODUCT((TA!$R$15:$R$17="vacant")*(TA!$C$15:$C$17=AO!$C20),TA!$BG$15:$BG$17,TA!$FL$15:$FL$17))*$B20</f>
        <v>100000</v>
      </c>
      <c r="W20" s="957">
        <f t="shared" ref="W20" si="34">IFERROR(Y20/V20,0)</f>
        <v>1</v>
      </c>
      <c r="X20" s="1232">
        <f>SUMIFS(TA!$AX$15:$AX$17,TA!$C$15:$C$17,$C20)</f>
        <v>0</v>
      </c>
      <c r="Y20" s="1232">
        <f>SUMIFS(TA!$AJ$15:$AJ$17,TA!$C$15:$C$17,$C20)</f>
        <v>100000</v>
      </c>
      <c r="Z20" s="1232">
        <f>SUMIFS(AA!$BF$13:$BF$15,AA!$C$13:$C$15,$C20)</f>
        <v>0</v>
      </c>
      <c r="AA20" s="1230">
        <f t="shared" ref="AA20" si="35">SUM(Y20:Z20)</f>
        <v>100000</v>
      </c>
      <c r="AB20" s="279">
        <f>-SUMIFS(AA!$EV$13:$EV$15,AA!$C$13:$C$15,$C20)</f>
        <v>0</v>
      </c>
      <c r="AC20" s="1230">
        <f t="shared" ref="AC20" si="36">SUM(AA20:AB20)</f>
        <v>100000</v>
      </c>
      <c r="AD20" s="279">
        <f>-AC20*INDEX(AA!$BJ$13:$BJ$15,MATCH($C20,AA!$C$13:$C$15,0))</f>
        <v>0</v>
      </c>
      <c r="AE20" s="279">
        <f>-$AC20*INDEX(AA!$BM$13:$BM$15,MATCH($C20,AA!$C$13:$C$15,0))</f>
        <v>-4250</v>
      </c>
      <c r="AF20" s="279">
        <f>-$AC20*INDEX(AA!$BV$13:$BV$15,MATCH($C20,AA!$C$13:$C$15,0))</f>
        <v>-1799.9999999999998</v>
      </c>
      <c r="AG20" s="279">
        <f>-INDEX(AA!$BP$13:$BP$15,MATCH($C20,AA!$C$13:$C$15,0))*12*$S20*$B20</f>
        <v>-2250</v>
      </c>
      <c r="AH20" s="279">
        <f>-$T20*12*INDEX(AA!$BS$13:$BS$15,MATCH($C20,AA!$C$13:$C$15,0))</f>
        <v>0</v>
      </c>
      <c r="AI20" s="1230">
        <f t="shared" ref="AI20" si="37">SUM(AC20:AH20)</f>
        <v>91700</v>
      </c>
      <c r="AJ20" s="279">
        <f>INDEX(PCF!$T$146:$T$148,MATCH($C20,PCF!$C$146:$C$148,0))*4</f>
        <v>0</v>
      </c>
      <c r="AK20" s="279">
        <f>INDEX(PCF!$T$153:$T$155,MATCH($C20,PCF!$C$153:$C$155,0))*4</f>
        <v>0</v>
      </c>
      <c r="AL20" s="279">
        <f>-$AC20*INDEX(AA!$BY$13:$BY$15,MATCH($C20,AA!$C$13:$C$15,0))</f>
        <v>0</v>
      </c>
      <c r="AM20" s="1230">
        <f t="shared" ref="AM20" si="38">SUM(AI20:AL20)</f>
        <v>91700</v>
      </c>
      <c r="AN20" s="279">
        <f>(SUMIFS(TA!$BG$15:$BG$17,TA!$C$15:$C$17,$C20)+$Z20)*$B20</f>
        <v>100000</v>
      </c>
      <c r="AO20" s="279">
        <f>(SUMIFS(TA!$BG$15:$BG$17,TA!$C$15:$C$17,$C20,TA!$R$15:$R$17,"&lt;&gt;vacant")+$Z20)*$B20</f>
        <v>100000</v>
      </c>
      <c r="AP20" s="1358">
        <f>IFERROR(SUMIFS(TA!$GL$15:$GL$17,TA!$C$15:$C$17,$C20)/SUMIFS(TA!$AJ$15:$AJ$17,TA!$C$15:$C$17,$C20,TA!$GL$15:$GL$17,"&lt;&gt;0"),0)*$B20</f>
        <v>17.846575342465755</v>
      </c>
      <c r="AQ20" s="1435">
        <f>SUMPRODUCT((TA!$GK$15:$GK$17)*(TA!$AJ$15:$AJ$17)*(TA!$C$15:$C$17=$C20))/SUMPRODUCT((TA!$AJ$15:$AJ$17)*(TA!$C$15:$C$17=$C20))</f>
        <v>17.846575342465755</v>
      </c>
      <c r="AR20" s="958"/>
      <c r="AS20" s="1233">
        <f>INDEX(PCF!$BM$261:$BM$263,MATCH($C20,PCF!$C$261:$C$263,0))</f>
        <v>1115246.4450915963</v>
      </c>
      <c r="AT20" s="1232">
        <f>INDEX(PCF!$BR$261:$BR$263,MATCH($C20,PCF!$C$261:$C$263,0))</f>
        <v>1635244.5571984914</v>
      </c>
      <c r="AU20" s="1232">
        <f>GA!$G$11*($AT20/$AT$22)</f>
        <v>327.04891143969826</v>
      </c>
      <c r="AV20" s="1232">
        <f t="shared" si="8"/>
        <v>1634917.5082870517</v>
      </c>
      <c r="AW20" s="1232">
        <f>+INDEX(AA!$T:$T,MATCH(AO!$C20,AA!$C:$C,0))-1</f>
        <v>2</v>
      </c>
      <c r="AX20" s="956">
        <f t="shared" si="9"/>
        <v>6.1152932483273616E-2</v>
      </c>
      <c r="AY20" s="956">
        <f t="shared" si="10"/>
        <v>5.6505309614544814E-2</v>
      </c>
      <c r="AZ20" s="1232">
        <f>INDEX(PCF!$BW$261:$BW$263,MATCH($C20,PCF!$C$261:$C$263,0))</f>
        <v>1849150.8977256261</v>
      </c>
      <c r="BA20" s="956">
        <f>IFERROR($AC20/$AZ20,0)</f>
        <v>5.4078874862508827E-2</v>
      </c>
      <c r="BB20" s="812">
        <f>IFERROR($AI$18/$AZ20,0)</f>
        <v>4.9968880372958158E-2</v>
      </c>
      <c r="BC20" s="958"/>
      <c r="BD20" s="1233">
        <f>SUMIFS(PCF!$T:$T,PCF!$C:$C,$C20,PCF!$I:$I,BD$15)</f>
        <v>0</v>
      </c>
      <c r="BE20" s="1232">
        <f>SUMIFS(PCF!$T:$T,PCF!$C:$C,$C20,PCF!$I:$I,BE$15)</f>
        <v>0</v>
      </c>
      <c r="BF20" s="956">
        <f t="shared" si="11"/>
        <v>0</v>
      </c>
      <c r="BG20" s="279">
        <f>SUMIFS(PCF!$T:$T,PCF!$C:$C,$C20,PCF!$I:$I,BG$15)</f>
        <v>0</v>
      </c>
      <c r="BH20" s="279">
        <f>SUMIFS(PCF!$T:$T,PCF!$C:$C,$C20,PCF!$I:$I,BH$15)</f>
        <v>0</v>
      </c>
      <c r="BI20" s="1230">
        <f t="shared" si="12"/>
        <v>0</v>
      </c>
      <c r="BJ20" s="279">
        <f>SUMIFS(PCF!$T:$T,PCF!$C:$C,$C20,PCF!$I:$I,BJ$15)</f>
        <v>0</v>
      </c>
      <c r="BK20" s="1230">
        <f t="shared" si="13"/>
        <v>0</v>
      </c>
      <c r="BL20" s="279">
        <f>SUMIFS(PCF!$T:$T,PCF!$C:$C,$C20,PCF!$I:$I,BL$15)</f>
        <v>0</v>
      </c>
      <c r="BM20" s="279">
        <f>SUMIFS(PCF!$T:$T,PCF!$C:$C,$C20,PCF!$I:$I,BM$15)</f>
        <v>0</v>
      </c>
      <c r="BN20" s="279">
        <f>SUMIFS(PCF!$T:$T,PCF!$C:$C,$C20,PCF!$I:$I,BN$15)</f>
        <v>0</v>
      </c>
      <c r="BO20" s="279">
        <f>SUMIFS(PCF!$T:$T,PCF!$C:$C,$C20,PCF!$I:$I,BO$15)</f>
        <v>0</v>
      </c>
      <c r="BP20" s="279">
        <f>SUMIFS(PCF!$T:$T,PCF!$C:$C,$C20,PCF!$I:$I,BP$15)</f>
        <v>0</v>
      </c>
      <c r="BQ20" s="279">
        <f>SUMIFS(PCF!$T:$T,PCF!$C:$C,$C20,PCF!$I:$I,BQ$15)</f>
        <v>0</v>
      </c>
      <c r="BR20" s="1359">
        <f>SUMIFS(PCF!$T:$T,PCF!$C:$C,$C20,PCF!$I:$I,BR$15)</f>
        <v>0</v>
      </c>
      <c r="BS20" s="958"/>
      <c r="BT20" s="959"/>
      <c r="BU20" s="987" t="str">
        <f>L20</f>
        <v>backup</v>
      </c>
      <c r="BV20" s="279">
        <f>SUMIFS(TA!$V$15:$V$17,TA!$C$15:$C$17,$C20,TA!$R$15:$R$17,$BU20)</f>
        <v>1000</v>
      </c>
      <c r="BW20" s="279">
        <f>SUMIFS(TA!$AJ$15:$AJ$17,TA!$C$15:$C$17,$C20,TA!$R$15:$R$17,$BU20)</f>
        <v>100000</v>
      </c>
      <c r="BX20" s="279">
        <f>SUMIFS(TA!$BE$15:$BE$17,TA!$C$15:$C$17,$C20,TA!$R$15:$R$17,$BU20)</f>
        <v>0</v>
      </c>
      <c r="BY20" s="1360">
        <f>IFERROR((SUMPRODUCT(TA!$GJ$15:$GJ$17,(TA!$C$15:$C$17=$C20)*(TA!$R$15:$R$17=$BU20)*TA!$AJ$15:$AJ$17)/BW20)*$B20,0)</f>
        <v>17.846575342465755</v>
      </c>
      <c r="BZ20" s="958"/>
      <c r="CA20" s="1335">
        <f>IFERROR(INDEX(PCF!$T$36:$BG$38,MATCH($C20,PCF!$C$36:$C$38,0),MATCH(INDEX(AA!$AA$13:$AA$15,MATCH($C20,AA!$C$13:$C$15,0)),PCF!$T$5:$BG$5,0)),0)</f>
        <v>1000</v>
      </c>
      <c r="CB20" s="279">
        <f>IFERROR(INDEX(PCF!$T$44:$BG$46,MATCH($C20,PCF!$C$44:$C$46,0),MATCH(INDEX(AA!$AA$13:$AA$15,MATCH($C20,AA!$C$13:$C$15,0)),PCF!$T$5:$BG$5,0)),0)</f>
        <v>1000</v>
      </c>
      <c r="CC20" s="956">
        <f t="shared" ref="CC20" si="39">IFERROR(CB20/CA20,0)</f>
        <v>1</v>
      </c>
      <c r="CD20" s="279">
        <f>IFERROR((INDEX(PCF!$T$68:$BG$70,MATCH($C20,PCF!$C$68:$C$70,0),MATCH(INDEX(AA!$AA$13:$AA$15,MATCH($C20,AA!$C$13:$C$15,0)),PCF!$T$5:$BG$5,0))*4)*$B20,0)</f>
        <v>0</v>
      </c>
      <c r="CE20" s="279">
        <f>IFERROR((INDEX(PCF!$T$52:$BG$54,MATCH($C20,PCF!$C$52:$C$54,0),MATCH(INDEX(AA!$AA$13:$AA$15,MATCH($C20,AA!$C$13:$C$15,0)),PCF!$T$5:$BG$5,0))*4)*$B20,0)</f>
        <v>102266.91718749992</v>
      </c>
      <c r="CF20" s="279">
        <f>IFERROR((INDEX(PCF!$T$76:$BG$78,MATCH($C20,PCF!$C$76:$C$78,0),MATCH(INDEX(AA!$AA$13:$AA$15,MATCH($C20,AA!$C$13:$C$15,0)),PCF!$T$5:$BG$5,0))*4)*$B20,0)</f>
        <v>0</v>
      </c>
      <c r="CG20" s="1230">
        <f t="shared" ref="CG20" si="40">SUM(CE20:CF20)</f>
        <v>102266.91718749992</v>
      </c>
      <c r="CH20" s="279">
        <f>IFERROR((INDEX(PCF!$T$124:$BG$126,MATCH($C20,PCF!$C$124:$C$126,0),MATCH(INDEX(AA!$AA$13:$AA$15,MATCH($C20,AA!$C$13:$C$15,0)),PCF!$T$5:$BG$5,0))*4)*$B20,0)</f>
        <v>0</v>
      </c>
      <c r="CI20" s="1230">
        <f t="shared" ref="CI20" si="41">SUM(CG20:CH20)</f>
        <v>102266.91718749992</v>
      </c>
      <c r="CJ20" s="279">
        <f>IFERROR((INDEX(PCF!$T$100:$BG$102,MATCH($C20,PCF!$C$100:$C$102,0),MATCH(INDEX(AA!$AA$13:$AA$15,MATCH($C20,AA!$C$13:$C$15,0)),PCF!$T$5:$BG$5,0))*4)*$B20,0)</f>
        <v>-4346.3439804687468</v>
      </c>
      <c r="CK20" s="279">
        <f>IFERROR((INDEX(PCF!$T$115:$BG$118,MATCH($C20,PCF!$C$115:$C$118,0),MATCH(INDEX(AA!$AA$13:$AA$15,MATCH($C20,AA!$C$13:$C$15,0)),PCF!$T$5:$BG$5,0))*4)*$B20,0)</f>
        <v>-1840.8045093749984</v>
      </c>
      <c r="CL20" s="279">
        <f>IFERROR((INDEX(PCF!$T$108:$BG$110,MATCH($C20,PCF!$C$108:$C$110,0),MATCH(INDEX(AA!$AA$13:$AA$15,MATCH($C20,AA!$C$13:$C$15,0)),PCF!$T$5:$BG$5,0))*4)*$B20,0)</f>
        <v>-2387.7180000000021</v>
      </c>
      <c r="CM20" s="279">
        <f>IFERROR((INDEX(PCF!$T$92:$BG$94,MATCH($C20,PCF!$C$92:$C$94,0),MATCH(INDEX(AA!$AA$13:$AA$15,MATCH($C20,AA!$C$13:$C$15,0)),PCF!$T$5:$BG$5,0))*4)*$B20,0)</f>
        <v>0</v>
      </c>
      <c r="CN20" s="279">
        <f>IFERROR((INDEX(PCF!$T$132:$BG$134,MATCH($C20,PCF!$C$132:$C$134,0),MATCH(INDEX(AA!$AA$13:$AA$15,MATCH($C20,AA!$C$13:$C$15,0)),PCF!$T$5:$BG$5,0))*4)*$B20,0)</f>
        <v>93692.050697656159</v>
      </c>
      <c r="CO20" s="279">
        <f>IFERROR(((SUMIFS(TA!$BG$15:$BG$17,TA!$C$15:$C$17,$C20))+SUMIFS(TA!$BO$15:$BO$17,TA!$C$15:$C$17,$C20))*$B20*INDEX(IP!$T$15:$BG$15,MATCH(INDEX(AA!$AA:$AA,MATCH(AO!$C20,AA!$C:$C,0)),IP!$T$5:$BG$5,0)),0)</f>
        <v>102266.91718749992</v>
      </c>
      <c r="CP20" s="279">
        <f>IFERROR((INDEX(PCF!$T$146:$BG$148,MATCH($C20,PCF!$C$146:$C$148,0),MATCH(INDEX(AA!$AA$13:$AA$15,MATCH($C20,AA!$C$13:$C$15,0)),PCF!$T$5:$BG$5,0))*4)*$B20,0)</f>
        <v>-5547.4526931768787</v>
      </c>
      <c r="CQ20" s="279">
        <f>IFERROR((INDEX(PCF!$T$153:$BG$155,MATCH($C20,PCF!$C$153:$C$155,0),MATCH(INDEX(AA!$AA$13:$AA$15,MATCH($C20,AA!$C$13:$C$15,0)),PCF!$T$5:$BG$5,0))*4)*$B20,0)</f>
        <v>-17686.800000000014</v>
      </c>
      <c r="CR20" s="279">
        <f>IFERROR((INDEX(PCF!$T$139:$BG$141,MATCH($C20,PCF!$C$139:$C$141,0),MATCH(INDEX(AA!$AA$13:$AA$15,MATCH($C20,AA!$C$13:$C$15,0)),PCF!$T$5:$BG$5,0))*4)*$B20,0)</f>
        <v>0</v>
      </c>
      <c r="CS20" s="279">
        <f>IFERROR((INDEX(PCF!$T$161:$BG$163,MATCH($C20,PCF!$C$161:$C$163,0),MATCH(INDEX(AA!$AA$13:$AA$15,MATCH($C20,AA!$C$13:$C$15,0)),PCF!$T$5:$BG$5,0))*4)*$B20,0)</f>
        <v>70457.798004479264</v>
      </c>
      <c r="CT20" s="1359">
        <f>INDEX(PCF!$BK$60:$BK$62,MATCH($C20,PCF!$C$60:$C$62,0))</f>
        <v>14.846575342465753</v>
      </c>
      <c r="CU20" s="258"/>
      <c r="CV20" s="1335">
        <f>SUMIFS(PCF!$BI$177:$BI$179,PCF!$C$177:$C$179,$C20)*$B20</f>
        <v>0</v>
      </c>
      <c r="CW20" s="279">
        <f>SUMIFS(PCF!$BI$199:$BI$201,PCF!$C$199:$C$201,$C20)*$B20</f>
        <v>0</v>
      </c>
      <c r="CX20" s="279">
        <f>SUMIFS(PCF!$BI$209:$BI$211,PCF!$C$209:$C$211,$C20)*$B20</f>
        <v>0</v>
      </c>
      <c r="CY20" s="279">
        <f>INDEX(PCF!$BI$217:$BI$219,MATCH($C20,PCF!$C$217:$C$219,0))</f>
        <v>0</v>
      </c>
      <c r="CZ20" s="279">
        <f>INDEX(PCF!$BI$184:$BI$186,MATCH($C20,PCF!$C$184:$C$186,0))</f>
        <v>0</v>
      </c>
      <c r="DA20" s="279">
        <f>SUMIFS(PCF!$BI$243:$BI$245,PCF!$C$243:$C$245,$C20)</f>
        <v>0</v>
      </c>
      <c r="DB20" s="1230">
        <f t="shared" ref="DB20" si="42">SUM(CY20:DA20)-CZ20</f>
        <v>0</v>
      </c>
      <c r="DC20" s="1230">
        <f t="shared" ref="DC20" si="43">SUM(DB20,CV20,CZ20)</f>
        <v>0</v>
      </c>
      <c r="DD20" s="279">
        <f>SUMIFS(PCF!$BI:$BI,PCF!$C:$C,$C20,PCF!$I:$I,DD$15)*$B20</f>
        <v>0</v>
      </c>
      <c r="DE20" s="279">
        <f>SUMIFS(PCF!$BI:$BI,PCF!$C:$C,$C20,PCF!$I:$I,DE$15)*$B20</f>
        <v>0</v>
      </c>
      <c r="DF20" s="1230">
        <f t="shared" ref="DF20" si="44">SUM(DD20,DC20)</f>
        <v>0</v>
      </c>
      <c r="DG20" s="279">
        <f>SUMIFS(PCF!$BI:$BI,PCF!$C:$C,$C20,PCF!$I:$I,DG$15)</f>
        <v>0</v>
      </c>
      <c r="DH20" s="1234">
        <f t="shared" ref="DH20" si="45">SUM(DF20,DG20)</f>
        <v>0</v>
      </c>
      <c r="DI20" s="1230"/>
      <c r="DJ20" s="1335">
        <f>SUMIFS(PCF!$BI:$BI,PCF!$C:$C,$C20,PCF!$I:$I,DJ$15)</f>
        <v>1227203.0062499989</v>
      </c>
      <c r="DK20" s="1230">
        <f t="shared" ref="DK20" si="46">SUM(DJ20,DC20)</f>
        <v>1227203.0062499989</v>
      </c>
      <c r="DL20" s="956">
        <f t="shared" si="21"/>
        <v>8.3333333333333343E-2</v>
      </c>
      <c r="DM20" s="956">
        <f t="shared" si="22"/>
        <v>7.6346008134345902E-2</v>
      </c>
      <c r="DN20" s="1230">
        <f t="shared" ref="DN20" si="47">DA20</f>
        <v>0</v>
      </c>
      <c r="DO20" s="1230">
        <f t="shared" ref="DO20" si="48">SUM(DN20,DJ20)</f>
        <v>1227203.0062499989</v>
      </c>
      <c r="DP20" s="1230">
        <f t="shared" ref="DP20" si="49">DE20</f>
        <v>0</v>
      </c>
      <c r="DQ20" s="1230">
        <f>-SUM(DO20:DP20)*GA!$G$484</f>
        <v>-1595.3639081249985</v>
      </c>
      <c r="DR20" s="1230">
        <f>-SUM(DO20:DP20)*GA!$G$485</f>
        <v>0</v>
      </c>
      <c r="DS20" s="1230">
        <f t="shared" ref="DS20" si="50">SUM(DO20:DR20)</f>
        <v>1225607.6423418738</v>
      </c>
      <c r="DT20" s="1361">
        <f>EOMONTH(GA!$G$53,DU20*3-1)</f>
        <v>45351</v>
      </c>
      <c r="DU20" s="1359">
        <f>INDEX(AA!$AA$13:$AA$15,MATCH($C20,AA!$C$13:$C$15,0))</f>
        <v>12</v>
      </c>
      <c r="DV20" s="258"/>
      <c r="DW20" s="1362">
        <f>((DT20-GA!$G$53)/365)*$B20</f>
        <v>3</v>
      </c>
      <c r="DX20" s="258"/>
      <c r="DY20" s="961">
        <f>(RANK($DO20,$DO$18:$DO$20,0)+COUNTIF($DO$18:$DO$20,$DO20)-1)*($DO20&gt;0)</f>
        <v>3</v>
      </c>
      <c r="DZ20" s="258"/>
      <c r="EA20" s="1335">
        <f>SUMIFS(PCF!$BI:$BI,PCF!$C:$C,$C20,PCF!$I:$I,EA$15)</f>
        <v>253530.80631521632</v>
      </c>
      <c r="EB20" s="279">
        <f>SUMIFS(PCF!$BI:$BI,PCF!$C:$C,$C20,PCF!$I:$I,EB$15)</f>
        <v>0</v>
      </c>
      <c r="EC20" s="279">
        <f>SUMIFS(PCF!$BI:$BI,PCF!$C:$C,$C20,PCF!$I:$I,EC$15)</f>
        <v>-10775.059268396692</v>
      </c>
      <c r="ED20" s="279">
        <f>SUMIFS(PCF!$BI:$BI,PCF!$C:$C,$C20,PCF!$I:$I,ED$15)</f>
        <v>232353.82064425788</v>
      </c>
      <c r="EE20" s="279"/>
      <c r="EF20" s="279">
        <f>SUMIFS(PCF!$BI:$BI,PCF!$C:$C,$C20,PCF!$I:$I,EF$15)</f>
        <v>0</v>
      </c>
      <c r="EG20" s="279">
        <f>SUMIFS(PCF!$BI:$BI,PCF!$C:$C,$C20,PCF!$I:$I,EG$15)</f>
        <v>-13868.631732942196</v>
      </c>
      <c r="EH20" s="279">
        <f>SUMIFS(PCF!$BI:$BI,PCF!$C:$C,$C20,PCF!$I:$I,EH$15)</f>
        <v>0</v>
      </c>
      <c r="EI20" s="279">
        <f>SUMIFS(PCF!$BI:$BI,PCF!$C:$C,$C20,PCF!$I:$I,EI$15)</f>
        <v>0</v>
      </c>
      <c r="EJ20" s="279">
        <f>SUMIFS(PCF!$BI:$BI,PCF!$C:$C,$C20,PCF!$I:$I,EJ$15)</f>
        <v>0</v>
      </c>
      <c r="EK20" s="279">
        <f>SUMIFS(PCF!$BI:$BI,PCF!$C:$C,$C20,PCF!$I:$I,EK$15)</f>
        <v>0</v>
      </c>
      <c r="EL20" s="279">
        <f>SUMIFS(PCF!$BI:$BI,PCF!$C:$C,$C20,PCF!$I:$I,EL$15)</f>
        <v>0</v>
      </c>
      <c r="EM20" s="1235">
        <f t="shared" ref="EM20" si="51">SUM(ED20:EL20)</f>
        <v>218485.18891131569</v>
      </c>
      <c r="EN20" s="1230"/>
      <c r="EO20" s="279">
        <f>SUMIFS(PCF!$BI:$BI,PCF!$C:$C,$C20,PCF!$I:$I,EO$15)</f>
        <v>1227203.0062499989</v>
      </c>
      <c r="EP20" s="279">
        <f>SUMIFS(PCF!$BI:$BI,PCF!$C:$C,$C20,PCF!$I:$I,EP$15)</f>
        <v>0</v>
      </c>
      <c r="EQ20" s="279">
        <f>SUMIFS(PCF!$BI:$BI,PCF!$C:$C,$C20,PCF!$I:$I,EQ$15)</f>
        <v>0</v>
      </c>
      <c r="ER20" s="1230">
        <f t="shared" ref="ER20" si="52">SUM(EO20:EQ20)</f>
        <v>1227203.0062499989</v>
      </c>
      <c r="ES20" s="1230">
        <f t="shared" ref="ES20" si="53">-ER20*$ES$15</f>
        <v>-1595.3639081249985</v>
      </c>
      <c r="ET20" s="1230">
        <f t="shared" ref="ET20" si="54">ER20*$ET$15</f>
        <v>0</v>
      </c>
      <c r="EU20" s="1235">
        <f t="shared" ref="EU20" si="55">SUM(ER20:ET20)</f>
        <v>1225607.6423418738</v>
      </c>
      <c r="EV20" s="1230"/>
      <c r="EW20" s="1236">
        <f t="shared" ref="EW20" si="56">EM20+EU20</f>
        <v>1444092.8312531896</v>
      </c>
      <c r="EY20" s="1335">
        <f>INDEX(PCF!$BI$153:$BI$155,MATCH(C20,PCF!$C$153:$C$155,0))</f>
        <v>-43247.199176946902</v>
      </c>
      <c r="EZ20" s="1568">
        <f>INDEX(PCF!$BI$146:$BI$148,MATCH(C20,PCF!$C$146:$C$148,0))</f>
        <v>-13868.631732942196</v>
      </c>
    </row>
    <row r="21" spans="2:156">
      <c r="E21" s="542"/>
      <c r="F21" s="258"/>
      <c r="G21" s="258"/>
      <c r="H21" s="258"/>
      <c r="I21" s="258"/>
      <c r="J21" s="955"/>
      <c r="K21" s="922"/>
      <c r="L21" s="922"/>
      <c r="M21" s="922"/>
      <c r="N21" s="922"/>
      <c r="O21" s="922"/>
      <c r="P21" s="258"/>
      <c r="Q21" s="542"/>
      <c r="R21" s="956"/>
      <c r="S21" s="258"/>
      <c r="T21" s="258"/>
      <c r="U21" s="956"/>
      <c r="V21" s="956"/>
      <c r="W21" s="956"/>
      <c r="X21" s="956"/>
      <c r="Y21" s="258"/>
      <c r="Z21" s="258"/>
      <c r="AA21" s="258"/>
      <c r="AB21" s="258"/>
      <c r="AC21" s="258"/>
      <c r="AD21" s="258"/>
      <c r="AE21" s="258"/>
      <c r="AF21" s="258"/>
      <c r="AG21" s="258"/>
      <c r="AH21" s="258"/>
      <c r="AI21" s="258"/>
      <c r="AJ21" s="258"/>
      <c r="AK21" s="258"/>
      <c r="AL21" s="258"/>
      <c r="AM21" s="258"/>
      <c r="AN21" s="258"/>
      <c r="AO21" s="258"/>
      <c r="AP21" s="962"/>
      <c r="AQ21" s="958"/>
      <c r="AR21" s="958"/>
      <c r="AS21" s="542"/>
      <c r="AT21" s="258"/>
      <c r="AU21" s="258"/>
      <c r="AV21" s="258"/>
      <c r="AW21" s="258"/>
      <c r="AX21" s="956"/>
      <c r="AY21" s="956"/>
      <c r="AZ21" s="258"/>
      <c r="BA21" s="956"/>
      <c r="BB21" s="812"/>
      <c r="BC21" s="958"/>
      <c r="BD21" s="542"/>
      <c r="BE21" s="258"/>
      <c r="BF21" s="956"/>
      <c r="BG21" s="258"/>
      <c r="BH21" s="258"/>
      <c r="BI21" s="258"/>
      <c r="BJ21" s="258"/>
      <c r="BK21" s="258"/>
      <c r="BL21" s="258"/>
      <c r="BM21" s="258"/>
      <c r="BN21" s="258"/>
      <c r="BO21" s="258"/>
      <c r="BP21" s="258"/>
      <c r="BQ21" s="258"/>
      <c r="BR21" s="962"/>
      <c r="BS21" s="958"/>
      <c r="BT21" s="258"/>
      <c r="BU21" s="542"/>
      <c r="BV21" s="258"/>
      <c r="BW21" s="258"/>
      <c r="BX21" s="258"/>
      <c r="BY21" s="963"/>
      <c r="BZ21" s="258"/>
      <c r="CA21" s="1267"/>
      <c r="CB21" s="1230"/>
      <c r="CC21" s="956"/>
      <c r="CD21" s="956"/>
      <c r="CE21" s="956"/>
      <c r="CF21" s="1230"/>
      <c r="CG21" s="258"/>
      <c r="CH21" s="258"/>
      <c r="CI21" s="258"/>
      <c r="CJ21" s="258"/>
      <c r="CK21" s="258"/>
      <c r="CL21" s="258"/>
      <c r="CM21" s="258"/>
      <c r="CN21" s="258"/>
      <c r="CO21" s="258"/>
      <c r="CP21" s="258"/>
      <c r="CQ21" s="258"/>
      <c r="CR21" s="258"/>
      <c r="CS21" s="258"/>
      <c r="CT21" s="927"/>
      <c r="CU21" s="258"/>
      <c r="CV21" s="542"/>
      <c r="CW21" s="258"/>
      <c r="CX21" s="258"/>
      <c r="CY21" s="258"/>
      <c r="CZ21" s="258"/>
      <c r="DA21" s="258"/>
      <c r="DB21" s="258"/>
      <c r="DC21" s="258"/>
      <c r="DD21" s="258"/>
      <c r="DE21" s="258"/>
      <c r="DF21" s="258"/>
      <c r="DG21" s="258"/>
      <c r="DH21" s="927"/>
      <c r="DI21" s="258"/>
      <c r="DJ21" s="542"/>
      <c r="DK21" s="258"/>
      <c r="DL21" s="956"/>
      <c r="DM21" s="956"/>
      <c r="DN21" s="258"/>
      <c r="DO21" s="258"/>
      <c r="DP21" s="258"/>
      <c r="DQ21" s="258"/>
      <c r="DR21" s="258"/>
      <c r="DS21" s="258"/>
      <c r="DT21" s="964"/>
      <c r="DU21" s="965"/>
      <c r="DV21" s="258"/>
      <c r="DW21" s="960"/>
      <c r="DX21" s="258"/>
      <c r="DY21" s="962"/>
      <c r="DZ21" s="258"/>
      <c r="EA21" s="542"/>
      <c r="EB21" s="258"/>
      <c r="EC21" s="258"/>
      <c r="ED21" s="258"/>
      <c r="EE21" s="258"/>
      <c r="EF21" s="258"/>
      <c r="EG21" s="258"/>
      <c r="EH21" s="258"/>
      <c r="EI21" s="258"/>
      <c r="EJ21" s="258"/>
      <c r="EK21" s="258"/>
      <c r="EL21" s="258"/>
      <c r="EM21" s="966"/>
      <c r="EN21" s="258"/>
      <c r="EO21" s="258"/>
      <c r="EP21" s="258"/>
      <c r="EQ21" s="258"/>
      <c r="ER21" s="258"/>
      <c r="ES21" s="258"/>
      <c r="ET21" s="258"/>
      <c r="EU21" s="966"/>
      <c r="EV21" s="258"/>
      <c r="EW21" s="967"/>
      <c r="EY21" s="542"/>
      <c r="EZ21" s="927"/>
    </row>
    <row r="22" spans="2:156">
      <c r="C22" s="39" t="s">
        <v>938</v>
      </c>
      <c r="E22" s="968">
        <f>SUM(B18:B20)</f>
        <v>3</v>
      </c>
      <c r="F22" s="969"/>
      <c r="G22" s="969"/>
      <c r="H22" s="969"/>
      <c r="I22" s="969"/>
      <c r="J22" s="969"/>
      <c r="K22" s="970"/>
      <c r="L22" s="970"/>
      <c r="M22" s="970"/>
      <c r="N22" s="970"/>
      <c r="O22" s="970"/>
      <c r="P22" s="971"/>
      <c r="Q22" s="1281">
        <f>SUM(Q18:Q21)</f>
        <v>3000</v>
      </c>
      <c r="R22" s="973">
        <f>SUM(R18:R21)</f>
        <v>1</v>
      </c>
      <c r="S22" s="1237">
        <f>SUM(S18:S20)</f>
        <v>3000</v>
      </c>
      <c r="T22" s="969">
        <f>SUM(T18:T20)</f>
        <v>0</v>
      </c>
      <c r="U22" s="974">
        <f>S22/Q22</f>
        <v>1</v>
      </c>
      <c r="V22" s="969"/>
      <c r="W22" s="973"/>
      <c r="X22" s="973">
        <f t="shared" ref="X22:AO22" si="57">SUM(X18:X21)</f>
        <v>0</v>
      </c>
      <c r="Y22" s="1238">
        <f t="shared" si="57"/>
        <v>300000</v>
      </c>
      <c r="Z22" s="1238">
        <f t="shared" si="57"/>
        <v>0</v>
      </c>
      <c r="AA22" s="1238">
        <f t="shared" si="57"/>
        <v>300000</v>
      </c>
      <c r="AB22" s="1238">
        <f t="shared" si="57"/>
        <v>0</v>
      </c>
      <c r="AC22" s="1238">
        <f t="shared" si="57"/>
        <v>300000</v>
      </c>
      <c r="AD22" s="1238">
        <f t="shared" si="57"/>
        <v>0</v>
      </c>
      <c r="AE22" s="1238">
        <f t="shared" si="57"/>
        <v>-9450</v>
      </c>
      <c r="AF22" s="1238">
        <f t="shared" si="57"/>
        <v>-4200</v>
      </c>
      <c r="AG22" s="1238">
        <f t="shared" si="57"/>
        <v>-12050</v>
      </c>
      <c r="AH22" s="1238">
        <f t="shared" si="57"/>
        <v>0</v>
      </c>
      <c r="AI22" s="1238">
        <f t="shared" si="57"/>
        <v>274300</v>
      </c>
      <c r="AJ22" s="1238">
        <f t="shared" si="57"/>
        <v>-5776.3881104754146</v>
      </c>
      <c r="AK22" s="1238">
        <f t="shared" si="57"/>
        <v>-50248.146578660191</v>
      </c>
      <c r="AL22" s="1238">
        <f t="shared" si="57"/>
        <v>0</v>
      </c>
      <c r="AM22" s="1238">
        <f t="shared" si="57"/>
        <v>218275.46531086438</v>
      </c>
      <c r="AN22" s="1238">
        <f t="shared" si="57"/>
        <v>300000</v>
      </c>
      <c r="AO22" s="1238">
        <f t="shared" si="57"/>
        <v>300000</v>
      </c>
      <c r="AP22" s="975">
        <f>SUMPRODUCT(AP18:AP20,AA18:AA20)/AA22</f>
        <v>17.846575342465758</v>
      </c>
      <c r="AQ22" s="976"/>
      <c r="AR22" s="977"/>
      <c r="AS22" s="1266">
        <f>SUM(AS18:AS21)</f>
        <v>3410029.5279448652</v>
      </c>
      <c r="AT22" s="1266">
        <f>SUM(AT18:AT21)</f>
        <v>5000000</v>
      </c>
      <c r="AU22" s="1266"/>
      <c r="AV22" s="1266"/>
      <c r="AW22" s="1266"/>
      <c r="AX22" s="978">
        <f>IFERROR(AC22/AT22,0)</f>
        <v>0.06</v>
      </c>
      <c r="AY22" s="978">
        <f>IFERROR(AI22/AT22,0)</f>
        <v>5.4859999999999999E-2</v>
      </c>
      <c r="AZ22" s="1266">
        <f>SUM(AZ18:AZ21)</f>
        <v>5654050</v>
      </c>
      <c r="BA22" s="978">
        <f>IFERROR(AC22/AZ22,0)</f>
        <v>5.3059311467001533E-2</v>
      </c>
      <c r="BB22" s="978">
        <f>IFERROR(AI22/AZ22,0)</f>
        <v>4.8513897117995065E-2</v>
      </c>
      <c r="BC22" s="979"/>
      <c r="BD22" s="972"/>
      <c r="BE22" s="969"/>
      <c r="BF22" s="973"/>
      <c r="BG22" s="1238">
        <f t="shared" ref="BG22:BQ22" si="58">SUM(BG18:BG21)</f>
        <v>25046.743737887322</v>
      </c>
      <c r="BH22" s="1238">
        <f t="shared" si="58"/>
        <v>0</v>
      </c>
      <c r="BI22" s="1238">
        <f t="shared" si="58"/>
        <v>25046.743737887322</v>
      </c>
      <c r="BJ22" s="1238">
        <f t="shared" si="58"/>
        <v>0</v>
      </c>
      <c r="BK22" s="1238">
        <f t="shared" si="58"/>
        <v>25046.743737887322</v>
      </c>
      <c r="BL22" s="1238">
        <f t="shared" si="58"/>
        <v>0</v>
      </c>
      <c r="BM22" s="1238">
        <f t="shared" si="58"/>
        <v>-300.56092485464785</v>
      </c>
      <c r="BN22" s="1238">
        <f t="shared" si="58"/>
        <v>-300.56092485464785</v>
      </c>
      <c r="BO22" s="1238">
        <f t="shared" si="58"/>
        <v>-1306.451811045165</v>
      </c>
      <c r="BP22" s="1238">
        <f t="shared" si="58"/>
        <v>0</v>
      </c>
      <c r="BQ22" s="1238">
        <f t="shared" si="58"/>
        <v>23139.170077132865</v>
      </c>
      <c r="BR22" s="975"/>
      <c r="BS22" s="980"/>
      <c r="BT22" s="981"/>
      <c r="BU22" s="972"/>
      <c r="BV22" s="1237">
        <f>SUM(BV18:BV21)</f>
        <v>3000</v>
      </c>
      <c r="BW22" s="1237">
        <f>SUM(BW18:BW21)</f>
        <v>300000</v>
      </c>
      <c r="BX22" s="1237">
        <f>SUM(BX18:BX21)</f>
        <v>0</v>
      </c>
      <c r="BY22" s="982">
        <f>SUMPRODUCT($BY$18:$BY$20,$BW$18:$BW$20)/BW22</f>
        <v>17.846575342465758</v>
      </c>
      <c r="BZ22" s="981"/>
      <c r="CA22" s="1266">
        <f>SUM(CA18:CA21)</f>
        <v>3000</v>
      </c>
      <c r="CB22" s="1266">
        <f>SUM(CB18:CB21)</f>
        <v>3000</v>
      </c>
      <c r="CC22" s="973">
        <f>CB22/CA22</f>
        <v>1</v>
      </c>
      <c r="CD22" s="973"/>
      <c r="CE22" s="1266">
        <f t="shared" ref="CE22:CS22" si="59">SUM(CE18:CE21)</f>
        <v>306800.75156249973</v>
      </c>
      <c r="CF22" s="1266">
        <f t="shared" si="59"/>
        <v>0</v>
      </c>
      <c r="CG22" s="1266">
        <f t="shared" si="59"/>
        <v>306800.75156249973</v>
      </c>
      <c r="CH22" s="1266">
        <f t="shared" si="59"/>
        <v>0</v>
      </c>
      <c r="CI22" s="1266">
        <f t="shared" si="59"/>
        <v>306800.75156249973</v>
      </c>
      <c r="CJ22" s="1266">
        <f t="shared" si="59"/>
        <v>-9664.2236742187415</v>
      </c>
      <c r="CK22" s="1266">
        <f t="shared" si="59"/>
        <v>-4295.2105218749966</v>
      </c>
      <c r="CL22" s="1266">
        <f t="shared" si="59"/>
        <v>-12787.556400000014</v>
      </c>
      <c r="CM22" s="1266">
        <f t="shared" si="59"/>
        <v>0</v>
      </c>
      <c r="CN22" s="1266">
        <f t="shared" si="59"/>
        <v>280053.76096640597</v>
      </c>
      <c r="CO22" s="1266">
        <f t="shared" si="59"/>
        <v>306800.75156249973</v>
      </c>
      <c r="CP22" s="1266">
        <f t="shared" si="59"/>
        <v>-16962.149999999998</v>
      </c>
      <c r="CQ22" s="1266">
        <f t="shared" si="59"/>
        <v>-53060.400000000038</v>
      </c>
      <c r="CR22" s="1266">
        <f t="shared" si="59"/>
        <v>0</v>
      </c>
      <c r="CS22" s="1266">
        <f t="shared" si="59"/>
        <v>210031.21096640592</v>
      </c>
      <c r="CT22" s="975">
        <f>SUMPRODUCT(CT18:CT20,CE18:CE20)/CE22</f>
        <v>14.846575342465755</v>
      </c>
      <c r="CU22" s="981"/>
      <c r="CV22" s="1266">
        <f>SUM(CV18:CV21)</f>
        <v>0</v>
      </c>
      <c r="CW22" s="1238">
        <f>SUM(CW18:CW21)</f>
        <v>0</v>
      </c>
      <c r="CX22" s="1238">
        <f>SUM(CX18:CX21)</f>
        <v>0</v>
      </c>
      <c r="CY22" s="1238">
        <f>SUM(CY18:CY21)</f>
        <v>0</v>
      </c>
      <c r="CZ22" s="1238">
        <f>SUM(CZ18:CZ20)</f>
        <v>0</v>
      </c>
      <c r="DA22" s="1238">
        <f t="shared" ref="DA22:DH22" si="60">SUM(DA18:DA21)</f>
        <v>0</v>
      </c>
      <c r="DB22" s="1238">
        <f t="shared" si="60"/>
        <v>0</v>
      </c>
      <c r="DC22" s="1238">
        <f t="shared" si="60"/>
        <v>0</v>
      </c>
      <c r="DD22" s="1238">
        <f t="shared" si="60"/>
        <v>0</v>
      </c>
      <c r="DE22" s="1238">
        <f t="shared" si="60"/>
        <v>0</v>
      </c>
      <c r="DF22" s="1238">
        <f t="shared" si="60"/>
        <v>0</v>
      </c>
      <c r="DG22" s="1238">
        <f t="shared" si="60"/>
        <v>0</v>
      </c>
      <c r="DH22" s="1282">
        <f t="shared" si="60"/>
        <v>0</v>
      </c>
      <c r="DI22" s="981"/>
      <c r="DJ22" s="1266">
        <f>SUM(DJ18:DJ21)</f>
        <v>3681609.018749997</v>
      </c>
      <c r="DK22" s="1266">
        <f>SUM(DK18:DK21)</f>
        <v>3681609.018749997</v>
      </c>
      <c r="DL22" s="973">
        <f>IFERROR(CI22/DJ22,0)</f>
        <v>8.3333333333333329E-2</v>
      </c>
      <c r="DM22" s="973">
        <f>IFERROR(CN22/DJ22,0)</f>
        <v>7.606830587933848E-2</v>
      </c>
      <c r="DN22" s="1238">
        <f>SUM(DN18:DN21)</f>
        <v>0</v>
      </c>
      <c r="DO22" s="1238"/>
      <c r="DP22" s="1238">
        <f>SUM(DP18:DP21)</f>
        <v>0</v>
      </c>
      <c r="DQ22" s="1238">
        <f>SUM(DQ18:DQ21)</f>
        <v>-4786.0917243749955</v>
      </c>
      <c r="DR22" s="1238"/>
      <c r="DS22" s="1238">
        <f>SUM(DS18:DS21)</f>
        <v>3676822.9270256218</v>
      </c>
      <c r="DT22" s="969"/>
      <c r="DU22" s="983">
        <f>SUMPRODUCT(DU18:DU20,DJ18:DJ20)/DJ22</f>
        <v>12</v>
      </c>
      <c r="DV22" s="984"/>
      <c r="DW22" s="985">
        <f>SUMPRODUCT(DW18:DW20,DJ18:DJ20)/DJ22</f>
        <v>3</v>
      </c>
      <c r="DX22" s="986"/>
      <c r="DY22" s="982"/>
      <c r="DZ22" s="258"/>
      <c r="EA22" s="1266">
        <f t="shared" ref="EA22:EM22" si="61">SUM(EA18:EA21)</f>
        <v>835826.31243324804</v>
      </c>
      <c r="EB22" s="1238">
        <f t="shared" si="61"/>
        <v>0</v>
      </c>
      <c r="EC22" s="1238">
        <f t="shared" si="61"/>
        <v>-25564.088015135094</v>
      </c>
      <c r="ED22" s="1238">
        <f t="shared" si="61"/>
        <v>763662.56830514618</v>
      </c>
      <c r="EE22" s="1238">
        <f t="shared" si="61"/>
        <v>0</v>
      </c>
      <c r="EF22" s="1238">
        <f t="shared" si="61"/>
        <v>0</v>
      </c>
      <c r="EG22" s="1238">
        <f t="shared" si="61"/>
        <v>-46703.146354324628</v>
      </c>
      <c r="EH22" s="1238">
        <f t="shared" si="61"/>
        <v>0</v>
      </c>
      <c r="EI22" s="1238">
        <f t="shared" si="61"/>
        <v>0</v>
      </c>
      <c r="EJ22" s="1238">
        <f t="shared" si="61"/>
        <v>0</v>
      </c>
      <c r="EK22" s="1238">
        <f t="shared" si="61"/>
        <v>0</v>
      </c>
      <c r="EL22" s="1238">
        <f t="shared" si="61"/>
        <v>0</v>
      </c>
      <c r="EM22" s="1283">
        <f t="shared" si="61"/>
        <v>716959.42195082153</v>
      </c>
      <c r="EN22" s="981"/>
      <c r="EO22" s="1238">
        <f t="shared" ref="EO22:EU22" si="62">SUM(EO18:EO21)</f>
        <v>3681609.018749997</v>
      </c>
      <c r="EP22" s="1238">
        <f t="shared" si="62"/>
        <v>0</v>
      </c>
      <c r="EQ22" s="1238">
        <f t="shared" si="62"/>
        <v>0</v>
      </c>
      <c r="ER22" s="1238">
        <f t="shared" si="62"/>
        <v>3681609.018749997</v>
      </c>
      <c r="ES22" s="1238">
        <f t="shared" si="62"/>
        <v>-4786.0917243749955</v>
      </c>
      <c r="ET22" s="1238">
        <f t="shared" si="62"/>
        <v>0</v>
      </c>
      <c r="EU22" s="1284">
        <f t="shared" si="62"/>
        <v>3676822.9270256218</v>
      </c>
      <c r="EV22" s="1285"/>
      <c r="EW22" s="1286">
        <f>SUM(EW18:EW21)</f>
        <v>4393782.3489764426</v>
      </c>
      <c r="EY22" s="1266">
        <f>SUM(EY18:EY21)</f>
        <v>-154928.01534845837</v>
      </c>
      <c r="EZ22" s="1266">
        <f>SUM(EZ18:EZ21)</f>
        <v>-46703.146354324628</v>
      </c>
    </row>
    <row r="23" spans="2:156">
      <c r="E23" s="1436" t="str">
        <f>"** As at "&amp;TEXT(GA!$G$56,"DD-MMM-YY")</f>
        <v>** As at DD-Mrz-YY</v>
      </c>
    </row>
  </sheetData>
  <conditionalFormatting sqref="B18:B20">
    <cfRule type="cellIs" dxfId="135" priority="1" operator="equal">
      <formula>0</formula>
    </cfRule>
    <cfRule type="cellIs" dxfId="134" priority="2" operator="equal">
      <formula>1</formula>
    </cfRule>
  </conditionalFormatting>
  <pageMargins left="0.7" right="0.7" top="0.75" bottom="0.75" header="0.3" footer="0.3"/>
  <pageSetup paperSize="9" orientation="portrait" r:id="rId1"/>
  <ignoredErrors>
    <ignoredError sqref="AB1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rgb="FFCCECFF"/>
  </sheetPr>
  <dimension ref="A1:BG797"/>
  <sheetViews>
    <sheetView tabSelected="1" topLeftCell="A716" workbookViewId="0">
      <selection activeCell="B722" sqref="B722"/>
    </sheetView>
  </sheetViews>
  <sheetFormatPr baseColWidth="10" defaultColWidth="8.7109375" defaultRowHeight="15" outlineLevelRow="1"/>
  <cols>
    <col min="1" max="1" width="2" customWidth="1"/>
    <col min="3" max="3" width="6.7109375" style="49" customWidth="1"/>
    <col min="4" max="4" width="4.42578125" customWidth="1"/>
    <col min="5" max="5" width="45.42578125" bestFit="1" customWidth="1"/>
    <col min="7" max="7" width="16.42578125" customWidth="1"/>
    <col min="8" max="10" width="15.5703125" customWidth="1"/>
    <col min="11" max="11" width="16.42578125" bestFit="1" customWidth="1"/>
    <col min="12" max="12" width="17.7109375" bestFit="1" customWidth="1"/>
    <col min="13" max="14" width="15.7109375" bestFit="1" customWidth="1"/>
    <col min="15" max="15" width="14.7109375" bestFit="1" customWidth="1"/>
    <col min="16" max="17" width="13.42578125" bestFit="1" customWidth="1"/>
    <col min="18" max="18" width="13.5703125" bestFit="1" customWidth="1"/>
    <col min="19" max="21" width="14.7109375" bestFit="1" customWidth="1"/>
    <col min="22" max="22" width="32.42578125" bestFit="1" customWidth="1"/>
    <col min="23" max="24" width="15.7109375" bestFit="1" customWidth="1"/>
    <col min="25" max="25" width="14.7109375" bestFit="1" customWidth="1"/>
    <col min="26" max="26" width="14.28515625" bestFit="1" customWidth="1"/>
    <col min="27" max="27" width="12.7109375" bestFit="1" customWidth="1"/>
    <col min="28" max="28" width="13.42578125" bestFit="1" customWidth="1"/>
    <col min="29" max="32" width="14.7109375" bestFit="1" customWidth="1"/>
    <col min="33" max="34" width="15.7109375" bestFit="1" customWidth="1"/>
    <col min="35" max="35" width="14.7109375" bestFit="1" customWidth="1"/>
    <col min="36" max="37" width="13.28515625" bestFit="1" customWidth="1"/>
    <col min="38" max="38" width="14.28515625" bestFit="1" customWidth="1"/>
    <col min="39" max="39" width="12.7109375" bestFit="1" customWidth="1"/>
    <col min="40" max="40" width="13.42578125" bestFit="1" customWidth="1"/>
    <col min="41" max="41" width="12.7109375" bestFit="1" customWidth="1"/>
    <col min="42" max="42" width="13.7109375" bestFit="1" customWidth="1"/>
    <col min="43" max="43" width="12.5703125" bestFit="1" customWidth="1"/>
    <col min="44" max="45" width="13.28515625" bestFit="1" customWidth="1"/>
    <col min="46" max="46" width="14.28515625" bestFit="1" customWidth="1"/>
    <col min="47" max="47" width="12.7109375" bestFit="1" customWidth="1"/>
    <col min="48" max="48" width="13.42578125" bestFit="1" customWidth="1"/>
    <col min="49" max="49" width="13.28515625" bestFit="1" customWidth="1"/>
    <col min="50" max="50" width="14.28515625" bestFit="1" customWidth="1"/>
    <col min="51" max="51" width="12.7109375" bestFit="1" customWidth="1"/>
    <col min="52" max="52" width="13.42578125" bestFit="1" customWidth="1"/>
  </cols>
  <sheetData>
    <row r="1" spans="1:16" s="35" customFormat="1">
      <c r="A1" s="1" t="str">
        <f ca="1">UPPER(MID(CELL("filename",A1),FIND("[",CELL("filename",A1))+1,FIND("]",CELL("filename",A1))-FIND("[",CELL("filename",A1))-5))</f>
        <v>VORLAGE.</v>
      </c>
      <c r="C1" s="58"/>
    </row>
    <row r="2" spans="1:16" s="35" customFormat="1">
      <c r="A2" s="1" t="s">
        <v>55</v>
      </c>
      <c r="C2" s="58"/>
    </row>
    <row r="3" spans="1:16" s="35" customFormat="1" ht="16.5">
      <c r="C3" s="58"/>
      <c r="H3" s="43" t="s">
        <v>59</v>
      </c>
      <c r="I3" s="43"/>
      <c r="J3" s="43"/>
    </row>
    <row r="4" spans="1:16" s="35" customFormat="1">
      <c r="C4" s="58"/>
      <c r="H4" s="44" t="str">
        <f>E39</f>
        <v>Base Case</v>
      </c>
      <c r="I4" s="44" t="str">
        <f>E40</f>
        <v>Upside Case</v>
      </c>
      <c r="J4" s="44" t="str">
        <f>E41</f>
        <v>Downside Case</v>
      </c>
    </row>
    <row r="6" spans="1:16" s="36" customFormat="1">
      <c r="B6" s="38">
        <f>MAX($B$1:B5)+1</f>
        <v>1</v>
      </c>
      <c r="C6" s="59"/>
      <c r="D6" s="37" t="s">
        <v>62</v>
      </c>
    </row>
    <row r="8" spans="1:16">
      <c r="C8" s="60">
        <f>MAX($B$1:C7)+0.1</f>
        <v>1.1000000000000001</v>
      </c>
      <c r="D8" s="39" t="s">
        <v>56</v>
      </c>
      <c r="L8" s="39" t="s">
        <v>1474</v>
      </c>
      <c r="N8" s="255" t="s">
        <v>1475</v>
      </c>
    </row>
    <row r="9" spans="1:16">
      <c r="L9" t="s">
        <v>4</v>
      </c>
      <c r="M9" t="s">
        <v>6</v>
      </c>
      <c r="N9" t="s">
        <v>1011</v>
      </c>
      <c r="O9" t="s">
        <v>56</v>
      </c>
      <c r="P9" t="s">
        <v>745</v>
      </c>
    </row>
    <row r="10" spans="1:16">
      <c r="E10" t="s">
        <v>57</v>
      </c>
      <c r="G10" s="41">
        <v>5000000</v>
      </c>
      <c r="L10" s="41"/>
      <c r="M10" s="261">
        <f>IFERROR(INDEX(AA!$AC$13:$AC$15,MATCH($L10,AA!$C$13:$C$15,0)),0)</f>
        <v>0</v>
      </c>
      <c r="N10" s="261">
        <f>IFERROR(INDEX(AA!$AE$13:$AE$15,MATCH($L10,AA!$C$13:$C$15,0)),0)</f>
        <v>0</v>
      </c>
      <c r="O10" s="41"/>
      <c r="P10" s="1501">
        <f>IFERROR(O10/SUMIFS(RR!$Q$23:$Q$25,RR!$C$23:$C$25,$L10),0)</f>
        <v>0</v>
      </c>
    </row>
    <row r="11" spans="1:16">
      <c r="E11" t="s">
        <v>58</v>
      </c>
      <c r="G11" s="41">
        <v>1000</v>
      </c>
      <c r="H11" s="42">
        <f>G11/G10</f>
        <v>2.0000000000000001E-4</v>
      </c>
      <c r="I11" s="255" t="s">
        <v>702</v>
      </c>
      <c r="L11" s="41"/>
      <c r="M11" s="261">
        <f>IFERROR(INDEX(AA!$AC$13:$AC$15,MATCH($L11,AA!$C$13:$C$15,0)),0)</f>
        <v>0</v>
      </c>
      <c r="N11" s="261">
        <f>IFERROR(INDEX(AA!$AE$13:$AE$15,MATCH($L11,AA!$C$13:$C$15,0)),0)</f>
        <v>0</v>
      </c>
      <c r="O11" s="41"/>
      <c r="P11" s="1501">
        <f>IFERROR(O11/SUMIFS(RR!$Q$23:$Q$25,RR!$C$23:$C$25,$L11),0)</f>
        <v>0</v>
      </c>
    </row>
    <row r="12" spans="1:16">
      <c r="L12" s="41"/>
      <c r="M12" s="261">
        <f>IFERROR(INDEX(AA!$AC$13:$AC$15,MATCH($L12,AA!$C$13:$C$15,0)),0)</f>
        <v>0</v>
      </c>
      <c r="N12" s="261">
        <f>IFERROR(INDEX(AA!$AE$13:$AE$15,MATCH($L12,AA!$C$13:$C$15,0)),0)</f>
        <v>0</v>
      </c>
      <c r="O12" s="41"/>
      <c r="P12" s="1501">
        <f>IFERROR(O12/SUMIFS(RR!$Q$23:$Q$25,RR!$C$23:$C$25,$L12),0)</f>
        <v>0</v>
      </c>
    </row>
    <row r="13" spans="1:16">
      <c r="C13" s="60">
        <f>MAX($B$1:C12)+0.1</f>
        <v>1.2000000000000002</v>
      </c>
      <c r="D13" s="39" t="s">
        <v>60</v>
      </c>
      <c r="L13" s="41"/>
      <c r="M13" s="261">
        <f>IFERROR(INDEX(AA!$AC$13:$AC$15,MATCH($L13,AA!$C$13:$C$15,0)),0)</f>
        <v>0</v>
      </c>
      <c r="N13" s="261">
        <f>IFERROR(INDEX(AA!$AE$13:$AE$15,MATCH($L13,AA!$C$13:$C$15,0)),0)</f>
        <v>0</v>
      </c>
      <c r="O13" s="41"/>
      <c r="P13" s="1501">
        <f>IFERROR(O13/SUMIFS(RR!$Q$23:$Q$25,RR!$C$23:$C$25,$L13),0)</f>
        <v>0</v>
      </c>
    </row>
    <row r="14" spans="1:16">
      <c r="G14" t="s">
        <v>1156</v>
      </c>
      <c r="H14" t="s">
        <v>1299</v>
      </c>
      <c r="J14" t="s">
        <v>1297</v>
      </c>
      <c r="O14" s="259">
        <f>SUM(O10:O13,PP)</f>
        <v>5000000</v>
      </c>
      <c r="P14" s="1501">
        <f>IFERROR(O14/SUM(RR!$Q$23:$Q$25),0)</f>
        <v>16.666666666666668</v>
      </c>
    </row>
    <row r="15" spans="1:16">
      <c r="E15" t="s">
        <v>1294</v>
      </c>
      <c r="G15" s="46"/>
      <c r="H15" s="46">
        <v>4.0000000000000001E-3</v>
      </c>
      <c r="J15" s="46" t="s">
        <v>1298</v>
      </c>
    </row>
    <row r="16" spans="1:16">
      <c r="E16" t="s">
        <v>1236</v>
      </c>
      <c r="G16" s="46"/>
      <c r="H16" s="46"/>
      <c r="J16" s="46"/>
    </row>
    <row r="17" spans="2:10">
      <c r="E17" t="s">
        <v>1295</v>
      </c>
      <c r="G17" s="41"/>
      <c r="H17" s="41">
        <v>150000</v>
      </c>
      <c r="J17" s="41"/>
    </row>
    <row r="18" spans="2:10">
      <c r="E18" t="s">
        <v>1302</v>
      </c>
      <c r="G18" s="41"/>
      <c r="H18" s="41">
        <v>30000</v>
      </c>
      <c r="J18" s="41"/>
    </row>
    <row r="19" spans="2:10">
      <c r="E19" t="s">
        <v>1238</v>
      </c>
      <c r="G19" s="41"/>
      <c r="H19" s="41">
        <f>SUM('Side Calk'!F3:F8)</f>
        <v>15000</v>
      </c>
      <c r="J19" s="41"/>
    </row>
    <row r="20" spans="2:10">
      <c r="E20" t="s">
        <v>1296</v>
      </c>
      <c r="G20" s="41"/>
      <c r="H20" s="41">
        <v>30000</v>
      </c>
      <c r="J20" s="41"/>
    </row>
    <row r="21" spans="2:10">
      <c r="E21" t="s">
        <v>1240</v>
      </c>
      <c r="G21" s="41"/>
      <c r="H21" s="41">
        <f>3500*SUM(AA!E13:E15)</f>
        <v>10500</v>
      </c>
      <c r="J21" s="41"/>
    </row>
    <row r="22" spans="2:10">
      <c r="E22" t="s">
        <v>1241</v>
      </c>
      <c r="G22" s="41"/>
      <c r="H22" s="41">
        <f>SUM(H17:H21)*0.1</f>
        <v>23550</v>
      </c>
    </row>
    <row r="23" spans="2:10">
      <c r="E23" t="s">
        <v>1243</v>
      </c>
      <c r="G23" s="41">
        <v>125000</v>
      </c>
      <c r="H23" s="41"/>
    </row>
    <row r="24" spans="2:10">
      <c r="E24" t="s">
        <v>61</v>
      </c>
      <c r="G24" s="45">
        <f>(SUM(G15:G16)*PP+SUM(G17:G23))/PP</f>
        <v>2.5000000000000001E-2</v>
      </c>
      <c r="H24" s="45">
        <f>(SUM(H15:H16)*PP+SUM(H17:H23))/PP</f>
        <v>5.5809999999999998E-2</v>
      </c>
    </row>
    <row r="26" spans="2:10" s="36" customFormat="1">
      <c r="B26" s="38">
        <f>MAX($B$1:B25)+1</f>
        <v>2</v>
      </c>
      <c r="C26" s="59"/>
      <c r="D26" s="37" t="s">
        <v>68</v>
      </c>
    </row>
    <row r="28" spans="2:10">
      <c r="C28" s="60">
        <f>MAX($B$1:C27)+0.1</f>
        <v>2.1</v>
      </c>
      <c r="D28" s="39" t="s">
        <v>69</v>
      </c>
    </row>
    <row r="30" spans="2:10">
      <c r="E30" s="48" t="s">
        <v>70</v>
      </c>
      <c r="F30" s="50">
        <v>1</v>
      </c>
    </row>
    <row r="31" spans="2:10">
      <c r="E31" s="51" t="s">
        <v>1498</v>
      </c>
      <c r="F31" s="52">
        <v>1</v>
      </c>
    </row>
    <row r="32" spans="2:10">
      <c r="E32" s="53" t="s">
        <v>1499</v>
      </c>
      <c r="F32" s="54">
        <v>2</v>
      </c>
    </row>
    <row r="34" spans="5:7">
      <c r="E34" s="48" t="s">
        <v>71</v>
      </c>
      <c r="F34" s="50">
        <v>1</v>
      </c>
      <c r="G34" s="255" t="s">
        <v>715</v>
      </c>
    </row>
    <row r="35" spans="5:7">
      <c r="E35" s="51" t="s">
        <v>72</v>
      </c>
      <c r="F35" s="52">
        <v>1</v>
      </c>
    </row>
    <row r="36" spans="5:7">
      <c r="E36" s="53" t="s">
        <v>73</v>
      </c>
      <c r="F36" s="54">
        <v>2</v>
      </c>
    </row>
    <row r="38" spans="5:7">
      <c r="E38" s="48" t="s">
        <v>59</v>
      </c>
      <c r="F38" s="50">
        <v>1</v>
      </c>
    </row>
    <row r="39" spans="5:7">
      <c r="E39" s="51" t="s">
        <v>72</v>
      </c>
      <c r="F39" s="52">
        <v>1</v>
      </c>
    </row>
    <row r="40" spans="5:7">
      <c r="E40" s="51" t="s">
        <v>73</v>
      </c>
      <c r="F40" s="52">
        <v>2</v>
      </c>
    </row>
    <row r="41" spans="5:7">
      <c r="E41" s="53" t="s">
        <v>74</v>
      </c>
      <c r="F41" s="54">
        <v>3</v>
      </c>
    </row>
    <row r="43" spans="5:7">
      <c r="E43" s="48" t="s">
        <v>75</v>
      </c>
      <c r="F43" s="50">
        <v>1</v>
      </c>
    </row>
    <row r="44" spans="5:7">
      <c r="E44" s="51" t="s">
        <v>72</v>
      </c>
      <c r="F44" s="52">
        <v>1</v>
      </c>
    </row>
    <row r="45" spans="5:7">
      <c r="E45" s="51" t="s">
        <v>73</v>
      </c>
      <c r="F45" s="52">
        <v>2</v>
      </c>
    </row>
    <row r="46" spans="5:7">
      <c r="E46" s="53" t="s">
        <v>74</v>
      </c>
      <c r="F46" s="54">
        <v>3</v>
      </c>
    </row>
    <row r="49" spans="2:8" s="36" customFormat="1">
      <c r="B49" s="38">
        <f>MAX($B$1:B48)+1</f>
        <v>3</v>
      </c>
      <c r="C49" s="59"/>
      <c r="D49" s="37" t="s">
        <v>63</v>
      </c>
    </row>
    <row r="51" spans="2:8">
      <c r="C51" s="60">
        <f>MAX($B$1:C50)+0.1</f>
        <v>3.1</v>
      </c>
      <c r="D51" s="39" t="s">
        <v>64</v>
      </c>
    </row>
    <row r="53" spans="2:8">
      <c r="E53" t="s">
        <v>65</v>
      </c>
      <c r="G53" s="47">
        <v>44256</v>
      </c>
      <c r="H53" s="255" t="s">
        <v>1402</v>
      </c>
    </row>
    <row r="54" spans="2:8">
      <c r="E54" t="s">
        <v>66</v>
      </c>
      <c r="G54" s="47">
        <v>44197</v>
      </c>
    </row>
    <row r="56" spans="2:8">
      <c r="E56" t="s">
        <v>67</v>
      </c>
      <c r="G56" s="47">
        <v>44256</v>
      </c>
    </row>
    <row r="59" spans="2:8">
      <c r="C59" s="60">
        <f>MAX($B$1:C58)+0.1</f>
        <v>3.2</v>
      </c>
      <c r="D59" s="39" t="s">
        <v>76</v>
      </c>
    </row>
    <row r="61" spans="2:8">
      <c r="E61" s="55" t="s">
        <v>1269</v>
      </c>
    </row>
    <row r="62" spans="2:8">
      <c r="E62" s="56" t="s">
        <v>77</v>
      </c>
    </row>
    <row r="63" spans="2:8">
      <c r="E63" s="56" t="s">
        <v>1469</v>
      </c>
    </row>
    <row r="64" spans="2:8">
      <c r="E64" s="56" t="s">
        <v>79</v>
      </c>
    </row>
    <row r="65" spans="3:6">
      <c r="E65" s="56" t="s">
        <v>1470</v>
      </c>
    </row>
    <row r="66" spans="3:6">
      <c r="E66" s="56" t="s">
        <v>78</v>
      </c>
      <c r="F66" s="314" t="s">
        <v>1616</v>
      </c>
    </row>
    <row r="67" spans="3:6">
      <c r="E67" s="56" t="s">
        <v>1615</v>
      </c>
      <c r="F67" s="314" t="s">
        <v>1617</v>
      </c>
    </row>
    <row r="68" spans="3:6">
      <c r="E68" s="56" t="s">
        <v>80</v>
      </c>
    </row>
    <row r="69" spans="3:6">
      <c r="E69" s="56" t="s">
        <v>81</v>
      </c>
    </row>
    <row r="70" spans="3:6">
      <c r="E70" s="56" t="s">
        <v>16</v>
      </c>
    </row>
    <row r="71" spans="3:6">
      <c r="E71" s="56" t="s">
        <v>1620</v>
      </c>
    </row>
    <row r="72" spans="3:6">
      <c r="E72" s="57" t="s">
        <v>47</v>
      </c>
    </row>
    <row r="74" spans="3:6">
      <c r="C74" s="60">
        <f>MAX($B$1:C73)+0.1</f>
        <v>3.3000000000000003</v>
      </c>
      <c r="D74" s="39" t="s">
        <v>1504</v>
      </c>
    </row>
    <row r="76" spans="3:6">
      <c r="E76" s="55" t="s">
        <v>1180</v>
      </c>
    </row>
    <row r="77" spans="3:6">
      <c r="E77" s="56" t="s">
        <v>1181</v>
      </c>
    </row>
    <row r="78" spans="3:6">
      <c r="E78" s="56" t="s">
        <v>82</v>
      </c>
    </row>
    <row r="79" spans="3:6">
      <c r="E79" s="56" t="s">
        <v>1471</v>
      </c>
    </row>
    <row r="80" spans="3:6">
      <c r="E80" s="56" t="s">
        <v>1472</v>
      </c>
    </row>
    <row r="81" spans="3:59">
      <c r="E81" s="56" t="s">
        <v>83</v>
      </c>
    </row>
    <row r="82" spans="3:59">
      <c r="E82" s="56" t="s">
        <v>16</v>
      </c>
    </row>
    <row r="83" spans="3:59">
      <c r="E83" s="56" t="s">
        <v>81</v>
      </c>
    </row>
    <row r="84" spans="3:59">
      <c r="E84" s="56" t="s">
        <v>80</v>
      </c>
    </row>
    <row r="85" spans="3:59">
      <c r="E85" s="57" t="s">
        <v>47</v>
      </c>
    </row>
    <row r="87" spans="3:59">
      <c r="C87" s="60">
        <f>MAX($B$1:C86)+0.1</f>
        <v>3.4000000000000004</v>
      </c>
      <c r="D87" s="39" t="s">
        <v>84</v>
      </c>
    </row>
    <row r="89" spans="3:59">
      <c r="E89" s="55" t="s">
        <v>85</v>
      </c>
    </row>
    <row r="90" spans="3:59">
      <c r="E90" s="56" t="s">
        <v>86</v>
      </c>
    </row>
    <row r="91" spans="3:59">
      <c r="E91" s="57" t="s">
        <v>87</v>
      </c>
    </row>
    <row r="93" spans="3:59">
      <c r="C93" s="60">
        <f>MAX($B$1:C92)+0.1</f>
        <v>3.5000000000000004</v>
      </c>
      <c r="D93" s="39" t="s">
        <v>94</v>
      </c>
    </row>
    <row r="94" spans="3:59">
      <c r="K94" s="39" t="s">
        <v>66</v>
      </c>
      <c r="L94" s="39" t="s">
        <v>65</v>
      </c>
    </row>
    <row r="95" spans="3:59">
      <c r="E95" t="s">
        <v>89</v>
      </c>
      <c r="K95" s="63">
        <f>G54</f>
        <v>44197</v>
      </c>
      <c r="L95" s="63">
        <f>G53-1</f>
        <v>44255</v>
      </c>
      <c r="M95" s="63">
        <f>G53</f>
        <v>44256</v>
      </c>
      <c r="N95" s="63">
        <f>M96+1</f>
        <v>44348</v>
      </c>
      <c r="O95" s="63">
        <f t="shared" ref="O95:AZ95" si="0">N96+1</f>
        <v>44440</v>
      </c>
      <c r="P95" s="63">
        <f t="shared" si="0"/>
        <v>44531</v>
      </c>
      <c r="Q95" s="63">
        <f t="shared" si="0"/>
        <v>44621</v>
      </c>
      <c r="R95" s="63">
        <f t="shared" si="0"/>
        <v>44713</v>
      </c>
      <c r="S95" s="63">
        <f t="shared" si="0"/>
        <v>44805</v>
      </c>
      <c r="T95" s="63">
        <f t="shared" si="0"/>
        <v>44896</v>
      </c>
      <c r="U95" s="63">
        <f t="shared" si="0"/>
        <v>44986</v>
      </c>
      <c r="V95" s="63">
        <f t="shared" si="0"/>
        <v>45078</v>
      </c>
      <c r="W95" s="63">
        <f t="shared" si="0"/>
        <v>45170</v>
      </c>
      <c r="X95" s="63">
        <f t="shared" si="0"/>
        <v>45261</v>
      </c>
      <c r="Y95" s="63">
        <f t="shared" si="0"/>
        <v>45352</v>
      </c>
      <c r="Z95" s="63">
        <f t="shared" si="0"/>
        <v>45444</v>
      </c>
      <c r="AA95" s="63">
        <f t="shared" si="0"/>
        <v>45536</v>
      </c>
      <c r="AB95" s="63">
        <f t="shared" si="0"/>
        <v>45627</v>
      </c>
      <c r="AC95" s="63">
        <f t="shared" si="0"/>
        <v>45717</v>
      </c>
      <c r="AD95" s="63">
        <f t="shared" si="0"/>
        <v>45809</v>
      </c>
      <c r="AE95" s="63">
        <f t="shared" si="0"/>
        <v>45901</v>
      </c>
      <c r="AF95" s="63">
        <f t="shared" si="0"/>
        <v>45992</v>
      </c>
      <c r="AG95" s="63">
        <f t="shared" si="0"/>
        <v>46082</v>
      </c>
      <c r="AH95" s="63">
        <f t="shared" si="0"/>
        <v>46174</v>
      </c>
      <c r="AI95" s="63">
        <f t="shared" si="0"/>
        <v>46266</v>
      </c>
      <c r="AJ95" s="63">
        <f t="shared" si="0"/>
        <v>46357</v>
      </c>
      <c r="AK95" s="63">
        <f t="shared" si="0"/>
        <v>46447</v>
      </c>
      <c r="AL95" s="63">
        <f t="shared" si="0"/>
        <v>46539</v>
      </c>
      <c r="AM95" s="63">
        <f t="shared" si="0"/>
        <v>46631</v>
      </c>
      <c r="AN95" s="63">
        <f t="shared" si="0"/>
        <v>46722</v>
      </c>
      <c r="AO95" s="63">
        <f t="shared" si="0"/>
        <v>46813</v>
      </c>
      <c r="AP95" s="63">
        <f t="shared" si="0"/>
        <v>46905</v>
      </c>
      <c r="AQ95" s="63">
        <f t="shared" si="0"/>
        <v>46997</v>
      </c>
      <c r="AR95" s="63">
        <f t="shared" si="0"/>
        <v>47088</v>
      </c>
      <c r="AS95" s="63">
        <f t="shared" si="0"/>
        <v>47178</v>
      </c>
      <c r="AT95" s="63">
        <f t="shared" si="0"/>
        <v>47270</v>
      </c>
      <c r="AU95" s="63">
        <f t="shared" si="0"/>
        <v>47362</v>
      </c>
      <c r="AV95" s="63">
        <f t="shared" si="0"/>
        <v>47453</v>
      </c>
      <c r="AW95" s="63">
        <f t="shared" si="0"/>
        <v>47543</v>
      </c>
      <c r="AX95" s="63">
        <f t="shared" si="0"/>
        <v>47635</v>
      </c>
      <c r="AY95" s="63">
        <f t="shared" si="0"/>
        <v>47727</v>
      </c>
      <c r="AZ95" s="63">
        <f t="shared" si="0"/>
        <v>47818</v>
      </c>
      <c r="BA95" s="61"/>
      <c r="BB95" s="61"/>
      <c r="BC95" s="61"/>
      <c r="BD95" s="61"/>
      <c r="BE95" s="61"/>
      <c r="BF95" s="61"/>
      <c r="BG95" s="61"/>
    </row>
    <row r="96" spans="3:59">
      <c r="E96" t="s">
        <v>90</v>
      </c>
      <c r="K96" s="63">
        <f>K95</f>
        <v>44197</v>
      </c>
      <c r="L96" s="63">
        <f>L95</f>
        <v>44255</v>
      </c>
      <c r="M96" s="63">
        <f>EOMONTH(M95,2)</f>
        <v>44347</v>
      </c>
      <c r="N96" s="63">
        <f>EOMONTH(N95,2)</f>
        <v>44439</v>
      </c>
      <c r="O96" s="63">
        <f t="shared" ref="O96:AZ96" si="1">EOMONTH(O95,2)</f>
        <v>44530</v>
      </c>
      <c r="P96" s="63">
        <f t="shared" si="1"/>
        <v>44620</v>
      </c>
      <c r="Q96" s="63">
        <f t="shared" si="1"/>
        <v>44712</v>
      </c>
      <c r="R96" s="63">
        <f t="shared" si="1"/>
        <v>44804</v>
      </c>
      <c r="S96" s="63">
        <f t="shared" si="1"/>
        <v>44895</v>
      </c>
      <c r="T96" s="63">
        <f t="shared" si="1"/>
        <v>44985</v>
      </c>
      <c r="U96" s="63">
        <f t="shared" si="1"/>
        <v>45077</v>
      </c>
      <c r="V96" s="63">
        <f t="shared" si="1"/>
        <v>45169</v>
      </c>
      <c r="W96" s="63">
        <f t="shared" si="1"/>
        <v>45260</v>
      </c>
      <c r="X96" s="63">
        <f t="shared" si="1"/>
        <v>45351</v>
      </c>
      <c r="Y96" s="63">
        <f t="shared" si="1"/>
        <v>45443</v>
      </c>
      <c r="Z96" s="63">
        <f t="shared" si="1"/>
        <v>45535</v>
      </c>
      <c r="AA96" s="63">
        <f t="shared" si="1"/>
        <v>45626</v>
      </c>
      <c r="AB96" s="63">
        <f t="shared" si="1"/>
        <v>45716</v>
      </c>
      <c r="AC96" s="63">
        <f t="shared" si="1"/>
        <v>45808</v>
      </c>
      <c r="AD96" s="63">
        <f t="shared" si="1"/>
        <v>45900</v>
      </c>
      <c r="AE96" s="63">
        <f t="shared" si="1"/>
        <v>45991</v>
      </c>
      <c r="AF96" s="63">
        <f t="shared" si="1"/>
        <v>46081</v>
      </c>
      <c r="AG96" s="63">
        <f t="shared" si="1"/>
        <v>46173</v>
      </c>
      <c r="AH96" s="63">
        <f t="shared" si="1"/>
        <v>46265</v>
      </c>
      <c r="AI96" s="63">
        <f t="shared" si="1"/>
        <v>46356</v>
      </c>
      <c r="AJ96" s="63">
        <f t="shared" si="1"/>
        <v>46446</v>
      </c>
      <c r="AK96" s="63">
        <f t="shared" si="1"/>
        <v>46538</v>
      </c>
      <c r="AL96" s="63">
        <f t="shared" si="1"/>
        <v>46630</v>
      </c>
      <c r="AM96" s="63">
        <f t="shared" si="1"/>
        <v>46721</v>
      </c>
      <c r="AN96" s="63">
        <f t="shared" si="1"/>
        <v>46812</v>
      </c>
      <c r="AO96" s="63">
        <f t="shared" si="1"/>
        <v>46904</v>
      </c>
      <c r="AP96" s="63">
        <f t="shared" si="1"/>
        <v>46996</v>
      </c>
      <c r="AQ96" s="63">
        <f t="shared" si="1"/>
        <v>47087</v>
      </c>
      <c r="AR96" s="63">
        <f t="shared" si="1"/>
        <v>47177</v>
      </c>
      <c r="AS96" s="63">
        <f t="shared" si="1"/>
        <v>47269</v>
      </c>
      <c r="AT96" s="63">
        <f t="shared" si="1"/>
        <v>47361</v>
      </c>
      <c r="AU96" s="63">
        <f t="shared" si="1"/>
        <v>47452</v>
      </c>
      <c r="AV96" s="63">
        <f t="shared" si="1"/>
        <v>47542</v>
      </c>
      <c r="AW96" s="63">
        <f t="shared" si="1"/>
        <v>47634</v>
      </c>
      <c r="AX96" s="63">
        <f t="shared" si="1"/>
        <v>47726</v>
      </c>
      <c r="AY96" s="63">
        <f t="shared" si="1"/>
        <v>47817</v>
      </c>
      <c r="AZ96" s="63">
        <f t="shared" si="1"/>
        <v>47907</v>
      </c>
      <c r="BA96" s="61"/>
      <c r="BB96" s="61"/>
      <c r="BC96" s="61"/>
      <c r="BD96" s="61"/>
      <c r="BE96" s="61"/>
      <c r="BF96" s="61"/>
      <c r="BG96" s="61"/>
    </row>
    <row r="97" spans="3:52">
      <c r="E97" t="s">
        <v>88</v>
      </c>
      <c r="K97" s="62">
        <v>-1</v>
      </c>
      <c r="L97" s="49">
        <f>K97+1</f>
        <v>0</v>
      </c>
      <c r="M97" s="49">
        <f t="shared" ref="M97:N97" si="2">L97+1</f>
        <v>1</v>
      </c>
      <c r="N97" s="49">
        <f t="shared" si="2"/>
        <v>2</v>
      </c>
      <c r="O97" s="49">
        <f t="shared" ref="O97:AZ97" si="3">N97+1</f>
        <v>3</v>
      </c>
      <c r="P97" s="49">
        <f t="shared" si="3"/>
        <v>4</v>
      </c>
      <c r="Q97" s="49">
        <f t="shared" si="3"/>
        <v>5</v>
      </c>
      <c r="R97" s="49">
        <f t="shared" si="3"/>
        <v>6</v>
      </c>
      <c r="S97" s="49">
        <f t="shared" si="3"/>
        <v>7</v>
      </c>
      <c r="T97" s="49">
        <f t="shared" si="3"/>
        <v>8</v>
      </c>
      <c r="U97" s="49">
        <f t="shared" si="3"/>
        <v>9</v>
      </c>
      <c r="V97" s="49">
        <f t="shared" si="3"/>
        <v>10</v>
      </c>
      <c r="W97" s="49">
        <f t="shared" si="3"/>
        <v>11</v>
      </c>
      <c r="X97" s="49">
        <f t="shared" si="3"/>
        <v>12</v>
      </c>
      <c r="Y97" s="49">
        <f t="shared" si="3"/>
        <v>13</v>
      </c>
      <c r="Z97" s="49">
        <f t="shared" si="3"/>
        <v>14</v>
      </c>
      <c r="AA97" s="49">
        <f t="shared" si="3"/>
        <v>15</v>
      </c>
      <c r="AB97" s="49">
        <f t="shared" si="3"/>
        <v>16</v>
      </c>
      <c r="AC97" s="49">
        <f t="shared" si="3"/>
        <v>17</v>
      </c>
      <c r="AD97" s="49">
        <f t="shared" si="3"/>
        <v>18</v>
      </c>
      <c r="AE97" s="49">
        <f t="shared" si="3"/>
        <v>19</v>
      </c>
      <c r="AF97" s="49">
        <f t="shared" si="3"/>
        <v>20</v>
      </c>
      <c r="AG97" s="49">
        <f t="shared" si="3"/>
        <v>21</v>
      </c>
      <c r="AH97" s="49">
        <f t="shared" si="3"/>
        <v>22</v>
      </c>
      <c r="AI97" s="49">
        <f t="shared" si="3"/>
        <v>23</v>
      </c>
      <c r="AJ97" s="49">
        <f t="shared" si="3"/>
        <v>24</v>
      </c>
      <c r="AK97" s="49">
        <f t="shared" si="3"/>
        <v>25</v>
      </c>
      <c r="AL97" s="49">
        <f t="shared" si="3"/>
        <v>26</v>
      </c>
      <c r="AM97" s="49">
        <f t="shared" si="3"/>
        <v>27</v>
      </c>
      <c r="AN97" s="49">
        <f t="shared" si="3"/>
        <v>28</v>
      </c>
      <c r="AO97" s="49">
        <f t="shared" si="3"/>
        <v>29</v>
      </c>
      <c r="AP97" s="49">
        <f t="shared" si="3"/>
        <v>30</v>
      </c>
      <c r="AQ97" s="49">
        <f t="shared" si="3"/>
        <v>31</v>
      </c>
      <c r="AR97" s="49">
        <f t="shared" si="3"/>
        <v>32</v>
      </c>
      <c r="AS97" s="49">
        <f t="shared" si="3"/>
        <v>33</v>
      </c>
      <c r="AT97" s="49">
        <f t="shared" si="3"/>
        <v>34</v>
      </c>
      <c r="AU97" s="49">
        <f t="shared" si="3"/>
        <v>35</v>
      </c>
      <c r="AV97" s="49">
        <f t="shared" si="3"/>
        <v>36</v>
      </c>
      <c r="AW97" s="49">
        <f t="shared" si="3"/>
        <v>37</v>
      </c>
      <c r="AX97" s="49">
        <f t="shared" si="3"/>
        <v>38</v>
      </c>
      <c r="AY97" s="49">
        <f t="shared" si="3"/>
        <v>39</v>
      </c>
      <c r="AZ97" s="49">
        <f t="shared" si="3"/>
        <v>40</v>
      </c>
    </row>
    <row r="98" spans="3:52">
      <c r="E98" t="s">
        <v>1328</v>
      </c>
      <c r="K98" s="85"/>
      <c r="L98" s="227">
        <f>DAYS360(K96,L96)</f>
        <v>57</v>
      </c>
      <c r="M98" s="227">
        <f t="shared" ref="M98:AZ98" si="4">DAYS360(L96,M96)</f>
        <v>90</v>
      </c>
      <c r="N98" s="227">
        <f t="shared" si="4"/>
        <v>90</v>
      </c>
      <c r="O98" s="227">
        <f t="shared" si="4"/>
        <v>90</v>
      </c>
      <c r="P98" s="227">
        <f t="shared" si="4"/>
        <v>88</v>
      </c>
      <c r="Q98" s="227">
        <f t="shared" si="4"/>
        <v>90</v>
      </c>
      <c r="R98" s="227">
        <f t="shared" si="4"/>
        <v>90</v>
      </c>
      <c r="S98" s="227">
        <f t="shared" si="4"/>
        <v>90</v>
      </c>
      <c r="T98" s="227">
        <f t="shared" si="4"/>
        <v>88</v>
      </c>
      <c r="U98" s="227">
        <f t="shared" si="4"/>
        <v>90</v>
      </c>
      <c r="V98" s="227">
        <f t="shared" si="4"/>
        <v>90</v>
      </c>
      <c r="W98" s="227">
        <f t="shared" si="4"/>
        <v>90</v>
      </c>
      <c r="X98" s="227">
        <f t="shared" si="4"/>
        <v>89</v>
      </c>
      <c r="Y98" s="227">
        <f t="shared" si="4"/>
        <v>90</v>
      </c>
      <c r="Z98" s="227">
        <f t="shared" si="4"/>
        <v>90</v>
      </c>
      <c r="AA98" s="227">
        <f t="shared" si="4"/>
        <v>90</v>
      </c>
      <c r="AB98" s="227">
        <f t="shared" si="4"/>
        <v>88</v>
      </c>
      <c r="AC98" s="227">
        <f t="shared" si="4"/>
        <v>90</v>
      </c>
      <c r="AD98" s="227">
        <f t="shared" si="4"/>
        <v>90</v>
      </c>
      <c r="AE98" s="227">
        <f t="shared" si="4"/>
        <v>90</v>
      </c>
      <c r="AF98" s="227">
        <f t="shared" si="4"/>
        <v>88</v>
      </c>
      <c r="AG98" s="227">
        <f t="shared" si="4"/>
        <v>90</v>
      </c>
      <c r="AH98" s="227">
        <f t="shared" si="4"/>
        <v>90</v>
      </c>
      <c r="AI98" s="227">
        <f t="shared" si="4"/>
        <v>90</v>
      </c>
      <c r="AJ98" s="227">
        <f t="shared" si="4"/>
        <v>88</v>
      </c>
      <c r="AK98" s="227">
        <f t="shared" si="4"/>
        <v>90</v>
      </c>
      <c r="AL98" s="227">
        <f t="shared" si="4"/>
        <v>90</v>
      </c>
      <c r="AM98" s="227">
        <f t="shared" si="4"/>
        <v>90</v>
      </c>
      <c r="AN98" s="227">
        <f t="shared" si="4"/>
        <v>89</v>
      </c>
      <c r="AO98" s="227">
        <f t="shared" si="4"/>
        <v>90</v>
      </c>
      <c r="AP98" s="227">
        <f t="shared" si="4"/>
        <v>90</v>
      </c>
      <c r="AQ98" s="227">
        <f t="shared" si="4"/>
        <v>90</v>
      </c>
      <c r="AR98" s="227">
        <f t="shared" si="4"/>
        <v>88</v>
      </c>
      <c r="AS98" s="227">
        <f t="shared" si="4"/>
        <v>90</v>
      </c>
      <c r="AT98" s="227">
        <f t="shared" si="4"/>
        <v>90</v>
      </c>
      <c r="AU98" s="227">
        <f t="shared" si="4"/>
        <v>90</v>
      </c>
      <c r="AV98" s="227">
        <f t="shared" si="4"/>
        <v>88</v>
      </c>
      <c r="AW98" s="227">
        <f t="shared" si="4"/>
        <v>90</v>
      </c>
      <c r="AX98" s="227">
        <f t="shared" si="4"/>
        <v>90</v>
      </c>
      <c r="AY98" s="227">
        <f t="shared" si="4"/>
        <v>90</v>
      </c>
      <c r="AZ98" s="227">
        <f t="shared" si="4"/>
        <v>88</v>
      </c>
    </row>
    <row r="99" spans="3:52">
      <c r="E99" t="s">
        <v>1329</v>
      </c>
      <c r="K99" s="85"/>
      <c r="L99" s="227">
        <f>L96-K96</f>
        <v>58</v>
      </c>
      <c r="M99" s="227">
        <f t="shared" ref="M99:AZ99" si="5">M96-L96</f>
        <v>92</v>
      </c>
      <c r="N99" s="227">
        <f t="shared" si="5"/>
        <v>92</v>
      </c>
      <c r="O99" s="227">
        <f t="shared" si="5"/>
        <v>91</v>
      </c>
      <c r="P99" s="227">
        <f t="shared" si="5"/>
        <v>90</v>
      </c>
      <c r="Q99" s="227">
        <f t="shared" si="5"/>
        <v>92</v>
      </c>
      <c r="R99" s="227">
        <f t="shared" si="5"/>
        <v>92</v>
      </c>
      <c r="S99" s="227">
        <f t="shared" si="5"/>
        <v>91</v>
      </c>
      <c r="T99" s="227">
        <f t="shared" si="5"/>
        <v>90</v>
      </c>
      <c r="U99" s="227">
        <f t="shared" si="5"/>
        <v>92</v>
      </c>
      <c r="V99" s="227">
        <f t="shared" si="5"/>
        <v>92</v>
      </c>
      <c r="W99" s="227">
        <f t="shared" si="5"/>
        <v>91</v>
      </c>
      <c r="X99" s="227">
        <f t="shared" si="5"/>
        <v>91</v>
      </c>
      <c r="Y99" s="227">
        <f t="shared" si="5"/>
        <v>92</v>
      </c>
      <c r="Z99" s="227">
        <f t="shared" si="5"/>
        <v>92</v>
      </c>
      <c r="AA99" s="227">
        <f t="shared" si="5"/>
        <v>91</v>
      </c>
      <c r="AB99" s="227">
        <f t="shared" si="5"/>
        <v>90</v>
      </c>
      <c r="AC99" s="227">
        <f t="shared" si="5"/>
        <v>92</v>
      </c>
      <c r="AD99" s="227">
        <f t="shared" si="5"/>
        <v>92</v>
      </c>
      <c r="AE99" s="227">
        <f t="shared" si="5"/>
        <v>91</v>
      </c>
      <c r="AF99" s="227">
        <f t="shared" si="5"/>
        <v>90</v>
      </c>
      <c r="AG99" s="227">
        <f t="shared" si="5"/>
        <v>92</v>
      </c>
      <c r="AH99" s="227">
        <f t="shared" si="5"/>
        <v>92</v>
      </c>
      <c r="AI99" s="227">
        <f t="shared" si="5"/>
        <v>91</v>
      </c>
      <c r="AJ99" s="227">
        <f t="shared" si="5"/>
        <v>90</v>
      </c>
      <c r="AK99" s="227">
        <f t="shared" si="5"/>
        <v>92</v>
      </c>
      <c r="AL99" s="227">
        <f t="shared" si="5"/>
        <v>92</v>
      </c>
      <c r="AM99" s="227">
        <f t="shared" si="5"/>
        <v>91</v>
      </c>
      <c r="AN99" s="227">
        <f t="shared" si="5"/>
        <v>91</v>
      </c>
      <c r="AO99" s="227">
        <f t="shared" si="5"/>
        <v>92</v>
      </c>
      <c r="AP99" s="227">
        <f t="shared" si="5"/>
        <v>92</v>
      </c>
      <c r="AQ99" s="227">
        <f t="shared" si="5"/>
        <v>91</v>
      </c>
      <c r="AR99" s="227">
        <f t="shared" si="5"/>
        <v>90</v>
      </c>
      <c r="AS99" s="227">
        <f t="shared" si="5"/>
        <v>92</v>
      </c>
      <c r="AT99" s="227">
        <f t="shared" si="5"/>
        <v>92</v>
      </c>
      <c r="AU99" s="227">
        <f t="shared" si="5"/>
        <v>91</v>
      </c>
      <c r="AV99" s="227">
        <f t="shared" si="5"/>
        <v>90</v>
      </c>
      <c r="AW99" s="227">
        <f t="shared" si="5"/>
        <v>92</v>
      </c>
      <c r="AX99" s="227">
        <f t="shared" si="5"/>
        <v>92</v>
      </c>
      <c r="AY99" s="227">
        <f t="shared" si="5"/>
        <v>91</v>
      </c>
      <c r="AZ99" s="227">
        <f t="shared" si="5"/>
        <v>90</v>
      </c>
    </row>
    <row r="100" spans="3:52">
      <c r="E100" t="s">
        <v>97</v>
      </c>
      <c r="K100" s="49"/>
      <c r="L100" s="49"/>
      <c r="M100" s="62">
        <v>1</v>
      </c>
      <c r="N100" s="49">
        <f>IF(MOD(M97,4)=0,M100+1,M100)</f>
        <v>1</v>
      </c>
      <c r="O100" s="49">
        <f t="shared" ref="O100:AZ100" si="6">IF(MOD(N97,4)=0,N100+1,N100)</f>
        <v>1</v>
      </c>
      <c r="P100" s="49">
        <f t="shared" si="6"/>
        <v>1</v>
      </c>
      <c r="Q100" s="49">
        <f t="shared" si="6"/>
        <v>2</v>
      </c>
      <c r="R100" s="49">
        <f t="shared" si="6"/>
        <v>2</v>
      </c>
      <c r="S100" s="49">
        <f t="shared" si="6"/>
        <v>2</v>
      </c>
      <c r="T100" s="49">
        <f t="shared" si="6"/>
        <v>2</v>
      </c>
      <c r="U100" s="49">
        <f t="shared" si="6"/>
        <v>3</v>
      </c>
      <c r="V100" s="49">
        <f t="shared" si="6"/>
        <v>3</v>
      </c>
      <c r="W100" s="49">
        <f t="shared" si="6"/>
        <v>3</v>
      </c>
      <c r="X100" s="49">
        <f t="shared" si="6"/>
        <v>3</v>
      </c>
      <c r="Y100" s="49">
        <f t="shared" si="6"/>
        <v>4</v>
      </c>
      <c r="Z100" s="49">
        <f t="shared" si="6"/>
        <v>4</v>
      </c>
      <c r="AA100" s="49">
        <f t="shared" si="6"/>
        <v>4</v>
      </c>
      <c r="AB100" s="49">
        <f t="shared" si="6"/>
        <v>4</v>
      </c>
      <c r="AC100" s="49">
        <f t="shared" si="6"/>
        <v>5</v>
      </c>
      <c r="AD100" s="49">
        <f t="shared" si="6"/>
        <v>5</v>
      </c>
      <c r="AE100" s="49">
        <f t="shared" si="6"/>
        <v>5</v>
      </c>
      <c r="AF100" s="49">
        <f t="shared" si="6"/>
        <v>5</v>
      </c>
      <c r="AG100" s="49">
        <f t="shared" si="6"/>
        <v>6</v>
      </c>
      <c r="AH100" s="49">
        <f t="shared" si="6"/>
        <v>6</v>
      </c>
      <c r="AI100" s="49">
        <f t="shared" si="6"/>
        <v>6</v>
      </c>
      <c r="AJ100" s="49">
        <f t="shared" si="6"/>
        <v>6</v>
      </c>
      <c r="AK100" s="49">
        <f t="shared" si="6"/>
        <v>7</v>
      </c>
      <c r="AL100" s="49">
        <f t="shared" si="6"/>
        <v>7</v>
      </c>
      <c r="AM100" s="49">
        <f t="shared" si="6"/>
        <v>7</v>
      </c>
      <c r="AN100" s="49">
        <f t="shared" si="6"/>
        <v>7</v>
      </c>
      <c r="AO100" s="49">
        <f t="shared" si="6"/>
        <v>8</v>
      </c>
      <c r="AP100" s="49">
        <f t="shared" si="6"/>
        <v>8</v>
      </c>
      <c r="AQ100" s="49">
        <f t="shared" si="6"/>
        <v>8</v>
      </c>
      <c r="AR100" s="49">
        <f t="shared" si="6"/>
        <v>8</v>
      </c>
      <c r="AS100" s="49">
        <f t="shared" si="6"/>
        <v>9</v>
      </c>
      <c r="AT100" s="49">
        <f t="shared" si="6"/>
        <v>9</v>
      </c>
      <c r="AU100" s="49">
        <f t="shared" si="6"/>
        <v>9</v>
      </c>
      <c r="AV100" s="49">
        <f t="shared" si="6"/>
        <v>9</v>
      </c>
      <c r="AW100" s="49">
        <f t="shared" si="6"/>
        <v>10</v>
      </c>
      <c r="AX100" s="49">
        <f t="shared" si="6"/>
        <v>10</v>
      </c>
      <c r="AY100" s="49">
        <f t="shared" si="6"/>
        <v>10</v>
      </c>
      <c r="AZ100" s="49">
        <f t="shared" si="6"/>
        <v>10</v>
      </c>
    </row>
    <row r="101" spans="3:52">
      <c r="E101" t="s">
        <v>91</v>
      </c>
      <c r="K101" s="49">
        <f>ROUNDUP(MONTH(K95)/3,0)</f>
        <v>1</v>
      </c>
      <c r="L101" s="49">
        <f t="shared" ref="L101:AZ101" si="7">ROUNDUP(MONTH(L95)/3,0)</f>
        <v>1</v>
      </c>
      <c r="M101" s="49">
        <f t="shared" si="7"/>
        <v>1</v>
      </c>
      <c r="N101" s="49">
        <f t="shared" si="7"/>
        <v>2</v>
      </c>
      <c r="O101" s="49">
        <f t="shared" si="7"/>
        <v>3</v>
      </c>
      <c r="P101" s="49">
        <f t="shared" si="7"/>
        <v>4</v>
      </c>
      <c r="Q101" s="49">
        <f t="shared" si="7"/>
        <v>1</v>
      </c>
      <c r="R101" s="49">
        <f t="shared" si="7"/>
        <v>2</v>
      </c>
      <c r="S101" s="49">
        <f t="shared" si="7"/>
        <v>3</v>
      </c>
      <c r="T101" s="49">
        <f t="shared" si="7"/>
        <v>4</v>
      </c>
      <c r="U101" s="49">
        <f t="shared" si="7"/>
        <v>1</v>
      </c>
      <c r="V101" s="49">
        <f t="shared" si="7"/>
        <v>2</v>
      </c>
      <c r="W101" s="49">
        <f t="shared" si="7"/>
        <v>3</v>
      </c>
      <c r="X101" s="49">
        <f t="shared" si="7"/>
        <v>4</v>
      </c>
      <c r="Y101" s="49">
        <f t="shared" si="7"/>
        <v>1</v>
      </c>
      <c r="Z101" s="49">
        <f t="shared" si="7"/>
        <v>2</v>
      </c>
      <c r="AA101" s="49">
        <f t="shared" si="7"/>
        <v>3</v>
      </c>
      <c r="AB101" s="49">
        <f t="shared" si="7"/>
        <v>4</v>
      </c>
      <c r="AC101" s="49">
        <f t="shared" si="7"/>
        <v>1</v>
      </c>
      <c r="AD101" s="49">
        <f t="shared" si="7"/>
        <v>2</v>
      </c>
      <c r="AE101" s="49">
        <f t="shared" si="7"/>
        <v>3</v>
      </c>
      <c r="AF101" s="49">
        <f t="shared" si="7"/>
        <v>4</v>
      </c>
      <c r="AG101" s="49">
        <f t="shared" si="7"/>
        <v>1</v>
      </c>
      <c r="AH101" s="49">
        <f t="shared" si="7"/>
        <v>2</v>
      </c>
      <c r="AI101" s="49">
        <f t="shared" si="7"/>
        <v>3</v>
      </c>
      <c r="AJ101" s="49">
        <f t="shared" si="7"/>
        <v>4</v>
      </c>
      <c r="AK101" s="49">
        <f t="shared" si="7"/>
        <v>1</v>
      </c>
      <c r="AL101" s="49">
        <f t="shared" si="7"/>
        <v>2</v>
      </c>
      <c r="AM101" s="49">
        <f t="shared" si="7"/>
        <v>3</v>
      </c>
      <c r="AN101" s="49">
        <f t="shared" si="7"/>
        <v>4</v>
      </c>
      <c r="AO101" s="49">
        <f t="shared" si="7"/>
        <v>1</v>
      </c>
      <c r="AP101" s="49">
        <f t="shared" si="7"/>
        <v>2</v>
      </c>
      <c r="AQ101" s="49">
        <f t="shared" si="7"/>
        <v>3</v>
      </c>
      <c r="AR101" s="49">
        <f t="shared" si="7"/>
        <v>4</v>
      </c>
      <c r="AS101" s="49">
        <f t="shared" si="7"/>
        <v>1</v>
      </c>
      <c r="AT101" s="49">
        <f t="shared" si="7"/>
        <v>2</v>
      </c>
      <c r="AU101" s="49">
        <f t="shared" si="7"/>
        <v>3</v>
      </c>
      <c r="AV101" s="49">
        <f t="shared" si="7"/>
        <v>4</v>
      </c>
      <c r="AW101" s="49">
        <f t="shared" si="7"/>
        <v>1</v>
      </c>
      <c r="AX101" s="49">
        <f t="shared" si="7"/>
        <v>2</v>
      </c>
      <c r="AY101" s="49">
        <f t="shared" si="7"/>
        <v>3</v>
      </c>
      <c r="AZ101" s="49">
        <f t="shared" si="7"/>
        <v>4</v>
      </c>
    </row>
    <row r="102" spans="3:52">
      <c r="E102" t="s">
        <v>92</v>
      </c>
      <c r="K102" s="49">
        <f>YEAR(K96)</f>
        <v>2021</v>
      </c>
      <c r="L102" s="49">
        <f t="shared" ref="L102:AZ102" si="8">YEAR(L96)</f>
        <v>2021</v>
      </c>
      <c r="M102" s="49">
        <f t="shared" si="8"/>
        <v>2021</v>
      </c>
      <c r="N102" s="49">
        <f t="shared" si="8"/>
        <v>2021</v>
      </c>
      <c r="O102" s="49">
        <f t="shared" si="8"/>
        <v>2021</v>
      </c>
      <c r="P102" s="49">
        <f t="shared" si="8"/>
        <v>2022</v>
      </c>
      <c r="Q102" s="49">
        <f t="shared" si="8"/>
        <v>2022</v>
      </c>
      <c r="R102" s="49">
        <f t="shared" si="8"/>
        <v>2022</v>
      </c>
      <c r="S102" s="49">
        <f t="shared" si="8"/>
        <v>2022</v>
      </c>
      <c r="T102" s="49">
        <f t="shared" si="8"/>
        <v>2023</v>
      </c>
      <c r="U102" s="49">
        <f t="shared" si="8"/>
        <v>2023</v>
      </c>
      <c r="V102" s="49">
        <f t="shared" si="8"/>
        <v>2023</v>
      </c>
      <c r="W102" s="49">
        <f t="shared" si="8"/>
        <v>2023</v>
      </c>
      <c r="X102" s="49">
        <f t="shared" si="8"/>
        <v>2024</v>
      </c>
      <c r="Y102" s="49">
        <f t="shared" si="8"/>
        <v>2024</v>
      </c>
      <c r="Z102" s="49">
        <f t="shared" si="8"/>
        <v>2024</v>
      </c>
      <c r="AA102" s="49">
        <f t="shared" si="8"/>
        <v>2024</v>
      </c>
      <c r="AB102" s="49">
        <f t="shared" si="8"/>
        <v>2025</v>
      </c>
      <c r="AC102" s="49">
        <f t="shared" si="8"/>
        <v>2025</v>
      </c>
      <c r="AD102" s="49">
        <f t="shared" si="8"/>
        <v>2025</v>
      </c>
      <c r="AE102" s="49">
        <f t="shared" si="8"/>
        <v>2025</v>
      </c>
      <c r="AF102" s="49">
        <f t="shared" si="8"/>
        <v>2026</v>
      </c>
      <c r="AG102" s="49">
        <f t="shared" si="8"/>
        <v>2026</v>
      </c>
      <c r="AH102" s="49">
        <f t="shared" si="8"/>
        <v>2026</v>
      </c>
      <c r="AI102" s="49">
        <f t="shared" si="8"/>
        <v>2026</v>
      </c>
      <c r="AJ102" s="49">
        <f t="shared" si="8"/>
        <v>2027</v>
      </c>
      <c r="AK102" s="49">
        <f t="shared" si="8"/>
        <v>2027</v>
      </c>
      <c r="AL102" s="49">
        <f t="shared" si="8"/>
        <v>2027</v>
      </c>
      <c r="AM102" s="49">
        <f t="shared" si="8"/>
        <v>2027</v>
      </c>
      <c r="AN102" s="49">
        <f t="shared" si="8"/>
        <v>2028</v>
      </c>
      <c r="AO102" s="49">
        <f t="shared" si="8"/>
        <v>2028</v>
      </c>
      <c r="AP102" s="49">
        <f t="shared" si="8"/>
        <v>2028</v>
      </c>
      <c r="AQ102" s="49">
        <f t="shared" si="8"/>
        <v>2028</v>
      </c>
      <c r="AR102" s="49">
        <f t="shared" si="8"/>
        <v>2029</v>
      </c>
      <c r="AS102" s="49">
        <f t="shared" si="8"/>
        <v>2029</v>
      </c>
      <c r="AT102" s="49">
        <f t="shared" si="8"/>
        <v>2029</v>
      </c>
      <c r="AU102" s="49">
        <f t="shared" si="8"/>
        <v>2029</v>
      </c>
      <c r="AV102" s="49">
        <f t="shared" si="8"/>
        <v>2030</v>
      </c>
      <c r="AW102" s="49">
        <f t="shared" si="8"/>
        <v>2030</v>
      </c>
      <c r="AX102" s="49">
        <f t="shared" si="8"/>
        <v>2030</v>
      </c>
      <c r="AY102" s="49">
        <f t="shared" si="8"/>
        <v>2030</v>
      </c>
      <c r="AZ102" s="49">
        <f t="shared" si="8"/>
        <v>2031</v>
      </c>
    </row>
    <row r="104" spans="3:52">
      <c r="C104" s="60">
        <f>MAX($B$1:C103)+0.1</f>
        <v>3.6000000000000005</v>
      </c>
      <c r="D104" s="39" t="s">
        <v>93</v>
      </c>
    </row>
    <row r="105" spans="3:52">
      <c r="K105" s="39" t="s">
        <v>66</v>
      </c>
      <c r="L105" s="39" t="s">
        <v>65</v>
      </c>
    </row>
    <row r="106" spans="3:52">
      <c r="E106" t="s">
        <v>95</v>
      </c>
      <c r="K106" s="63">
        <f>K95</f>
        <v>44197</v>
      </c>
      <c r="L106" s="63">
        <f>L95</f>
        <v>44255</v>
      </c>
      <c r="M106" s="61">
        <f>M95</f>
        <v>44256</v>
      </c>
      <c r="N106" s="61">
        <f>M107+1</f>
        <v>44621</v>
      </c>
      <c r="O106" s="61">
        <f t="shared" ref="O106:V106" si="9">N107+1</f>
        <v>44986</v>
      </c>
      <c r="P106" s="61">
        <f t="shared" si="9"/>
        <v>45352</v>
      </c>
      <c r="Q106" s="61">
        <f t="shared" si="9"/>
        <v>45717</v>
      </c>
      <c r="R106" s="61">
        <f t="shared" si="9"/>
        <v>46082</v>
      </c>
      <c r="S106" s="61">
        <f t="shared" si="9"/>
        <v>46447</v>
      </c>
      <c r="T106" s="61">
        <f t="shared" si="9"/>
        <v>46813</v>
      </c>
      <c r="U106" s="61">
        <f t="shared" si="9"/>
        <v>47178</v>
      </c>
      <c r="V106" s="61">
        <f t="shared" si="9"/>
        <v>47543</v>
      </c>
    </row>
    <row r="107" spans="3:52">
      <c r="E107" t="s">
        <v>96</v>
      </c>
      <c r="K107" s="63">
        <f>K96</f>
        <v>44197</v>
      </c>
      <c r="L107" s="63">
        <f>L96</f>
        <v>44255</v>
      </c>
      <c r="M107" s="61">
        <f>EOMONTH(M106,11)</f>
        <v>44620</v>
      </c>
      <c r="N107" s="61">
        <f>EOMONTH(N106,11)</f>
        <v>44985</v>
      </c>
      <c r="O107" s="61">
        <f>EOMONTH(O106,11)</f>
        <v>45351</v>
      </c>
      <c r="P107" s="61">
        <f t="shared" ref="P107:V107" si="10">EOMONTH(P106,11)</f>
        <v>45716</v>
      </c>
      <c r="Q107" s="61">
        <f t="shared" si="10"/>
        <v>46081</v>
      </c>
      <c r="R107" s="61">
        <f t="shared" si="10"/>
        <v>46446</v>
      </c>
      <c r="S107" s="61">
        <f t="shared" si="10"/>
        <v>46812</v>
      </c>
      <c r="T107" s="61">
        <f t="shared" si="10"/>
        <v>47177</v>
      </c>
      <c r="U107" s="61">
        <f t="shared" si="10"/>
        <v>47542</v>
      </c>
      <c r="V107" s="61">
        <f t="shared" si="10"/>
        <v>47907</v>
      </c>
    </row>
    <row r="108" spans="3:52">
      <c r="E108" t="s">
        <v>88</v>
      </c>
      <c r="K108">
        <f>INDEX($K$97:$AZ$97,MATCH(K$107,$K$96:$AZ$96,0))</f>
        <v>-1</v>
      </c>
      <c r="L108">
        <f t="shared" ref="L108:V108" si="11">INDEX($K$97:$AZ$97,MATCH(L$107,$K$96:$AZ$96,0))</f>
        <v>0</v>
      </c>
      <c r="M108">
        <f t="shared" si="11"/>
        <v>4</v>
      </c>
      <c r="N108">
        <f t="shared" si="11"/>
        <v>8</v>
      </c>
      <c r="O108">
        <f t="shared" si="11"/>
        <v>12</v>
      </c>
      <c r="P108">
        <f t="shared" si="11"/>
        <v>16</v>
      </c>
      <c r="Q108">
        <f t="shared" si="11"/>
        <v>20</v>
      </c>
      <c r="R108">
        <f t="shared" si="11"/>
        <v>24</v>
      </c>
      <c r="S108">
        <f t="shared" si="11"/>
        <v>28</v>
      </c>
      <c r="T108">
        <f t="shared" si="11"/>
        <v>32</v>
      </c>
      <c r="U108">
        <f t="shared" si="11"/>
        <v>36</v>
      </c>
      <c r="V108">
        <f t="shared" si="11"/>
        <v>40</v>
      </c>
    </row>
    <row r="109" spans="3:52">
      <c r="E109" t="s">
        <v>97</v>
      </c>
      <c r="K109">
        <f>INDEX($K$100:$AZ$100,MATCH(K$107,$K$96:$AZ$96,0))</f>
        <v>0</v>
      </c>
      <c r="L109">
        <f t="shared" ref="L109:V109" si="12">INDEX($K$100:$AZ$100,MATCH(L$107,$K$96:$AZ$96,0))</f>
        <v>0</v>
      </c>
      <c r="M109">
        <f t="shared" si="12"/>
        <v>1</v>
      </c>
      <c r="N109">
        <f t="shared" si="12"/>
        <v>2</v>
      </c>
      <c r="O109">
        <f t="shared" si="12"/>
        <v>3</v>
      </c>
      <c r="P109">
        <f t="shared" si="12"/>
        <v>4</v>
      </c>
      <c r="Q109">
        <f t="shared" si="12"/>
        <v>5</v>
      </c>
      <c r="R109">
        <f t="shared" si="12"/>
        <v>6</v>
      </c>
      <c r="S109">
        <f t="shared" si="12"/>
        <v>7</v>
      </c>
      <c r="T109">
        <f t="shared" si="12"/>
        <v>8</v>
      </c>
      <c r="U109">
        <f t="shared" si="12"/>
        <v>9</v>
      </c>
      <c r="V109">
        <f t="shared" si="12"/>
        <v>10</v>
      </c>
    </row>
    <row r="111" spans="3:52">
      <c r="C111" s="60">
        <f>MAX($B$1:C110)+0.1</f>
        <v>3.7000000000000006</v>
      </c>
      <c r="D111" t="s">
        <v>1388</v>
      </c>
    </row>
    <row r="112" spans="3:52">
      <c r="E112" t="s">
        <v>1315</v>
      </c>
      <c r="G112" s="41">
        <v>2</v>
      </c>
      <c r="H112" t="s">
        <v>1387</v>
      </c>
    </row>
    <row r="114" spans="2:19" s="36" customFormat="1">
      <c r="B114" s="38">
        <f>MAX($B$1:B113)+1</f>
        <v>4</v>
      </c>
      <c r="C114" s="59"/>
      <c r="D114" s="37" t="s">
        <v>98</v>
      </c>
    </row>
    <row r="116" spans="2:19">
      <c r="C116" s="60">
        <f>MAX($B$1:C115)+0.1</f>
        <v>4.0999999999999996</v>
      </c>
      <c r="D116" s="39" t="s">
        <v>1398</v>
      </c>
    </row>
    <row r="117" spans="2:19">
      <c r="L117" t="s">
        <v>77</v>
      </c>
      <c r="M117" t="s">
        <v>1621</v>
      </c>
      <c r="N117" t="s">
        <v>1269</v>
      </c>
      <c r="O117" t="s">
        <v>1618</v>
      </c>
      <c r="P117" t="s">
        <v>1619</v>
      </c>
      <c r="Q117" t="s">
        <v>78</v>
      </c>
      <c r="R117" t="s">
        <v>1620</v>
      </c>
    </row>
    <row r="118" spans="2:19">
      <c r="E118" t="s">
        <v>1108</v>
      </c>
      <c r="G118" s="70">
        <f t="shared" ref="G118:G125" si="13">CHOOSE($F$38,H118,I118,J118)</f>
        <v>0</v>
      </c>
      <c r="H118" s="68">
        <v>0</v>
      </c>
      <c r="I118" s="68">
        <v>0</v>
      </c>
      <c r="J118" s="68">
        <v>0</v>
      </c>
    </row>
    <row r="119" spans="2:19">
      <c r="E119" t="s">
        <v>168</v>
      </c>
      <c r="G119" s="45">
        <f>CHOOSE($F$38,H119,I119,J119)</f>
        <v>0</v>
      </c>
      <c r="H119" s="64">
        <v>0</v>
      </c>
      <c r="I119" s="64">
        <v>0</v>
      </c>
      <c r="J119" s="64">
        <v>0</v>
      </c>
    </row>
    <row r="120" spans="2:19">
      <c r="E120" t="s">
        <v>99</v>
      </c>
      <c r="G120" s="45">
        <f t="shared" si="13"/>
        <v>4.2500000000000003E-2</v>
      </c>
      <c r="H120" s="64">
        <v>4.2500000000000003E-2</v>
      </c>
      <c r="I120" s="64">
        <v>4.2500000000000003E-2</v>
      </c>
      <c r="J120" s="64">
        <v>4.2500000000000003E-2</v>
      </c>
      <c r="L120" s="477">
        <v>1.2E-2</v>
      </c>
      <c r="M120" s="477">
        <v>1.2E-2</v>
      </c>
      <c r="N120" s="477">
        <v>0.04</v>
      </c>
      <c r="O120" s="477">
        <v>5.8999999999999997E-2</v>
      </c>
      <c r="P120" s="477">
        <v>7.0000000000000007E-2</v>
      </c>
      <c r="Q120" s="477">
        <v>0.12</v>
      </c>
      <c r="R120" s="477">
        <v>0.2</v>
      </c>
    </row>
    <row r="121" spans="2:19">
      <c r="E121" t="s">
        <v>100</v>
      </c>
      <c r="G121" s="70">
        <f t="shared" si="13"/>
        <v>0.1875</v>
      </c>
      <c r="H121" s="68">
        <v>0.1875</v>
      </c>
      <c r="I121" s="68">
        <v>0.1875</v>
      </c>
      <c r="J121" s="68">
        <v>0.1875</v>
      </c>
      <c r="L121" s="68">
        <v>0.1</v>
      </c>
      <c r="M121" s="68">
        <v>0.1</v>
      </c>
      <c r="N121" s="68">
        <v>0.05</v>
      </c>
      <c r="O121" s="68">
        <v>0.45</v>
      </c>
      <c r="P121" s="68">
        <v>0.25</v>
      </c>
      <c r="Q121" s="68">
        <v>0.2</v>
      </c>
      <c r="R121" s="68">
        <v>0</v>
      </c>
    </row>
    <row r="122" spans="2:19">
      <c r="E122" t="s">
        <v>101</v>
      </c>
      <c r="G122" s="70">
        <f t="shared" si="13"/>
        <v>2</v>
      </c>
      <c r="H122" s="68">
        <v>2</v>
      </c>
      <c r="I122" s="68">
        <v>2</v>
      </c>
      <c r="J122" s="68">
        <v>2</v>
      </c>
      <c r="L122" s="68">
        <v>1.5</v>
      </c>
      <c r="M122" s="68">
        <v>1.5</v>
      </c>
      <c r="N122" s="68">
        <v>1.5</v>
      </c>
      <c r="O122" s="68">
        <v>1.5</v>
      </c>
      <c r="P122" s="68">
        <v>1.5</v>
      </c>
      <c r="Q122" s="68">
        <v>2</v>
      </c>
      <c r="R122" s="68">
        <v>2</v>
      </c>
    </row>
    <row r="123" spans="2:19">
      <c r="E123" t="s">
        <v>102</v>
      </c>
      <c r="G123" s="45">
        <f t="shared" si="13"/>
        <v>1.7999999999999999E-2</v>
      </c>
      <c r="H123" s="64">
        <v>1.7999999999999999E-2</v>
      </c>
      <c r="I123" s="64">
        <v>1.7999999999999999E-2</v>
      </c>
      <c r="J123" s="64">
        <v>1.7999999999999999E-2</v>
      </c>
      <c r="L123" s="477">
        <v>1.2E-2</v>
      </c>
      <c r="M123" s="477">
        <v>1.2E-2</v>
      </c>
      <c r="N123" s="477">
        <v>1.2E-2</v>
      </c>
      <c r="O123" s="477">
        <v>1.2E-2</v>
      </c>
      <c r="P123" s="477">
        <v>1.2E-2</v>
      </c>
      <c r="Q123" s="477">
        <v>1.2E-2</v>
      </c>
      <c r="R123" s="477">
        <v>1.2E-2</v>
      </c>
    </row>
    <row r="124" spans="2:19">
      <c r="E124" s="314" t="s">
        <v>103</v>
      </c>
      <c r="G124" s="45">
        <f t="shared" si="13"/>
        <v>0</v>
      </c>
      <c r="H124" s="64">
        <v>0</v>
      </c>
      <c r="I124" s="64">
        <v>0</v>
      </c>
      <c r="J124" s="64">
        <v>0</v>
      </c>
      <c r="L124" s="1679">
        <v>4000</v>
      </c>
      <c r="M124" s="1679">
        <v>4000</v>
      </c>
      <c r="N124" s="1679">
        <v>4000</v>
      </c>
      <c r="O124" s="1679">
        <v>4000</v>
      </c>
      <c r="P124" s="1679">
        <v>4000</v>
      </c>
      <c r="Q124" s="1679">
        <v>4000</v>
      </c>
      <c r="R124" s="1679">
        <v>4000</v>
      </c>
      <c r="S124" s="314" t="s">
        <v>1622</v>
      </c>
    </row>
    <row r="125" spans="2:19">
      <c r="E125" t="s">
        <v>104</v>
      </c>
      <c r="G125" s="70">
        <f t="shared" si="13"/>
        <v>50000</v>
      </c>
      <c r="H125" s="66">
        <v>50000</v>
      </c>
      <c r="I125" s="66">
        <v>50000</v>
      </c>
      <c r="J125" s="66">
        <v>50000</v>
      </c>
    </row>
    <row r="126" spans="2:19">
      <c r="E126" t="s">
        <v>1399</v>
      </c>
      <c r="G126" s="45">
        <f>CHOOSE($F$38,H126,I126,J126)</f>
        <v>3.0000000000000001E-3</v>
      </c>
      <c r="H126" s="64">
        <v>3.0000000000000001E-3</v>
      </c>
      <c r="I126" s="64">
        <v>3.0000000000000001E-3</v>
      </c>
      <c r="J126" s="64">
        <v>3.0000000000000001E-3</v>
      </c>
    </row>
    <row r="127" spans="2:19">
      <c r="E127" t="s">
        <v>1150</v>
      </c>
      <c r="H127" s="117">
        <f>G126-J127</f>
        <v>3.0000000000000001E-3</v>
      </c>
      <c r="I127" t="s">
        <v>1151</v>
      </c>
      <c r="J127" s="65">
        <v>0</v>
      </c>
    </row>
    <row r="129" spans="2:10">
      <c r="C129" s="60">
        <f>MAX($B$1:C128)+0.1</f>
        <v>4.1999999999999993</v>
      </c>
      <c r="D129" s="39" t="s">
        <v>171</v>
      </c>
    </row>
    <row r="131" spans="2:10">
      <c r="E131" t="s">
        <v>172</v>
      </c>
      <c r="G131" s="70">
        <f t="shared" ref="G131" si="14">CHOOSE($F$38,H131,I131,J131)</f>
        <v>5</v>
      </c>
      <c r="H131" s="68">
        <v>5</v>
      </c>
      <c r="I131" s="71">
        <v>5</v>
      </c>
      <c r="J131" s="69">
        <v>5</v>
      </c>
    </row>
    <row r="133" spans="2:10">
      <c r="E133" t="s">
        <v>173</v>
      </c>
      <c r="G133" s="45">
        <f>CHOOSE($F$38,H133,I133,J133)</f>
        <v>0</v>
      </c>
      <c r="H133" s="64">
        <v>0</v>
      </c>
      <c r="I133" s="46">
        <v>0</v>
      </c>
      <c r="J133" s="65">
        <v>0</v>
      </c>
    </row>
    <row r="134" spans="2:10">
      <c r="E134" t="s">
        <v>174</v>
      </c>
      <c r="G134" s="45">
        <f t="shared" ref="G134:G138" si="15">CHOOSE($F$38,H134,I134,J134)</f>
        <v>0</v>
      </c>
      <c r="H134" s="64">
        <v>0</v>
      </c>
      <c r="I134" s="46">
        <v>0</v>
      </c>
      <c r="J134" s="65">
        <v>0</v>
      </c>
    </row>
    <row r="135" spans="2:10">
      <c r="E135" t="s">
        <v>175</v>
      </c>
      <c r="G135" s="45">
        <f t="shared" si="15"/>
        <v>0</v>
      </c>
      <c r="H135" s="64">
        <v>0</v>
      </c>
      <c r="I135" s="46">
        <v>0</v>
      </c>
      <c r="J135" s="65">
        <v>0</v>
      </c>
    </row>
    <row r="136" spans="2:10">
      <c r="E136" t="s">
        <v>176</v>
      </c>
      <c r="G136" s="45">
        <f t="shared" si="15"/>
        <v>0</v>
      </c>
      <c r="H136" s="64">
        <v>0</v>
      </c>
      <c r="I136" s="46">
        <v>0</v>
      </c>
      <c r="J136" s="65">
        <v>0</v>
      </c>
    </row>
    <row r="137" spans="2:10">
      <c r="E137" t="s">
        <v>177</v>
      </c>
      <c r="G137" s="45">
        <f t="shared" si="15"/>
        <v>0</v>
      </c>
      <c r="H137" s="64">
        <v>0</v>
      </c>
      <c r="I137" s="46">
        <v>0</v>
      </c>
      <c r="J137" s="65">
        <v>0</v>
      </c>
    </row>
    <row r="138" spans="2:10">
      <c r="E138" t="s">
        <v>178</v>
      </c>
      <c r="G138" s="45">
        <f t="shared" si="15"/>
        <v>0</v>
      </c>
      <c r="H138" s="64">
        <v>0</v>
      </c>
      <c r="I138" s="46">
        <v>0</v>
      </c>
      <c r="J138" s="65">
        <v>0</v>
      </c>
    </row>
    <row r="141" spans="2:10" s="36" customFormat="1">
      <c r="B141" s="38">
        <f>MAX($B$1:B140)+1</f>
        <v>5</v>
      </c>
      <c r="C141" s="59"/>
      <c r="D141" s="37" t="s">
        <v>204</v>
      </c>
    </row>
    <row r="143" spans="2:10">
      <c r="E143" t="s">
        <v>200</v>
      </c>
      <c r="G143" s="71" t="s">
        <v>201</v>
      </c>
    </row>
    <row r="145" spans="3:16">
      <c r="E145" t="s">
        <v>202</v>
      </c>
      <c r="F145" s="117">
        <f>(1+G145)^(1/4)-1</f>
        <v>1.8697495154929022E-3</v>
      </c>
      <c r="G145" s="45">
        <f t="shared" ref="G145:G146" si="16">CHOOSE($F$38,H145,I145,J145)</f>
        <v>7.4999999999999997E-3</v>
      </c>
      <c r="H145" s="64">
        <v>7.4999999999999997E-3</v>
      </c>
      <c r="I145" s="46">
        <v>7.4999999999999997E-3</v>
      </c>
      <c r="J145" s="65">
        <v>7.4999999999999997E-3</v>
      </c>
    </row>
    <row r="146" spans="3:16">
      <c r="E146" t="s">
        <v>203</v>
      </c>
      <c r="F146" s="117">
        <f>(1+G146)^(1/4)-1</f>
        <v>4.9629315732038215E-3</v>
      </c>
      <c r="G146" s="45">
        <f t="shared" si="16"/>
        <v>0.02</v>
      </c>
      <c r="H146" s="64">
        <v>0.02</v>
      </c>
      <c r="I146" s="46">
        <v>0.02</v>
      </c>
      <c r="J146" s="65">
        <v>0.02</v>
      </c>
    </row>
    <row r="147" spans="3:16">
      <c r="G147" s="147"/>
      <c r="H147" s="146"/>
      <c r="I147" s="146"/>
      <c r="J147" s="146"/>
    </row>
    <row r="148" spans="3:16">
      <c r="E148" t="s">
        <v>179</v>
      </c>
      <c r="F148" s="117"/>
      <c r="G148" s="45">
        <f t="shared" ref="G148" si="17">CHOOSE($F$38,H148,I148,J148)</f>
        <v>0</v>
      </c>
      <c r="H148" s="64">
        <v>0</v>
      </c>
      <c r="I148" s="46">
        <v>0</v>
      </c>
      <c r="J148" s="65">
        <v>0</v>
      </c>
    </row>
    <row r="150" spans="3:16">
      <c r="C150" s="60">
        <f>MAX($B$1:C149)+0.1</f>
        <v>5.0999999999999996</v>
      </c>
      <c r="D150" s="39" t="s">
        <v>180</v>
      </c>
    </row>
    <row r="151" spans="3:16">
      <c r="C151" s="60"/>
      <c r="D151" s="39"/>
    </row>
    <row r="152" spans="3:16">
      <c r="C152" s="60"/>
      <c r="D152" s="39"/>
      <c r="E152" t="s">
        <v>183</v>
      </c>
      <c r="G152" s="71">
        <v>1</v>
      </c>
      <c r="H152" t="s">
        <v>184</v>
      </c>
    </row>
    <row r="153" spans="3:16">
      <c r="C153" s="60"/>
      <c r="D153" s="39"/>
    </row>
    <row r="154" spans="3:16">
      <c r="C154" s="60"/>
      <c r="D154" s="39"/>
      <c r="E154" s="132" t="s">
        <v>181</v>
      </c>
      <c r="F154" s="132"/>
      <c r="G154" s="132"/>
      <c r="H154" s="132"/>
      <c r="I154" s="132"/>
      <c r="J154" s="132"/>
      <c r="K154" s="132"/>
      <c r="L154" s="132"/>
      <c r="M154" s="132"/>
      <c r="N154" s="132"/>
      <c r="O154" s="132"/>
      <c r="P154" s="132"/>
    </row>
    <row r="155" spans="3:16">
      <c r="C155" s="60"/>
      <c r="D155" s="39"/>
    </row>
    <row r="156" spans="3:16" ht="17.25">
      <c r="G156" s="116" t="s">
        <v>350</v>
      </c>
      <c r="H156" s="131"/>
      <c r="I156" s="131"/>
      <c r="J156" s="131"/>
      <c r="K156" s="131"/>
      <c r="L156" s="131"/>
      <c r="M156" s="131"/>
      <c r="N156" s="131"/>
      <c r="O156" s="131"/>
      <c r="P156" s="131"/>
    </row>
    <row r="157" spans="3:16">
      <c r="E157" s="39" t="s">
        <v>191</v>
      </c>
      <c r="G157" s="60" t="str">
        <f>E76</f>
        <v>FMCG-F</v>
      </c>
      <c r="H157" s="60" t="str">
        <f>E77</f>
        <v>FMCG-N</v>
      </c>
      <c r="I157" s="60" t="str">
        <f>E78</f>
        <v>Non-food retail</v>
      </c>
      <c r="J157" s="60" t="str">
        <f>E79</f>
        <v>Gastronomy</v>
      </c>
      <c r="K157" s="60" t="str">
        <f>E80</f>
        <v>Bank</v>
      </c>
      <c r="L157" s="60" t="str">
        <f>E81</f>
        <v>Storage</v>
      </c>
      <c r="M157" s="60" t="str">
        <f>E82</f>
        <v>Parking</v>
      </c>
      <c r="N157" s="60" t="str">
        <f>E83</f>
        <v>Residential</v>
      </c>
      <c r="O157" s="60" t="str">
        <f>E84</f>
        <v>Office</v>
      </c>
      <c r="P157" s="60" t="str">
        <f>E85</f>
        <v>Other</v>
      </c>
    </row>
    <row r="158" spans="3:16">
      <c r="E158" s="72">
        <v>1</v>
      </c>
      <c r="G158" s="122">
        <v>1</v>
      </c>
      <c r="H158" s="123">
        <v>1</v>
      </c>
      <c r="I158" s="123">
        <v>1</v>
      </c>
      <c r="J158" s="123">
        <v>1</v>
      </c>
      <c r="K158" s="123">
        <v>1</v>
      </c>
      <c r="L158" s="123">
        <v>1</v>
      </c>
      <c r="M158" s="123">
        <v>1</v>
      </c>
      <c r="N158" s="123">
        <v>1</v>
      </c>
      <c r="O158" s="123">
        <v>1</v>
      </c>
      <c r="P158" s="124">
        <v>1</v>
      </c>
    </row>
    <row r="159" spans="3:16">
      <c r="E159" s="73">
        <f>+E158+1</f>
        <v>2</v>
      </c>
      <c r="G159" s="125">
        <v>1</v>
      </c>
      <c r="H159" s="126">
        <v>1</v>
      </c>
      <c r="I159" s="126">
        <v>1</v>
      </c>
      <c r="J159" s="126">
        <v>1</v>
      </c>
      <c r="K159" s="126">
        <v>1</v>
      </c>
      <c r="L159" s="126">
        <v>1</v>
      </c>
      <c r="M159" s="126">
        <v>1</v>
      </c>
      <c r="N159" s="126">
        <v>1</v>
      </c>
      <c r="O159" s="126">
        <v>1</v>
      </c>
      <c r="P159" s="127">
        <v>1</v>
      </c>
    </row>
    <row r="160" spans="3:16">
      <c r="E160" s="73">
        <f t="shared" ref="E160:E162" si="18">+E159+1</f>
        <v>3</v>
      </c>
      <c r="G160" s="125">
        <v>1</v>
      </c>
      <c r="H160" s="126">
        <v>1</v>
      </c>
      <c r="I160" s="126">
        <v>1</v>
      </c>
      <c r="J160" s="126">
        <v>1</v>
      </c>
      <c r="K160" s="126">
        <v>1</v>
      </c>
      <c r="L160" s="126">
        <v>1</v>
      </c>
      <c r="M160" s="126">
        <v>1</v>
      </c>
      <c r="N160" s="126">
        <v>1</v>
      </c>
      <c r="O160" s="126">
        <v>1</v>
      </c>
      <c r="P160" s="127">
        <v>1</v>
      </c>
    </row>
    <row r="161" spans="5:16">
      <c r="E161" s="73">
        <f t="shared" si="18"/>
        <v>4</v>
      </c>
      <c r="G161" s="125">
        <v>1</v>
      </c>
      <c r="H161" s="126">
        <v>1</v>
      </c>
      <c r="I161" s="126">
        <v>1</v>
      </c>
      <c r="J161" s="126">
        <v>1</v>
      </c>
      <c r="K161" s="126">
        <v>1</v>
      </c>
      <c r="L161" s="126">
        <v>1</v>
      </c>
      <c r="M161" s="126">
        <v>1</v>
      </c>
      <c r="N161" s="126">
        <v>1</v>
      </c>
      <c r="O161" s="126">
        <v>1</v>
      </c>
      <c r="P161" s="127">
        <v>1</v>
      </c>
    </row>
    <row r="162" spans="5:16">
      <c r="E162" s="74">
        <f t="shared" si="18"/>
        <v>5</v>
      </c>
      <c r="G162" s="128">
        <v>1</v>
      </c>
      <c r="H162" s="129">
        <v>1</v>
      </c>
      <c r="I162" s="129">
        <v>1</v>
      </c>
      <c r="J162" s="129">
        <v>1</v>
      </c>
      <c r="K162" s="129">
        <v>1</v>
      </c>
      <c r="L162" s="129">
        <v>1</v>
      </c>
      <c r="M162" s="129">
        <v>1</v>
      </c>
      <c r="N162" s="129">
        <v>1</v>
      </c>
      <c r="O162" s="129">
        <v>1</v>
      </c>
      <c r="P162" s="130">
        <v>1</v>
      </c>
    </row>
    <row r="164" spans="5:16">
      <c r="E164" s="132" t="s">
        <v>182</v>
      </c>
      <c r="F164" s="132"/>
      <c r="G164" s="132"/>
      <c r="H164" s="132"/>
      <c r="I164" s="132"/>
      <c r="J164" s="132"/>
      <c r="K164" s="132"/>
      <c r="L164" s="132"/>
      <c r="M164" s="132"/>
      <c r="N164" s="132"/>
      <c r="O164" s="132"/>
      <c r="P164" s="132"/>
    </row>
    <row r="166" spans="5:16" ht="17.25">
      <c r="G166" s="116" t="s">
        <v>350</v>
      </c>
      <c r="H166" s="131"/>
      <c r="I166" s="131"/>
      <c r="J166" s="131"/>
      <c r="K166" s="131"/>
      <c r="L166" s="131"/>
      <c r="M166" s="131"/>
      <c r="N166" s="131"/>
      <c r="O166" s="131"/>
      <c r="P166" s="131"/>
    </row>
    <row r="167" spans="5:16">
      <c r="E167" s="39" t="s">
        <v>191</v>
      </c>
      <c r="G167" s="60" t="str">
        <f>G157</f>
        <v>FMCG-F</v>
      </c>
      <c r="H167" s="60" t="str">
        <f t="shared" ref="H167:K167" si="19">H157</f>
        <v>FMCG-N</v>
      </c>
      <c r="I167" s="60" t="str">
        <f t="shared" si="19"/>
        <v>Non-food retail</v>
      </c>
      <c r="J167" s="60" t="str">
        <f t="shared" si="19"/>
        <v>Gastronomy</v>
      </c>
      <c r="K167" s="60" t="str">
        <f t="shared" si="19"/>
        <v>Bank</v>
      </c>
      <c r="L167" s="60" t="str">
        <f>L157</f>
        <v>Storage</v>
      </c>
      <c r="M167" s="60" t="str">
        <f>M157</f>
        <v>Parking</v>
      </c>
      <c r="N167" s="60" t="str">
        <f>N157</f>
        <v>Residential</v>
      </c>
      <c r="O167" s="60" t="str">
        <f>O157</f>
        <v>Office</v>
      </c>
      <c r="P167" s="60" t="str">
        <f>P157</f>
        <v>Other</v>
      </c>
    </row>
    <row r="168" spans="5:16">
      <c r="E168" s="72">
        <v>1</v>
      </c>
      <c r="G168" s="122">
        <v>1</v>
      </c>
      <c r="H168" s="123">
        <v>1</v>
      </c>
      <c r="I168" s="123">
        <v>1</v>
      </c>
      <c r="J168" s="123">
        <v>1</v>
      </c>
      <c r="K168" s="123">
        <v>1</v>
      </c>
      <c r="L168" s="123">
        <v>1</v>
      </c>
      <c r="M168" s="123">
        <v>1</v>
      </c>
      <c r="N168" s="123">
        <v>1</v>
      </c>
      <c r="O168" s="123">
        <v>1</v>
      </c>
      <c r="P168" s="124">
        <v>1</v>
      </c>
    </row>
    <row r="169" spans="5:16">
      <c r="E169" s="73">
        <f>+E168+1</f>
        <v>2</v>
      </c>
      <c r="G169" s="125">
        <v>1</v>
      </c>
      <c r="H169" s="126">
        <v>1</v>
      </c>
      <c r="I169" s="126">
        <v>1</v>
      </c>
      <c r="J169" s="126">
        <v>1</v>
      </c>
      <c r="K169" s="126">
        <v>1</v>
      </c>
      <c r="L169" s="126">
        <v>1</v>
      </c>
      <c r="M169" s="126">
        <v>1</v>
      </c>
      <c r="N169" s="126">
        <v>1</v>
      </c>
      <c r="O169" s="126">
        <v>1</v>
      </c>
      <c r="P169" s="127">
        <v>1</v>
      </c>
    </row>
    <row r="170" spans="5:16">
      <c r="E170" s="73">
        <f t="shared" ref="E170:E172" si="20">+E169+1</f>
        <v>3</v>
      </c>
      <c r="G170" s="125">
        <v>1</v>
      </c>
      <c r="H170" s="126">
        <v>1</v>
      </c>
      <c r="I170" s="126">
        <v>1</v>
      </c>
      <c r="J170" s="126">
        <v>1</v>
      </c>
      <c r="K170" s="126">
        <v>1</v>
      </c>
      <c r="L170" s="126">
        <v>1</v>
      </c>
      <c r="M170" s="126">
        <v>1</v>
      </c>
      <c r="N170" s="126">
        <v>1</v>
      </c>
      <c r="O170" s="126">
        <v>1</v>
      </c>
      <c r="P170" s="127">
        <v>1</v>
      </c>
    </row>
    <row r="171" spans="5:16">
      <c r="E171" s="73">
        <f t="shared" si="20"/>
        <v>4</v>
      </c>
      <c r="G171" s="125">
        <v>1</v>
      </c>
      <c r="H171" s="126">
        <v>1</v>
      </c>
      <c r="I171" s="126">
        <v>1</v>
      </c>
      <c r="J171" s="126">
        <v>1</v>
      </c>
      <c r="K171" s="126">
        <v>1</v>
      </c>
      <c r="L171" s="126">
        <v>1</v>
      </c>
      <c r="M171" s="126">
        <v>1</v>
      </c>
      <c r="N171" s="126">
        <v>1</v>
      </c>
      <c r="O171" s="126">
        <v>1</v>
      </c>
      <c r="P171" s="127">
        <v>1</v>
      </c>
    </row>
    <row r="172" spans="5:16">
      <c r="E172" s="74">
        <f t="shared" si="20"/>
        <v>5</v>
      </c>
      <c r="G172" s="128">
        <v>1</v>
      </c>
      <c r="H172" s="129">
        <v>1</v>
      </c>
      <c r="I172" s="129">
        <v>1</v>
      </c>
      <c r="J172" s="129">
        <v>1</v>
      </c>
      <c r="K172" s="129">
        <v>1</v>
      </c>
      <c r="L172" s="129">
        <v>1</v>
      </c>
      <c r="M172" s="129">
        <v>1</v>
      </c>
      <c r="N172" s="129">
        <v>1</v>
      </c>
      <c r="O172" s="129">
        <v>1</v>
      </c>
      <c r="P172" s="130">
        <v>1</v>
      </c>
    </row>
    <row r="174" spans="5:16">
      <c r="E174" s="132" t="s">
        <v>193</v>
      </c>
      <c r="F174" s="132"/>
      <c r="G174" s="132"/>
    </row>
    <row r="176" spans="5:16">
      <c r="E176" s="39" t="s">
        <v>350</v>
      </c>
      <c r="G176" s="60" t="s">
        <v>185</v>
      </c>
    </row>
    <row r="177" spans="5:16">
      <c r="E177" s="133" t="str">
        <f t="shared" ref="E177:E186" si="21">E76</f>
        <v>FMCG-F</v>
      </c>
      <c r="G177" s="72">
        <v>6</v>
      </c>
    </row>
    <row r="178" spans="5:16">
      <c r="E178" s="134" t="str">
        <f t="shared" si="21"/>
        <v>FMCG-N</v>
      </c>
      <c r="G178" s="73">
        <v>6</v>
      </c>
    </row>
    <row r="179" spans="5:16">
      <c r="E179" s="134" t="str">
        <f t="shared" si="21"/>
        <v>Non-food retail</v>
      </c>
      <c r="G179" s="73">
        <v>6</v>
      </c>
    </row>
    <row r="180" spans="5:16">
      <c r="E180" s="134" t="str">
        <f t="shared" si="21"/>
        <v>Gastronomy</v>
      </c>
      <c r="G180" s="73">
        <v>6</v>
      </c>
    </row>
    <row r="181" spans="5:16">
      <c r="E181" s="134" t="str">
        <f t="shared" si="21"/>
        <v>Bank</v>
      </c>
      <c r="G181" s="73">
        <v>6</v>
      </c>
    </row>
    <row r="182" spans="5:16">
      <c r="E182" s="134" t="str">
        <f t="shared" si="21"/>
        <v>Storage</v>
      </c>
      <c r="G182" s="73">
        <v>6</v>
      </c>
    </row>
    <row r="183" spans="5:16">
      <c r="E183" s="134" t="str">
        <f t="shared" si="21"/>
        <v>Parking</v>
      </c>
      <c r="G183" s="73">
        <v>6</v>
      </c>
    </row>
    <row r="184" spans="5:16">
      <c r="E184" s="134" t="str">
        <f t="shared" si="21"/>
        <v>Residential</v>
      </c>
      <c r="G184" s="73">
        <v>6</v>
      </c>
    </row>
    <row r="185" spans="5:16">
      <c r="E185" s="134" t="str">
        <f t="shared" si="21"/>
        <v>Office</v>
      </c>
      <c r="G185" s="73">
        <v>6</v>
      </c>
    </row>
    <row r="186" spans="5:16">
      <c r="E186" s="135" t="str">
        <f t="shared" si="21"/>
        <v>Other</v>
      </c>
      <c r="G186" s="74">
        <v>6</v>
      </c>
    </row>
    <row r="188" spans="5:16">
      <c r="E188" s="132" t="s">
        <v>1375</v>
      </c>
      <c r="F188" s="132"/>
      <c r="G188" s="132"/>
      <c r="H188" s="132"/>
      <c r="I188" s="132"/>
      <c r="J188" s="132"/>
      <c r="K188" s="132"/>
      <c r="L188" s="132"/>
      <c r="M188" s="132"/>
      <c r="N188" s="132"/>
      <c r="O188" s="132"/>
      <c r="P188" s="132"/>
    </row>
    <row r="190" spans="5:16" ht="17.25">
      <c r="G190" s="116" t="s">
        <v>350</v>
      </c>
      <c r="H190" s="131"/>
      <c r="I190" s="131"/>
      <c r="J190" s="131"/>
      <c r="K190" s="131"/>
      <c r="L190" s="131"/>
      <c r="M190" s="131"/>
      <c r="N190" s="131"/>
      <c r="O190" s="131"/>
      <c r="P190" s="131"/>
    </row>
    <row r="191" spans="5:16">
      <c r="E191" s="39" t="s">
        <v>186</v>
      </c>
      <c r="G191" s="60" t="str">
        <f>G167</f>
        <v>FMCG-F</v>
      </c>
      <c r="H191" s="60" t="str">
        <f t="shared" ref="H191:K191" si="22">H167</f>
        <v>FMCG-N</v>
      </c>
      <c r="I191" s="60" t="str">
        <f t="shared" si="22"/>
        <v>Non-food retail</v>
      </c>
      <c r="J191" s="60" t="str">
        <f t="shared" si="22"/>
        <v>Gastronomy</v>
      </c>
      <c r="K191" s="60" t="str">
        <f t="shared" si="22"/>
        <v>Bank</v>
      </c>
      <c r="L191" s="60" t="str">
        <f>L167</f>
        <v>Storage</v>
      </c>
      <c r="M191" s="60" t="str">
        <f>M167</f>
        <v>Parking</v>
      </c>
      <c r="N191" s="60" t="str">
        <f>N167</f>
        <v>Residential</v>
      </c>
      <c r="O191" s="60" t="str">
        <f>O167</f>
        <v>Office</v>
      </c>
      <c r="P191" s="60" t="str">
        <f>P167</f>
        <v>Other</v>
      </c>
    </row>
    <row r="192" spans="5:16">
      <c r="E192" s="72">
        <v>1</v>
      </c>
      <c r="G192" s="136">
        <v>0</v>
      </c>
      <c r="H192" s="137">
        <v>0</v>
      </c>
      <c r="I192" s="137">
        <v>0</v>
      </c>
      <c r="J192" s="137">
        <v>0</v>
      </c>
      <c r="K192" s="137">
        <v>0</v>
      </c>
      <c r="L192" s="137">
        <v>0</v>
      </c>
      <c r="M192" s="137">
        <v>0</v>
      </c>
      <c r="N192" s="137">
        <v>0</v>
      </c>
      <c r="O192" s="137">
        <v>0</v>
      </c>
      <c r="P192" s="138">
        <v>0</v>
      </c>
    </row>
    <row r="193" spans="3:16">
      <c r="E193" s="73">
        <f>+E192+1</f>
        <v>2</v>
      </c>
      <c r="G193" s="139">
        <v>0</v>
      </c>
      <c r="H193" s="140">
        <v>0</v>
      </c>
      <c r="I193" s="140">
        <v>0</v>
      </c>
      <c r="J193" s="140">
        <v>0</v>
      </c>
      <c r="K193" s="140">
        <v>0</v>
      </c>
      <c r="L193" s="140">
        <v>0</v>
      </c>
      <c r="M193" s="140">
        <v>0</v>
      </c>
      <c r="N193" s="140">
        <v>0</v>
      </c>
      <c r="O193" s="140">
        <v>0</v>
      </c>
      <c r="P193" s="141">
        <v>0</v>
      </c>
    </row>
    <row r="194" spans="3:16">
      <c r="E194" s="73">
        <f t="shared" ref="E194:E196" si="23">+E193+1</f>
        <v>3</v>
      </c>
      <c r="G194" s="139">
        <v>0</v>
      </c>
      <c r="H194" s="140">
        <v>0</v>
      </c>
      <c r="I194" s="140">
        <v>0</v>
      </c>
      <c r="J194" s="140">
        <v>0</v>
      </c>
      <c r="K194" s="140">
        <v>0</v>
      </c>
      <c r="L194" s="140">
        <v>0</v>
      </c>
      <c r="M194" s="140">
        <v>0</v>
      </c>
      <c r="N194" s="140">
        <v>0</v>
      </c>
      <c r="O194" s="140">
        <v>0</v>
      </c>
      <c r="P194" s="141">
        <v>0</v>
      </c>
    </row>
    <row r="195" spans="3:16">
      <c r="E195" s="73">
        <f t="shared" si="23"/>
        <v>4</v>
      </c>
      <c r="G195" s="139">
        <v>0</v>
      </c>
      <c r="H195" s="140">
        <v>0</v>
      </c>
      <c r="I195" s="140">
        <v>0</v>
      </c>
      <c r="J195" s="140">
        <v>0</v>
      </c>
      <c r="K195" s="140">
        <v>0</v>
      </c>
      <c r="L195" s="140">
        <v>0</v>
      </c>
      <c r="M195" s="140">
        <v>0</v>
      </c>
      <c r="N195" s="140">
        <v>0</v>
      </c>
      <c r="O195" s="140">
        <v>0</v>
      </c>
      <c r="P195" s="141">
        <v>0</v>
      </c>
    </row>
    <row r="196" spans="3:16">
      <c r="E196" s="74">
        <f t="shared" si="23"/>
        <v>5</v>
      </c>
      <c r="G196" s="142">
        <v>0</v>
      </c>
      <c r="H196" s="143">
        <v>0</v>
      </c>
      <c r="I196" s="143">
        <v>0</v>
      </c>
      <c r="J196" s="143">
        <v>0</v>
      </c>
      <c r="K196" s="143">
        <v>0</v>
      </c>
      <c r="L196" s="143">
        <v>0</v>
      </c>
      <c r="M196" s="143">
        <v>0</v>
      </c>
      <c r="N196" s="143">
        <v>0</v>
      </c>
      <c r="O196" s="143">
        <v>0</v>
      </c>
      <c r="P196" s="144">
        <v>0</v>
      </c>
    </row>
    <row r="199" spans="3:16">
      <c r="C199" s="60">
        <f>MAX($B$1:C198)+0.1</f>
        <v>5.1999999999999993</v>
      </c>
      <c r="D199" s="39" t="s">
        <v>187</v>
      </c>
    </row>
    <row r="201" spans="3:16">
      <c r="E201" t="s">
        <v>188</v>
      </c>
      <c r="G201" s="47">
        <f>G53</f>
        <v>44256</v>
      </c>
    </row>
    <row r="203" spans="3:16">
      <c r="E203" t="s">
        <v>199</v>
      </c>
      <c r="G203" s="71">
        <v>3</v>
      </c>
      <c r="H203" t="s">
        <v>189</v>
      </c>
    </row>
    <row r="205" spans="3:16">
      <c r="E205" s="132" t="s">
        <v>190</v>
      </c>
      <c r="F205" s="132"/>
      <c r="G205" s="132"/>
      <c r="H205" s="132"/>
      <c r="I205" s="132"/>
      <c r="J205" s="132"/>
      <c r="K205" s="132"/>
      <c r="L205" s="132"/>
      <c r="M205" s="132"/>
      <c r="N205" s="132"/>
      <c r="O205" s="132"/>
      <c r="P205" s="132"/>
    </row>
    <row r="207" spans="3:16" ht="17.25">
      <c r="G207" s="116" t="s">
        <v>350</v>
      </c>
      <c r="H207" s="131"/>
      <c r="I207" s="131"/>
      <c r="J207" s="131"/>
      <c r="K207" s="131"/>
      <c r="L207" s="131"/>
      <c r="M207" s="131"/>
      <c r="N207" s="131"/>
      <c r="O207" s="131"/>
      <c r="P207" s="131"/>
    </row>
    <row r="208" spans="3:16">
      <c r="E208" s="39" t="s">
        <v>191</v>
      </c>
      <c r="G208" s="60" t="str">
        <f>G157</f>
        <v>FMCG-F</v>
      </c>
      <c r="H208" s="60" t="str">
        <f t="shared" ref="H208:K208" si="24">H157</f>
        <v>FMCG-N</v>
      </c>
      <c r="I208" s="60" t="str">
        <f t="shared" si="24"/>
        <v>Non-food retail</v>
      </c>
      <c r="J208" s="60" t="str">
        <f t="shared" si="24"/>
        <v>Gastronomy</v>
      </c>
      <c r="K208" s="60" t="str">
        <f t="shared" si="24"/>
        <v>Bank</v>
      </c>
      <c r="L208" s="60" t="str">
        <f>L157</f>
        <v>Storage</v>
      </c>
      <c r="M208" s="60" t="str">
        <f>M157</f>
        <v>Parking</v>
      </c>
      <c r="N208" s="60" t="str">
        <f>N157</f>
        <v>Residential</v>
      </c>
      <c r="O208" s="60" t="str">
        <f>O157</f>
        <v>Office</v>
      </c>
      <c r="P208" s="60" t="str">
        <f>P157</f>
        <v>Other</v>
      </c>
    </row>
    <row r="209" spans="5:16">
      <c r="E209" s="72">
        <v>1</v>
      </c>
      <c r="G209" s="136">
        <v>12</v>
      </c>
      <c r="H209" s="137">
        <v>12</v>
      </c>
      <c r="I209" s="137">
        <v>12</v>
      </c>
      <c r="J209" s="137">
        <v>12</v>
      </c>
      <c r="K209" s="137">
        <v>12</v>
      </c>
      <c r="L209" s="137">
        <v>12</v>
      </c>
      <c r="M209" s="137">
        <v>12</v>
      </c>
      <c r="N209" s="137">
        <v>12</v>
      </c>
      <c r="O209" s="137">
        <v>12</v>
      </c>
      <c r="P209" s="138">
        <v>12</v>
      </c>
    </row>
    <row r="210" spans="5:16">
      <c r="E210" s="73">
        <f>+E209+1</f>
        <v>2</v>
      </c>
      <c r="G210" s="139">
        <v>12</v>
      </c>
      <c r="H210" s="140">
        <v>12</v>
      </c>
      <c r="I210" s="140">
        <v>12</v>
      </c>
      <c r="J210" s="140">
        <v>12</v>
      </c>
      <c r="K210" s="140">
        <v>12</v>
      </c>
      <c r="L210" s="140">
        <v>12</v>
      </c>
      <c r="M210" s="140">
        <v>12</v>
      </c>
      <c r="N210" s="140">
        <v>12</v>
      </c>
      <c r="O210" s="140">
        <v>12</v>
      </c>
      <c r="P210" s="141">
        <v>12</v>
      </c>
    </row>
    <row r="211" spans="5:16">
      <c r="E211" s="73">
        <f t="shared" ref="E211:E213" si="25">+E210+1</f>
        <v>3</v>
      </c>
      <c r="G211" s="139">
        <v>12</v>
      </c>
      <c r="H211" s="140">
        <v>12</v>
      </c>
      <c r="I211" s="140">
        <v>12</v>
      </c>
      <c r="J211" s="140">
        <v>12</v>
      </c>
      <c r="K211" s="140">
        <v>12</v>
      </c>
      <c r="L211" s="140">
        <v>12</v>
      </c>
      <c r="M211" s="140">
        <v>12</v>
      </c>
      <c r="N211" s="140">
        <v>12</v>
      </c>
      <c r="O211" s="140">
        <v>12</v>
      </c>
      <c r="P211" s="141">
        <v>12</v>
      </c>
    </row>
    <row r="212" spans="5:16">
      <c r="E212" s="73">
        <f t="shared" si="25"/>
        <v>4</v>
      </c>
      <c r="G212" s="139">
        <v>12</v>
      </c>
      <c r="H212" s="140">
        <v>12</v>
      </c>
      <c r="I212" s="140">
        <v>12</v>
      </c>
      <c r="J212" s="140">
        <v>12</v>
      </c>
      <c r="K212" s="140">
        <v>12</v>
      </c>
      <c r="L212" s="140">
        <v>12</v>
      </c>
      <c r="M212" s="140">
        <v>12</v>
      </c>
      <c r="N212" s="140">
        <v>12</v>
      </c>
      <c r="O212" s="140">
        <v>12</v>
      </c>
      <c r="P212" s="141">
        <v>12</v>
      </c>
    </row>
    <row r="213" spans="5:16">
      <c r="E213" s="74">
        <f t="shared" si="25"/>
        <v>5</v>
      </c>
      <c r="G213" s="142">
        <v>12</v>
      </c>
      <c r="H213" s="143">
        <v>12</v>
      </c>
      <c r="I213" s="143">
        <v>12</v>
      </c>
      <c r="J213" s="143">
        <v>12</v>
      </c>
      <c r="K213" s="143">
        <v>12</v>
      </c>
      <c r="L213" s="143">
        <v>12</v>
      </c>
      <c r="M213" s="143">
        <v>12</v>
      </c>
      <c r="N213" s="143">
        <v>12</v>
      </c>
      <c r="O213" s="143">
        <v>12</v>
      </c>
      <c r="P213" s="144">
        <v>12</v>
      </c>
    </row>
    <row r="215" spans="5:16">
      <c r="E215" s="132" t="s">
        <v>192</v>
      </c>
      <c r="F215" s="132"/>
      <c r="G215" s="132"/>
    </row>
    <row r="217" spans="5:16">
      <c r="E217" s="39" t="s">
        <v>350</v>
      </c>
      <c r="G217" s="60" t="s">
        <v>185</v>
      </c>
    </row>
    <row r="218" spans="5:16">
      <c r="E218" s="133" t="str">
        <f>E177</f>
        <v>FMCG-F</v>
      </c>
      <c r="G218" s="72">
        <v>12</v>
      </c>
    </row>
    <row r="219" spans="5:16">
      <c r="E219" s="134" t="str">
        <f t="shared" ref="E219:E227" si="26">E178</f>
        <v>FMCG-N</v>
      </c>
      <c r="G219" s="73">
        <v>12</v>
      </c>
    </row>
    <row r="220" spans="5:16">
      <c r="E220" s="134" t="str">
        <f t="shared" si="26"/>
        <v>Non-food retail</v>
      </c>
      <c r="G220" s="73">
        <v>12</v>
      </c>
    </row>
    <row r="221" spans="5:16">
      <c r="E221" s="134" t="str">
        <f t="shared" si="26"/>
        <v>Gastronomy</v>
      </c>
      <c r="G221" s="73">
        <v>12</v>
      </c>
    </row>
    <row r="222" spans="5:16">
      <c r="E222" s="134" t="str">
        <f t="shared" si="26"/>
        <v>Bank</v>
      </c>
      <c r="G222" s="73">
        <v>12</v>
      </c>
    </row>
    <row r="223" spans="5:16">
      <c r="E223" s="134" t="str">
        <f t="shared" si="26"/>
        <v>Storage</v>
      </c>
      <c r="G223" s="73">
        <v>12</v>
      </c>
    </row>
    <row r="224" spans="5:16">
      <c r="E224" s="134" t="str">
        <f t="shared" si="26"/>
        <v>Parking</v>
      </c>
      <c r="G224" s="73">
        <v>12</v>
      </c>
    </row>
    <row r="225" spans="3:16">
      <c r="E225" s="134" t="str">
        <f t="shared" si="26"/>
        <v>Residential</v>
      </c>
      <c r="G225" s="73">
        <v>12</v>
      </c>
    </row>
    <row r="226" spans="3:16">
      <c r="E226" s="134" t="str">
        <f t="shared" si="26"/>
        <v>Office</v>
      </c>
      <c r="G226" s="73">
        <v>12</v>
      </c>
    </row>
    <row r="227" spans="3:16">
      <c r="E227" s="135" t="str">
        <f t="shared" si="26"/>
        <v>Other</v>
      </c>
      <c r="G227" s="74">
        <v>12</v>
      </c>
    </row>
    <row r="229" spans="3:16">
      <c r="E229" s="132" t="s">
        <v>1376</v>
      </c>
      <c r="F229" s="132"/>
      <c r="G229" s="132"/>
      <c r="H229" s="132"/>
      <c r="I229" s="132"/>
      <c r="J229" s="132"/>
      <c r="K229" s="132"/>
      <c r="L229" s="132"/>
      <c r="M229" s="132"/>
      <c r="N229" s="132"/>
      <c r="O229" s="132"/>
      <c r="P229" s="132"/>
    </row>
    <row r="231" spans="3:16" ht="17.25">
      <c r="G231" s="116" t="s">
        <v>350</v>
      </c>
      <c r="H231" s="131"/>
      <c r="I231" s="131"/>
      <c r="J231" s="131"/>
      <c r="K231" s="131"/>
      <c r="L231" s="131"/>
      <c r="M231" s="131"/>
      <c r="N231" s="131"/>
      <c r="O231" s="131"/>
      <c r="P231" s="131"/>
    </row>
    <row r="232" spans="3:16">
      <c r="E232" s="39" t="s">
        <v>186</v>
      </c>
      <c r="G232" s="60" t="str">
        <f>G157</f>
        <v>FMCG-F</v>
      </c>
      <c r="H232" s="60" t="str">
        <f t="shared" ref="H232:K232" si="27">H157</f>
        <v>FMCG-N</v>
      </c>
      <c r="I232" s="60" t="str">
        <f t="shared" si="27"/>
        <v>Non-food retail</v>
      </c>
      <c r="J232" s="60" t="str">
        <f t="shared" si="27"/>
        <v>Gastronomy</v>
      </c>
      <c r="K232" s="60" t="str">
        <f t="shared" si="27"/>
        <v>Bank</v>
      </c>
      <c r="L232" s="60" t="str">
        <f>L157</f>
        <v>Storage</v>
      </c>
      <c r="M232" s="60" t="str">
        <f>M157</f>
        <v>Parking</v>
      </c>
      <c r="N232" s="60" t="str">
        <f>N157</f>
        <v>Residential</v>
      </c>
      <c r="O232" s="60" t="str">
        <f>O157</f>
        <v>Office</v>
      </c>
      <c r="P232" s="60" t="str">
        <f>P157</f>
        <v>Other</v>
      </c>
    </row>
    <row r="233" spans="3:16">
      <c r="E233" s="72">
        <v>1</v>
      </c>
      <c r="G233" s="136">
        <v>0</v>
      </c>
      <c r="H233" s="137">
        <v>0</v>
      </c>
      <c r="I233" s="137">
        <v>0</v>
      </c>
      <c r="J233" s="137">
        <v>0</v>
      </c>
      <c r="K233" s="137">
        <v>0</v>
      </c>
      <c r="L233" s="137">
        <v>0</v>
      </c>
      <c r="M233" s="137">
        <v>0</v>
      </c>
      <c r="N233" s="137">
        <v>0</v>
      </c>
      <c r="O233" s="137">
        <v>0</v>
      </c>
      <c r="P233" s="138">
        <v>0</v>
      </c>
    </row>
    <row r="234" spans="3:16">
      <c r="E234" s="73">
        <f>+E233+1</f>
        <v>2</v>
      </c>
      <c r="G234" s="139">
        <v>0</v>
      </c>
      <c r="H234" s="140">
        <v>0</v>
      </c>
      <c r="I234" s="140">
        <v>0</v>
      </c>
      <c r="J234" s="140">
        <v>0</v>
      </c>
      <c r="K234" s="140">
        <v>0</v>
      </c>
      <c r="L234" s="140">
        <v>0</v>
      </c>
      <c r="M234" s="140">
        <v>0</v>
      </c>
      <c r="N234" s="140">
        <v>0</v>
      </c>
      <c r="O234" s="140">
        <v>0</v>
      </c>
      <c r="P234" s="141">
        <v>0</v>
      </c>
    </row>
    <row r="235" spans="3:16">
      <c r="E235" s="73">
        <f t="shared" ref="E235:E237" si="28">+E234+1</f>
        <v>3</v>
      </c>
      <c r="G235" s="139">
        <v>0</v>
      </c>
      <c r="H235" s="140">
        <v>0</v>
      </c>
      <c r="I235" s="140">
        <v>0</v>
      </c>
      <c r="J235" s="140">
        <v>0</v>
      </c>
      <c r="K235" s="140">
        <v>0</v>
      </c>
      <c r="L235" s="140">
        <v>0</v>
      </c>
      <c r="M235" s="140">
        <v>0</v>
      </c>
      <c r="N235" s="140">
        <v>0</v>
      </c>
      <c r="O235" s="140">
        <v>0</v>
      </c>
      <c r="P235" s="141">
        <v>0</v>
      </c>
    </row>
    <row r="236" spans="3:16">
      <c r="E236" s="73">
        <f t="shared" si="28"/>
        <v>4</v>
      </c>
      <c r="G236" s="139">
        <v>0</v>
      </c>
      <c r="H236" s="140">
        <v>0</v>
      </c>
      <c r="I236" s="140">
        <v>0</v>
      </c>
      <c r="J236" s="140">
        <v>0</v>
      </c>
      <c r="K236" s="140">
        <v>0</v>
      </c>
      <c r="L236" s="140">
        <v>0</v>
      </c>
      <c r="M236" s="140">
        <v>0</v>
      </c>
      <c r="N236" s="140">
        <v>0</v>
      </c>
      <c r="O236" s="140">
        <v>0</v>
      </c>
      <c r="P236" s="141">
        <v>0</v>
      </c>
    </row>
    <row r="237" spans="3:16">
      <c r="E237" s="74">
        <f t="shared" si="28"/>
        <v>5</v>
      </c>
      <c r="G237" s="142">
        <v>0</v>
      </c>
      <c r="H237" s="143">
        <v>0</v>
      </c>
      <c r="I237" s="143">
        <v>0</v>
      </c>
      <c r="J237" s="143">
        <v>0</v>
      </c>
      <c r="K237" s="143">
        <v>0</v>
      </c>
      <c r="L237" s="143">
        <v>0</v>
      </c>
      <c r="M237" s="143">
        <v>0</v>
      </c>
      <c r="N237" s="143">
        <v>0</v>
      </c>
      <c r="O237" s="143">
        <v>0</v>
      </c>
      <c r="P237" s="144">
        <v>0</v>
      </c>
    </row>
    <row r="240" spans="3:16">
      <c r="C240" s="60">
        <f>MAX($B$1:C239)+0.1</f>
        <v>5.2999999999999989</v>
      </c>
      <c r="D240" s="39" t="s">
        <v>198</v>
      </c>
    </row>
    <row r="242" spans="5:16">
      <c r="E242" t="s">
        <v>194</v>
      </c>
      <c r="G242" s="47">
        <f>G53</f>
        <v>44256</v>
      </c>
    </row>
    <row r="243" spans="5:16">
      <c r="G243" s="145"/>
    </row>
    <row r="244" spans="5:16">
      <c r="E244" t="s">
        <v>199</v>
      </c>
      <c r="G244" s="71">
        <v>3</v>
      </c>
      <c r="H244" t="s">
        <v>189</v>
      </c>
    </row>
    <row r="246" spans="5:16">
      <c r="E246" s="132" t="s">
        <v>190</v>
      </c>
      <c r="F246" s="132"/>
      <c r="G246" s="132"/>
      <c r="H246" s="132"/>
      <c r="I246" s="132"/>
      <c r="J246" s="132"/>
      <c r="K246" s="132"/>
      <c r="L246" s="132"/>
      <c r="M246" s="132"/>
      <c r="N246" s="132"/>
      <c r="O246" s="132"/>
      <c r="P246" s="132"/>
    </row>
    <row r="248" spans="5:16" ht="17.25">
      <c r="G248" s="116" t="s">
        <v>350</v>
      </c>
      <c r="H248" s="131"/>
      <c r="I248" s="131"/>
      <c r="J248" s="131"/>
      <c r="K248" s="131"/>
      <c r="L248" s="131"/>
      <c r="M248" s="131"/>
      <c r="N248" s="131"/>
      <c r="O248" s="131"/>
      <c r="P248" s="131"/>
    </row>
    <row r="249" spans="5:16">
      <c r="E249" s="39" t="s">
        <v>191</v>
      </c>
      <c r="G249" s="60" t="str">
        <f>G157</f>
        <v>FMCG-F</v>
      </c>
      <c r="H249" s="60" t="str">
        <f t="shared" ref="H249:K249" si="29">H157</f>
        <v>FMCG-N</v>
      </c>
      <c r="I249" s="60" t="str">
        <f t="shared" si="29"/>
        <v>Non-food retail</v>
      </c>
      <c r="J249" s="60" t="str">
        <f t="shared" si="29"/>
        <v>Gastronomy</v>
      </c>
      <c r="K249" s="60" t="str">
        <f t="shared" si="29"/>
        <v>Bank</v>
      </c>
      <c r="L249" s="60" t="str">
        <f>L157</f>
        <v>Storage</v>
      </c>
      <c r="M249" s="60" t="str">
        <f>M157</f>
        <v>Parking</v>
      </c>
      <c r="N249" s="60" t="str">
        <f>N157</f>
        <v>Residential</v>
      </c>
      <c r="O249" s="60" t="str">
        <f>O157</f>
        <v>Office</v>
      </c>
      <c r="P249" s="60" t="str">
        <f>P157</f>
        <v>Other</v>
      </c>
    </row>
    <row r="250" spans="5:16">
      <c r="E250" s="72">
        <v>1</v>
      </c>
      <c r="G250" s="136">
        <v>12</v>
      </c>
      <c r="H250" s="137">
        <v>12</v>
      </c>
      <c r="I250" s="137">
        <v>12</v>
      </c>
      <c r="J250" s="137">
        <v>12</v>
      </c>
      <c r="K250" s="137">
        <v>12</v>
      </c>
      <c r="L250" s="137">
        <v>12</v>
      </c>
      <c r="M250" s="137">
        <v>12</v>
      </c>
      <c r="N250" s="137">
        <v>12</v>
      </c>
      <c r="O250" s="137">
        <v>12</v>
      </c>
      <c r="P250" s="138">
        <v>12</v>
      </c>
    </row>
    <row r="251" spans="5:16">
      <c r="E251" s="73">
        <f>+E250+1</f>
        <v>2</v>
      </c>
      <c r="G251" s="139">
        <v>12</v>
      </c>
      <c r="H251" s="140">
        <v>12</v>
      </c>
      <c r="I251" s="140">
        <v>12</v>
      </c>
      <c r="J251" s="140">
        <v>12</v>
      </c>
      <c r="K251" s="140">
        <v>12</v>
      </c>
      <c r="L251" s="140">
        <v>12</v>
      </c>
      <c r="M251" s="140">
        <v>12</v>
      </c>
      <c r="N251" s="140">
        <v>12</v>
      </c>
      <c r="O251" s="140">
        <v>12</v>
      </c>
      <c r="P251" s="141">
        <v>12</v>
      </c>
    </row>
    <row r="252" spans="5:16">
      <c r="E252" s="73">
        <f t="shared" ref="E252:E254" si="30">+E251+1</f>
        <v>3</v>
      </c>
      <c r="G252" s="139">
        <v>12</v>
      </c>
      <c r="H252" s="140">
        <v>12</v>
      </c>
      <c r="I252" s="140">
        <v>12</v>
      </c>
      <c r="J252" s="140">
        <v>12</v>
      </c>
      <c r="K252" s="140">
        <v>12</v>
      </c>
      <c r="L252" s="140">
        <v>12</v>
      </c>
      <c r="M252" s="140">
        <v>12</v>
      </c>
      <c r="N252" s="140">
        <v>12</v>
      </c>
      <c r="O252" s="140">
        <v>12</v>
      </c>
      <c r="P252" s="141">
        <v>12</v>
      </c>
    </row>
    <row r="253" spans="5:16">
      <c r="E253" s="73">
        <f t="shared" si="30"/>
        <v>4</v>
      </c>
      <c r="G253" s="139">
        <v>12</v>
      </c>
      <c r="H253" s="140">
        <v>12</v>
      </c>
      <c r="I253" s="140">
        <v>12</v>
      </c>
      <c r="J253" s="140">
        <v>12</v>
      </c>
      <c r="K253" s="140">
        <v>12</v>
      </c>
      <c r="L253" s="140">
        <v>12</v>
      </c>
      <c r="M253" s="140">
        <v>12</v>
      </c>
      <c r="N253" s="140">
        <v>12</v>
      </c>
      <c r="O253" s="140">
        <v>12</v>
      </c>
      <c r="P253" s="141">
        <v>12</v>
      </c>
    </row>
    <row r="254" spans="5:16">
      <c r="E254" s="74">
        <f t="shared" si="30"/>
        <v>5</v>
      </c>
      <c r="G254" s="142">
        <v>12</v>
      </c>
      <c r="H254" s="143">
        <v>12</v>
      </c>
      <c r="I254" s="143">
        <v>12</v>
      </c>
      <c r="J254" s="143">
        <v>12</v>
      </c>
      <c r="K254" s="143">
        <v>12</v>
      </c>
      <c r="L254" s="143">
        <v>12</v>
      </c>
      <c r="M254" s="143">
        <v>12</v>
      </c>
      <c r="N254" s="143">
        <v>12</v>
      </c>
      <c r="O254" s="143">
        <v>12</v>
      </c>
      <c r="P254" s="144">
        <v>12</v>
      </c>
    </row>
    <row r="256" spans="5:16">
      <c r="E256" s="132" t="s">
        <v>197</v>
      </c>
      <c r="F256" s="132"/>
      <c r="G256" s="132"/>
      <c r="H256" s="132"/>
      <c r="I256" s="132"/>
      <c r="J256" s="132"/>
      <c r="K256" s="132"/>
      <c r="L256" s="132"/>
      <c r="M256" s="132"/>
      <c r="N256" s="132"/>
      <c r="O256" s="132"/>
      <c r="P256" s="132"/>
    </row>
    <row r="258" spans="5:11" ht="17.25">
      <c r="G258" s="116" t="s">
        <v>195</v>
      </c>
      <c r="H258" s="131"/>
      <c r="I258" s="131"/>
      <c r="J258" s="131"/>
      <c r="K258" s="131"/>
    </row>
    <row r="259" spans="5:11">
      <c r="E259" s="39" t="s">
        <v>191</v>
      </c>
      <c r="G259" s="60">
        <f>E260</f>
        <v>1</v>
      </c>
      <c r="H259" s="60">
        <f>E261</f>
        <v>2</v>
      </c>
      <c r="I259" s="60">
        <f>E262</f>
        <v>3</v>
      </c>
      <c r="J259" s="60">
        <f>E263</f>
        <v>4</v>
      </c>
      <c r="K259" s="60">
        <f>E264</f>
        <v>5</v>
      </c>
    </row>
    <row r="260" spans="5:11">
      <c r="E260" s="72">
        <v>1</v>
      </c>
      <c r="G260" s="122">
        <v>0</v>
      </c>
      <c r="H260" s="123">
        <v>0</v>
      </c>
      <c r="I260" s="123">
        <v>0</v>
      </c>
      <c r="J260" s="123">
        <v>0</v>
      </c>
      <c r="K260" s="124">
        <v>0</v>
      </c>
    </row>
    <row r="261" spans="5:11">
      <c r="E261" s="73">
        <f>+E260+1</f>
        <v>2</v>
      </c>
      <c r="G261" s="125">
        <v>0</v>
      </c>
      <c r="H261" s="126">
        <v>0</v>
      </c>
      <c r="I261" s="126">
        <v>0</v>
      </c>
      <c r="J261" s="126">
        <v>0</v>
      </c>
      <c r="K261" s="127">
        <v>0</v>
      </c>
    </row>
    <row r="262" spans="5:11">
      <c r="E262" s="73">
        <f t="shared" ref="E262:E264" si="31">+E261+1</f>
        <v>3</v>
      </c>
      <c r="G262" s="125">
        <v>0</v>
      </c>
      <c r="H262" s="126">
        <v>0</v>
      </c>
      <c r="I262" s="126">
        <v>0</v>
      </c>
      <c r="J262" s="126">
        <v>0</v>
      </c>
      <c r="K262" s="127">
        <v>0</v>
      </c>
    </row>
    <row r="263" spans="5:11">
      <c r="E263" s="73">
        <f t="shared" si="31"/>
        <v>4</v>
      </c>
      <c r="G263" s="125">
        <v>0</v>
      </c>
      <c r="H263" s="126">
        <v>0</v>
      </c>
      <c r="I263" s="126">
        <v>0</v>
      </c>
      <c r="J263" s="126">
        <v>0</v>
      </c>
      <c r="K263" s="127">
        <v>0</v>
      </c>
    </row>
    <row r="264" spans="5:11">
      <c r="E264" s="74">
        <f t="shared" si="31"/>
        <v>5</v>
      </c>
      <c r="G264" s="128">
        <v>0</v>
      </c>
      <c r="H264" s="129">
        <v>0</v>
      </c>
      <c r="I264" s="129">
        <v>0</v>
      </c>
      <c r="J264" s="129">
        <v>0</v>
      </c>
      <c r="K264" s="130">
        <v>0</v>
      </c>
    </row>
    <row r="266" spans="5:11">
      <c r="E266" s="132" t="s">
        <v>196</v>
      </c>
      <c r="F266" s="132"/>
      <c r="G266" s="132"/>
    </row>
    <row r="268" spans="5:11">
      <c r="E268" s="39" t="s">
        <v>350</v>
      </c>
      <c r="G268" s="60" t="s">
        <v>185</v>
      </c>
    </row>
    <row r="269" spans="5:11">
      <c r="E269" s="133" t="str">
        <f>E218</f>
        <v>FMCG-F</v>
      </c>
      <c r="G269" s="72">
        <v>18</v>
      </c>
    </row>
    <row r="270" spans="5:11">
      <c r="E270" s="134" t="str">
        <f t="shared" ref="E270:E278" si="32">E219</f>
        <v>FMCG-N</v>
      </c>
      <c r="G270" s="73">
        <v>18</v>
      </c>
    </row>
    <row r="271" spans="5:11">
      <c r="E271" s="134" t="str">
        <f t="shared" si="32"/>
        <v>Non-food retail</v>
      </c>
      <c r="G271" s="73">
        <v>18</v>
      </c>
    </row>
    <row r="272" spans="5:11">
      <c r="E272" s="134" t="str">
        <f t="shared" si="32"/>
        <v>Gastronomy</v>
      </c>
      <c r="G272" s="73">
        <v>18</v>
      </c>
    </row>
    <row r="273" spans="5:16">
      <c r="E273" s="134" t="str">
        <f t="shared" si="32"/>
        <v>Bank</v>
      </c>
      <c r="G273" s="73">
        <v>18</v>
      </c>
    </row>
    <row r="274" spans="5:16">
      <c r="E274" s="134" t="str">
        <f t="shared" si="32"/>
        <v>Storage</v>
      </c>
      <c r="G274" s="73">
        <v>18</v>
      </c>
    </row>
    <row r="275" spans="5:16">
      <c r="E275" s="134" t="str">
        <f t="shared" si="32"/>
        <v>Parking</v>
      </c>
      <c r="G275" s="73">
        <v>18</v>
      </c>
    </row>
    <row r="276" spans="5:16">
      <c r="E276" s="134" t="str">
        <f t="shared" si="32"/>
        <v>Residential</v>
      </c>
      <c r="G276" s="73">
        <v>18</v>
      </c>
    </row>
    <row r="277" spans="5:16">
      <c r="E277" s="134" t="str">
        <f t="shared" si="32"/>
        <v>Office</v>
      </c>
      <c r="G277" s="73">
        <v>18</v>
      </c>
    </row>
    <row r="278" spans="5:16">
      <c r="E278" s="135" t="str">
        <f t="shared" si="32"/>
        <v>Other</v>
      </c>
      <c r="G278" s="74">
        <v>18</v>
      </c>
    </row>
    <row r="280" spans="5:16">
      <c r="E280" s="132" t="s">
        <v>1377</v>
      </c>
      <c r="F280" s="132"/>
      <c r="G280" s="132"/>
      <c r="H280" s="132"/>
      <c r="I280" s="132"/>
      <c r="J280" s="132"/>
      <c r="K280" s="132"/>
      <c r="L280" s="132"/>
      <c r="M280" s="132"/>
      <c r="N280" s="132"/>
      <c r="O280" s="132"/>
      <c r="P280" s="132"/>
    </row>
    <row r="282" spans="5:16" ht="17.25">
      <c r="G282" s="116" t="s">
        <v>350</v>
      </c>
      <c r="H282" s="131"/>
      <c r="I282" s="131"/>
      <c r="J282" s="131"/>
      <c r="K282" s="131"/>
      <c r="L282" s="131"/>
      <c r="M282" s="131"/>
      <c r="N282" s="131"/>
      <c r="O282" s="131"/>
      <c r="P282" s="131"/>
    </row>
    <row r="283" spans="5:16">
      <c r="E283" s="39" t="s">
        <v>186</v>
      </c>
      <c r="G283" s="60" t="str">
        <f>G208</f>
        <v>FMCG-F</v>
      </c>
      <c r="H283" s="60" t="str">
        <f t="shared" ref="H283:K283" si="33">H208</f>
        <v>FMCG-N</v>
      </c>
      <c r="I283" s="60" t="str">
        <f t="shared" si="33"/>
        <v>Non-food retail</v>
      </c>
      <c r="J283" s="60" t="str">
        <f t="shared" si="33"/>
        <v>Gastronomy</v>
      </c>
      <c r="K283" s="60" t="str">
        <f t="shared" si="33"/>
        <v>Bank</v>
      </c>
      <c r="L283" s="60" t="str">
        <f>L208</f>
        <v>Storage</v>
      </c>
      <c r="M283" s="60" t="str">
        <f>M208</f>
        <v>Parking</v>
      </c>
      <c r="N283" s="60" t="str">
        <f>N208</f>
        <v>Residential</v>
      </c>
      <c r="O283" s="60" t="str">
        <f>O208</f>
        <v>Office</v>
      </c>
      <c r="P283" s="60" t="str">
        <f>P208</f>
        <v>Other</v>
      </c>
    </row>
    <row r="284" spans="5:16">
      <c r="E284" s="72">
        <v>1</v>
      </c>
      <c r="G284" s="136">
        <v>0</v>
      </c>
      <c r="H284" s="137">
        <v>0</v>
      </c>
      <c r="I284" s="137">
        <v>0</v>
      </c>
      <c r="J284" s="137">
        <v>0</v>
      </c>
      <c r="K284" s="137">
        <v>0</v>
      </c>
      <c r="L284" s="137">
        <v>0</v>
      </c>
      <c r="M284" s="137">
        <v>0</v>
      </c>
      <c r="N284" s="137">
        <v>0</v>
      </c>
      <c r="O284" s="137">
        <v>0</v>
      </c>
      <c r="P284" s="138">
        <v>0</v>
      </c>
    </row>
    <row r="285" spans="5:16">
      <c r="E285" s="73">
        <f>+E284+1</f>
        <v>2</v>
      </c>
      <c r="G285" s="139">
        <v>0</v>
      </c>
      <c r="H285" s="140">
        <v>0</v>
      </c>
      <c r="I285" s="140">
        <v>0</v>
      </c>
      <c r="J285" s="140">
        <v>0</v>
      </c>
      <c r="K285" s="140">
        <v>0</v>
      </c>
      <c r="L285" s="140">
        <v>0</v>
      </c>
      <c r="M285" s="140">
        <v>0</v>
      </c>
      <c r="N285" s="140">
        <v>0</v>
      </c>
      <c r="O285" s="140">
        <v>0</v>
      </c>
      <c r="P285" s="141">
        <v>0</v>
      </c>
    </row>
    <row r="286" spans="5:16">
      <c r="E286" s="73">
        <f t="shared" ref="E286:E288" si="34">+E285+1</f>
        <v>3</v>
      </c>
      <c r="G286" s="139">
        <v>0</v>
      </c>
      <c r="H286" s="140">
        <v>0</v>
      </c>
      <c r="I286" s="140">
        <v>0</v>
      </c>
      <c r="J286" s="140">
        <v>0</v>
      </c>
      <c r="K286" s="140">
        <v>0</v>
      </c>
      <c r="L286" s="140">
        <v>0</v>
      </c>
      <c r="M286" s="140">
        <v>0</v>
      </c>
      <c r="N286" s="140">
        <v>0</v>
      </c>
      <c r="O286" s="140">
        <v>0</v>
      </c>
      <c r="P286" s="141">
        <v>0</v>
      </c>
    </row>
    <row r="287" spans="5:16">
      <c r="E287" s="73">
        <f t="shared" si="34"/>
        <v>4</v>
      </c>
      <c r="G287" s="139">
        <v>0</v>
      </c>
      <c r="H287" s="140">
        <v>0</v>
      </c>
      <c r="I287" s="140">
        <v>0</v>
      </c>
      <c r="J287" s="140">
        <v>0</v>
      </c>
      <c r="K287" s="140">
        <v>0</v>
      </c>
      <c r="L287" s="140">
        <v>0</v>
      </c>
      <c r="M287" s="140">
        <v>0</v>
      </c>
      <c r="N287" s="140">
        <v>0</v>
      </c>
      <c r="O287" s="140">
        <v>0</v>
      </c>
      <c r="P287" s="141">
        <v>0</v>
      </c>
    </row>
    <row r="288" spans="5:16">
      <c r="E288" s="74">
        <f t="shared" si="34"/>
        <v>5</v>
      </c>
      <c r="G288" s="142">
        <v>0</v>
      </c>
      <c r="H288" s="143">
        <v>0</v>
      </c>
      <c r="I288" s="143">
        <v>0</v>
      </c>
      <c r="J288" s="143">
        <v>0</v>
      </c>
      <c r="K288" s="143">
        <v>0</v>
      </c>
      <c r="L288" s="143">
        <v>0</v>
      </c>
      <c r="M288" s="143">
        <v>0</v>
      </c>
      <c r="N288" s="143">
        <v>0</v>
      </c>
      <c r="O288" s="143">
        <v>0</v>
      </c>
      <c r="P288" s="144">
        <v>0</v>
      </c>
    </row>
    <row r="291" spans="2:8" s="36" customFormat="1">
      <c r="B291" s="38">
        <f>MAX($B$1:B290)+1</f>
        <v>6</v>
      </c>
      <c r="C291" s="59"/>
      <c r="D291" s="37" t="s">
        <v>205</v>
      </c>
    </row>
    <row r="293" spans="2:8">
      <c r="C293" s="60">
        <f>MAX($B$1:C292)+0.1</f>
        <v>6.1</v>
      </c>
      <c r="D293" s="39" t="s">
        <v>206</v>
      </c>
    </row>
    <row r="294" spans="2:8">
      <c r="C294" s="60"/>
      <c r="E294" s="39"/>
      <c r="G294" s="47" t="s">
        <v>119</v>
      </c>
    </row>
    <row r="296" spans="2:8">
      <c r="E296" t="s">
        <v>132</v>
      </c>
      <c r="G296" s="149">
        <v>0.05</v>
      </c>
      <c r="H296" s="47" t="s">
        <v>1246</v>
      </c>
    </row>
    <row r="297" spans="2:8">
      <c r="E297" t="s">
        <v>130</v>
      </c>
      <c r="G297" s="149">
        <v>3.5000000000000003E-2</v>
      </c>
      <c r="H297" s="47" t="s">
        <v>1246</v>
      </c>
    </row>
    <row r="298" spans="2:8">
      <c r="E298" t="s">
        <v>207</v>
      </c>
      <c r="G298" s="149">
        <v>0.06</v>
      </c>
      <c r="H298" s="47" t="s">
        <v>1246</v>
      </c>
    </row>
    <row r="299" spans="2:8">
      <c r="E299" t="s">
        <v>124</v>
      </c>
      <c r="G299" s="149">
        <v>6.5000000000000002E-2</v>
      </c>
      <c r="H299" s="47" t="s">
        <v>1247</v>
      </c>
    </row>
    <row r="300" spans="2:8">
      <c r="E300" t="s">
        <v>208</v>
      </c>
      <c r="G300" s="149">
        <v>0.05</v>
      </c>
      <c r="H300" s="47" t="s">
        <v>1246</v>
      </c>
    </row>
    <row r="301" spans="2:8">
      <c r="E301" t="s">
        <v>209</v>
      </c>
      <c r="G301" s="149">
        <v>4.4999999999999998E-2</v>
      </c>
      <c r="H301" s="47" t="s">
        <v>1246</v>
      </c>
    </row>
    <row r="302" spans="2:8">
      <c r="E302" t="s">
        <v>125</v>
      </c>
      <c r="G302" s="149">
        <v>0.06</v>
      </c>
      <c r="H302" s="47" t="s">
        <v>1246</v>
      </c>
    </row>
    <row r="303" spans="2:8">
      <c r="E303" t="s">
        <v>127</v>
      </c>
      <c r="G303" s="149">
        <v>0.06</v>
      </c>
      <c r="H303" s="47" t="s">
        <v>1247</v>
      </c>
    </row>
    <row r="304" spans="2:8">
      <c r="E304" t="s">
        <v>122</v>
      </c>
      <c r="G304" s="149">
        <v>0.05</v>
      </c>
      <c r="H304" s="47" t="s">
        <v>1246</v>
      </c>
    </row>
    <row r="305" spans="3:8">
      <c r="E305" t="s">
        <v>126</v>
      </c>
      <c r="G305" s="149">
        <v>6.5000000000000002E-2</v>
      </c>
      <c r="H305" s="47" t="s">
        <v>1246</v>
      </c>
    </row>
    <row r="306" spans="3:8">
      <c r="E306" t="s">
        <v>128</v>
      </c>
      <c r="G306" s="149">
        <v>0.05</v>
      </c>
      <c r="H306" s="47" t="s">
        <v>1246</v>
      </c>
    </row>
    <row r="307" spans="3:8">
      <c r="E307" t="s">
        <v>131</v>
      </c>
      <c r="G307" s="149">
        <v>6.5000000000000002E-2</v>
      </c>
      <c r="H307" s="47" t="s">
        <v>1246</v>
      </c>
    </row>
    <row r="308" spans="3:8">
      <c r="E308" t="s">
        <v>129</v>
      </c>
      <c r="G308" s="149">
        <v>3.5000000000000003E-2</v>
      </c>
      <c r="H308" s="47" t="s">
        <v>1247</v>
      </c>
    </row>
    <row r="309" spans="3:8">
      <c r="E309" t="s">
        <v>120</v>
      </c>
      <c r="G309" s="149">
        <v>0.05</v>
      </c>
      <c r="H309" s="47" t="s">
        <v>1247</v>
      </c>
    </row>
    <row r="310" spans="3:8">
      <c r="E310" t="s">
        <v>121</v>
      </c>
      <c r="G310" s="149">
        <v>6.5000000000000002E-2</v>
      </c>
      <c r="H310" s="47" t="s">
        <v>1246</v>
      </c>
    </row>
    <row r="311" spans="3:8">
      <c r="E311" t="s">
        <v>123</v>
      </c>
      <c r="G311" s="149">
        <v>6.5000000000000002E-2</v>
      </c>
      <c r="H311" s="47" t="s">
        <v>1247</v>
      </c>
    </row>
    <row r="313" spans="3:8">
      <c r="E313" s="47" t="s">
        <v>210</v>
      </c>
      <c r="F313" s="148"/>
      <c r="G313" s="46">
        <v>0.03</v>
      </c>
    </row>
    <row r="315" spans="3:8">
      <c r="E315" t="s">
        <v>211</v>
      </c>
      <c r="G315" s="150">
        <v>1</v>
      </c>
    </row>
    <row r="316" spans="3:8">
      <c r="E316" t="s">
        <v>1152</v>
      </c>
      <c r="G316" s="47" t="s">
        <v>1299</v>
      </c>
    </row>
    <row r="317" spans="3:8" hidden="1" outlineLevel="1"/>
    <row r="318" spans="3:8" hidden="1" outlineLevel="1">
      <c r="C318" s="60">
        <f>MAX($B$1:C317)+0.1</f>
        <v>6.1999999999999993</v>
      </c>
      <c r="E318" s="39" t="s">
        <v>431</v>
      </c>
    </row>
    <row r="319" spans="3:8" hidden="1" outlineLevel="1">
      <c r="C319" s="60"/>
      <c r="E319" s="39"/>
    </row>
    <row r="320" spans="3:8" hidden="1" outlineLevel="1">
      <c r="E320" s="39" t="s">
        <v>430</v>
      </c>
      <c r="G320" s="39" t="s">
        <v>432</v>
      </c>
    </row>
    <row r="321" spans="5:7" hidden="1" outlineLevel="1">
      <c r="E321" s="341">
        <v>1</v>
      </c>
      <c r="G321" s="340">
        <v>0.97399999999999998</v>
      </c>
    </row>
    <row r="322" spans="5:7" hidden="1" outlineLevel="1">
      <c r="E322" s="341">
        <v>2</v>
      </c>
      <c r="G322" s="340">
        <v>1.897</v>
      </c>
    </row>
    <row r="323" spans="5:7" hidden="1" outlineLevel="1">
      <c r="E323" s="341">
        <v>3</v>
      </c>
      <c r="G323" s="340">
        <v>2.7719999999999998</v>
      </c>
    </row>
    <row r="324" spans="5:7" hidden="1" outlineLevel="1">
      <c r="E324" s="341">
        <v>4</v>
      </c>
      <c r="G324" s="340">
        <v>3.6019999999999999</v>
      </c>
    </row>
    <row r="325" spans="5:7" hidden="1" outlineLevel="1">
      <c r="E325" s="341">
        <v>5</v>
      </c>
      <c r="G325" s="340">
        <v>4.3879999999999999</v>
      </c>
    </row>
    <row r="326" spans="5:7" hidden="1" outlineLevel="1">
      <c r="E326" s="341">
        <v>6</v>
      </c>
      <c r="G326" s="340">
        <v>5.133</v>
      </c>
    </row>
    <row r="327" spans="5:7" hidden="1" outlineLevel="1">
      <c r="E327" s="341">
        <v>7</v>
      </c>
      <c r="G327" s="340">
        <v>5.8390000000000004</v>
      </c>
    </row>
    <row r="328" spans="5:7" hidden="1" outlineLevel="1">
      <c r="E328" s="341">
        <v>8</v>
      </c>
      <c r="G328" s="340">
        <v>6.5090000000000003</v>
      </c>
    </row>
    <row r="329" spans="5:7" hidden="1" outlineLevel="1">
      <c r="E329" s="341">
        <v>9</v>
      </c>
      <c r="G329" s="340">
        <v>7.1429999999999998</v>
      </c>
    </row>
    <row r="330" spans="5:7" hidden="1" outlineLevel="1">
      <c r="E330" s="341">
        <v>10</v>
      </c>
      <c r="G330" s="340">
        <v>7.7450000000000001</v>
      </c>
    </row>
    <row r="331" spans="5:7" hidden="1" outlineLevel="1">
      <c r="E331" s="341">
        <v>11</v>
      </c>
      <c r="G331" s="340">
        <v>8.3149999999999995</v>
      </c>
    </row>
    <row r="332" spans="5:7" hidden="1" outlineLevel="1">
      <c r="E332" s="341">
        <v>12</v>
      </c>
      <c r="G332" s="340">
        <v>8.8559999999999999</v>
      </c>
    </row>
    <row r="333" spans="5:7" hidden="1" outlineLevel="1">
      <c r="E333" s="341">
        <v>13</v>
      </c>
      <c r="G333" s="340">
        <v>9.3680000000000003</v>
      </c>
    </row>
    <row r="334" spans="5:7" hidden="1" outlineLevel="1">
      <c r="E334" s="341">
        <v>14</v>
      </c>
      <c r="G334" s="340">
        <v>9.8529999999999998</v>
      </c>
    </row>
    <row r="335" spans="5:7" hidden="1" outlineLevel="1">
      <c r="E335" s="341">
        <v>15</v>
      </c>
      <c r="G335" s="340">
        <v>10.314</v>
      </c>
    </row>
    <row r="336" spans="5:7" hidden="1" outlineLevel="1">
      <c r="E336" s="341">
        <v>16</v>
      </c>
      <c r="G336" s="340">
        <v>10.75</v>
      </c>
    </row>
    <row r="337" spans="5:7" hidden="1" outlineLevel="1">
      <c r="E337" s="341">
        <v>17</v>
      </c>
      <c r="G337" s="340">
        <v>11.163</v>
      </c>
    </row>
    <row r="338" spans="5:7" hidden="1" outlineLevel="1">
      <c r="E338" s="341">
        <v>18</v>
      </c>
      <c r="G338" s="340">
        <v>11.555</v>
      </c>
    </row>
    <row r="339" spans="5:7" hidden="1" outlineLevel="1">
      <c r="E339" s="341">
        <v>19</v>
      </c>
      <c r="G339" s="340">
        <v>11.927</v>
      </c>
    </row>
    <row r="340" spans="5:7" hidden="1" outlineLevel="1">
      <c r="E340" s="341">
        <v>20</v>
      </c>
      <c r="G340" s="340">
        <v>12.279</v>
      </c>
    </row>
    <row r="341" spans="5:7" hidden="1" outlineLevel="1">
      <c r="E341" s="341">
        <v>21</v>
      </c>
      <c r="G341" s="340">
        <v>12.613</v>
      </c>
    </row>
    <row r="342" spans="5:7" hidden="1" outlineLevel="1">
      <c r="E342" s="341">
        <v>22</v>
      </c>
      <c r="G342" s="340">
        <v>12.929</v>
      </c>
    </row>
    <row r="343" spans="5:7" hidden="1" outlineLevel="1">
      <c r="E343" s="341">
        <v>23</v>
      </c>
      <c r="G343" s="340">
        <v>13.228999999999999</v>
      </c>
    </row>
    <row r="344" spans="5:7" hidden="1" outlineLevel="1">
      <c r="E344" s="341">
        <v>24</v>
      </c>
      <c r="G344" s="340">
        <v>13.513</v>
      </c>
    </row>
    <row r="345" spans="5:7" hidden="1" outlineLevel="1">
      <c r="E345" s="341">
        <v>25</v>
      </c>
      <c r="G345" s="340">
        <v>13.782999999999999</v>
      </c>
    </row>
    <row r="346" spans="5:7" hidden="1" outlineLevel="1">
      <c r="E346" s="341">
        <v>26</v>
      </c>
      <c r="G346" s="340">
        <v>14.038</v>
      </c>
    </row>
    <row r="347" spans="5:7" hidden="1" outlineLevel="1">
      <c r="E347" s="341">
        <v>27</v>
      </c>
      <c r="G347" s="340">
        <v>14.28</v>
      </c>
    </row>
    <row r="348" spans="5:7" hidden="1" outlineLevel="1">
      <c r="E348" s="341">
        <v>28</v>
      </c>
      <c r="G348" s="340">
        <v>14.51</v>
      </c>
    </row>
    <row r="349" spans="5:7" hidden="1" outlineLevel="1">
      <c r="E349" s="341">
        <v>29</v>
      </c>
      <c r="G349" s="340">
        <v>14.727</v>
      </c>
    </row>
    <row r="350" spans="5:7" hidden="1" outlineLevel="1">
      <c r="E350" s="341">
        <v>30</v>
      </c>
      <c r="G350" s="340">
        <v>14.933</v>
      </c>
    </row>
    <row r="351" spans="5:7" hidden="1" outlineLevel="1">
      <c r="E351" s="341">
        <v>31</v>
      </c>
      <c r="G351" s="340">
        <v>15.129</v>
      </c>
    </row>
    <row r="352" spans="5:7" hidden="1" outlineLevel="1">
      <c r="E352" s="341">
        <v>32</v>
      </c>
      <c r="G352" s="340">
        <v>15.314</v>
      </c>
    </row>
    <row r="353" spans="5:7" hidden="1" outlineLevel="1">
      <c r="E353" s="341">
        <v>33</v>
      </c>
      <c r="G353" s="340">
        <v>15.49</v>
      </c>
    </row>
    <row r="354" spans="5:7" hidden="1" outlineLevel="1">
      <c r="E354" s="341">
        <v>34</v>
      </c>
      <c r="G354" s="340">
        <v>15.656000000000001</v>
      </c>
    </row>
    <row r="355" spans="5:7" hidden="1" outlineLevel="1">
      <c r="E355" s="341">
        <v>35</v>
      </c>
      <c r="G355" s="340">
        <v>15.814</v>
      </c>
    </row>
    <row r="356" spans="5:7" hidden="1" outlineLevel="1">
      <c r="E356" s="341">
        <v>36</v>
      </c>
      <c r="G356" s="340">
        <v>15.962999999999999</v>
      </c>
    </row>
    <row r="357" spans="5:7" hidden="1" outlineLevel="1">
      <c r="E357" s="341">
        <v>37</v>
      </c>
      <c r="G357" s="340">
        <v>16.105</v>
      </c>
    </row>
    <row r="358" spans="5:7" hidden="1" outlineLevel="1">
      <c r="E358" s="341">
        <v>38</v>
      </c>
      <c r="G358" s="340">
        <v>16.239000000000001</v>
      </c>
    </row>
    <row r="359" spans="5:7" hidden="1" outlineLevel="1">
      <c r="E359" s="341">
        <v>39</v>
      </c>
      <c r="G359" s="340">
        <v>16.367000000000001</v>
      </c>
    </row>
    <row r="360" spans="5:7" hidden="1" outlineLevel="1">
      <c r="E360" s="341">
        <v>40</v>
      </c>
      <c r="G360" s="340">
        <v>16.486999999999998</v>
      </c>
    </row>
    <row r="361" spans="5:7" hidden="1" outlineLevel="1">
      <c r="E361" s="341">
        <v>41</v>
      </c>
      <c r="G361" s="340">
        <v>16.602</v>
      </c>
    </row>
    <row r="362" spans="5:7" hidden="1" outlineLevel="1">
      <c r="E362" s="341">
        <v>42</v>
      </c>
      <c r="G362" s="340">
        <v>16.71</v>
      </c>
    </row>
    <row r="363" spans="5:7" hidden="1" outlineLevel="1">
      <c r="E363" s="341">
        <v>43</v>
      </c>
      <c r="G363" s="340">
        <v>16.812999999999999</v>
      </c>
    </row>
    <row r="364" spans="5:7" hidden="1" outlineLevel="1">
      <c r="E364" s="341">
        <v>44</v>
      </c>
      <c r="G364" s="340">
        <v>16.91</v>
      </c>
    </row>
    <row r="365" spans="5:7" hidden="1" outlineLevel="1">
      <c r="E365" s="341">
        <v>45</v>
      </c>
      <c r="G365" s="340">
        <v>17.003</v>
      </c>
    </row>
    <row r="366" spans="5:7" hidden="1" outlineLevel="1">
      <c r="E366" s="341">
        <v>46</v>
      </c>
      <c r="G366" s="340">
        <v>17.09</v>
      </c>
    </row>
    <row r="367" spans="5:7" hidden="1" outlineLevel="1">
      <c r="E367" s="341">
        <v>47</v>
      </c>
      <c r="G367" s="340">
        <v>17.172999999999998</v>
      </c>
    </row>
    <row r="368" spans="5:7" hidden="1" outlineLevel="1">
      <c r="E368" s="341">
        <v>48</v>
      </c>
      <c r="G368" s="340">
        <v>17.251999999999999</v>
      </c>
    </row>
    <row r="369" spans="5:7" hidden="1" outlineLevel="1">
      <c r="E369" s="341">
        <v>49</v>
      </c>
      <c r="G369" s="340">
        <v>17.326000000000001</v>
      </c>
    </row>
    <row r="370" spans="5:7" hidden="1" outlineLevel="1">
      <c r="E370" s="341">
        <v>50</v>
      </c>
      <c r="G370" s="340">
        <v>17.396999999999998</v>
      </c>
    </row>
    <row r="371" spans="5:7" hidden="1" outlineLevel="1">
      <c r="E371" s="341">
        <v>51</v>
      </c>
      <c r="G371" s="340">
        <v>17.463999999999999</v>
      </c>
    </row>
    <row r="372" spans="5:7" hidden="1" outlineLevel="1">
      <c r="E372" s="341">
        <v>52</v>
      </c>
      <c r="G372" s="340">
        <v>17.527999999999999</v>
      </c>
    </row>
    <row r="373" spans="5:7" hidden="1" outlineLevel="1">
      <c r="E373" s="341">
        <v>53</v>
      </c>
      <c r="G373" s="340">
        <v>17.588000000000001</v>
      </c>
    </row>
    <row r="374" spans="5:7" hidden="1" outlineLevel="1">
      <c r="E374" s="341">
        <v>54</v>
      </c>
      <c r="G374" s="340">
        <v>17.645</v>
      </c>
    </row>
    <row r="375" spans="5:7" hidden="1" outlineLevel="1">
      <c r="E375" s="341">
        <v>55</v>
      </c>
      <c r="G375" s="340">
        <v>17.699000000000002</v>
      </c>
    </row>
    <row r="376" spans="5:7" hidden="1" outlineLevel="1">
      <c r="E376" s="341">
        <v>56</v>
      </c>
      <c r="G376" s="340">
        <v>17.75</v>
      </c>
    </row>
    <row r="377" spans="5:7" hidden="1" outlineLevel="1">
      <c r="E377" s="341">
        <v>57</v>
      </c>
      <c r="G377" s="340">
        <v>17.798999999999999</v>
      </c>
    </row>
    <row r="378" spans="5:7" hidden="1" outlineLevel="1">
      <c r="E378" s="341">
        <v>58</v>
      </c>
      <c r="G378" s="340">
        <v>17.844999999999999</v>
      </c>
    </row>
    <row r="379" spans="5:7" hidden="1" outlineLevel="1">
      <c r="E379" s="341">
        <v>59</v>
      </c>
      <c r="G379" s="340">
        <v>17.888000000000002</v>
      </c>
    </row>
    <row r="380" spans="5:7" hidden="1" outlineLevel="1">
      <c r="E380" s="341">
        <v>60</v>
      </c>
      <c r="G380" s="340">
        <v>17.93</v>
      </c>
    </row>
    <row r="381" spans="5:7" hidden="1" outlineLevel="1">
      <c r="E381" s="341">
        <v>61</v>
      </c>
      <c r="G381" s="340">
        <v>17.969000000000001</v>
      </c>
    </row>
    <row r="382" spans="5:7" hidden="1" outlineLevel="1">
      <c r="E382" s="341">
        <v>62</v>
      </c>
      <c r="G382" s="340">
        <v>18.006</v>
      </c>
    </row>
    <row r="383" spans="5:7" hidden="1" outlineLevel="1">
      <c r="E383" s="341">
        <v>63</v>
      </c>
      <c r="G383" s="340">
        <v>18.041</v>
      </c>
    </row>
    <row r="384" spans="5:7" hidden="1" outlineLevel="1">
      <c r="E384" s="341">
        <v>64</v>
      </c>
      <c r="G384" s="340">
        <v>18.074999999999999</v>
      </c>
    </row>
    <row r="385" spans="5:7" hidden="1" outlineLevel="1">
      <c r="E385" s="341">
        <v>65</v>
      </c>
      <c r="G385" s="340">
        <v>18.106000000000002</v>
      </c>
    </row>
    <row r="386" spans="5:7" hidden="1" outlineLevel="1">
      <c r="E386" s="341">
        <v>66</v>
      </c>
      <c r="G386" s="340">
        <v>18.135999999999999</v>
      </c>
    </row>
    <row r="387" spans="5:7" hidden="1" outlineLevel="1">
      <c r="E387" s="341">
        <v>67</v>
      </c>
      <c r="G387" s="340">
        <v>18.164999999999999</v>
      </c>
    </row>
    <row r="388" spans="5:7" hidden="1" outlineLevel="1">
      <c r="E388" s="341">
        <v>68</v>
      </c>
      <c r="G388" s="340">
        <v>18.192</v>
      </c>
    </row>
    <row r="389" spans="5:7" hidden="1" outlineLevel="1">
      <c r="E389" s="341">
        <v>69</v>
      </c>
      <c r="G389" s="340">
        <v>18.216999999999999</v>
      </c>
    </row>
    <row r="390" spans="5:7" hidden="1" outlineLevel="1">
      <c r="E390" s="341">
        <v>70</v>
      </c>
      <c r="G390" s="340">
        <v>18.242000000000001</v>
      </c>
    </row>
    <row r="391" spans="5:7" hidden="1" outlineLevel="1">
      <c r="E391" s="341">
        <v>71</v>
      </c>
      <c r="G391" s="340">
        <v>18.263999999999999</v>
      </c>
    </row>
    <row r="392" spans="5:7" hidden="1" outlineLevel="1">
      <c r="E392" s="341">
        <v>72</v>
      </c>
      <c r="G392" s="340">
        <v>18.286000000000001</v>
      </c>
    </row>
    <row r="393" spans="5:7" hidden="1" outlineLevel="1">
      <c r="E393" s="341">
        <v>73</v>
      </c>
      <c r="G393" s="340">
        <v>18.306999999999999</v>
      </c>
    </row>
    <row r="394" spans="5:7" hidden="1" outlineLevel="1">
      <c r="E394" s="341">
        <v>74</v>
      </c>
      <c r="G394" s="340">
        <v>18.326000000000001</v>
      </c>
    </row>
    <row r="395" spans="5:7" hidden="1" outlineLevel="1">
      <c r="E395" s="341">
        <v>75</v>
      </c>
      <c r="G395" s="340">
        <v>18.344999999999999</v>
      </c>
    </row>
    <row r="396" spans="5:7" hidden="1" outlineLevel="1">
      <c r="E396" s="341">
        <v>76</v>
      </c>
      <c r="G396" s="340">
        <v>18.361999999999998</v>
      </c>
    </row>
    <row r="397" spans="5:7" hidden="1" outlineLevel="1">
      <c r="E397" s="341">
        <v>77</v>
      </c>
      <c r="G397" s="340">
        <v>18.379000000000001</v>
      </c>
    </row>
    <row r="398" spans="5:7" hidden="1" outlineLevel="1">
      <c r="E398" s="341">
        <v>78</v>
      </c>
      <c r="G398" s="340">
        <v>18.395</v>
      </c>
    </row>
    <row r="399" spans="5:7" hidden="1" outlineLevel="1">
      <c r="E399" s="341">
        <v>79</v>
      </c>
      <c r="G399" s="340">
        <v>18.41</v>
      </c>
    </row>
    <row r="400" spans="5:7" hidden="1" outlineLevel="1">
      <c r="E400" s="341">
        <v>80</v>
      </c>
      <c r="G400" s="340">
        <v>18.423999999999999</v>
      </c>
    </row>
    <row r="401" spans="5:7" hidden="1" outlineLevel="1">
      <c r="E401" s="341">
        <v>81</v>
      </c>
      <c r="G401" s="340">
        <v>18.437000000000001</v>
      </c>
    </row>
    <row r="402" spans="5:7" hidden="1" outlineLevel="1">
      <c r="E402" s="341">
        <v>82</v>
      </c>
      <c r="G402" s="340">
        <v>18.45</v>
      </c>
    </row>
    <row r="403" spans="5:7" hidden="1" outlineLevel="1">
      <c r="E403" s="341">
        <v>83</v>
      </c>
      <c r="G403" s="340">
        <v>18.462</v>
      </c>
    </row>
    <row r="404" spans="5:7" hidden="1" outlineLevel="1">
      <c r="E404" s="341">
        <v>84</v>
      </c>
      <c r="G404" s="340">
        <v>18.474</v>
      </c>
    </row>
    <row r="405" spans="5:7" hidden="1" outlineLevel="1">
      <c r="E405" s="341">
        <v>85</v>
      </c>
      <c r="G405" s="340">
        <v>18.484999999999999</v>
      </c>
    </row>
    <row r="406" spans="5:7" hidden="1" outlineLevel="1">
      <c r="E406" s="341">
        <v>86</v>
      </c>
      <c r="G406" s="340">
        <v>18.495000000000001</v>
      </c>
    </row>
    <row r="407" spans="5:7" hidden="1" outlineLevel="1">
      <c r="E407" s="341">
        <v>87</v>
      </c>
      <c r="G407" s="340">
        <v>18.504999999999999</v>
      </c>
    </row>
    <row r="408" spans="5:7" hidden="1" outlineLevel="1">
      <c r="E408" s="341">
        <v>88</v>
      </c>
      <c r="G408" s="340">
        <v>18.513999999999999</v>
      </c>
    </row>
    <row r="409" spans="5:7" hidden="1" outlineLevel="1">
      <c r="E409" s="341">
        <v>89</v>
      </c>
      <c r="G409" s="340">
        <v>18.523</v>
      </c>
    </row>
    <row r="410" spans="5:7" hidden="1" outlineLevel="1">
      <c r="E410" s="341">
        <v>90</v>
      </c>
      <c r="G410" s="340">
        <v>18.530999999999999</v>
      </c>
    </row>
    <row r="411" spans="5:7" hidden="1" outlineLevel="1">
      <c r="E411" s="341">
        <v>91</v>
      </c>
      <c r="G411" s="340">
        <v>18.539000000000001</v>
      </c>
    </row>
    <row r="412" spans="5:7" hidden="1" outlineLevel="1">
      <c r="E412" s="341">
        <v>92</v>
      </c>
      <c r="G412" s="340">
        <v>15.545999999999999</v>
      </c>
    </row>
    <row r="413" spans="5:7" hidden="1" outlineLevel="1">
      <c r="E413" s="341">
        <v>93</v>
      </c>
      <c r="G413" s="340">
        <v>18.553000000000001</v>
      </c>
    </row>
    <row r="414" spans="5:7" hidden="1" outlineLevel="1">
      <c r="E414" s="341">
        <v>94</v>
      </c>
      <c r="G414" s="340">
        <v>18.559999999999999</v>
      </c>
    </row>
    <row r="415" spans="5:7" hidden="1" outlineLevel="1">
      <c r="E415" s="341">
        <v>95</v>
      </c>
      <c r="G415" s="340">
        <v>18.565999999999999</v>
      </c>
    </row>
    <row r="416" spans="5:7" hidden="1" outlineLevel="1">
      <c r="E416" s="341">
        <v>96</v>
      </c>
      <c r="G416" s="340">
        <v>18.571999999999999</v>
      </c>
    </row>
    <row r="417" spans="3:10" hidden="1" outlineLevel="1">
      <c r="E417" s="341">
        <v>97</v>
      </c>
      <c r="G417" s="340">
        <v>18.577999999999999</v>
      </c>
    </row>
    <row r="418" spans="3:10" hidden="1" outlineLevel="1">
      <c r="E418" s="341">
        <v>98</v>
      </c>
      <c r="G418" s="340">
        <v>18.582999999999998</v>
      </c>
    </row>
    <row r="419" spans="3:10" hidden="1" outlineLevel="1">
      <c r="E419" s="341">
        <v>99</v>
      </c>
      <c r="G419" s="340">
        <v>18.588999999999999</v>
      </c>
    </row>
    <row r="420" spans="3:10" hidden="1" outlineLevel="1">
      <c r="E420" s="341">
        <v>100</v>
      </c>
      <c r="G420" s="340">
        <v>18.593</v>
      </c>
    </row>
    <row r="421" spans="3:10" hidden="1" outlineLevel="1">
      <c r="E421" s="341">
        <v>101</v>
      </c>
      <c r="G421" s="340">
        <v>18.597999999999999</v>
      </c>
    </row>
    <row r="422" spans="3:10" hidden="1" outlineLevel="1">
      <c r="E422" s="341">
        <v>102</v>
      </c>
      <c r="G422" s="340">
        <v>18.600000000000001</v>
      </c>
    </row>
    <row r="423" spans="3:10" hidden="1" outlineLevel="1"/>
    <row r="424" spans="3:10" collapsed="1"/>
    <row r="425" spans="3:10">
      <c r="C425" s="60">
        <f>MAX($B$1:C317)+0.1</f>
        <v>6.1999999999999993</v>
      </c>
      <c r="D425" s="39" t="s">
        <v>212</v>
      </c>
    </row>
    <row r="427" spans="3:10">
      <c r="E427" t="s">
        <v>213</v>
      </c>
      <c r="G427" s="45">
        <f t="shared" ref="G427" si="35">CHOOSE($F$38,H427,I427,J427)</f>
        <v>0.1583</v>
      </c>
      <c r="H427" s="64">
        <v>0.1583</v>
      </c>
      <c r="I427" s="46">
        <v>0.1583</v>
      </c>
      <c r="J427" s="65">
        <v>0.1583</v>
      </c>
    </row>
    <row r="429" spans="3:10">
      <c r="E429" t="s">
        <v>214</v>
      </c>
      <c r="G429" s="84">
        <v>1</v>
      </c>
    </row>
    <row r="430" spans="3:10">
      <c r="E430" t="s">
        <v>215</v>
      </c>
      <c r="G430" s="46">
        <v>0.1</v>
      </c>
    </row>
    <row r="432" spans="3:10">
      <c r="E432" t="s">
        <v>216</v>
      </c>
      <c r="G432" s="45">
        <f t="shared" ref="G432" si="36">CHOOSE($F$38,H432,I432,J432)</f>
        <v>0.8</v>
      </c>
      <c r="H432" s="64">
        <v>0.8</v>
      </c>
      <c r="I432" s="46">
        <v>0.8</v>
      </c>
      <c r="J432" s="65">
        <v>0.8</v>
      </c>
    </row>
    <row r="434" spans="3:10">
      <c r="E434" t="s">
        <v>217</v>
      </c>
      <c r="G434" s="150">
        <v>1</v>
      </c>
    </row>
    <row r="435" spans="3:10">
      <c r="E435" t="s">
        <v>218</v>
      </c>
      <c r="G435" s="45">
        <f t="shared" ref="G435" si="37">CHOOSE($F$38,H435,I435,J435)</f>
        <v>0.03</v>
      </c>
      <c r="H435" s="64">
        <v>0.03</v>
      </c>
      <c r="I435" s="46">
        <v>0.03</v>
      </c>
      <c r="J435" s="65">
        <v>0.03</v>
      </c>
    </row>
    <row r="436" spans="3:10">
      <c r="E436" t="s">
        <v>219</v>
      </c>
      <c r="G436" s="45">
        <f t="shared" ref="G436" si="38">CHOOSE($F$38,H436,I436,J436)</f>
        <v>0.1</v>
      </c>
      <c r="H436" s="64">
        <v>0.1</v>
      </c>
      <c r="I436" s="46">
        <v>0.1</v>
      </c>
      <c r="J436" s="65">
        <v>0.1</v>
      </c>
    </row>
    <row r="438" spans="3:10">
      <c r="E438" t="s">
        <v>220</v>
      </c>
      <c r="G438" s="45">
        <f t="shared" ref="G438" si="39">CHOOSE($F$38,H438,I438,J438)</f>
        <v>1</v>
      </c>
      <c r="H438" s="64">
        <v>1</v>
      </c>
      <c r="I438" s="46">
        <v>1</v>
      </c>
      <c r="J438" s="65">
        <v>1</v>
      </c>
    </row>
    <row r="439" spans="3:10">
      <c r="E439" t="s">
        <v>221</v>
      </c>
      <c r="G439" s="45">
        <f t="shared" ref="G439:G440" si="40">CHOOSE($F$38,H439,I439,J439)</f>
        <v>1</v>
      </c>
      <c r="H439" s="64">
        <v>1</v>
      </c>
      <c r="I439" s="46">
        <v>1</v>
      </c>
      <c r="J439" s="65">
        <v>1</v>
      </c>
    </row>
    <row r="440" spans="3:10">
      <c r="E440" t="s">
        <v>222</v>
      </c>
      <c r="G440" s="45">
        <f t="shared" si="40"/>
        <v>1</v>
      </c>
      <c r="H440" s="64">
        <v>1</v>
      </c>
      <c r="I440" s="46">
        <v>1</v>
      </c>
      <c r="J440" s="65">
        <v>1</v>
      </c>
    </row>
    <row r="442" spans="3:10">
      <c r="C442" s="60">
        <f>MAX($B$1:C441)+0.1</f>
        <v>6.2999999999999989</v>
      </c>
      <c r="D442" s="39" t="s">
        <v>223</v>
      </c>
    </row>
    <row r="444" spans="3:10">
      <c r="E444" t="s">
        <v>803</v>
      </c>
      <c r="G444" s="150">
        <v>1</v>
      </c>
    </row>
    <row r="445" spans="3:10">
      <c r="E445" t="s">
        <v>804</v>
      </c>
      <c r="G445" s="41">
        <v>1000000</v>
      </c>
    </row>
    <row r="446" spans="3:10">
      <c r="E446" t="s">
        <v>805</v>
      </c>
      <c r="G446" s="46">
        <v>0.6</v>
      </c>
    </row>
    <row r="448" spans="3:10">
      <c r="C448" s="60">
        <f>MAX($B$1:C447)+0.1</f>
        <v>6.3999999999999986</v>
      </c>
      <c r="D448" s="39" t="s">
        <v>806</v>
      </c>
    </row>
    <row r="450" spans="3:8">
      <c r="E450" t="s">
        <v>807</v>
      </c>
      <c r="G450" s="150">
        <v>1</v>
      </c>
    </row>
    <row r="451" spans="3:8">
      <c r="E451" t="s">
        <v>808</v>
      </c>
      <c r="G451" s="46">
        <v>0.3</v>
      </c>
    </row>
    <row r="452" spans="3:8">
      <c r="E452" t="s">
        <v>809</v>
      </c>
      <c r="G452" s="41">
        <v>3000000</v>
      </c>
    </row>
    <row r="453" spans="3:8">
      <c r="E453" t="s">
        <v>810</v>
      </c>
      <c r="G453" s="41">
        <v>1000000</v>
      </c>
    </row>
    <row r="454" spans="3:8">
      <c r="E454" t="s">
        <v>811</v>
      </c>
      <c r="G454" s="46">
        <v>0.6</v>
      </c>
    </row>
    <row r="456" spans="3:8">
      <c r="C456" s="60">
        <f>MAX($B$1:C455)+0.1</f>
        <v>6.4999999999999982</v>
      </c>
      <c r="D456" s="39" t="s">
        <v>812</v>
      </c>
    </row>
    <row r="458" spans="3:8">
      <c r="E458" t="s">
        <v>586</v>
      </c>
      <c r="G458" s="150">
        <v>0</v>
      </c>
    </row>
    <row r="459" spans="3:8">
      <c r="E459" t="s">
        <v>814</v>
      </c>
      <c r="G459" s="46">
        <v>1</v>
      </c>
    </row>
    <row r="460" spans="3:8">
      <c r="E460" t="s">
        <v>813</v>
      </c>
      <c r="G460" s="485">
        <f>G459*(SUM(DCF!$Y$329:$Y$331)-SUM(DCF!$S$181:$BG$181)-SUM(DCF!$S$256:$BG$256))</f>
        <v>3154050</v>
      </c>
    </row>
    <row r="461" spans="3:8">
      <c r="E461" t="s">
        <v>707</v>
      </c>
      <c r="G461" s="41">
        <v>0</v>
      </c>
    </row>
    <row r="462" spans="3:8">
      <c r="E462" t="s">
        <v>583</v>
      </c>
      <c r="G462" s="41">
        <v>20</v>
      </c>
    </row>
    <row r="464" spans="3:8">
      <c r="E464" t="s">
        <v>817</v>
      </c>
      <c r="G464" s="46">
        <v>0.05</v>
      </c>
      <c r="H464" s="255" t="s">
        <v>1444</v>
      </c>
    </row>
    <row r="466" spans="2:11">
      <c r="C466" s="60">
        <f>MAX($B$1:C465)+0.1</f>
        <v>6.5999999999999979</v>
      </c>
      <c r="D466" s="39" t="s">
        <v>815</v>
      </c>
    </row>
    <row r="467" spans="2:11">
      <c r="C467" s="60"/>
      <c r="D467" s="39"/>
    </row>
    <row r="468" spans="2:11">
      <c r="E468" t="s">
        <v>816</v>
      </c>
      <c r="G468" s="150">
        <v>0</v>
      </c>
    </row>
    <row r="470" spans="2:11" s="36" customFormat="1">
      <c r="B470" s="38">
        <f>MAX($B$1:B469)+1</f>
        <v>7</v>
      </c>
      <c r="C470" s="59"/>
      <c r="D470" s="37" t="s">
        <v>447</v>
      </c>
    </row>
    <row r="472" spans="2:11">
      <c r="C472" s="60">
        <f>MAX($B$1:C471)+0.1</f>
        <v>7.1</v>
      </c>
      <c r="D472" s="39" t="s">
        <v>446</v>
      </c>
    </row>
    <row r="474" spans="2:11">
      <c r="E474" t="s">
        <v>453</v>
      </c>
      <c r="G474" s="70">
        <f>CHOOSE($F$38,H474,I474,J474)</f>
        <v>0</v>
      </c>
      <c r="H474" s="68">
        <v>0</v>
      </c>
      <c r="I474" s="71">
        <v>0</v>
      </c>
      <c r="J474" s="69">
        <v>0</v>
      </c>
      <c r="K474" t="s">
        <v>451</v>
      </c>
    </row>
    <row r="475" spans="2:11">
      <c r="E475" t="s">
        <v>448</v>
      </c>
      <c r="G475" s="70">
        <f t="shared" ref="G475" si="41">CHOOSE($F$38,H475,I475,J475)</f>
        <v>4</v>
      </c>
      <c r="H475" s="68">
        <v>4</v>
      </c>
      <c r="I475" s="71">
        <v>4</v>
      </c>
      <c r="J475" s="69">
        <v>4</v>
      </c>
      <c r="K475" t="s">
        <v>450</v>
      </c>
    </row>
    <row r="477" spans="2:11">
      <c r="E477" t="s">
        <v>452</v>
      </c>
      <c r="G477" s="70">
        <f t="shared" ref="G477:G479" si="42">CHOOSE($F$38,H477,I477,J477)</f>
        <v>0</v>
      </c>
      <c r="H477" s="68">
        <v>0</v>
      </c>
      <c r="I477" s="71">
        <v>0</v>
      </c>
      <c r="J477" s="69">
        <v>0</v>
      </c>
      <c r="K477" t="s">
        <v>451</v>
      </c>
    </row>
    <row r="478" spans="2:11">
      <c r="E478" t="s">
        <v>449</v>
      </c>
      <c r="G478" s="70">
        <f t="shared" si="42"/>
        <v>4</v>
      </c>
      <c r="H478" s="68">
        <v>4</v>
      </c>
      <c r="I478" s="68">
        <v>4</v>
      </c>
      <c r="J478" s="68">
        <v>4</v>
      </c>
      <c r="K478" t="s">
        <v>450</v>
      </c>
    </row>
    <row r="479" spans="2:11">
      <c r="E479" t="s">
        <v>448</v>
      </c>
      <c r="G479" s="70">
        <f t="shared" si="42"/>
        <v>16</v>
      </c>
      <c r="H479" s="68">
        <v>16</v>
      </c>
      <c r="I479" s="68">
        <v>16</v>
      </c>
      <c r="J479" s="68">
        <v>16</v>
      </c>
      <c r="K479" t="s">
        <v>450</v>
      </c>
    </row>
    <row r="482" spans="2:10" s="36" customFormat="1">
      <c r="B482" s="38">
        <f>MAX($B$1:B481)+1</f>
        <v>8</v>
      </c>
      <c r="C482" s="59"/>
      <c r="D482" s="37" t="s">
        <v>486</v>
      </c>
    </row>
    <row r="484" spans="2:10">
      <c r="E484" t="s">
        <v>487</v>
      </c>
      <c r="G484" s="45">
        <f t="shared" ref="G484" si="43">CHOOSE($F$38,H484,I484,J484)</f>
        <v>1.2999999999999999E-3</v>
      </c>
      <c r="H484" s="64">
        <v>1.2999999999999999E-3</v>
      </c>
      <c r="I484" s="46">
        <v>1.2999999999999999E-3</v>
      </c>
      <c r="J484" s="65">
        <v>1.2999999999999999E-3</v>
      </c>
    </row>
    <row r="485" spans="2:10">
      <c r="E485" t="s">
        <v>488</v>
      </c>
      <c r="G485" s="45">
        <f t="shared" ref="G485" si="44">CHOOSE($F$38,H485,I485,J485)</f>
        <v>0</v>
      </c>
      <c r="H485" s="64">
        <v>0</v>
      </c>
      <c r="I485" s="46">
        <v>0</v>
      </c>
      <c r="J485" s="65">
        <v>0</v>
      </c>
    </row>
    <row r="487" spans="2:10">
      <c r="E487" t="s">
        <v>1153</v>
      </c>
      <c r="G487" s="1085">
        <f t="shared" ref="G487:G488" si="45">CHOOSE($F$38,H487,I487,J487)</f>
        <v>0</v>
      </c>
      <c r="H487" s="1082">
        <v>0</v>
      </c>
      <c r="I487" s="1083">
        <v>0</v>
      </c>
      <c r="J487" s="1084">
        <v>0</v>
      </c>
    </row>
    <row r="488" spans="2:10">
      <c r="E488" t="s">
        <v>225</v>
      </c>
      <c r="G488" s="1086">
        <f t="shared" si="45"/>
        <v>0</v>
      </c>
      <c r="H488" s="1087">
        <v>0</v>
      </c>
      <c r="I488" s="207">
        <v>0</v>
      </c>
      <c r="J488" s="1088">
        <v>0</v>
      </c>
    </row>
    <row r="490" spans="2:10" s="36" customFormat="1">
      <c r="B490" s="38">
        <f>MAX($B$1:B489)+1</f>
        <v>9</v>
      </c>
      <c r="C490" s="59"/>
      <c r="D490" s="37" t="s">
        <v>570</v>
      </c>
    </row>
    <row r="492" spans="2:10">
      <c r="C492" s="60">
        <f>MAX($B$1:C490)+0.1</f>
        <v>9.1</v>
      </c>
      <c r="D492" s="39" t="s">
        <v>708</v>
      </c>
    </row>
    <row r="494" spans="2:10">
      <c r="E494" t="s">
        <v>587</v>
      </c>
      <c r="G494" s="385">
        <f>CHOOSE($F$43,H494,I494,J494)</f>
        <v>1</v>
      </c>
      <c r="H494" s="150">
        <v>1</v>
      </c>
      <c r="I494" s="150">
        <v>1</v>
      </c>
      <c r="J494" s="150">
        <v>1</v>
      </c>
    </row>
    <row r="495" spans="2:10">
      <c r="E495" t="s">
        <v>707</v>
      </c>
      <c r="G495" s="380">
        <f>CHOOSE($F$43,H495,I495,J495)</f>
        <v>0</v>
      </c>
      <c r="H495" s="66">
        <v>0</v>
      </c>
      <c r="I495" s="41">
        <v>0</v>
      </c>
      <c r="J495" s="67">
        <v>0</v>
      </c>
    </row>
    <row r="497" spans="3:10">
      <c r="C497" s="60">
        <f>MAX($B$1:C496)+0.1</f>
        <v>9.1999999999999993</v>
      </c>
      <c r="D497" s="39" t="s">
        <v>571</v>
      </c>
    </row>
    <row r="499" spans="3:10">
      <c r="E499" t="s">
        <v>572</v>
      </c>
      <c r="G499" s="380">
        <f>PP*G500</f>
        <v>2500000</v>
      </c>
    </row>
    <row r="500" spans="3:10">
      <c r="E500" t="s">
        <v>573</v>
      </c>
      <c r="G500" s="1086">
        <f>CHOOSE($F$43,H500,I500,J500)+LTPPflex</f>
        <v>0.5</v>
      </c>
      <c r="H500" s="207">
        <v>0.5</v>
      </c>
      <c r="I500" s="207">
        <v>0.65</v>
      </c>
      <c r="J500" s="1088">
        <v>0.65</v>
      </c>
    </row>
    <row r="501" spans="3:10">
      <c r="E501" t="s">
        <v>736</v>
      </c>
      <c r="G501" s="45">
        <f>(-G499/(SUM(DCF!R75:S75)))</f>
        <v>1.0604731823487734</v>
      </c>
    </row>
    <row r="503" spans="3:10">
      <c r="C503" s="60">
        <f>MAX($B$1:C502)+0.1</f>
        <v>9.2999999999999989</v>
      </c>
      <c r="D503" s="39" t="s">
        <v>575</v>
      </c>
    </row>
    <row r="505" spans="3:10">
      <c r="E505" t="s">
        <v>576</v>
      </c>
      <c r="G505" s="45">
        <f>CHOOSE($F$43,H505,I505,J505)</f>
        <v>7.4999999999999997E-3</v>
      </c>
      <c r="H505" s="64">
        <v>7.4999999999999997E-3</v>
      </c>
      <c r="I505" s="46"/>
      <c r="J505" s="65"/>
    </row>
    <row r="506" spans="3:10">
      <c r="E506" t="s">
        <v>577</v>
      </c>
      <c r="G506" s="380">
        <f>CHOOSE($F$43,H506,I506,J506)</f>
        <v>47000</v>
      </c>
      <c r="H506" s="66">
        <f>4000*SUM(AA!$E$13:$E$15)+30000+G499*0.002</f>
        <v>47000</v>
      </c>
      <c r="I506" s="41"/>
      <c r="J506" s="67"/>
    </row>
    <row r="508" spans="3:10">
      <c r="E508" t="s">
        <v>578</v>
      </c>
      <c r="G508" s="45">
        <f>CHOOSE($F$43,H508,I508,J508)</f>
        <v>8.7500000000000008E-3</v>
      </c>
      <c r="H508" s="64">
        <f>M526/2</f>
        <v>8.7500000000000008E-3</v>
      </c>
      <c r="I508" s="46"/>
      <c r="J508" s="65"/>
    </row>
    <row r="509" spans="3:10">
      <c r="E509" t="s">
        <v>1761</v>
      </c>
      <c r="G509" s="380">
        <f>CHOOSE($F$43,H509,I509,J509)</f>
        <v>0</v>
      </c>
      <c r="H509" s="66"/>
      <c r="I509" s="66"/>
      <c r="J509" s="66"/>
    </row>
    <row r="510" spans="3:10">
      <c r="E510" t="s">
        <v>1370</v>
      </c>
      <c r="G510" s="380">
        <f>CHOOSE($F$43,H510,I510,J510)</f>
        <v>0</v>
      </c>
      <c r="H510" s="66"/>
      <c r="I510" s="41"/>
      <c r="J510" s="67"/>
    </row>
    <row r="511" spans="3:10">
      <c r="E511" t="s">
        <v>1371</v>
      </c>
      <c r="G511" s="380">
        <f>CHOOSE($F$43,H511,I511,J511)</f>
        <v>0</v>
      </c>
      <c r="H511" s="66"/>
      <c r="I511" s="41"/>
      <c r="J511" s="67"/>
    </row>
    <row r="513" spans="3:25">
      <c r="C513" s="60">
        <f>MAX($B$1:C512)+0.1</f>
        <v>9.3999999999999986</v>
      </c>
      <c r="D513" s="39" t="s">
        <v>580</v>
      </c>
    </row>
    <row r="515" spans="3:25">
      <c r="E515" t="s">
        <v>581</v>
      </c>
      <c r="G515" s="380">
        <f>CHOOSE($F$43,H515,I515,J515)</f>
        <v>2</v>
      </c>
      <c r="H515" s="66">
        <v>2</v>
      </c>
      <c r="I515" s="41">
        <v>2</v>
      </c>
      <c r="J515" s="67">
        <v>2</v>
      </c>
    </row>
    <row r="516" spans="3:25">
      <c r="E516" t="s">
        <v>582</v>
      </c>
      <c r="G516" s="45">
        <f>CHOOSE($F$43,H516,I516,J516)</f>
        <v>1.2</v>
      </c>
      <c r="H516" s="64">
        <v>1.2</v>
      </c>
      <c r="I516" s="46">
        <v>1.2</v>
      </c>
      <c r="J516" s="65">
        <v>1.2</v>
      </c>
    </row>
    <row r="517" spans="3:25">
      <c r="G517" s="147"/>
      <c r="H517" s="146"/>
      <c r="I517" s="146"/>
      <c r="J517" s="146"/>
    </row>
    <row r="518" spans="3:25">
      <c r="E518" t="s">
        <v>583</v>
      </c>
      <c r="G518" s="380">
        <f>CHOOSE($F$43,H518,I518,J518)</f>
        <v>20</v>
      </c>
      <c r="H518" s="66">
        <v>20</v>
      </c>
      <c r="I518" s="41">
        <v>20</v>
      </c>
      <c r="J518" s="67">
        <v>20</v>
      </c>
    </row>
    <row r="519" spans="3:25">
      <c r="E519" t="s">
        <v>584</v>
      </c>
      <c r="G519" s="381">
        <f>CHOOSE($F$43,H519,I519,J519)</f>
        <v>46081</v>
      </c>
      <c r="H519" s="381">
        <f>INDEX($K$96:$AZ$96,MATCH(H$518,$K$97:$AZ$97,0))</f>
        <v>46081</v>
      </c>
      <c r="I519" s="381">
        <f>INDEX($K$96:$AZ$96,MATCH(I$518,$K$97:$AZ$97,0))</f>
        <v>46081</v>
      </c>
      <c r="J519" s="381">
        <f>INDEX($K$96:$AZ$96,MATCH(J$518,$K$97:$AZ$97,0))</f>
        <v>46081</v>
      </c>
    </row>
    <row r="521" spans="3:25">
      <c r="C521" s="60">
        <f>MAX($B$1:C520)+0.1</f>
        <v>9.4999999999999982</v>
      </c>
      <c r="D521" s="39" t="s">
        <v>709</v>
      </c>
    </row>
    <row r="523" spans="3:25">
      <c r="E523" t="s">
        <v>711</v>
      </c>
      <c r="G523" s="380">
        <f>CHOOSE($F$43,H523,I523,J523)</f>
        <v>360</v>
      </c>
      <c r="H523" s="66">
        <v>360</v>
      </c>
      <c r="I523" s="41">
        <v>360</v>
      </c>
      <c r="J523" s="67">
        <v>360</v>
      </c>
    </row>
    <row r="525" spans="3:25">
      <c r="E525" s="425" t="s">
        <v>710</v>
      </c>
      <c r="G525" s="429" t="s">
        <v>712</v>
      </c>
      <c r="H525" s="426"/>
      <c r="I525" s="426"/>
      <c r="J525" s="427"/>
      <c r="L525" s="429" t="s">
        <v>713</v>
      </c>
      <c r="M525" s="426"/>
      <c r="N525" s="426"/>
      <c r="O525" s="427"/>
      <c r="Q525" s="429" t="s">
        <v>714</v>
      </c>
      <c r="R525" s="426"/>
      <c r="S525" s="426"/>
      <c r="T525" s="427"/>
      <c r="V525" s="429" t="s">
        <v>716</v>
      </c>
      <c r="W525" s="426"/>
      <c r="X525" s="426"/>
      <c r="Y525" s="427"/>
    </row>
    <row r="526" spans="3:25">
      <c r="E526" s="72">
        <v>1</v>
      </c>
      <c r="G526" s="435">
        <f>CHOOSE($F$43,H526,I526,J526)</f>
        <v>0</v>
      </c>
      <c r="H526" s="430">
        <f>MAX(I526,0)</f>
        <v>0</v>
      </c>
      <c r="I526" s="430">
        <v>-5.4000000000000003E-3</v>
      </c>
      <c r="J526" s="431"/>
      <c r="L526" s="435">
        <f t="shared" ref="L526:L565" si="46">CHOOSE($F$43,M526,N526,O526)+$G$719</f>
        <v>1.7500000000000002E-2</v>
      </c>
      <c r="M526" s="430">
        <v>1.7500000000000002E-2</v>
      </c>
      <c r="N526" s="430"/>
      <c r="O526" s="431"/>
      <c r="Q526" s="435">
        <f>CHOOSE($F$43,R526,S526,T526)</f>
        <v>0.02</v>
      </c>
      <c r="R526" s="430">
        <v>0.02</v>
      </c>
      <c r="S526" s="430"/>
      <c r="T526" s="431"/>
      <c r="V526" s="435">
        <f>CHOOSE($F$43,W526,X526,Y526)</f>
        <v>0</v>
      </c>
      <c r="W526" s="430"/>
      <c r="X526" s="430"/>
      <c r="Y526" s="431"/>
    </row>
    <row r="527" spans="3:25">
      <c r="E527" s="73">
        <f>+E526+1</f>
        <v>2</v>
      </c>
      <c r="G527" s="436">
        <f t="shared" ref="G527:G565" si="47">CHOOSE($F$43,H527,I527,J527)</f>
        <v>0</v>
      </c>
      <c r="H527" s="428">
        <f t="shared" ref="H527:H565" si="48">MAX(I527,0)</f>
        <v>0</v>
      </c>
      <c r="I527" s="428">
        <v>-5.4000000000000003E-3</v>
      </c>
      <c r="J527" s="432"/>
      <c r="L527" s="436">
        <f t="shared" si="46"/>
        <v>1.7500000000000002E-2</v>
      </c>
      <c r="M527" s="428">
        <v>1.7500000000000002E-2</v>
      </c>
      <c r="N527" s="428"/>
      <c r="O527" s="432"/>
      <c r="Q527" s="436">
        <f t="shared" ref="Q527" si="49">CHOOSE($F$43,R527,S527,T527)</f>
        <v>0.02</v>
      </c>
      <c r="R527" s="428">
        <v>0.02</v>
      </c>
      <c r="S527" s="428"/>
      <c r="T527" s="432"/>
      <c r="V527" s="436">
        <f t="shared" ref="V527" si="50">CHOOSE($F$43,W527,X527,Y527)</f>
        <v>0</v>
      </c>
      <c r="W527" s="428"/>
      <c r="X527" s="428"/>
      <c r="Y527" s="432"/>
    </row>
    <row r="528" spans="3:25">
      <c r="E528" s="73">
        <f t="shared" ref="E528:E565" si="51">+E527+1</f>
        <v>3</v>
      </c>
      <c r="G528" s="436">
        <f t="shared" si="47"/>
        <v>0</v>
      </c>
      <c r="H528" s="428">
        <f t="shared" si="48"/>
        <v>0</v>
      </c>
      <c r="I528" s="428">
        <v>-5.3628E-3</v>
      </c>
      <c r="J528" s="432"/>
      <c r="L528" s="436">
        <f t="shared" si="46"/>
        <v>1.7500000000000002E-2</v>
      </c>
      <c r="M528" s="428">
        <v>1.7500000000000002E-2</v>
      </c>
      <c r="N528" s="428"/>
      <c r="O528" s="432"/>
      <c r="Q528" s="436">
        <f>CHOOSE($F$43,R528,S528,T528)</f>
        <v>0.02</v>
      </c>
      <c r="R528" s="428">
        <v>0.02</v>
      </c>
      <c r="S528" s="428"/>
      <c r="T528" s="432"/>
      <c r="V528" s="436">
        <f>CHOOSE($F$43,W528,X528,Y528)</f>
        <v>0</v>
      </c>
      <c r="W528" s="428"/>
      <c r="X528" s="428"/>
      <c r="Y528" s="432"/>
    </row>
    <row r="529" spans="5:25">
      <c r="E529" s="73">
        <f t="shared" si="51"/>
        <v>4</v>
      </c>
      <c r="G529" s="436">
        <f t="shared" si="47"/>
        <v>0</v>
      </c>
      <c r="H529" s="428">
        <f t="shared" si="48"/>
        <v>0</v>
      </c>
      <c r="I529" s="428">
        <v>-5.3498E-3</v>
      </c>
      <c r="J529" s="432"/>
      <c r="L529" s="436">
        <f t="shared" si="46"/>
        <v>1.7500000000000002E-2</v>
      </c>
      <c r="M529" s="428">
        <v>1.7500000000000002E-2</v>
      </c>
      <c r="N529" s="428"/>
      <c r="O529" s="432"/>
      <c r="Q529" s="436">
        <f t="shared" ref="Q529:Q565" si="52">CHOOSE($F$43,R529,S529,T529)</f>
        <v>0.02</v>
      </c>
      <c r="R529" s="428">
        <v>0.02</v>
      </c>
      <c r="S529" s="428"/>
      <c r="T529" s="432"/>
      <c r="V529" s="436">
        <f t="shared" ref="V529:V565" si="53">CHOOSE($F$43,W529,X529,Y529)</f>
        <v>0</v>
      </c>
      <c r="W529" s="428"/>
      <c r="X529" s="428"/>
      <c r="Y529" s="432"/>
    </row>
    <row r="530" spans="5:25">
      <c r="E530" s="73">
        <f t="shared" si="51"/>
        <v>5</v>
      </c>
      <c r="G530" s="436">
        <f t="shared" si="47"/>
        <v>0</v>
      </c>
      <c r="H530" s="428">
        <f t="shared" si="48"/>
        <v>0</v>
      </c>
      <c r="I530" s="428">
        <v>-5.2750999999999996E-3</v>
      </c>
      <c r="J530" s="432"/>
      <c r="L530" s="436">
        <f t="shared" si="46"/>
        <v>1.7500000000000002E-2</v>
      </c>
      <c r="M530" s="428">
        <v>1.7500000000000002E-2</v>
      </c>
      <c r="N530" s="428"/>
      <c r="O530" s="432"/>
      <c r="Q530" s="436">
        <f t="shared" si="52"/>
        <v>0.02</v>
      </c>
      <c r="R530" s="428">
        <v>0.02</v>
      </c>
      <c r="S530" s="428"/>
      <c r="T530" s="432"/>
      <c r="V530" s="436">
        <f t="shared" si="53"/>
        <v>0</v>
      </c>
      <c r="W530" s="428"/>
      <c r="X530" s="428"/>
      <c r="Y530" s="432"/>
    </row>
    <row r="531" spans="5:25">
      <c r="E531" s="73">
        <f t="shared" si="51"/>
        <v>6</v>
      </c>
      <c r="G531" s="436">
        <f t="shared" si="47"/>
        <v>0</v>
      </c>
      <c r="H531" s="428">
        <f t="shared" si="48"/>
        <v>0</v>
      </c>
      <c r="I531" s="428">
        <v>-5.2119999999999996E-3</v>
      </c>
      <c r="J531" s="432"/>
      <c r="L531" s="436">
        <f t="shared" si="46"/>
        <v>1.7500000000000002E-2</v>
      </c>
      <c r="M531" s="428">
        <v>1.7500000000000002E-2</v>
      </c>
      <c r="N531" s="428"/>
      <c r="O531" s="432"/>
      <c r="Q531" s="436">
        <f t="shared" si="52"/>
        <v>0.02</v>
      </c>
      <c r="R531" s="428">
        <v>0.02</v>
      </c>
      <c r="S531" s="428"/>
      <c r="T531" s="432"/>
      <c r="V531" s="436">
        <f t="shared" si="53"/>
        <v>0</v>
      </c>
      <c r="W531" s="428"/>
      <c r="X531" s="428"/>
      <c r="Y531" s="432"/>
    </row>
    <row r="532" spans="5:25">
      <c r="E532" s="73">
        <f t="shared" si="51"/>
        <v>7</v>
      </c>
      <c r="G532" s="436">
        <f t="shared" si="47"/>
        <v>0</v>
      </c>
      <c r="H532" s="428">
        <f t="shared" si="48"/>
        <v>0</v>
      </c>
      <c r="I532" s="428">
        <v>-5.1655E-3</v>
      </c>
      <c r="J532" s="432"/>
      <c r="L532" s="436">
        <f t="shared" si="46"/>
        <v>1.7500000000000002E-2</v>
      </c>
      <c r="M532" s="428">
        <v>1.7500000000000002E-2</v>
      </c>
      <c r="N532" s="428"/>
      <c r="O532" s="432"/>
      <c r="Q532" s="436">
        <f t="shared" si="52"/>
        <v>0.02</v>
      </c>
      <c r="R532" s="428">
        <v>0.02</v>
      </c>
      <c r="S532" s="428"/>
      <c r="T532" s="432"/>
      <c r="V532" s="436">
        <f t="shared" si="53"/>
        <v>0</v>
      </c>
      <c r="W532" s="428"/>
      <c r="X532" s="428"/>
      <c r="Y532" s="432"/>
    </row>
    <row r="533" spans="5:25">
      <c r="E533" s="73">
        <f t="shared" si="51"/>
        <v>8</v>
      </c>
      <c r="G533" s="436">
        <f t="shared" si="47"/>
        <v>0</v>
      </c>
      <c r="H533" s="428">
        <f t="shared" si="48"/>
        <v>0</v>
      </c>
      <c r="I533" s="428">
        <v>-4.7331999999999999E-3</v>
      </c>
      <c r="J533" s="432"/>
      <c r="L533" s="436">
        <f t="shared" si="46"/>
        <v>1.7500000000000002E-2</v>
      </c>
      <c r="M533" s="428">
        <v>1.7500000000000002E-2</v>
      </c>
      <c r="N533" s="428"/>
      <c r="O533" s="432"/>
      <c r="Q533" s="436">
        <f t="shared" si="52"/>
        <v>0.02</v>
      </c>
      <c r="R533" s="428">
        <v>0.02</v>
      </c>
      <c r="S533" s="428"/>
      <c r="T533" s="432"/>
      <c r="V533" s="436">
        <f t="shared" si="53"/>
        <v>0</v>
      </c>
      <c r="W533" s="428"/>
      <c r="X533" s="428"/>
      <c r="Y533" s="432"/>
    </row>
    <row r="534" spans="5:25">
      <c r="E534" s="73">
        <f t="shared" si="51"/>
        <v>9</v>
      </c>
      <c r="G534" s="436">
        <f t="shared" si="47"/>
        <v>0</v>
      </c>
      <c r="H534" s="428">
        <f t="shared" si="48"/>
        <v>0</v>
      </c>
      <c r="I534" s="428">
        <v>-4.4955000000000004E-3</v>
      </c>
      <c r="J534" s="432"/>
      <c r="L534" s="436">
        <f t="shared" si="46"/>
        <v>1.7500000000000002E-2</v>
      </c>
      <c r="M534" s="428">
        <v>1.7500000000000002E-2</v>
      </c>
      <c r="N534" s="428"/>
      <c r="O534" s="432"/>
      <c r="Q534" s="436">
        <f t="shared" si="52"/>
        <v>0.02</v>
      </c>
      <c r="R534" s="428">
        <v>0.02</v>
      </c>
      <c r="S534" s="428"/>
      <c r="T534" s="432"/>
      <c r="V534" s="436">
        <f t="shared" si="53"/>
        <v>0</v>
      </c>
      <c r="W534" s="428"/>
      <c r="X534" s="428"/>
      <c r="Y534" s="432"/>
    </row>
    <row r="535" spans="5:25">
      <c r="E535" s="73">
        <f t="shared" si="51"/>
        <v>10</v>
      </c>
      <c r="G535" s="436">
        <f t="shared" si="47"/>
        <v>0</v>
      </c>
      <c r="H535" s="428">
        <f t="shared" si="48"/>
        <v>0</v>
      </c>
      <c r="I535" s="428">
        <v>-4.3360999999999999E-3</v>
      </c>
      <c r="J535" s="432"/>
      <c r="L535" s="436">
        <f t="shared" si="46"/>
        <v>1.7500000000000002E-2</v>
      </c>
      <c r="M535" s="428">
        <v>1.7500000000000002E-2</v>
      </c>
      <c r="N535" s="428"/>
      <c r="O535" s="432"/>
      <c r="Q535" s="436">
        <f t="shared" si="52"/>
        <v>0.02</v>
      </c>
      <c r="R535" s="428">
        <v>0.02</v>
      </c>
      <c r="S535" s="428"/>
      <c r="T535" s="432"/>
      <c r="V535" s="436">
        <f t="shared" si="53"/>
        <v>0</v>
      </c>
      <c r="W535" s="428"/>
      <c r="X535" s="428"/>
      <c r="Y535" s="432"/>
    </row>
    <row r="536" spans="5:25">
      <c r="E536" s="73">
        <f t="shared" si="51"/>
        <v>11</v>
      </c>
      <c r="G536" s="436">
        <f t="shared" si="47"/>
        <v>0</v>
      </c>
      <c r="H536" s="428">
        <f t="shared" si="48"/>
        <v>0</v>
      </c>
      <c r="I536" s="428">
        <v>-4.2078000000000003E-3</v>
      </c>
      <c r="J536" s="432"/>
      <c r="L536" s="436">
        <f t="shared" si="46"/>
        <v>1.7500000000000002E-2</v>
      </c>
      <c r="M536" s="428">
        <v>1.7500000000000002E-2</v>
      </c>
      <c r="N536" s="428"/>
      <c r="O536" s="432"/>
      <c r="Q536" s="436">
        <f t="shared" si="52"/>
        <v>0.02</v>
      </c>
      <c r="R536" s="428">
        <v>0.02</v>
      </c>
      <c r="S536" s="428"/>
      <c r="T536" s="432"/>
      <c r="V536" s="436">
        <f t="shared" si="53"/>
        <v>0</v>
      </c>
      <c r="W536" s="428"/>
      <c r="X536" s="428"/>
      <c r="Y536" s="432"/>
    </row>
    <row r="537" spans="5:25">
      <c r="E537" s="73">
        <f t="shared" si="51"/>
        <v>12</v>
      </c>
      <c r="G537" s="436">
        <f t="shared" si="47"/>
        <v>0</v>
      </c>
      <c r="H537" s="428">
        <f t="shared" si="48"/>
        <v>0</v>
      </c>
      <c r="I537" s="428">
        <v>-4.0898000000000002E-3</v>
      </c>
      <c r="J537" s="432"/>
      <c r="L537" s="436">
        <f t="shared" si="46"/>
        <v>1.7500000000000002E-2</v>
      </c>
      <c r="M537" s="428">
        <v>1.7500000000000002E-2</v>
      </c>
      <c r="N537" s="428"/>
      <c r="O537" s="432"/>
      <c r="Q537" s="436">
        <f t="shared" si="52"/>
        <v>0.02</v>
      </c>
      <c r="R537" s="428">
        <v>0.02</v>
      </c>
      <c r="S537" s="428"/>
      <c r="T537" s="432"/>
      <c r="V537" s="436">
        <f t="shared" si="53"/>
        <v>0</v>
      </c>
      <c r="W537" s="428"/>
      <c r="X537" s="428"/>
      <c r="Y537" s="432"/>
    </row>
    <row r="538" spans="5:25">
      <c r="E538" s="73">
        <f t="shared" si="51"/>
        <v>13</v>
      </c>
      <c r="G538" s="436">
        <f t="shared" si="47"/>
        <v>0</v>
      </c>
      <c r="H538" s="428">
        <f t="shared" si="48"/>
        <v>0</v>
      </c>
      <c r="I538" s="428">
        <v>-3.9062999999999997E-3</v>
      </c>
      <c r="J538" s="432"/>
      <c r="L538" s="436">
        <f t="shared" si="46"/>
        <v>1.7500000000000002E-2</v>
      </c>
      <c r="M538" s="428">
        <v>1.7500000000000002E-2</v>
      </c>
      <c r="N538" s="428"/>
      <c r="O538" s="432"/>
      <c r="Q538" s="436">
        <f t="shared" si="52"/>
        <v>0.02</v>
      </c>
      <c r="R538" s="428">
        <v>0.02</v>
      </c>
      <c r="S538" s="428"/>
      <c r="T538" s="432"/>
      <c r="V538" s="436">
        <f t="shared" si="53"/>
        <v>0</v>
      </c>
      <c r="W538" s="428"/>
      <c r="X538" s="428"/>
      <c r="Y538" s="432"/>
    </row>
    <row r="539" spans="5:25">
      <c r="E539" s="73">
        <f t="shared" si="51"/>
        <v>14</v>
      </c>
      <c r="G539" s="436">
        <f t="shared" si="47"/>
        <v>0</v>
      </c>
      <c r="H539" s="428">
        <f t="shared" si="48"/>
        <v>0</v>
      </c>
      <c r="I539" s="428">
        <v>-3.5918E-3</v>
      </c>
      <c r="J539" s="432"/>
      <c r="L539" s="436">
        <f t="shared" si="46"/>
        <v>1.7500000000000002E-2</v>
      </c>
      <c r="M539" s="428">
        <v>1.7500000000000002E-2</v>
      </c>
      <c r="N539" s="428"/>
      <c r="O539" s="432"/>
      <c r="Q539" s="436">
        <f t="shared" si="52"/>
        <v>0.02</v>
      </c>
      <c r="R539" s="428">
        <v>0.02</v>
      </c>
      <c r="S539" s="428"/>
      <c r="T539" s="432"/>
      <c r="V539" s="436">
        <f t="shared" si="53"/>
        <v>0</v>
      </c>
      <c r="W539" s="428"/>
      <c r="X539" s="428"/>
      <c r="Y539" s="432"/>
    </row>
    <row r="540" spans="5:25">
      <c r="E540" s="73">
        <f t="shared" si="51"/>
        <v>15</v>
      </c>
      <c r="G540" s="436">
        <f t="shared" si="47"/>
        <v>0</v>
      </c>
      <c r="H540" s="428">
        <f t="shared" si="48"/>
        <v>0</v>
      </c>
      <c r="I540" s="428">
        <v>-3.0611000000000002E-3</v>
      </c>
      <c r="J540" s="432"/>
      <c r="L540" s="436">
        <f t="shared" si="46"/>
        <v>1.7500000000000002E-2</v>
      </c>
      <c r="M540" s="428">
        <v>1.7500000000000002E-2</v>
      </c>
      <c r="N540" s="428"/>
      <c r="O540" s="432"/>
      <c r="Q540" s="436">
        <f t="shared" si="52"/>
        <v>0.02</v>
      </c>
      <c r="R540" s="428">
        <v>0.02</v>
      </c>
      <c r="S540" s="428"/>
      <c r="T540" s="432"/>
      <c r="V540" s="436">
        <f t="shared" si="53"/>
        <v>0</v>
      </c>
      <c r="W540" s="428"/>
      <c r="X540" s="428"/>
      <c r="Y540" s="432"/>
    </row>
    <row r="541" spans="5:25">
      <c r="E541" s="73">
        <f t="shared" si="51"/>
        <v>16</v>
      </c>
      <c r="G541" s="436">
        <f t="shared" si="47"/>
        <v>0</v>
      </c>
      <c r="H541" s="428">
        <f t="shared" si="48"/>
        <v>0</v>
      </c>
      <c r="I541" s="428">
        <v>-2.3479999999999998E-3</v>
      </c>
      <c r="J541" s="432"/>
      <c r="L541" s="436">
        <f t="shared" si="46"/>
        <v>1.7500000000000002E-2</v>
      </c>
      <c r="M541" s="428">
        <v>1.7500000000000002E-2</v>
      </c>
      <c r="N541" s="428"/>
      <c r="O541" s="432"/>
      <c r="Q541" s="436">
        <f t="shared" si="52"/>
        <v>0.02</v>
      </c>
      <c r="R541" s="428">
        <v>0.02</v>
      </c>
      <c r="S541" s="428"/>
      <c r="T541" s="432"/>
      <c r="V541" s="436">
        <f t="shared" si="53"/>
        <v>0</v>
      </c>
      <c r="W541" s="428"/>
      <c r="X541" s="428"/>
      <c r="Y541" s="432"/>
    </row>
    <row r="542" spans="5:25">
      <c r="E542" s="73">
        <f t="shared" si="51"/>
        <v>17</v>
      </c>
      <c r="G542" s="436">
        <f t="shared" si="47"/>
        <v>0</v>
      </c>
      <c r="H542" s="428">
        <f t="shared" si="48"/>
        <v>0</v>
      </c>
      <c r="I542" s="428">
        <v>-1.5238999999999999E-3</v>
      </c>
      <c r="J542" s="432"/>
      <c r="L542" s="436">
        <f t="shared" si="46"/>
        <v>1.7500000000000002E-2</v>
      </c>
      <c r="M542" s="428">
        <v>1.7500000000000002E-2</v>
      </c>
      <c r="N542" s="428"/>
      <c r="O542" s="432"/>
      <c r="Q542" s="436">
        <f t="shared" si="52"/>
        <v>0.02</v>
      </c>
      <c r="R542" s="428">
        <v>0.02</v>
      </c>
      <c r="S542" s="428"/>
      <c r="T542" s="432"/>
      <c r="V542" s="436">
        <f t="shared" si="53"/>
        <v>0</v>
      </c>
      <c r="W542" s="428"/>
      <c r="X542" s="428"/>
      <c r="Y542" s="432"/>
    </row>
    <row r="543" spans="5:25">
      <c r="E543" s="73">
        <f t="shared" si="51"/>
        <v>18</v>
      </c>
      <c r="G543" s="436">
        <f t="shared" si="47"/>
        <v>0</v>
      </c>
      <c r="H543" s="428">
        <f t="shared" si="48"/>
        <v>0</v>
      </c>
      <c r="I543" s="428">
        <v>-8.5220000000000001E-4</v>
      </c>
      <c r="J543" s="432"/>
      <c r="L543" s="436">
        <f t="shared" si="46"/>
        <v>1.7500000000000002E-2</v>
      </c>
      <c r="M543" s="428">
        <v>1.7500000000000002E-2</v>
      </c>
      <c r="N543" s="428"/>
      <c r="O543" s="432"/>
      <c r="Q543" s="436">
        <f t="shared" si="52"/>
        <v>0.02</v>
      </c>
      <c r="R543" s="428">
        <v>0.02</v>
      </c>
      <c r="S543" s="428"/>
      <c r="T543" s="432"/>
      <c r="V543" s="436">
        <f t="shared" si="53"/>
        <v>0</v>
      </c>
      <c r="W543" s="428"/>
      <c r="X543" s="428"/>
      <c r="Y543" s="432"/>
    </row>
    <row r="544" spans="5:25">
      <c r="E544" s="73">
        <f t="shared" si="51"/>
        <v>19</v>
      </c>
      <c r="G544" s="436">
        <f t="shared" si="47"/>
        <v>0</v>
      </c>
      <c r="H544" s="428">
        <f t="shared" si="48"/>
        <v>0</v>
      </c>
      <c r="I544" s="428">
        <v>-3.3869999999999999E-4</v>
      </c>
      <c r="J544" s="432"/>
      <c r="L544" s="436">
        <f t="shared" si="46"/>
        <v>1.7500000000000002E-2</v>
      </c>
      <c r="M544" s="428">
        <v>1.7500000000000002E-2</v>
      </c>
      <c r="N544" s="428"/>
      <c r="O544" s="432"/>
      <c r="Q544" s="436">
        <f t="shared" si="52"/>
        <v>0.02</v>
      </c>
      <c r="R544" s="428">
        <v>0.02</v>
      </c>
      <c r="S544" s="428"/>
      <c r="T544" s="432"/>
      <c r="V544" s="436">
        <f t="shared" si="53"/>
        <v>0</v>
      </c>
      <c r="W544" s="428"/>
      <c r="X544" s="428"/>
      <c r="Y544" s="432"/>
    </row>
    <row r="545" spans="5:25">
      <c r="E545" s="73">
        <f t="shared" si="51"/>
        <v>20</v>
      </c>
      <c r="G545" s="436">
        <f t="shared" si="47"/>
        <v>0</v>
      </c>
      <c r="H545" s="428">
        <f t="shared" si="48"/>
        <v>0</v>
      </c>
      <c r="I545" s="428">
        <v>-5.1900000000000001E-5</v>
      </c>
      <c r="J545" s="432"/>
      <c r="L545" s="436">
        <f t="shared" si="46"/>
        <v>1.7500000000000002E-2</v>
      </c>
      <c r="M545" s="428">
        <v>1.7500000000000002E-2</v>
      </c>
      <c r="N545" s="428"/>
      <c r="O545" s="432"/>
      <c r="Q545" s="436">
        <f t="shared" si="52"/>
        <v>0.02</v>
      </c>
      <c r="R545" s="428">
        <v>0.02</v>
      </c>
      <c r="S545" s="428"/>
      <c r="T545" s="432"/>
      <c r="V545" s="436">
        <f t="shared" si="53"/>
        <v>0</v>
      </c>
      <c r="W545" s="428"/>
      <c r="X545" s="428"/>
      <c r="Y545" s="432"/>
    </row>
    <row r="546" spans="5:25">
      <c r="E546" s="73">
        <f t="shared" si="51"/>
        <v>21</v>
      </c>
      <c r="G546" s="436">
        <f t="shared" si="47"/>
        <v>9.0099999999999995E-5</v>
      </c>
      <c r="H546" s="428">
        <f t="shared" si="48"/>
        <v>9.0099999999999995E-5</v>
      </c>
      <c r="I546" s="428">
        <v>9.0099999999999995E-5</v>
      </c>
      <c r="J546" s="432"/>
      <c r="L546" s="436">
        <f t="shared" si="46"/>
        <v>1.7500000000000002E-2</v>
      </c>
      <c r="M546" s="428">
        <v>1.7500000000000002E-2</v>
      </c>
      <c r="N546" s="428"/>
      <c r="O546" s="432"/>
      <c r="Q546" s="436">
        <f t="shared" si="52"/>
        <v>0.02</v>
      </c>
      <c r="R546" s="428">
        <v>0.02</v>
      </c>
      <c r="S546" s="428"/>
      <c r="T546" s="432"/>
      <c r="V546" s="436">
        <f t="shared" si="53"/>
        <v>0</v>
      </c>
      <c r="W546" s="428"/>
      <c r="X546" s="428"/>
      <c r="Y546" s="432"/>
    </row>
    <row r="547" spans="5:25">
      <c r="E547" s="73">
        <f t="shared" si="51"/>
        <v>22</v>
      </c>
      <c r="G547" s="436">
        <f t="shared" si="47"/>
        <v>2.588E-4</v>
      </c>
      <c r="H547" s="428">
        <f t="shared" si="48"/>
        <v>2.588E-4</v>
      </c>
      <c r="I547" s="428">
        <v>2.588E-4</v>
      </c>
      <c r="J547" s="432"/>
      <c r="L547" s="436">
        <f t="shared" si="46"/>
        <v>1.7500000000000002E-2</v>
      </c>
      <c r="M547" s="428">
        <v>1.7500000000000002E-2</v>
      </c>
      <c r="N547" s="428"/>
      <c r="O547" s="432"/>
      <c r="Q547" s="436">
        <f t="shared" si="52"/>
        <v>0.02</v>
      </c>
      <c r="R547" s="428">
        <v>0.02</v>
      </c>
      <c r="S547" s="428"/>
      <c r="T547" s="432"/>
      <c r="V547" s="436">
        <f t="shared" si="53"/>
        <v>0</v>
      </c>
      <c r="W547" s="428"/>
      <c r="X547" s="428"/>
      <c r="Y547" s="432"/>
    </row>
    <row r="548" spans="5:25">
      <c r="E548" s="73">
        <f t="shared" si="51"/>
        <v>23</v>
      </c>
      <c r="G548" s="436">
        <f t="shared" si="47"/>
        <v>6.1569999999999995E-4</v>
      </c>
      <c r="H548" s="428">
        <f t="shared" si="48"/>
        <v>6.1569999999999995E-4</v>
      </c>
      <c r="I548" s="428">
        <v>6.1569999999999995E-4</v>
      </c>
      <c r="J548" s="432"/>
      <c r="L548" s="436">
        <f t="shared" si="46"/>
        <v>1.7500000000000002E-2</v>
      </c>
      <c r="M548" s="428">
        <v>1.7500000000000002E-2</v>
      </c>
      <c r="N548" s="428"/>
      <c r="O548" s="432"/>
      <c r="Q548" s="436">
        <f t="shared" si="52"/>
        <v>0.02</v>
      </c>
      <c r="R548" s="428">
        <v>0.02</v>
      </c>
      <c r="S548" s="428"/>
      <c r="T548" s="432"/>
      <c r="V548" s="436">
        <f t="shared" si="53"/>
        <v>0</v>
      </c>
      <c r="W548" s="428"/>
      <c r="X548" s="428"/>
      <c r="Y548" s="432"/>
    </row>
    <row r="549" spans="5:25">
      <c r="E549" s="73">
        <f t="shared" si="51"/>
        <v>24</v>
      </c>
      <c r="G549" s="436">
        <f t="shared" si="47"/>
        <v>1.1563999999999999E-3</v>
      </c>
      <c r="H549" s="428">
        <f t="shared" si="48"/>
        <v>1.1563999999999999E-3</v>
      </c>
      <c r="I549" s="428">
        <v>1.1563999999999999E-3</v>
      </c>
      <c r="J549" s="432"/>
      <c r="L549" s="436">
        <f t="shared" si="46"/>
        <v>1.7500000000000002E-2</v>
      </c>
      <c r="M549" s="428">
        <v>1.7500000000000002E-2</v>
      </c>
      <c r="N549" s="428"/>
      <c r="O549" s="432"/>
      <c r="Q549" s="436">
        <f t="shared" si="52"/>
        <v>0.02</v>
      </c>
      <c r="R549" s="428">
        <v>0.02</v>
      </c>
      <c r="S549" s="428"/>
      <c r="T549" s="432"/>
      <c r="V549" s="436">
        <f t="shared" si="53"/>
        <v>0</v>
      </c>
      <c r="W549" s="428"/>
      <c r="X549" s="428"/>
      <c r="Y549" s="432"/>
    </row>
    <row r="550" spans="5:25">
      <c r="E550" s="73">
        <f t="shared" si="51"/>
        <v>25</v>
      </c>
      <c r="G550" s="436">
        <f t="shared" si="47"/>
        <v>1.8472E-3</v>
      </c>
      <c r="H550" s="428">
        <f t="shared" si="48"/>
        <v>1.8472E-3</v>
      </c>
      <c r="I550" s="428">
        <v>1.8472E-3</v>
      </c>
      <c r="J550" s="432"/>
      <c r="L550" s="436">
        <f t="shared" si="46"/>
        <v>1.7500000000000002E-2</v>
      </c>
      <c r="M550" s="428">
        <v>1.7500000000000002E-2</v>
      </c>
      <c r="N550" s="428"/>
      <c r="O550" s="432"/>
      <c r="Q550" s="436">
        <f t="shared" si="52"/>
        <v>0.02</v>
      </c>
      <c r="R550" s="428">
        <v>0.02</v>
      </c>
      <c r="S550" s="428"/>
      <c r="T550" s="432"/>
      <c r="V550" s="436">
        <f t="shared" si="53"/>
        <v>0</v>
      </c>
      <c r="W550" s="428"/>
      <c r="X550" s="428"/>
      <c r="Y550" s="432"/>
    </row>
    <row r="551" spans="5:25">
      <c r="E551" s="73">
        <f t="shared" si="51"/>
        <v>26</v>
      </c>
      <c r="G551" s="436">
        <f t="shared" si="47"/>
        <v>2.5045000000000002E-3</v>
      </c>
      <c r="H551" s="428">
        <f t="shared" si="48"/>
        <v>2.5045000000000002E-3</v>
      </c>
      <c r="I551" s="428">
        <v>2.5045000000000002E-3</v>
      </c>
      <c r="J551" s="432"/>
      <c r="L551" s="436">
        <f t="shared" si="46"/>
        <v>1.7500000000000002E-2</v>
      </c>
      <c r="M551" s="428">
        <v>1.7500000000000002E-2</v>
      </c>
      <c r="N551" s="428"/>
      <c r="O551" s="432"/>
      <c r="Q551" s="436">
        <f t="shared" si="52"/>
        <v>0.02</v>
      </c>
      <c r="R551" s="428">
        <v>0.02</v>
      </c>
      <c r="S551" s="428"/>
      <c r="T551" s="432"/>
      <c r="V551" s="436">
        <f t="shared" si="53"/>
        <v>0</v>
      </c>
      <c r="W551" s="428"/>
      <c r="X551" s="428"/>
      <c r="Y551" s="432"/>
    </row>
    <row r="552" spans="5:25">
      <c r="E552" s="73">
        <f t="shared" si="51"/>
        <v>27</v>
      </c>
      <c r="G552" s="436">
        <f t="shared" si="47"/>
        <v>3.0290999999999998E-3</v>
      </c>
      <c r="H552" s="428">
        <f t="shared" si="48"/>
        <v>3.0290999999999998E-3</v>
      </c>
      <c r="I552" s="428">
        <v>3.0290999999999998E-3</v>
      </c>
      <c r="J552" s="432"/>
      <c r="L552" s="436">
        <f t="shared" si="46"/>
        <v>1.7500000000000002E-2</v>
      </c>
      <c r="M552" s="428">
        <v>1.7500000000000002E-2</v>
      </c>
      <c r="N552" s="428"/>
      <c r="O552" s="432"/>
      <c r="Q552" s="436">
        <f t="shared" si="52"/>
        <v>0.02</v>
      </c>
      <c r="R552" s="428">
        <v>0.02</v>
      </c>
      <c r="S552" s="428"/>
      <c r="T552" s="432"/>
      <c r="V552" s="436">
        <f t="shared" si="53"/>
        <v>0</v>
      </c>
      <c r="W552" s="428"/>
      <c r="X552" s="428"/>
      <c r="Y552" s="432"/>
    </row>
    <row r="553" spans="5:25">
      <c r="E553" s="73">
        <f t="shared" si="51"/>
        <v>28</v>
      </c>
      <c r="G553" s="436">
        <f t="shared" si="47"/>
        <v>3.3866E-3</v>
      </c>
      <c r="H553" s="428">
        <f t="shared" si="48"/>
        <v>3.3866E-3</v>
      </c>
      <c r="I553" s="428">
        <v>3.3866E-3</v>
      </c>
      <c r="J553" s="432"/>
      <c r="L553" s="436">
        <f t="shared" si="46"/>
        <v>1.7500000000000002E-2</v>
      </c>
      <c r="M553" s="428">
        <v>1.7500000000000002E-2</v>
      </c>
      <c r="N553" s="428"/>
      <c r="O553" s="432"/>
      <c r="Q553" s="436">
        <f t="shared" si="52"/>
        <v>0.02</v>
      </c>
      <c r="R553" s="428">
        <v>0.02</v>
      </c>
      <c r="S553" s="428"/>
      <c r="T553" s="432"/>
      <c r="V553" s="436">
        <f t="shared" si="53"/>
        <v>0</v>
      </c>
      <c r="W553" s="428"/>
      <c r="X553" s="428"/>
      <c r="Y553" s="432"/>
    </row>
    <row r="554" spans="5:25">
      <c r="E554" s="73">
        <f t="shared" si="51"/>
        <v>29</v>
      </c>
      <c r="G554" s="436">
        <f t="shared" si="47"/>
        <v>3.6243999999999998E-3</v>
      </c>
      <c r="H554" s="428">
        <f t="shared" si="48"/>
        <v>3.6243999999999998E-3</v>
      </c>
      <c r="I554" s="428">
        <v>3.6243999999999998E-3</v>
      </c>
      <c r="J554" s="432"/>
      <c r="L554" s="436">
        <f t="shared" si="46"/>
        <v>1.7500000000000002E-2</v>
      </c>
      <c r="M554" s="428">
        <v>1.7500000000000002E-2</v>
      </c>
      <c r="N554" s="428"/>
      <c r="O554" s="432"/>
      <c r="Q554" s="436">
        <f t="shared" si="52"/>
        <v>0.02</v>
      </c>
      <c r="R554" s="428">
        <v>0.02</v>
      </c>
      <c r="S554" s="428"/>
      <c r="T554" s="432"/>
      <c r="V554" s="436">
        <f t="shared" si="53"/>
        <v>0</v>
      </c>
      <c r="W554" s="428"/>
      <c r="X554" s="428"/>
      <c r="Y554" s="432"/>
    </row>
    <row r="555" spans="5:25">
      <c r="E555" s="73">
        <f t="shared" si="51"/>
        <v>30</v>
      </c>
      <c r="G555" s="436">
        <f t="shared" si="47"/>
        <v>3.8327000000000001E-3</v>
      </c>
      <c r="H555" s="428">
        <f t="shared" si="48"/>
        <v>3.8327000000000001E-3</v>
      </c>
      <c r="I555" s="428">
        <v>3.8327000000000001E-3</v>
      </c>
      <c r="J555" s="432"/>
      <c r="L555" s="436">
        <f t="shared" si="46"/>
        <v>1.7500000000000002E-2</v>
      </c>
      <c r="M555" s="428">
        <v>1.7500000000000002E-2</v>
      </c>
      <c r="N555" s="428"/>
      <c r="O555" s="432"/>
      <c r="Q555" s="436">
        <f t="shared" si="52"/>
        <v>0.02</v>
      </c>
      <c r="R555" s="428">
        <v>0.02</v>
      </c>
      <c r="S555" s="428"/>
      <c r="T555" s="432"/>
      <c r="V555" s="436">
        <f t="shared" si="53"/>
        <v>0</v>
      </c>
      <c r="W555" s="428"/>
      <c r="X555" s="428"/>
      <c r="Y555" s="432"/>
    </row>
    <row r="556" spans="5:25">
      <c r="E556" s="73">
        <f t="shared" si="51"/>
        <v>31</v>
      </c>
      <c r="G556" s="436">
        <f t="shared" si="47"/>
        <v>4.1196000000000002E-3</v>
      </c>
      <c r="H556" s="428">
        <f t="shared" si="48"/>
        <v>4.1196000000000002E-3</v>
      </c>
      <c r="I556" s="428">
        <v>4.1196000000000002E-3</v>
      </c>
      <c r="J556" s="432"/>
      <c r="L556" s="436">
        <f t="shared" si="46"/>
        <v>1.7500000000000002E-2</v>
      </c>
      <c r="M556" s="428">
        <v>1.7500000000000002E-2</v>
      </c>
      <c r="N556" s="428"/>
      <c r="O556" s="432"/>
      <c r="Q556" s="436">
        <f t="shared" si="52"/>
        <v>0.02</v>
      </c>
      <c r="R556" s="428">
        <v>0.02</v>
      </c>
      <c r="S556" s="428"/>
      <c r="T556" s="432"/>
      <c r="V556" s="436">
        <f t="shared" si="53"/>
        <v>0</v>
      </c>
      <c r="W556" s="428"/>
      <c r="X556" s="428"/>
      <c r="Y556" s="432"/>
    </row>
    <row r="557" spans="5:25">
      <c r="E557" s="73">
        <f t="shared" si="51"/>
        <v>32</v>
      </c>
      <c r="G557" s="436">
        <f t="shared" si="47"/>
        <v>4.5028000000000004E-3</v>
      </c>
      <c r="H557" s="428">
        <f t="shared" si="48"/>
        <v>4.5028000000000004E-3</v>
      </c>
      <c r="I557" s="428">
        <v>4.5028000000000004E-3</v>
      </c>
      <c r="J557" s="432"/>
      <c r="L557" s="436">
        <f t="shared" si="46"/>
        <v>1.7500000000000002E-2</v>
      </c>
      <c r="M557" s="428">
        <v>1.7500000000000002E-2</v>
      </c>
      <c r="N557" s="428"/>
      <c r="O557" s="432"/>
      <c r="Q557" s="436">
        <f t="shared" si="52"/>
        <v>0.02</v>
      </c>
      <c r="R557" s="428">
        <v>0.02</v>
      </c>
      <c r="S557" s="428"/>
      <c r="T557" s="432"/>
      <c r="V557" s="436">
        <f t="shared" si="53"/>
        <v>0</v>
      </c>
      <c r="W557" s="428"/>
      <c r="X557" s="428"/>
      <c r="Y557" s="432"/>
    </row>
    <row r="558" spans="5:25">
      <c r="E558" s="73">
        <f t="shared" si="51"/>
        <v>33</v>
      </c>
      <c r="G558" s="436">
        <f t="shared" si="47"/>
        <v>4.9724000000000001E-3</v>
      </c>
      <c r="H558" s="428">
        <f t="shared" si="48"/>
        <v>4.9724000000000001E-3</v>
      </c>
      <c r="I558" s="428">
        <v>4.9724000000000001E-3</v>
      </c>
      <c r="J558" s="432"/>
      <c r="L558" s="436">
        <f t="shared" si="46"/>
        <v>1.7500000000000002E-2</v>
      </c>
      <c r="M558" s="428">
        <v>1.7500000000000002E-2</v>
      </c>
      <c r="N558" s="428"/>
      <c r="O558" s="432"/>
      <c r="Q558" s="436">
        <f t="shared" si="52"/>
        <v>0.02</v>
      </c>
      <c r="R558" s="428">
        <v>0.02</v>
      </c>
      <c r="S558" s="428"/>
      <c r="T558" s="432"/>
      <c r="V558" s="436">
        <f t="shared" si="53"/>
        <v>0</v>
      </c>
      <c r="W558" s="428"/>
      <c r="X558" s="428"/>
      <c r="Y558" s="432"/>
    </row>
    <row r="559" spans="5:25">
      <c r="E559" s="73">
        <f t="shared" si="51"/>
        <v>34</v>
      </c>
      <c r="G559" s="436">
        <f t="shared" si="47"/>
        <v>5.4140999999999998E-3</v>
      </c>
      <c r="H559" s="428">
        <f t="shared" si="48"/>
        <v>5.4140999999999998E-3</v>
      </c>
      <c r="I559" s="428">
        <v>5.4140999999999998E-3</v>
      </c>
      <c r="J559" s="432"/>
      <c r="L559" s="436">
        <f t="shared" si="46"/>
        <v>1.7500000000000002E-2</v>
      </c>
      <c r="M559" s="428">
        <v>1.7500000000000002E-2</v>
      </c>
      <c r="N559" s="428"/>
      <c r="O559" s="432"/>
      <c r="Q559" s="436">
        <f t="shared" si="52"/>
        <v>0.02</v>
      </c>
      <c r="R559" s="428">
        <v>0.02</v>
      </c>
      <c r="S559" s="428"/>
      <c r="T559" s="432"/>
      <c r="V559" s="436">
        <f t="shared" si="53"/>
        <v>0</v>
      </c>
      <c r="W559" s="428"/>
      <c r="X559" s="428"/>
      <c r="Y559" s="432"/>
    </row>
    <row r="560" spans="5:25">
      <c r="E560" s="73">
        <f t="shared" si="51"/>
        <v>35</v>
      </c>
      <c r="G560" s="436">
        <f t="shared" si="47"/>
        <v>5.8034000000000002E-3</v>
      </c>
      <c r="H560" s="428">
        <f t="shared" si="48"/>
        <v>5.8034000000000002E-3</v>
      </c>
      <c r="I560" s="428">
        <v>5.8034000000000002E-3</v>
      </c>
      <c r="J560" s="432"/>
      <c r="L560" s="436">
        <f t="shared" si="46"/>
        <v>1.7500000000000002E-2</v>
      </c>
      <c r="M560" s="428">
        <v>1.7500000000000002E-2</v>
      </c>
      <c r="N560" s="428"/>
      <c r="O560" s="432"/>
      <c r="Q560" s="436">
        <f t="shared" si="52"/>
        <v>0.02</v>
      </c>
      <c r="R560" s="428">
        <v>0.02</v>
      </c>
      <c r="S560" s="428"/>
      <c r="T560" s="432"/>
      <c r="V560" s="436">
        <f t="shared" si="53"/>
        <v>0</v>
      </c>
      <c r="W560" s="428"/>
      <c r="X560" s="428"/>
      <c r="Y560" s="432"/>
    </row>
    <row r="561" spans="2:25">
      <c r="E561" s="73">
        <f t="shared" si="51"/>
        <v>36</v>
      </c>
      <c r="G561" s="436">
        <f t="shared" si="47"/>
        <v>6.1119E-3</v>
      </c>
      <c r="H561" s="428">
        <f t="shared" si="48"/>
        <v>6.1119E-3</v>
      </c>
      <c r="I561" s="428">
        <v>6.1119E-3</v>
      </c>
      <c r="J561" s="432"/>
      <c r="L561" s="436">
        <f t="shared" si="46"/>
        <v>1.7500000000000002E-2</v>
      </c>
      <c r="M561" s="428">
        <v>1.7500000000000002E-2</v>
      </c>
      <c r="N561" s="428"/>
      <c r="O561" s="432"/>
      <c r="Q561" s="436">
        <f t="shared" si="52"/>
        <v>0.02</v>
      </c>
      <c r="R561" s="428">
        <v>0.02</v>
      </c>
      <c r="S561" s="428"/>
      <c r="T561" s="432"/>
      <c r="V561" s="436">
        <f t="shared" si="53"/>
        <v>0</v>
      </c>
      <c r="W561" s="428"/>
      <c r="X561" s="428"/>
      <c r="Y561" s="432"/>
    </row>
    <row r="562" spans="2:25">
      <c r="E562" s="73">
        <f t="shared" si="51"/>
        <v>37</v>
      </c>
      <c r="G562" s="436">
        <f t="shared" si="47"/>
        <v>6.3613999999999997E-3</v>
      </c>
      <c r="H562" s="428">
        <f t="shared" si="48"/>
        <v>6.3613999999999997E-3</v>
      </c>
      <c r="I562" s="428">
        <v>6.3613999999999997E-3</v>
      </c>
      <c r="J562" s="432"/>
      <c r="L562" s="436">
        <f t="shared" si="46"/>
        <v>1.7500000000000002E-2</v>
      </c>
      <c r="M562" s="428">
        <v>1.7500000000000002E-2</v>
      </c>
      <c r="N562" s="428"/>
      <c r="O562" s="432"/>
      <c r="Q562" s="436">
        <f t="shared" si="52"/>
        <v>0.02</v>
      </c>
      <c r="R562" s="428">
        <v>0.02</v>
      </c>
      <c r="S562" s="428"/>
      <c r="T562" s="432"/>
      <c r="V562" s="436">
        <f t="shared" si="53"/>
        <v>0</v>
      </c>
      <c r="W562" s="428"/>
      <c r="X562" s="428"/>
      <c r="Y562" s="432"/>
    </row>
    <row r="563" spans="2:25">
      <c r="E563" s="73">
        <f t="shared" si="51"/>
        <v>38</v>
      </c>
      <c r="G563" s="436">
        <f t="shared" si="47"/>
        <v>6.5688999999999999E-3</v>
      </c>
      <c r="H563" s="428">
        <f t="shared" si="48"/>
        <v>6.5688999999999999E-3</v>
      </c>
      <c r="I563" s="428">
        <v>6.5688999999999999E-3</v>
      </c>
      <c r="J563" s="432"/>
      <c r="L563" s="436">
        <f t="shared" si="46"/>
        <v>1.7500000000000002E-2</v>
      </c>
      <c r="M563" s="428">
        <v>1.7500000000000002E-2</v>
      </c>
      <c r="N563" s="428"/>
      <c r="O563" s="432"/>
      <c r="Q563" s="436">
        <f t="shared" si="52"/>
        <v>0.02</v>
      </c>
      <c r="R563" s="428">
        <v>0.02</v>
      </c>
      <c r="S563" s="428"/>
      <c r="T563" s="432"/>
      <c r="V563" s="436">
        <f t="shared" si="53"/>
        <v>0</v>
      </c>
      <c r="W563" s="428"/>
      <c r="X563" s="428"/>
      <c r="Y563" s="432"/>
    </row>
    <row r="564" spans="2:25">
      <c r="E564" s="73">
        <f t="shared" si="51"/>
        <v>39</v>
      </c>
      <c r="G564" s="436">
        <f t="shared" si="47"/>
        <v>6.8027000000000001E-3</v>
      </c>
      <c r="H564" s="428">
        <f t="shared" si="48"/>
        <v>6.8027000000000001E-3</v>
      </c>
      <c r="I564" s="428">
        <v>6.8027000000000001E-3</v>
      </c>
      <c r="J564" s="432"/>
      <c r="L564" s="436">
        <f t="shared" si="46"/>
        <v>1.7500000000000002E-2</v>
      </c>
      <c r="M564" s="428">
        <v>1.7500000000000002E-2</v>
      </c>
      <c r="N564" s="428"/>
      <c r="O564" s="432"/>
      <c r="Q564" s="436">
        <f t="shared" si="52"/>
        <v>0.02</v>
      </c>
      <c r="R564" s="428">
        <v>0.02</v>
      </c>
      <c r="S564" s="428"/>
      <c r="T564" s="432"/>
      <c r="V564" s="436">
        <f t="shared" si="53"/>
        <v>0</v>
      </c>
      <c r="W564" s="428"/>
      <c r="X564" s="428"/>
      <c r="Y564" s="432"/>
    </row>
    <row r="565" spans="2:25">
      <c r="E565" s="74">
        <f t="shared" si="51"/>
        <v>40</v>
      </c>
      <c r="G565" s="437">
        <f t="shared" si="47"/>
        <v>7.0657000000000003E-3</v>
      </c>
      <c r="H565" s="433">
        <f t="shared" si="48"/>
        <v>7.0657000000000003E-3</v>
      </c>
      <c r="I565" s="433">
        <v>7.0657000000000003E-3</v>
      </c>
      <c r="J565" s="434"/>
      <c r="L565" s="437">
        <f t="shared" si="46"/>
        <v>1.7500000000000002E-2</v>
      </c>
      <c r="M565" s="433">
        <v>1.7500000000000002E-2</v>
      </c>
      <c r="N565" s="433"/>
      <c r="O565" s="434"/>
      <c r="Q565" s="437">
        <f t="shared" si="52"/>
        <v>0.02</v>
      </c>
      <c r="R565" s="433">
        <v>0.02</v>
      </c>
      <c r="S565" s="433"/>
      <c r="T565" s="434"/>
      <c r="V565" s="437">
        <f t="shared" si="53"/>
        <v>0</v>
      </c>
      <c r="W565" s="433"/>
      <c r="X565" s="433"/>
      <c r="Y565" s="434"/>
    </row>
    <row r="568" spans="2:25" s="36" customFormat="1">
      <c r="B568" s="38">
        <f>MAX($B$1:B567)+1</f>
        <v>10</v>
      </c>
      <c r="C568" s="59"/>
      <c r="D568" s="37" t="s">
        <v>579</v>
      </c>
    </row>
    <row r="570" spans="2:25">
      <c r="C570" s="60">
        <f>MAX($B$1:C568)+0.1</f>
        <v>10.1</v>
      </c>
      <c r="D570" s="39" t="s">
        <v>708</v>
      </c>
    </row>
    <row r="572" spans="2:25">
      <c r="E572" t="s">
        <v>731</v>
      </c>
      <c r="G572" s="385">
        <f>CHOOSE($F$43,H572,I572,J572)</f>
        <v>0</v>
      </c>
      <c r="H572" s="150">
        <v>0</v>
      </c>
      <c r="I572" s="150">
        <v>0</v>
      </c>
      <c r="J572" s="150">
        <v>0</v>
      </c>
    </row>
    <row r="574" spans="2:25">
      <c r="C574" s="60">
        <f>MAX($B$1:C573)+0.1</f>
        <v>10.199999999999999</v>
      </c>
      <c r="D574" s="39" t="s">
        <v>571</v>
      </c>
    </row>
    <row r="576" spans="2:25">
      <c r="E576" t="s">
        <v>732</v>
      </c>
      <c r="G576" s="380">
        <f>CHOOSE($F$43,H576,I576,J576)</f>
        <v>0</v>
      </c>
      <c r="H576" s="66">
        <v>0</v>
      </c>
      <c r="I576" s="41">
        <v>0</v>
      </c>
      <c r="J576" s="67">
        <v>0</v>
      </c>
    </row>
    <row r="577" spans="3:10">
      <c r="E577" t="s">
        <v>733</v>
      </c>
      <c r="G577" s="438">
        <f>(G576+G499)/PP</f>
        <v>0.5</v>
      </c>
      <c r="H577" s="146"/>
      <c r="I577" s="146"/>
      <c r="J577" s="146"/>
    </row>
    <row r="578" spans="3:10">
      <c r="E578" t="s">
        <v>734</v>
      </c>
      <c r="G578" s="438">
        <f>-(G576+G499)/SUM(DCF!R75:S75)</f>
        <v>1.0604731823487734</v>
      </c>
      <c r="H578" s="146"/>
      <c r="I578" s="146"/>
      <c r="J578" s="146"/>
    </row>
    <row r="579" spans="3:10">
      <c r="E579" t="s">
        <v>735</v>
      </c>
      <c r="G579" s="45">
        <f>MIN(IF((-ES!E40-ES!E42)=0,0,G576/(-ES!E40-ES!E42)),CHOOSE($F$43,H579,I579,J579))+$G$720</f>
        <v>0</v>
      </c>
      <c r="H579" s="64">
        <f>G501</f>
        <v>1.0604731823487734</v>
      </c>
      <c r="I579" s="46"/>
      <c r="J579" s="65"/>
    </row>
    <row r="580" spans="3:10">
      <c r="H580" s="259"/>
    </row>
    <row r="581" spans="3:10">
      <c r="C581" s="60">
        <f>MAX($B$1:C580)+0.1</f>
        <v>10.299999999999999</v>
      </c>
      <c r="D581" s="39" t="s">
        <v>575</v>
      </c>
    </row>
    <row r="583" spans="3:10">
      <c r="E583" t="s">
        <v>576</v>
      </c>
      <c r="G583" s="45">
        <f>CHOOSE($F$43,H583,I583,J583)</f>
        <v>5.0000000000000001E-3</v>
      </c>
      <c r="H583" s="64">
        <v>5.0000000000000001E-3</v>
      </c>
      <c r="I583" s="46"/>
      <c r="J583" s="65"/>
    </row>
    <row r="584" spans="3:10">
      <c r="E584" t="s">
        <v>577</v>
      </c>
      <c r="G584" s="380">
        <f>CHOOSE($F$43,H584,I584,J584)</f>
        <v>0</v>
      </c>
      <c r="H584" s="66">
        <v>0</v>
      </c>
      <c r="I584" s="41"/>
      <c r="J584" s="67"/>
    </row>
    <row r="586" spans="3:10">
      <c r="E586" t="s">
        <v>578</v>
      </c>
      <c r="G586" s="45">
        <f>CHOOSE($F$43,H586,I586,J586)</f>
        <v>0.01</v>
      </c>
      <c r="H586" s="64">
        <v>0.01</v>
      </c>
      <c r="I586" s="46"/>
      <c r="J586" s="65"/>
    </row>
    <row r="588" spans="3:10">
      <c r="C588" s="60">
        <f>MAX($B$1:C587)+0.1</f>
        <v>10.399999999999999</v>
      </c>
      <c r="D588" s="39" t="s">
        <v>580</v>
      </c>
    </row>
    <row r="590" spans="3:10">
      <c r="E590" t="s">
        <v>1227</v>
      </c>
      <c r="G590" s="385">
        <f>CHOOSE($F$43,H590,I590,J590)</f>
        <v>1</v>
      </c>
      <c r="H590" s="150">
        <v>1</v>
      </c>
      <c r="I590" s="150">
        <v>1</v>
      </c>
      <c r="J590" s="150">
        <v>0</v>
      </c>
    </row>
    <row r="591" spans="3:10">
      <c r="E591" t="s">
        <v>581</v>
      </c>
      <c r="G591" s="380">
        <f>CHOOSE($F$43,H591,I591,J591)</f>
        <v>2</v>
      </c>
      <c r="H591" s="66">
        <v>2</v>
      </c>
      <c r="I591" s="41">
        <v>2</v>
      </c>
      <c r="J591" s="67">
        <v>2</v>
      </c>
    </row>
    <row r="592" spans="3:10">
      <c r="E592" t="s">
        <v>582</v>
      </c>
      <c r="G592" s="45">
        <f>CHOOSE($F$43,H592,I592,J592)</f>
        <v>1.2</v>
      </c>
      <c r="H592" s="64">
        <v>1.2</v>
      </c>
      <c r="I592" s="46">
        <v>1.2</v>
      </c>
      <c r="J592" s="65">
        <v>1.2</v>
      </c>
    </row>
    <row r="593" spans="3:20">
      <c r="G593" s="147"/>
      <c r="H593" s="146"/>
      <c r="I593" s="146"/>
      <c r="J593" s="146"/>
    </row>
    <row r="594" spans="3:20">
      <c r="E594" t="s">
        <v>583</v>
      </c>
      <c r="G594" s="380">
        <f>CHOOSE($F$43,H594,I594,J594)</f>
        <v>20</v>
      </c>
      <c r="H594" s="66">
        <v>20</v>
      </c>
      <c r="I594" s="41">
        <v>20</v>
      </c>
      <c r="J594" s="67">
        <v>20</v>
      </c>
    </row>
    <row r="595" spans="3:20">
      <c r="E595" t="s">
        <v>584</v>
      </c>
      <c r="G595" s="381">
        <f>CHOOSE($F$43,H595,I595,J595)</f>
        <v>46081</v>
      </c>
      <c r="H595" s="381">
        <f>INDEX($K$96:$AZ$96,MATCH(H$594,$K$97:$AZ$97,0))</f>
        <v>46081</v>
      </c>
      <c r="I595" s="381">
        <f>INDEX($K$96:$AZ$96,MATCH(I$594,$K$97:$AZ$97,0))</f>
        <v>46081</v>
      </c>
      <c r="J595" s="381">
        <f>INDEX($K$96:$AZ$96,MATCH(J$594,$K$97:$AZ$97,0))</f>
        <v>46081</v>
      </c>
    </row>
    <row r="597" spans="3:20">
      <c r="C597" s="60">
        <f>MAX($B$1:C596)+0.1</f>
        <v>10.499999999999998</v>
      </c>
      <c r="D597" s="39" t="s">
        <v>709</v>
      </c>
    </row>
    <row r="599" spans="3:20">
      <c r="E599" t="s">
        <v>711</v>
      </c>
      <c r="G599" s="380">
        <f>CHOOSE($F$43,H599,I599,J599)</f>
        <v>360</v>
      </c>
      <c r="H599" s="66">
        <v>360</v>
      </c>
      <c r="I599" s="41">
        <v>360</v>
      </c>
      <c r="J599" s="67">
        <v>360</v>
      </c>
    </row>
    <row r="601" spans="3:20">
      <c r="E601" s="425" t="s">
        <v>710</v>
      </c>
      <c r="G601" s="429" t="s">
        <v>713</v>
      </c>
      <c r="H601" s="426"/>
      <c r="I601" s="426"/>
      <c r="J601" s="427"/>
      <c r="L601" s="24"/>
      <c r="M601" s="24"/>
      <c r="N601" s="24"/>
      <c r="O601" s="24"/>
      <c r="Q601" s="24"/>
      <c r="R601" s="24"/>
      <c r="S601" s="24"/>
      <c r="T601" s="24"/>
    </row>
    <row r="602" spans="3:20">
      <c r="E602" s="72">
        <v>1</v>
      </c>
      <c r="G602" s="435">
        <f t="shared" ref="G602:G641" si="54">CHOOSE($F$43,H602,I602,J602)+$G$719</f>
        <v>1.7500000000000002E-2</v>
      </c>
      <c r="H602" s="430">
        <v>1.7500000000000002E-2</v>
      </c>
      <c r="I602" s="430"/>
      <c r="J602" s="431"/>
      <c r="L602" s="440"/>
      <c r="M602" s="146"/>
      <c r="N602" s="146"/>
      <c r="O602" s="146"/>
      <c r="Q602" s="440"/>
      <c r="R602" s="146"/>
      <c r="S602" s="146"/>
      <c r="T602" s="146"/>
    </row>
    <row r="603" spans="3:20">
      <c r="E603" s="73">
        <f>+E602+1</f>
        <v>2</v>
      </c>
      <c r="G603" s="436">
        <f t="shared" si="54"/>
        <v>1.7500000000000002E-2</v>
      </c>
      <c r="H603" s="428">
        <v>1.7500000000000002E-2</v>
      </c>
      <c r="I603" s="428"/>
      <c r="J603" s="432"/>
      <c r="L603" s="440"/>
      <c r="M603" s="146"/>
      <c r="N603" s="146"/>
      <c r="O603" s="146"/>
      <c r="Q603" s="440"/>
      <c r="R603" s="146"/>
      <c r="S603" s="146"/>
      <c r="T603" s="146"/>
    </row>
    <row r="604" spans="3:20">
      <c r="E604" s="73">
        <f t="shared" ref="E604:E641" si="55">+E603+1</f>
        <v>3</v>
      </c>
      <c r="G604" s="436">
        <f t="shared" si="54"/>
        <v>1.7500000000000002E-2</v>
      </c>
      <c r="H604" s="428">
        <v>1.7500000000000002E-2</v>
      </c>
      <c r="I604" s="428"/>
      <c r="J604" s="432"/>
      <c r="L604" s="440"/>
      <c r="M604" s="146"/>
      <c r="N604" s="146"/>
      <c r="O604" s="146"/>
      <c r="Q604" s="440"/>
      <c r="R604" s="146"/>
      <c r="S604" s="146"/>
      <c r="T604" s="146"/>
    </row>
    <row r="605" spans="3:20">
      <c r="E605" s="73">
        <f t="shared" si="55"/>
        <v>4</v>
      </c>
      <c r="G605" s="436">
        <f t="shared" si="54"/>
        <v>1.7500000000000002E-2</v>
      </c>
      <c r="H605" s="428">
        <v>1.7500000000000002E-2</v>
      </c>
      <c r="I605" s="428"/>
      <c r="J605" s="432"/>
      <c r="L605" s="440"/>
      <c r="M605" s="146"/>
      <c r="N605" s="146"/>
      <c r="O605" s="146"/>
      <c r="Q605" s="440"/>
      <c r="R605" s="146"/>
      <c r="S605" s="146"/>
      <c r="T605" s="146"/>
    </row>
    <row r="606" spans="3:20">
      <c r="E606" s="73">
        <f t="shared" si="55"/>
        <v>5</v>
      </c>
      <c r="G606" s="436">
        <f t="shared" si="54"/>
        <v>1.7500000000000002E-2</v>
      </c>
      <c r="H606" s="428">
        <v>1.7500000000000002E-2</v>
      </c>
      <c r="I606" s="428"/>
      <c r="J606" s="432"/>
      <c r="L606" s="440"/>
      <c r="M606" s="146"/>
      <c r="N606" s="146"/>
      <c r="O606" s="146"/>
      <c r="Q606" s="440"/>
      <c r="R606" s="146"/>
      <c r="S606" s="146"/>
      <c r="T606" s="146"/>
    </row>
    <row r="607" spans="3:20">
      <c r="E607" s="73">
        <f t="shared" si="55"/>
        <v>6</v>
      </c>
      <c r="G607" s="436">
        <f t="shared" si="54"/>
        <v>1.7500000000000002E-2</v>
      </c>
      <c r="H607" s="428">
        <v>1.7500000000000002E-2</v>
      </c>
      <c r="I607" s="428"/>
      <c r="J607" s="432"/>
      <c r="L607" s="440"/>
      <c r="M607" s="146"/>
      <c r="N607" s="146"/>
      <c r="O607" s="146"/>
      <c r="Q607" s="440"/>
      <c r="R607" s="146"/>
      <c r="S607" s="146"/>
      <c r="T607" s="146"/>
    </row>
    <row r="608" spans="3:20">
      <c r="E608" s="73">
        <f t="shared" si="55"/>
        <v>7</v>
      </c>
      <c r="G608" s="436">
        <f t="shared" si="54"/>
        <v>1.7500000000000002E-2</v>
      </c>
      <c r="H608" s="428">
        <v>1.7500000000000002E-2</v>
      </c>
      <c r="I608" s="428"/>
      <c r="J608" s="432"/>
      <c r="L608" s="440"/>
      <c r="M608" s="146"/>
      <c r="N608" s="146"/>
      <c r="O608" s="146"/>
      <c r="Q608" s="440"/>
      <c r="R608" s="146"/>
      <c r="S608" s="146"/>
      <c r="T608" s="146"/>
    </row>
    <row r="609" spans="5:20">
      <c r="E609" s="73">
        <f t="shared" si="55"/>
        <v>8</v>
      </c>
      <c r="G609" s="436">
        <f t="shared" si="54"/>
        <v>1.7500000000000002E-2</v>
      </c>
      <c r="H609" s="428">
        <v>1.7500000000000002E-2</v>
      </c>
      <c r="I609" s="428"/>
      <c r="J609" s="432"/>
      <c r="L609" s="440"/>
      <c r="M609" s="146"/>
      <c r="N609" s="146"/>
      <c r="O609" s="146"/>
      <c r="Q609" s="440"/>
      <c r="R609" s="146"/>
      <c r="S609" s="146"/>
      <c r="T609" s="146"/>
    </row>
    <row r="610" spans="5:20">
      <c r="E610" s="73">
        <f t="shared" si="55"/>
        <v>9</v>
      </c>
      <c r="G610" s="436">
        <f t="shared" si="54"/>
        <v>1.7500000000000002E-2</v>
      </c>
      <c r="H610" s="428">
        <v>1.7500000000000002E-2</v>
      </c>
      <c r="I610" s="428"/>
      <c r="J610" s="432"/>
      <c r="L610" s="440"/>
      <c r="M610" s="146"/>
      <c r="N610" s="146"/>
      <c r="O610" s="146"/>
      <c r="Q610" s="440"/>
      <c r="R610" s="146"/>
      <c r="S610" s="146"/>
      <c r="T610" s="146"/>
    </row>
    <row r="611" spans="5:20">
      <c r="E611" s="73">
        <f t="shared" si="55"/>
        <v>10</v>
      </c>
      <c r="G611" s="436">
        <f t="shared" si="54"/>
        <v>1.7500000000000002E-2</v>
      </c>
      <c r="H611" s="428">
        <v>1.7500000000000002E-2</v>
      </c>
      <c r="I611" s="428"/>
      <c r="J611" s="432"/>
      <c r="L611" s="440"/>
      <c r="M611" s="146"/>
      <c r="N611" s="146"/>
      <c r="O611" s="146"/>
      <c r="Q611" s="440"/>
      <c r="R611" s="146"/>
      <c r="S611" s="146"/>
      <c r="T611" s="146"/>
    </row>
    <row r="612" spans="5:20">
      <c r="E612" s="73">
        <f t="shared" si="55"/>
        <v>11</v>
      </c>
      <c r="G612" s="436">
        <f t="shared" si="54"/>
        <v>1.7500000000000002E-2</v>
      </c>
      <c r="H612" s="428">
        <v>1.7500000000000002E-2</v>
      </c>
      <c r="I612" s="428"/>
      <c r="J612" s="432"/>
      <c r="L612" s="440"/>
      <c r="M612" s="146"/>
      <c r="N612" s="146"/>
      <c r="O612" s="146"/>
      <c r="Q612" s="440"/>
      <c r="R612" s="146"/>
      <c r="S612" s="146"/>
      <c r="T612" s="146"/>
    </row>
    <row r="613" spans="5:20">
      <c r="E613" s="73">
        <f t="shared" si="55"/>
        <v>12</v>
      </c>
      <c r="G613" s="436">
        <f t="shared" si="54"/>
        <v>1.7500000000000002E-2</v>
      </c>
      <c r="H613" s="428">
        <v>1.7500000000000002E-2</v>
      </c>
      <c r="I613" s="428"/>
      <c r="J613" s="432"/>
      <c r="L613" s="440"/>
      <c r="M613" s="146"/>
      <c r="N613" s="146"/>
      <c r="O613" s="146"/>
      <c r="Q613" s="440"/>
      <c r="R613" s="146"/>
      <c r="S613" s="146"/>
      <c r="T613" s="146"/>
    </row>
    <row r="614" spans="5:20">
      <c r="E614" s="73">
        <f t="shared" si="55"/>
        <v>13</v>
      </c>
      <c r="G614" s="436">
        <f t="shared" si="54"/>
        <v>1.7500000000000002E-2</v>
      </c>
      <c r="H614" s="428">
        <v>1.7500000000000002E-2</v>
      </c>
      <c r="I614" s="428"/>
      <c r="J614" s="432"/>
      <c r="L614" s="440"/>
      <c r="M614" s="146"/>
      <c r="N614" s="146"/>
      <c r="O614" s="146"/>
      <c r="Q614" s="440"/>
      <c r="R614" s="146"/>
      <c r="S614" s="146"/>
      <c r="T614" s="146"/>
    </row>
    <row r="615" spans="5:20">
      <c r="E615" s="73">
        <f t="shared" si="55"/>
        <v>14</v>
      </c>
      <c r="G615" s="436">
        <f t="shared" si="54"/>
        <v>1.7500000000000002E-2</v>
      </c>
      <c r="H615" s="428">
        <v>1.7500000000000002E-2</v>
      </c>
      <c r="I615" s="428"/>
      <c r="J615" s="432"/>
      <c r="L615" s="440"/>
      <c r="M615" s="146"/>
      <c r="N615" s="146"/>
      <c r="O615" s="146"/>
      <c r="Q615" s="440"/>
      <c r="R615" s="146"/>
      <c r="S615" s="146"/>
      <c r="T615" s="146"/>
    </row>
    <row r="616" spans="5:20">
      <c r="E616" s="73">
        <f t="shared" si="55"/>
        <v>15</v>
      </c>
      <c r="G616" s="436">
        <f t="shared" si="54"/>
        <v>1.7500000000000002E-2</v>
      </c>
      <c r="H616" s="428">
        <v>1.7500000000000002E-2</v>
      </c>
      <c r="I616" s="428"/>
      <c r="J616" s="432"/>
      <c r="L616" s="440"/>
      <c r="M616" s="146"/>
      <c r="N616" s="146"/>
      <c r="O616" s="146"/>
      <c r="Q616" s="440"/>
      <c r="R616" s="146"/>
      <c r="S616" s="146"/>
      <c r="T616" s="146"/>
    </row>
    <row r="617" spans="5:20">
      <c r="E617" s="73">
        <f t="shared" si="55"/>
        <v>16</v>
      </c>
      <c r="G617" s="436">
        <f t="shared" si="54"/>
        <v>1.7500000000000002E-2</v>
      </c>
      <c r="H617" s="428">
        <v>1.7500000000000002E-2</v>
      </c>
      <c r="I617" s="428"/>
      <c r="J617" s="432"/>
      <c r="L617" s="440"/>
      <c r="M617" s="146"/>
      <c r="N617" s="146"/>
      <c r="O617" s="146"/>
      <c r="Q617" s="440"/>
      <c r="R617" s="146"/>
      <c r="S617" s="146"/>
      <c r="T617" s="146"/>
    </row>
    <row r="618" spans="5:20">
      <c r="E618" s="73">
        <f t="shared" si="55"/>
        <v>17</v>
      </c>
      <c r="G618" s="436">
        <f t="shared" si="54"/>
        <v>1.7500000000000002E-2</v>
      </c>
      <c r="H618" s="428">
        <v>1.7500000000000002E-2</v>
      </c>
      <c r="I618" s="428"/>
      <c r="J618" s="432"/>
      <c r="L618" s="440"/>
      <c r="M618" s="146"/>
      <c r="N618" s="146"/>
      <c r="O618" s="146"/>
      <c r="Q618" s="440"/>
      <c r="R618" s="146"/>
      <c r="S618" s="146"/>
      <c r="T618" s="146"/>
    </row>
    <row r="619" spans="5:20">
      <c r="E619" s="73">
        <f t="shared" si="55"/>
        <v>18</v>
      </c>
      <c r="G619" s="436">
        <f t="shared" si="54"/>
        <v>1.7500000000000002E-2</v>
      </c>
      <c r="H619" s="428">
        <v>1.7500000000000002E-2</v>
      </c>
      <c r="I619" s="428"/>
      <c r="J619" s="432"/>
      <c r="L619" s="440"/>
      <c r="M619" s="146"/>
      <c r="N619" s="146"/>
      <c r="O619" s="146"/>
      <c r="Q619" s="440"/>
      <c r="R619" s="146"/>
      <c r="S619" s="146"/>
      <c r="T619" s="146"/>
    </row>
    <row r="620" spans="5:20">
      <c r="E620" s="73">
        <f t="shared" si="55"/>
        <v>19</v>
      </c>
      <c r="G620" s="436">
        <f t="shared" si="54"/>
        <v>1.7500000000000002E-2</v>
      </c>
      <c r="H620" s="428">
        <v>1.7500000000000002E-2</v>
      </c>
      <c r="I620" s="428"/>
      <c r="J620" s="432"/>
      <c r="L620" s="440"/>
      <c r="M620" s="146"/>
      <c r="N620" s="146"/>
      <c r="O620" s="146"/>
      <c r="Q620" s="440"/>
      <c r="R620" s="146"/>
      <c r="S620" s="146"/>
      <c r="T620" s="146"/>
    </row>
    <row r="621" spans="5:20">
      <c r="E621" s="73">
        <f t="shared" si="55"/>
        <v>20</v>
      </c>
      <c r="G621" s="436">
        <f t="shared" si="54"/>
        <v>1.7500000000000002E-2</v>
      </c>
      <c r="H621" s="428">
        <v>1.7500000000000002E-2</v>
      </c>
      <c r="I621" s="428"/>
      <c r="J621" s="432"/>
      <c r="L621" s="440"/>
      <c r="M621" s="146"/>
      <c r="N621" s="146"/>
      <c r="O621" s="146"/>
      <c r="Q621" s="440"/>
      <c r="R621" s="146"/>
      <c r="S621" s="146"/>
      <c r="T621" s="146"/>
    </row>
    <row r="622" spans="5:20">
      <c r="E622" s="73">
        <f t="shared" si="55"/>
        <v>21</v>
      </c>
      <c r="G622" s="436">
        <f t="shared" si="54"/>
        <v>1.7500000000000002E-2</v>
      </c>
      <c r="H622" s="428">
        <v>1.7500000000000002E-2</v>
      </c>
      <c r="I622" s="428"/>
      <c r="J622" s="432"/>
      <c r="L622" s="440"/>
      <c r="M622" s="146"/>
      <c r="N622" s="146"/>
      <c r="O622" s="146"/>
      <c r="Q622" s="440"/>
      <c r="R622" s="146"/>
      <c r="S622" s="146"/>
      <c r="T622" s="146"/>
    </row>
    <row r="623" spans="5:20">
      <c r="E623" s="73">
        <f t="shared" si="55"/>
        <v>22</v>
      </c>
      <c r="G623" s="436">
        <f t="shared" si="54"/>
        <v>1.7500000000000002E-2</v>
      </c>
      <c r="H623" s="428">
        <v>1.7500000000000002E-2</v>
      </c>
      <c r="I623" s="428"/>
      <c r="J623" s="432"/>
      <c r="L623" s="440"/>
      <c r="M623" s="146"/>
      <c r="N623" s="146"/>
      <c r="O623" s="146"/>
      <c r="Q623" s="440"/>
      <c r="R623" s="146"/>
      <c r="S623" s="146"/>
      <c r="T623" s="146"/>
    </row>
    <row r="624" spans="5:20">
      <c r="E624" s="73">
        <f t="shared" si="55"/>
        <v>23</v>
      </c>
      <c r="G624" s="436">
        <f t="shared" si="54"/>
        <v>1.7500000000000002E-2</v>
      </c>
      <c r="H624" s="428">
        <v>1.7500000000000002E-2</v>
      </c>
      <c r="I624" s="428"/>
      <c r="J624" s="432"/>
      <c r="L624" s="440"/>
      <c r="M624" s="146"/>
      <c r="N624" s="146"/>
      <c r="O624" s="146"/>
      <c r="Q624" s="440"/>
      <c r="R624" s="146"/>
      <c r="S624" s="146"/>
      <c r="T624" s="146"/>
    </row>
    <row r="625" spans="5:20">
      <c r="E625" s="73">
        <f t="shared" si="55"/>
        <v>24</v>
      </c>
      <c r="G625" s="436">
        <f t="shared" si="54"/>
        <v>1.7500000000000002E-2</v>
      </c>
      <c r="H625" s="428">
        <v>1.7500000000000002E-2</v>
      </c>
      <c r="I625" s="428"/>
      <c r="J625" s="432"/>
      <c r="L625" s="440"/>
      <c r="M625" s="146"/>
      <c r="N625" s="146"/>
      <c r="O625" s="146"/>
      <c r="Q625" s="440"/>
      <c r="R625" s="146"/>
      <c r="S625" s="146"/>
      <c r="T625" s="146"/>
    </row>
    <row r="626" spans="5:20">
      <c r="E626" s="73">
        <f t="shared" si="55"/>
        <v>25</v>
      </c>
      <c r="G626" s="436">
        <f t="shared" si="54"/>
        <v>1.7500000000000002E-2</v>
      </c>
      <c r="H626" s="428">
        <v>1.7500000000000002E-2</v>
      </c>
      <c r="I626" s="428"/>
      <c r="J626" s="432"/>
      <c r="L626" s="440"/>
      <c r="M626" s="146"/>
      <c r="N626" s="146"/>
      <c r="O626" s="146"/>
      <c r="Q626" s="440"/>
      <c r="R626" s="146"/>
      <c r="S626" s="146"/>
      <c r="T626" s="146"/>
    </row>
    <row r="627" spans="5:20">
      <c r="E627" s="73">
        <f t="shared" si="55"/>
        <v>26</v>
      </c>
      <c r="G627" s="436">
        <f t="shared" si="54"/>
        <v>1.7500000000000002E-2</v>
      </c>
      <c r="H627" s="428">
        <v>1.7500000000000002E-2</v>
      </c>
      <c r="I627" s="428"/>
      <c r="J627" s="432"/>
      <c r="L627" s="440"/>
      <c r="M627" s="146"/>
      <c r="N627" s="146"/>
      <c r="O627" s="146"/>
      <c r="Q627" s="440"/>
      <c r="R627" s="146"/>
      <c r="S627" s="146"/>
      <c r="T627" s="146"/>
    </row>
    <row r="628" spans="5:20">
      <c r="E628" s="73">
        <f t="shared" si="55"/>
        <v>27</v>
      </c>
      <c r="G628" s="436">
        <f t="shared" si="54"/>
        <v>1.7500000000000002E-2</v>
      </c>
      <c r="H628" s="428">
        <v>1.7500000000000002E-2</v>
      </c>
      <c r="I628" s="428"/>
      <c r="J628" s="432"/>
      <c r="L628" s="440"/>
      <c r="M628" s="146"/>
      <c r="N628" s="146"/>
      <c r="O628" s="146"/>
      <c r="Q628" s="440"/>
      <c r="R628" s="146"/>
      <c r="S628" s="146"/>
      <c r="T628" s="146"/>
    </row>
    <row r="629" spans="5:20">
      <c r="E629" s="73">
        <f t="shared" si="55"/>
        <v>28</v>
      </c>
      <c r="G629" s="436">
        <f t="shared" si="54"/>
        <v>1.7500000000000002E-2</v>
      </c>
      <c r="H629" s="428">
        <v>1.7500000000000002E-2</v>
      </c>
      <c r="I629" s="428"/>
      <c r="J629" s="432"/>
      <c r="L629" s="440"/>
      <c r="M629" s="146"/>
      <c r="N629" s="146"/>
      <c r="O629" s="146"/>
      <c r="Q629" s="440"/>
      <c r="R629" s="146"/>
      <c r="S629" s="146"/>
      <c r="T629" s="146"/>
    </row>
    <row r="630" spans="5:20">
      <c r="E630" s="73">
        <f t="shared" si="55"/>
        <v>29</v>
      </c>
      <c r="G630" s="436">
        <f t="shared" si="54"/>
        <v>1.7500000000000002E-2</v>
      </c>
      <c r="H630" s="428">
        <v>1.7500000000000002E-2</v>
      </c>
      <c r="I630" s="428"/>
      <c r="J630" s="432"/>
      <c r="L630" s="440"/>
      <c r="M630" s="146"/>
      <c r="N630" s="146"/>
      <c r="O630" s="146"/>
      <c r="Q630" s="440"/>
      <c r="R630" s="146"/>
      <c r="S630" s="146"/>
      <c r="T630" s="146"/>
    </row>
    <row r="631" spans="5:20">
      <c r="E631" s="73">
        <f t="shared" si="55"/>
        <v>30</v>
      </c>
      <c r="G631" s="436">
        <f t="shared" si="54"/>
        <v>1.7500000000000002E-2</v>
      </c>
      <c r="H631" s="428">
        <v>1.7500000000000002E-2</v>
      </c>
      <c r="I631" s="428"/>
      <c r="J631" s="432"/>
      <c r="L631" s="440"/>
      <c r="M631" s="146"/>
      <c r="N631" s="146"/>
      <c r="O631" s="146"/>
      <c r="Q631" s="440"/>
      <c r="R631" s="146"/>
      <c r="S631" s="146"/>
      <c r="T631" s="146"/>
    </row>
    <row r="632" spans="5:20">
      <c r="E632" s="73">
        <f t="shared" si="55"/>
        <v>31</v>
      </c>
      <c r="G632" s="436">
        <f t="shared" si="54"/>
        <v>1.7500000000000002E-2</v>
      </c>
      <c r="H632" s="428">
        <v>1.7500000000000002E-2</v>
      </c>
      <c r="I632" s="428"/>
      <c r="J632" s="432"/>
      <c r="L632" s="440"/>
      <c r="M632" s="146"/>
      <c r="N632" s="146"/>
      <c r="O632" s="146"/>
      <c r="Q632" s="440"/>
      <c r="R632" s="146"/>
      <c r="S632" s="146"/>
      <c r="T632" s="146"/>
    </row>
    <row r="633" spans="5:20">
      <c r="E633" s="73">
        <f t="shared" si="55"/>
        <v>32</v>
      </c>
      <c r="G633" s="436">
        <f t="shared" si="54"/>
        <v>1.7500000000000002E-2</v>
      </c>
      <c r="H633" s="428">
        <v>1.7500000000000002E-2</v>
      </c>
      <c r="I633" s="428"/>
      <c r="J633" s="432"/>
      <c r="L633" s="440"/>
      <c r="M633" s="146"/>
      <c r="N633" s="146"/>
      <c r="O633" s="146"/>
      <c r="Q633" s="440"/>
      <c r="R633" s="146"/>
      <c r="S633" s="146"/>
      <c r="T633" s="146"/>
    </row>
    <row r="634" spans="5:20">
      <c r="E634" s="73">
        <f t="shared" si="55"/>
        <v>33</v>
      </c>
      <c r="G634" s="436">
        <f t="shared" si="54"/>
        <v>1.7500000000000002E-2</v>
      </c>
      <c r="H634" s="428">
        <v>1.7500000000000002E-2</v>
      </c>
      <c r="I634" s="428"/>
      <c r="J634" s="432"/>
      <c r="L634" s="440"/>
      <c r="M634" s="146"/>
      <c r="N634" s="146"/>
      <c r="O634" s="146"/>
      <c r="Q634" s="440"/>
      <c r="R634" s="146"/>
      <c r="S634" s="146"/>
      <c r="T634" s="146"/>
    </row>
    <row r="635" spans="5:20">
      <c r="E635" s="73">
        <f t="shared" si="55"/>
        <v>34</v>
      </c>
      <c r="G635" s="436">
        <f t="shared" si="54"/>
        <v>1.7500000000000002E-2</v>
      </c>
      <c r="H635" s="428">
        <v>1.7500000000000002E-2</v>
      </c>
      <c r="I635" s="428"/>
      <c r="J635" s="432"/>
      <c r="L635" s="440"/>
      <c r="M635" s="146"/>
      <c r="N635" s="146"/>
      <c r="O635" s="146"/>
      <c r="Q635" s="440"/>
      <c r="R635" s="146"/>
      <c r="S635" s="146"/>
      <c r="T635" s="146"/>
    </row>
    <row r="636" spans="5:20">
      <c r="E636" s="73">
        <f t="shared" si="55"/>
        <v>35</v>
      </c>
      <c r="G636" s="436">
        <f t="shared" si="54"/>
        <v>1.7500000000000002E-2</v>
      </c>
      <c r="H636" s="428">
        <v>1.7500000000000002E-2</v>
      </c>
      <c r="I636" s="428"/>
      <c r="J636" s="432"/>
      <c r="L636" s="440"/>
      <c r="M636" s="146"/>
      <c r="N636" s="146"/>
      <c r="O636" s="146"/>
      <c r="Q636" s="440"/>
      <c r="R636" s="146"/>
      <c r="S636" s="146"/>
      <c r="T636" s="146"/>
    </row>
    <row r="637" spans="5:20">
      <c r="E637" s="73">
        <f t="shared" si="55"/>
        <v>36</v>
      </c>
      <c r="G637" s="436">
        <f t="shared" si="54"/>
        <v>1.7500000000000002E-2</v>
      </c>
      <c r="H637" s="428">
        <v>1.7500000000000002E-2</v>
      </c>
      <c r="I637" s="428"/>
      <c r="J637" s="432"/>
      <c r="L637" s="440"/>
      <c r="M637" s="146"/>
      <c r="N637" s="146"/>
      <c r="O637" s="146"/>
      <c r="Q637" s="440"/>
      <c r="R637" s="146"/>
      <c r="S637" s="146"/>
      <c r="T637" s="146"/>
    </row>
    <row r="638" spans="5:20">
      <c r="E638" s="73">
        <f t="shared" si="55"/>
        <v>37</v>
      </c>
      <c r="G638" s="436">
        <f t="shared" si="54"/>
        <v>1.7500000000000002E-2</v>
      </c>
      <c r="H638" s="428">
        <v>1.7500000000000002E-2</v>
      </c>
      <c r="I638" s="428"/>
      <c r="J638" s="432"/>
      <c r="L638" s="440"/>
      <c r="M638" s="146"/>
      <c r="N638" s="146"/>
      <c r="O638" s="146"/>
      <c r="Q638" s="440"/>
      <c r="R638" s="146"/>
      <c r="S638" s="146"/>
      <c r="T638" s="146"/>
    </row>
    <row r="639" spans="5:20">
      <c r="E639" s="73">
        <f t="shared" si="55"/>
        <v>38</v>
      </c>
      <c r="G639" s="436">
        <f t="shared" si="54"/>
        <v>1.7500000000000002E-2</v>
      </c>
      <c r="H639" s="428">
        <v>1.7500000000000002E-2</v>
      </c>
      <c r="I639" s="428"/>
      <c r="J639" s="432"/>
      <c r="L639" s="440"/>
      <c r="M639" s="146"/>
      <c r="N639" s="146"/>
      <c r="O639" s="146"/>
      <c r="Q639" s="440"/>
      <c r="R639" s="146"/>
      <c r="S639" s="146"/>
      <c r="T639" s="146"/>
    </row>
    <row r="640" spans="5:20">
      <c r="E640" s="73">
        <f t="shared" si="55"/>
        <v>39</v>
      </c>
      <c r="G640" s="436">
        <f t="shared" si="54"/>
        <v>1.7500000000000002E-2</v>
      </c>
      <c r="H640" s="428">
        <v>1.7500000000000002E-2</v>
      </c>
      <c r="I640" s="428"/>
      <c r="J640" s="432"/>
      <c r="L640" s="440"/>
      <c r="M640" s="146"/>
      <c r="N640" s="146"/>
      <c r="O640" s="146"/>
      <c r="Q640" s="440"/>
      <c r="R640" s="146"/>
      <c r="S640" s="146"/>
      <c r="T640" s="146"/>
    </row>
    <row r="641" spans="2:20">
      <c r="E641" s="74">
        <f t="shared" si="55"/>
        <v>40</v>
      </c>
      <c r="G641" s="437">
        <f t="shared" si="54"/>
        <v>1.7500000000000002E-2</v>
      </c>
      <c r="H641" s="433">
        <v>1.7500000000000002E-2</v>
      </c>
      <c r="I641" s="433"/>
      <c r="J641" s="434"/>
      <c r="L641" s="440"/>
      <c r="M641" s="146"/>
      <c r="N641" s="146"/>
      <c r="O641" s="146"/>
      <c r="Q641" s="440"/>
      <c r="R641" s="146"/>
      <c r="S641" s="146"/>
      <c r="T641" s="146"/>
    </row>
    <row r="644" spans="2:20" s="36" customFormat="1">
      <c r="B644" s="38">
        <f>MAX($B$1:B642)+1</f>
        <v>11</v>
      </c>
      <c r="C644" s="59"/>
      <c r="D644" s="37" t="s">
        <v>698</v>
      </c>
    </row>
    <row r="646" spans="2:20">
      <c r="C646" s="60">
        <f>MAX($B$1:C644)+0.1</f>
        <v>11.1</v>
      </c>
      <c r="D646" s="39" t="s">
        <v>770</v>
      </c>
    </row>
    <row r="648" spans="2:20">
      <c r="E648" t="s">
        <v>757</v>
      </c>
      <c r="G648" s="385">
        <f>CHOOSE($F$43,H648,I648,J648)</f>
        <v>0</v>
      </c>
      <c r="H648" s="150">
        <v>0</v>
      </c>
      <c r="I648" s="150">
        <v>0</v>
      </c>
      <c r="J648" s="150">
        <v>0</v>
      </c>
    </row>
    <row r="649" spans="2:20">
      <c r="E649" t="s">
        <v>771</v>
      </c>
      <c r="G649" s="380">
        <f>CHOOSE($F$43,H649,I649,J649)</f>
        <v>0</v>
      </c>
      <c r="H649" s="66">
        <v>0</v>
      </c>
      <c r="I649" s="41">
        <v>0</v>
      </c>
      <c r="J649" s="67">
        <v>0</v>
      </c>
    </row>
    <row r="650" spans="2:20">
      <c r="E650" t="s">
        <v>707</v>
      </c>
      <c r="G650" s="380">
        <f>CHOOSE($F$43,H650,I650,J650)</f>
        <v>0</v>
      </c>
      <c r="H650" s="66">
        <v>0</v>
      </c>
      <c r="I650" s="41">
        <v>0</v>
      </c>
      <c r="J650" s="67">
        <v>0</v>
      </c>
    </row>
    <row r="652" spans="2:20">
      <c r="C652" s="60">
        <f>MAX($B$1:C649)+0.1</f>
        <v>11.2</v>
      </c>
      <c r="D652" s="39" t="s">
        <v>580</v>
      </c>
    </row>
    <row r="654" spans="2:20">
      <c r="E654" t="s">
        <v>1229</v>
      </c>
      <c r="G654" s="385">
        <f>CHOOSE($F$43,H654,I654,J654)</f>
        <v>1</v>
      </c>
      <c r="H654" s="150">
        <v>1</v>
      </c>
      <c r="I654" s="150">
        <v>1</v>
      </c>
      <c r="J654" s="150">
        <v>1</v>
      </c>
    </row>
    <row r="655" spans="2:20">
      <c r="E655" t="s">
        <v>581</v>
      </c>
      <c r="G655" s="380">
        <f>CHOOSE($F$43,H655,I655,J655)</f>
        <v>2</v>
      </c>
      <c r="H655" s="66">
        <v>2</v>
      </c>
      <c r="I655" s="41">
        <v>2</v>
      </c>
      <c r="J655" s="67">
        <v>2</v>
      </c>
    </row>
    <row r="656" spans="2:20">
      <c r="E656" t="s">
        <v>582</v>
      </c>
      <c r="G656" s="45">
        <f>CHOOSE($F$43,H656,I656,J656)</f>
        <v>1.2</v>
      </c>
      <c r="H656" s="64">
        <v>1.2</v>
      </c>
      <c r="I656" s="46">
        <v>1.2</v>
      </c>
      <c r="J656" s="65">
        <v>1.2</v>
      </c>
    </row>
    <row r="657" spans="3:10">
      <c r="G657" s="147"/>
      <c r="H657" s="146"/>
      <c r="I657" s="146"/>
      <c r="J657" s="146"/>
    </row>
    <row r="658" spans="3:10">
      <c r="E658" t="s">
        <v>774</v>
      </c>
      <c r="G658" s="45">
        <f>CHOOSE($F$43,H658,I658,J658)</f>
        <v>0</v>
      </c>
      <c r="H658" s="64">
        <v>0</v>
      </c>
      <c r="I658" s="46">
        <v>0</v>
      </c>
      <c r="J658" s="65">
        <v>0</v>
      </c>
    </row>
    <row r="659" spans="3:10">
      <c r="E659" t="s">
        <v>775</v>
      </c>
      <c r="G659" s="380">
        <f>CHOOSE($F$43,H659,I659,J659)</f>
        <v>0</v>
      </c>
      <c r="H659" s="66">
        <v>0</v>
      </c>
      <c r="I659" s="41">
        <v>8</v>
      </c>
      <c r="J659" s="67">
        <v>8</v>
      </c>
    </row>
    <row r="660" spans="3:10">
      <c r="G660" s="227"/>
      <c r="H660" s="227"/>
      <c r="I660" s="227"/>
      <c r="J660" s="227"/>
    </row>
    <row r="661" spans="3:10">
      <c r="E661" t="s">
        <v>1228</v>
      </c>
      <c r="G661" s="45">
        <f>CHOOSE($F$43,H661,I661,J661)</f>
        <v>0</v>
      </c>
      <c r="H661" s="64">
        <v>0</v>
      </c>
      <c r="I661" s="46">
        <v>0</v>
      </c>
      <c r="J661" s="65">
        <v>0</v>
      </c>
    </row>
    <row r="662" spans="3:10">
      <c r="E662" t="s">
        <v>775</v>
      </c>
      <c r="G662" s="380">
        <f>CHOOSE($F$43,H662,I662,J662)</f>
        <v>0</v>
      </c>
      <c r="H662" s="66">
        <v>0</v>
      </c>
      <c r="I662" s="41">
        <v>8</v>
      </c>
      <c r="J662" s="67">
        <v>8</v>
      </c>
    </row>
    <row r="663" spans="3:10">
      <c r="G663" s="147"/>
      <c r="H663" s="146"/>
      <c r="I663" s="146"/>
      <c r="J663" s="146"/>
    </row>
    <row r="664" spans="3:10">
      <c r="E664" t="s">
        <v>778</v>
      </c>
      <c r="G664" s="45">
        <f>CHOOSE($F$43,H664,I664,J664)</f>
        <v>0</v>
      </c>
      <c r="H664" s="64">
        <v>0</v>
      </c>
      <c r="I664" s="46">
        <v>0</v>
      </c>
      <c r="J664" s="65">
        <v>0</v>
      </c>
    </row>
    <row r="665" spans="3:10">
      <c r="G665" s="147"/>
      <c r="H665" s="146"/>
      <c r="I665" s="146"/>
      <c r="J665" s="146"/>
    </row>
    <row r="666" spans="3:10">
      <c r="E666" t="s">
        <v>583</v>
      </c>
      <c r="G666" s="380">
        <f>CHOOSE($F$43,H666,I666,J666)</f>
        <v>20</v>
      </c>
      <c r="H666" s="66">
        <v>20</v>
      </c>
      <c r="I666" s="41">
        <v>20</v>
      </c>
      <c r="J666" s="67">
        <v>20</v>
      </c>
    </row>
    <row r="667" spans="3:10">
      <c r="E667" t="s">
        <v>584</v>
      </c>
      <c r="G667" s="381">
        <f>CHOOSE($F$43,H667,I667,J667)</f>
        <v>46081</v>
      </c>
      <c r="H667" s="381">
        <f>INDEX($K$96:$AZ$96,MATCH(H$666,$K$97:$AZ$97,0))</f>
        <v>46081</v>
      </c>
      <c r="I667" s="381">
        <f>INDEX($K$96:$AZ$96,MATCH(I$666,$K$97:$AZ$97,0))</f>
        <v>46081</v>
      </c>
      <c r="J667" s="381">
        <f>INDEX($K$96:$AZ$96,MATCH(J$666,$K$97:$AZ$97,0))</f>
        <v>46081</v>
      </c>
    </row>
    <row r="669" spans="3:10">
      <c r="C669" s="60">
        <f>MAX($B$1:C668)+0.1</f>
        <v>11.299999999999999</v>
      </c>
      <c r="D669" s="39" t="s">
        <v>575</v>
      </c>
    </row>
    <row r="671" spans="3:10">
      <c r="E671" t="s">
        <v>576</v>
      </c>
      <c r="G671" s="45">
        <f>CHOOSE($F$43,H671,I671,J671)</f>
        <v>5.0000000000000001E-3</v>
      </c>
      <c r="H671" s="64">
        <v>5.0000000000000001E-3</v>
      </c>
      <c r="I671" s="46"/>
      <c r="J671" s="65"/>
    </row>
    <row r="672" spans="3:10">
      <c r="E672" t="s">
        <v>577</v>
      </c>
      <c r="G672" s="380">
        <f>CHOOSE($F$43,H672,I672,J672)</f>
        <v>60000</v>
      </c>
      <c r="H672" s="66">
        <v>60000</v>
      </c>
      <c r="I672" s="41"/>
      <c r="J672" s="67"/>
    </row>
    <row r="673" spans="2:11">
      <c r="E673" t="s">
        <v>773</v>
      </c>
      <c r="G673" s="45">
        <f>CHOOSE($F$43,H673,I673,J673)</f>
        <v>0</v>
      </c>
      <c r="H673" s="64">
        <v>0</v>
      </c>
      <c r="I673" s="46"/>
      <c r="J673" s="65"/>
    </row>
    <row r="674" spans="2:11">
      <c r="E674" t="s">
        <v>726</v>
      </c>
      <c r="G674" s="45">
        <f>CHOOSE($F$43,H674,I674,J674)</f>
        <v>0.03</v>
      </c>
      <c r="H674" s="64">
        <v>0.03</v>
      </c>
      <c r="I674" s="46"/>
      <c r="J674" s="65"/>
    </row>
    <row r="676" spans="2:11">
      <c r="C676" s="60">
        <f>MAX($B$1:C675)+0.1</f>
        <v>11.399999999999999</v>
      </c>
      <c r="D676" s="39" t="s">
        <v>709</v>
      </c>
    </row>
    <row r="678" spans="2:11">
      <c r="E678" t="s">
        <v>776</v>
      </c>
      <c r="G678" s="45">
        <f>CHOOSE($F$43,H678,I678,J678)</f>
        <v>0.06</v>
      </c>
      <c r="H678" s="64">
        <v>0.06</v>
      </c>
      <c r="I678" s="46"/>
      <c r="J678" s="65"/>
      <c r="K678" s="255" t="str">
        <f>"--&gt; assumes Actual/"&amp;G680&amp;" day count convention"</f>
        <v>--&gt; assumes Actual/360 day count convention</v>
      </c>
    </row>
    <row r="679" spans="2:11">
      <c r="E679" t="s">
        <v>777</v>
      </c>
      <c r="G679" s="478">
        <f>CHOOSE($F$43,H679,I679,J679)</f>
        <v>2.5399999999999999E-2</v>
      </c>
      <c r="H679" s="477">
        <v>2.5399999999999999E-2</v>
      </c>
      <c r="I679" s="46"/>
      <c r="J679" s="65"/>
    </row>
    <row r="680" spans="2:11">
      <c r="E680" t="s">
        <v>711</v>
      </c>
      <c r="G680" s="380">
        <f>CHOOSE($F$43,H680,I680,J680)</f>
        <v>360</v>
      </c>
      <c r="H680" s="66">
        <v>360</v>
      </c>
      <c r="I680" s="41">
        <v>360</v>
      </c>
      <c r="J680" s="67">
        <v>360</v>
      </c>
    </row>
    <row r="682" spans="2:11">
      <c r="C682" s="60">
        <f>MAX($B$1:C681)+0.1</f>
        <v>11.499999999999998</v>
      </c>
      <c r="D682" s="39" t="s">
        <v>780</v>
      </c>
    </row>
    <row r="683" spans="2:11">
      <c r="C683" s="60"/>
      <c r="D683" s="39"/>
    </row>
    <row r="684" spans="2:11">
      <c r="E684" t="s">
        <v>781</v>
      </c>
      <c r="G684" s="45">
        <f>CHOOSE($F$43,H684,I684,J684)</f>
        <v>0</v>
      </c>
      <c r="H684" s="64">
        <v>0</v>
      </c>
      <c r="I684" s="46"/>
      <c r="J684" s="65"/>
    </row>
    <row r="686" spans="2:11" s="36" customFormat="1">
      <c r="B686" s="38">
        <f>MAX($B$1:B684)+1</f>
        <v>12</v>
      </c>
      <c r="C686" s="59"/>
      <c r="D686" s="37" t="s">
        <v>779</v>
      </c>
    </row>
    <row r="688" spans="2:11">
      <c r="E688" t="s">
        <v>782</v>
      </c>
      <c r="G688" s="45">
        <f>CHOOSE($F$43,H688,I688,J688)</f>
        <v>0</v>
      </c>
      <c r="H688" s="64">
        <v>0</v>
      </c>
      <c r="I688" s="46"/>
      <c r="J688" s="65"/>
    </row>
    <row r="689" spans="2:11">
      <c r="E689" t="s">
        <v>862</v>
      </c>
      <c r="G689" s="45">
        <f>CHOOSE($F$43,H689,I689,J689)</f>
        <v>0</v>
      </c>
      <c r="H689" s="64">
        <v>0</v>
      </c>
      <c r="I689" s="46"/>
      <c r="J689" s="65"/>
    </row>
    <row r="691" spans="2:11" s="36" customFormat="1">
      <c r="B691" s="38">
        <f>MAX($B$1:B690)+1</f>
        <v>13</v>
      </c>
      <c r="C691" s="59"/>
      <c r="D691" s="37" t="s">
        <v>756</v>
      </c>
    </row>
    <row r="693" spans="2:11">
      <c r="C693" s="60">
        <f>MAX($B$1:C691)+0.1</f>
        <v>13.1</v>
      </c>
      <c r="D693" s="39" t="s">
        <v>760</v>
      </c>
    </row>
    <row r="695" spans="2:11">
      <c r="E695" t="s">
        <v>586</v>
      </c>
      <c r="G695" s="385">
        <f>CHOOSE($F$38,H695,I695,J695)</f>
        <v>0</v>
      </c>
      <c r="H695" s="150">
        <v>0</v>
      </c>
      <c r="I695" s="150">
        <v>0</v>
      </c>
      <c r="J695" s="150">
        <v>0</v>
      </c>
    </row>
    <row r="696" spans="2:11">
      <c r="E696" t="s">
        <v>761</v>
      </c>
      <c r="G696" s="380">
        <f>CHOOSE($F$43,H696,I696,J696)</f>
        <v>0</v>
      </c>
      <c r="H696" s="66">
        <v>0</v>
      </c>
      <c r="I696" s="41">
        <v>0</v>
      </c>
      <c r="J696" s="67">
        <v>0</v>
      </c>
      <c r="K696" s="255" t="s">
        <v>762</v>
      </c>
    </row>
    <row r="698" spans="2:11">
      <c r="C698" s="60">
        <f>MAX($B$1:C696)+0.1</f>
        <v>13.2</v>
      </c>
      <c r="D698" s="39" t="s">
        <v>763</v>
      </c>
    </row>
    <row r="700" spans="2:11">
      <c r="E700" t="s">
        <v>586</v>
      </c>
      <c r="G700" s="385">
        <f>CHOOSE($F$38,H700,I700,J700)</f>
        <v>1</v>
      </c>
      <c r="H700" s="150">
        <v>1</v>
      </c>
      <c r="I700" s="150">
        <v>0</v>
      </c>
      <c r="J700" s="150">
        <v>0</v>
      </c>
    </row>
    <row r="701" spans="2:11">
      <c r="E701" t="s">
        <v>761</v>
      </c>
      <c r="G701" s="380">
        <f>CHOOSE($F$43,H701,I701,J701)</f>
        <v>0</v>
      </c>
      <c r="H701" s="66"/>
      <c r="I701" s="41">
        <v>0</v>
      </c>
      <c r="J701" s="67">
        <v>0</v>
      </c>
      <c r="K701" s="255" t="s">
        <v>762</v>
      </c>
    </row>
    <row r="702" spans="2:11">
      <c r="E702" t="s">
        <v>682</v>
      </c>
      <c r="G702" s="380">
        <f>CHOOSE($F$43,H702,I702,J702)</f>
        <v>0</v>
      </c>
      <c r="H702" s="66"/>
      <c r="I702" s="41">
        <v>0</v>
      </c>
      <c r="J702" s="67">
        <v>0</v>
      </c>
      <c r="K702" s="255" t="s">
        <v>772</v>
      </c>
    </row>
    <row r="704" spans="2:11">
      <c r="C704" s="60">
        <f>MAX($B$1:C701)+0.1</f>
        <v>13.299999999999999</v>
      </c>
      <c r="D704" s="39" t="s">
        <v>802</v>
      </c>
    </row>
    <row r="706" spans="2:11">
      <c r="E706" t="s">
        <v>586</v>
      </c>
      <c r="G706" s="385">
        <f>CHOOSE($F$38,H706,I706,J706)</f>
        <v>0</v>
      </c>
      <c r="H706" s="150">
        <v>0</v>
      </c>
      <c r="I706" s="150">
        <v>0</v>
      </c>
      <c r="J706" s="150">
        <v>0</v>
      </c>
    </row>
    <row r="707" spans="2:11">
      <c r="E707" t="s">
        <v>761</v>
      </c>
      <c r="G707" s="380">
        <f>CHOOSE($F$43,H707,I707,J707)</f>
        <v>0</v>
      </c>
      <c r="H707" s="66">
        <v>0</v>
      </c>
      <c r="I707" s="41">
        <v>0</v>
      </c>
      <c r="J707" s="67">
        <v>0</v>
      </c>
      <c r="K707" s="255" t="s">
        <v>762</v>
      </c>
    </row>
    <row r="708" spans="2:11">
      <c r="E708" t="s">
        <v>682</v>
      </c>
      <c r="G708" s="380">
        <f>CHOOSE($F$43,H708,I708,J708)</f>
        <v>0</v>
      </c>
      <c r="H708" s="66">
        <v>0</v>
      </c>
      <c r="I708" s="41">
        <v>0</v>
      </c>
      <c r="J708" s="67">
        <v>0</v>
      </c>
      <c r="K708" s="255" t="s">
        <v>772</v>
      </c>
    </row>
    <row r="709" spans="2:11">
      <c r="G709" s="227"/>
      <c r="H709" s="227"/>
      <c r="I709" s="227"/>
      <c r="J709" s="227"/>
      <c r="K709" s="255"/>
    </row>
    <row r="710" spans="2:11">
      <c r="C710" s="60">
        <f>MAX($B$1:C707)+0.1</f>
        <v>13.399999999999999</v>
      </c>
      <c r="D710" s="39" t="s">
        <v>1383</v>
      </c>
      <c r="G710" s="227"/>
      <c r="H710" s="227"/>
      <c r="I710" s="227"/>
      <c r="J710" s="227"/>
      <c r="K710" s="255"/>
    </row>
    <row r="711" spans="2:11">
      <c r="C711" s="60"/>
      <c r="D711" s="39"/>
      <c r="G711" s="227"/>
      <c r="H711" s="227"/>
      <c r="I711" s="227"/>
      <c r="J711" s="227"/>
      <c r="K711" s="255"/>
    </row>
    <row r="712" spans="2:11">
      <c r="E712" t="s">
        <v>684</v>
      </c>
      <c r="G712" s="1433">
        <f>CHOOSE($F$38,H712,I712,J712)</f>
        <v>1E-4</v>
      </c>
      <c r="H712" s="1432">
        <v>1E-4</v>
      </c>
      <c r="I712" s="1432">
        <v>1E-4</v>
      </c>
      <c r="J712" s="1432">
        <v>1E-4</v>
      </c>
      <c r="K712" s="255"/>
    </row>
    <row r="713" spans="2:11">
      <c r="E713" t="s">
        <v>1386</v>
      </c>
      <c r="G713" s="227">
        <f>CHOOSE($F$43,H713,I713,J713)</f>
        <v>4</v>
      </c>
      <c r="H713" s="66">
        <v>4</v>
      </c>
      <c r="I713" s="41">
        <v>4</v>
      </c>
      <c r="J713" s="67">
        <v>4</v>
      </c>
      <c r="K713" s="255" t="s">
        <v>1387</v>
      </c>
    </row>
    <row r="715" spans="2:11" s="36" customFormat="1">
      <c r="B715" s="38">
        <f>MAX($B$1:B714)+1</f>
        <v>14</v>
      </c>
      <c r="C715" s="59"/>
      <c r="D715" s="37" t="s">
        <v>337</v>
      </c>
    </row>
    <row r="717" spans="2:11">
      <c r="E717" t="s">
        <v>338</v>
      </c>
      <c r="G717" s="45">
        <f t="shared" ref="G717:G722" si="56">CHOOSE($F$38,H717,I717,J717)</f>
        <v>1</v>
      </c>
      <c r="H717" s="64">
        <v>1</v>
      </c>
      <c r="I717" s="46">
        <v>1</v>
      </c>
      <c r="J717" s="65">
        <v>1</v>
      </c>
      <c r="K717" t="s">
        <v>339</v>
      </c>
    </row>
    <row r="718" spans="2:11">
      <c r="E718" t="s">
        <v>479</v>
      </c>
      <c r="G718" s="45">
        <v>1</v>
      </c>
      <c r="H718" s="64">
        <v>1</v>
      </c>
      <c r="I718" s="46">
        <v>1</v>
      </c>
      <c r="J718" s="65">
        <v>1</v>
      </c>
      <c r="K718" t="s">
        <v>480</v>
      </c>
    </row>
    <row r="719" spans="2:11">
      <c r="E719" t="s">
        <v>1155</v>
      </c>
      <c r="G719" s="45">
        <f t="shared" si="56"/>
        <v>0</v>
      </c>
      <c r="H719" s="64">
        <v>0</v>
      </c>
      <c r="I719" s="46">
        <v>0</v>
      </c>
      <c r="J719" s="65">
        <v>0</v>
      </c>
    </row>
    <row r="720" spans="2:11">
      <c r="E720" t="s">
        <v>1312</v>
      </c>
      <c r="G720" s="45">
        <f t="shared" si="56"/>
        <v>0</v>
      </c>
      <c r="H720" s="64">
        <v>0</v>
      </c>
      <c r="I720" s="46">
        <v>0</v>
      </c>
      <c r="J720" s="65">
        <v>0</v>
      </c>
    </row>
    <row r="721" spans="2:35">
      <c r="E721" t="s">
        <v>136</v>
      </c>
      <c r="G721" s="1093">
        <f t="shared" si="56"/>
        <v>0</v>
      </c>
      <c r="H721" s="1090">
        <v>0</v>
      </c>
      <c r="I721" s="1091">
        <v>0</v>
      </c>
      <c r="J721" s="1092">
        <v>0</v>
      </c>
    </row>
    <row r="722" spans="2:35">
      <c r="E722" t="s">
        <v>489</v>
      </c>
      <c r="G722" s="727">
        <f t="shared" si="56"/>
        <v>0</v>
      </c>
      <c r="H722" s="728">
        <v>0</v>
      </c>
      <c r="I722" s="729">
        <v>0</v>
      </c>
      <c r="J722" s="730">
        <v>0</v>
      </c>
    </row>
    <row r="723" spans="2:35">
      <c r="E723" t="s">
        <v>1301</v>
      </c>
      <c r="G723" s="727">
        <f t="shared" ref="G723" si="57">CHOOSE($F$38,H723,I723,J723)</f>
        <v>2</v>
      </c>
      <c r="H723" s="728">
        <v>2</v>
      </c>
      <c r="I723" s="729">
        <v>2</v>
      </c>
      <c r="J723" s="730">
        <v>2</v>
      </c>
    </row>
    <row r="725" spans="2:35" s="36" customFormat="1">
      <c r="B725" s="38">
        <f>MAX($B$1:B724)+1</f>
        <v>15</v>
      </c>
      <c r="C725" s="59"/>
      <c r="D725" s="37" t="s">
        <v>758</v>
      </c>
    </row>
    <row r="726" spans="2:35">
      <c r="B726" s="228"/>
      <c r="D726" s="229"/>
    </row>
    <row r="727" spans="2:35">
      <c r="B727" t="s">
        <v>993</v>
      </c>
      <c r="E727" s="41">
        <v>1000000</v>
      </c>
    </row>
    <row r="728" spans="2:35">
      <c r="G728" s="704" t="s">
        <v>985</v>
      </c>
      <c r="H728" s="705"/>
      <c r="I728" s="706" t="s">
        <v>474</v>
      </c>
      <c r="J728" s="707"/>
      <c r="K728" s="707"/>
      <c r="L728" s="707"/>
      <c r="M728" s="707"/>
      <c r="N728" s="707"/>
      <c r="O728" s="707"/>
      <c r="Q728" s="704" t="s">
        <v>991</v>
      </c>
      <c r="R728" s="705"/>
      <c r="S728" s="706" t="s">
        <v>474</v>
      </c>
      <c r="T728" s="707"/>
      <c r="U728" s="707"/>
      <c r="V728" s="707"/>
      <c r="W728" s="707"/>
      <c r="X728" s="707"/>
      <c r="Y728" s="707"/>
      <c r="AA728" s="704" t="s">
        <v>992</v>
      </c>
      <c r="AB728" s="705"/>
      <c r="AC728" s="706" t="s">
        <v>474</v>
      </c>
      <c r="AD728" s="707"/>
      <c r="AE728" s="707"/>
      <c r="AF728" s="707"/>
      <c r="AG728" s="707"/>
      <c r="AH728" s="707"/>
      <c r="AI728" s="707"/>
    </row>
    <row r="729" spans="2:35">
      <c r="G729" s="704"/>
      <c r="H729" s="705" t="s">
        <v>987</v>
      </c>
      <c r="I729" s="708">
        <f>+I730/ES!$E$19</f>
        <v>10.199999999999999</v>
      </c>
      <c r="J729" s="708">
        <f>+J730/ES!$E$19</f>
        <v>10.799999999999999</v>
      </c>
      <c r="K729" s="708">
        <f>+K730/ES!$E$19</f>
        <v>11.4</v>
      </c>
      <c r="L729" s="708">
        <f>+L730/ES!$E$19</f>
        <v>12</v>
      </c>
      <c r="M729" s="708">
        <f>+M730/ES!$E$19</f>
        <v>12.600000000000001</v>
      </c>
      <c r="N729" s="708">
        <f>+N730/ES!$E$19</f>
        <v>13.200000000000001</v>
      </c>
      <c r="O729" s="708">
        <f>+O730/ES!$E$19</f>
        <v>13.8</v>
      </c>
      <c r="Q729" s="704"/>
      <c r="R729" s="705" t="s">
        <v>987</v>
      </c>
      <c r="S729" s="708">
        <f>+I729</f>
        <v>10.199999999999999</v>
      </c>
      <c r="T729" s="708">
        <f t="shared" ref="T729:Y731" si="58">+J729</f>
        <v>10.799999999999999</v>
      </c>
      <c r="U729" s="708">
        <f t="shared" si="58"/>
        <v>11.4</v>
      </c>
      <c r="V729" s="708">
        <f t="shared" si="58"/>
        <v>12</v>
      </c>
      <c r="W729" s="708">
        <f t="shared" si="58"/>
        <v>12.600000000000001</v>
      </c>
      <c r="X729" s="708">
        <f t="shared" si="58"/>
        <v>13.200000000000001</v>
      </c>
      <c r="Y729" s="708">
        <f t="shared" si="58"/>
        <v>13.8</v>
      </c>
      <c r="AA729" s="704"/>
      <c r="AB729" s="705" t="s">
        <v>987</v>
      </c>
      <c r="AC729" s="708">
        <f>+S729</f>
        <v>10.199999999999999</v>
      </c>
      <c r="AD729" s="708">
        <f t="shared" ref="AD729:AD731" si="59">+T729</f>
        <v>10.799999999999999</v>
      </c>
      <c r="AE729" s="708">
        <f t="shared" ref="AE729:AE731" si="60">+U729</f>
        <v>11.4</v>
      </c>
      <c r="AF729" s="708">
        <f t="shared" ref="AF729:AF731" si="61">+V729</f>
        <v>12</v>
      </c>
      <c r="AG729" s="708">
        <f t="shared" ref="AG729:AG731" si="62">+W729</f>
        <v>12.600000000000001</v>
      </c>
      <c r="AH729" s="708">
        <f t="shared" ref="AH729:AH731" si="63">+X729</f>
        <v>13.200000000000001</v>
      </c>
      <c r="AI729" s="708">
        <f t="shared" ref="AI729:AI731" si="64">+Y729</f>
        <v>13.8</v>
      </c>
    </row>
    <row r="730" spans="2:35">
      <c r="B730" s="1708" t="s">
        <v>1759</v>
      </c>
      <c r="C730" s="1709"/>
      <c r="D730" s="1708"/>
      <c r="E730" s="1708"/>
      <c r="G730" s="704"/>
      <c r="H730" s="705" t="s">
        <v>474</v>
      </c>
      <c r="I730" s="709">
        <f t="shared" ref="I730:J730" si="65">+I731*$L$730</f>
        <v>3129367.6659374968</v>
      </c>
      <c r="J730" s="709">
        <f t="shared" si="65"/>
        <v>3313448.116874997</v>
      </c>
      <c r="K730" s="709">
        <f>+K731*$L$730</f>
        <v>3497528.5678124968</v>
      </c>
      <c r="L730" s="704">
        <f>ES!E25</f>
        <v>3681609.018749997</v>
      </c>
      <c r="M730" s="709">
        <f t="shared" ref="M730:O730" si="66">+M731*$L$730</f>
        <v>3865689.4696874972</v>
      </c>
      <c r="N730" s="709">
        <f t="shared" si="66"/>
        <v>4049769.920624997</v>
      </c>
      <c r="O730" s="709">
        <f t="shared" si="66"/>
        <v>4233850.3715624968</v>
      </c>
      <c r="Q730" s="704"/>
      <c r="R730" s="705" t="s">
        <v>474</v>
      </c>
      <c r="S730" s="709">
        <f>+I730</f>
        <v>3129367.6659374968</v>
      </c>
      <c r="T730" s="709">
        <f t="shared" si="58"/>
        <v>3313448.116874997</v>
      </c>
      <c r="U730" s="709">
        <f t="shared" si="58"/>
        <v>3497528.5678124968</v>
      </c>
      <c r="V730" s="704">
        <f t="shared" si="58"/>
        <v>3681609.018749997</v>
      </c>
      <c r="W730" s="709">
        <f t="shared" si="58"/>
        <v>3865689.4696874972</v>
      </c>
      <c r="X730" s="709">
        <f t="shared" si="58"/>
        <v>4049769.920624997</v>
      </c>
      <c r="Y730" s="709">
        <f t="shared" si="58"/>
        <v>4233850.3715624968</v>
      </c>
      <c r="AA730" s="704"/>
      <c r="AB730" s="705" t="s">
        <v>474</v>
      </c>
      <c r="AC730" s="709">
        <f>+S730</f>
        <v>3129367.6659374968</v>
      </c>
      <c r="AD730" s="709">
        <f t="shared" si="59"/>
        <v>3313448.116874997</v>
      </c>
      <c r="AE730" s="709">
        <f t="shared" si="60"/>
        <v>3497528.5678124968</v>
      </c>
      <c r="AF730" s="704">
        <f t="shared" si="61"/>
        <v>3681609.018749997</v>
      </c>
      <c r="AG730" s="709">
        <f t="shared" si="62"/>
        <v>3865689.4696874972</v>
      </c>
      <c r="AH730" s="709">
        <f t="shared" si="63"/>
        <v>4049769.920624997</v>
      </c>
      <c r="AI730" s="709">
        <f t="shared" si="64"/>
        <v>4233850.3715624968</v>
      </c>
    </row>
    <row r="731" spans="2:35">
      <c r="G731" s="22" t="s">
        <v>1175</v>
      </c>
      <c r="H731" s="710" t="str">
        <f>TEXT(DCF!$P$324,"0.0%")&amp;" / "&amp;TEXT(DCF!$P$323,"0.00x")</f>
        <v>00% / 001x</v>
      </c>
      <c r="I731" s="711">
        <f>J731-5%</f>
        <v>0.84999999999999987</v>
      </c>
      <c r="J731" s="711">
        <f>K731-5%</f>
        <v>0.89999999999999991</v>
      </c>
      <c r="K731" s="711">
        <f>L731-5%</f>
        <v>0.95</v>
      </c>
      <c r="L731" s="718">
        <v>1</v>
      </c>
      <c r="M731" s="711">
        <f>L731+5%</f>
        <v>1.05</v>
      </c>
      <c r="N731" s="711">
        <f>M731+5%</f>
        <v>1.1000000000000001</v>
      </c>
      <c r="O731" s="711">
        <f>N731+5%</f>
        <v>1.1500000000000001</v>
      </c>
      <c r="Q731" s="22" t="s">
        <v>1175</v>
      </c>
      <c r="R731" s="710" t="str">
        <f>TEXT(ES!$O$28,"0.0%")&amp;" / "&amp;TEXT(FO!$F$36,"0.0%")&amp;" / "&amp;TEXT(ES!$O$27,"0.00x")</f>
        <v>00% / 07% / 001x</v>
      </c>
      <c r="S731" s="711">
        <f>+I731</f>
        <v>0.84999999999999987</v>
      </c>
      <c r="T731" s="711">
        <f t="shared" si="58"/>
        <v>0.89999999999999991</v>
      </c>
      <c r="U731" s="711">
        <f t="shared" si="58"/>
        <v>0.95</v>
      </c>
      <c r="V731" s="718">
        <f t="shared" si="58"/>
        <v>1</v>
      </c>
      <c r="W731" s="711">
        <f t="shared" si="58"/>
        <v>1.05</v>
      </c>
      <c r="X731" s="711">
        <f t="shared" si="58"/>
        <v>1.1000000000000001</v>
      </c>
      <c r="Y731" s="711">
        <f t="shared" si="58"/>
        <v>1.1500000000000001</v>
      </c>
      <c r="AA731" s="22" t="s">
        <v>1175</v>
      </c>
      <c r="AB731" s="710" t="str">
        <f>TEXT(ES!$O$28,"0.0%")&amp;" / "&amp;TEXT(FO!$F$36,"0.0%")&amp;" / "&amp;TEXT(ES!$O$27,"0.00x")</f>
        <v>00% / 07% / 001x</v>
      </c>
      <c r="AC731" s="711">
        <f>+S731</f>
        <v>0.84999999999999987</v>
      </c>
      <c r="AD731" s="711">
        <f t="shared" si="59"/>
        <v>0.89999999999999991</v>
      </c>
      <c r="AE731" s="711">
        <f t="shared" si="60"/>
        <v>0.95</v>
      </c>
      <c r="AF731" s="718">
        <f t="shared" si="61"/>
        <v>1</v>
      </c>
      <c r="AG731" s="711">
        <f t="shared" si="62"/>
        <v>1.05</v>
      </c>
      <c r="AH731" s="711">
        <f t="shared" si="63"/>
        <v>1.1000000000000001</v>
      </c>
      <c r="AI731" s="711">
        <f t="shared" si="64"/>
        <v>1.1500000000000001</v>
      </c>
    </row>
    <row r="732" spans="2:35">
      <c r="G732" s="1723" t="s">
        <v>229</v>
      </c>
      <c r="H732" s="725">
        <f>H733-0.05</f>
        <v>0.84999999999999987</v>
      </c>
      <c r="I732" s="713"/>
      <c r="J732" s="713"/>
      <c r="K732" s="713"/>
      <c r="L732" s="719"/>
      <c r="M732" s="713"/>
      <c r="N732" s="713"/>
      <c r="O732" s="713"/>
      <c r="Q732" s="1723" t="s">
        <v>229</v>
      </c>
      <c r="R732" s="725">
        <f t="shared" ref="R732:R738" si="67">H732</f>
        <v>0.84999999999999987</v>
      </c>
      <c r="S732" s="713"/>
      <c r="T732" s="713"/>
      <c r="U732" s="713"/>
      <c r="V732" s="719"/>
      <c r="W732" s="713"/>
      <c r="X732" s="713"/>
      <c r="Y732" s="713"/>
      <c r="AA732" s="1723" t="s">
        <v>229</v>
      </c>
      <c r="AB732" s="725">
        <f t="shared" ref="AB732:AB738" si="68">R732</f>
        <v>0.84999999999999987</v>
      </c>
      <c r="AC732" s="713"/>
      <c r="AD732" s="713"/>
      <c r="AE732" s="713"/>
      <c r="AF732" s="719"/>
      <c r="AG732" s="713"/>
      <c r="AH732" s="713"/>
      <c r="AI732" s="713"/>
    </row>
    <row r="733" spans="2:35">
      <c r="G733" s="1724"/>
      <c r="H733" s="725">
        <f>H734-0.05</f>
        <v>0.89999999999999991</v>
      </c>
      <c r="I733" s="713"/>
      <c r="J733" s="713"/>
      <c r="K733" s="713"/>
      <c r="L733" s="719"/>
      <c r="M733" s="713"/>
      <c r="N733" s="713"/>
      <c r="O733" s="713"/>
      <c r="Q733" s="1724"/>
      <c r="R733" s="725">
        <f t="shared" si="67"/>
        <v>0.89999999999999991</v>
      </c>
      <c r="S733" s="713"/>
      <c r="T733" s="713"/>
      <c r="U733" s="713"/>
      <c r="V733" s="719"/>
      <c r="W733" s="713"/>
      <c r="X733" s="713"/>
      <c r="Y733" s="713"/>
      <c r="AA733" s="1724"/>
      <c r="AB733" s="725">
        <f t="shared" si="68"/>
        <v>0.89999999999999991</v>
      </c>
      <c r="AC733" s="713"/>
      <c r="AD733" s="713"/>
      <c r="AE733" s="713"/>
      <c r="AF733" s="719"/>
      <c r="AG733" s="713"/>
      <c r="AH733" s="713"/>
      <c r="AI733" s="713"/>
    </row>
    <row r="734" spans="2:35">
      <c r="G734" s="1724"/>
      <c r="H734" s="725">
        <f>H735-0.05</f>
        <v>0.95</v>
      </c>
      <c r="I734" s="713"/>
      <c r="J734" s="713"/>
      <c r="K734" s="713"/>
      <c r="L734" s="719"/>
      <c r="M734" s="713"/>
      <c r="N734" s="713"/>
      <c r="O734" s="713"/>
      <c r="Q734" s="1724"/>
      <c r="R734" s="725">
        <f t="shared" si="67"/>
        <v>0.95</v>
      </c>
      <c r="S734" s="713"/>
      <c r="T734" s="713"/>
      <c r="U734" s="713"/>
      <c r="V734" s="719"/>
      <c r="W734" s="713"/>
      <c r="X734" s="713"/>
      <c r="Y734" s="713"/>
      <c r="AA734" s="1724"/>
      <c r="AB734" s="725">
        <f t="shared" si="68"/>
        <v>0.95</v>
      </c>
      <c r="AC734" s="713"/>
      <c r="AD734" s="713"/>
      <c r="AE734" s="713"/>
      <c r="AF734" s="719"/>
      <c r="AG734" s="713"/>
      <c r="AH734" s="713"/>
      <c r="AI734" s="713"/>
    </row>
    <row r="735" spans="2:35">
      <c r="G735" s="1724"/>
      <c r="H735" s="715">
        <v>1</v>
      </c>
      <c r="I735" s="716"/>
      <c r="J735" s="716"/>
      <c r="K735" s="716"/>
      <c r="L735" s="720"/>
      <c r="M735" s="716"/>
      <c r="N735" s="716"/>
      <c r="O735" s="717"/>
      <c r="Q735" s="1724"/>
      <c r="R735" s="715">
        <f t="shared" si="67"/>
        <v>1</v>
      </c>
      <c r="S735" s="716"/>
      <c r="T735" s="716"/>
      <c r="U735" s="716"/>
      <c r="V735" s="720"/>
      <c r="W735" s="716"/>
      <c r="X735" s="716"/>
      <c r="Y735" s="717"/>
      <c r="AA735" s="1724"/>
      <c r="AB735" s="715">
        <f t="shared" si="68"/>
        <v>1</v>
      </c>
      <c r="AC735" s="716"/>
      <c r="AD735" s="716"/>
      <c r="AE735" s="716"/>
      <c r="AF735" s="720"/>
      <c r="AG735" s="716"/>
      <c r="AH735" s="716"/>
      <c r="AI735" s="717"/>
    </row>
    <row r="736" spans="2:35">
      <c r="G736" s="1724"/>
      <c r="H736" s="725">
        <f>H735+0.05</f>
        <v>1.05</v>
      </c>
      <c r="I736" s="713"/>
      <c r="J736" s="713"/>
      <c r="K736" s="713"/>
      <c r="L736" s="719"/>
      <c r="M736" s="713"/>
      <c r="N736" s="713"/>
      <c r="O736" s="713"/>
      <c r="Q736" s="1724"/>
      <c r="R736" s="725">
        <f t="shared" si="67"/>
        <v>1.05</v>
      </c>
      <c r="S736" s="713"/>
      <c r="T736" s="713"/>
      <c r="U736" s="713"/>
      <c r="V736" s="719"/>
      <c r="W736" s="713"/>
      <c r="X736" s="713"/>
      <c r="Y736" s="713"/>
      <c r="AA736" s="1724"/>
      <c r="AB736" s="725">
        <f t="shared" si="68"/>
        <v>1.05</v>
      </c>
      <c r="AC736" s="713"/>
      <c r="AD736" s="713"/>
      <c r="AE736" s="713"/>
      <c r="AF736" s="719"/>
      <c r="AG736" s="713"/>
      <c r="AH736" s="713"/>
      <c r="AI736" s="713"/>
    </row>
    <row r="737" spans="7:35">
      <c r="G737" s="1724"/>
      <c r="H737" s="725">
        <f>H736+0.05</f>
        <v>1.1000000000000001</v>
      </c>
      <c r="I737" s="713"/>
      <c r="J737" s="713"/>
      <c r="K737" s="713"/>
      <c r="L737" s="719"/>
      <c r="M737" s="713"/>
      <c r="N737" s="713"/>
      <c r="O737" s="713"/>
      <c r="Q737" s="1724"/>
      <c r="R737" s="725">
        <f t="shared" si="67"/>
        <v>1.1000000000000001</v>
      </c>
      <c r="S737" s="713"/>
      <c r="T737" s="713"/>
      <c r="U737" s="713"/>
      <c r="V737" s="719"/>
      <c r="W737" s="713"/>
      <c r="X737" s="713"/>
      <c r="Y737" s="713"/>
      <c r="AA737" s="1724"/>
      <c r="AB737" s="725">
        <f t="shared" si="68"/>
        <v>1.1000000000000001</v>
      </c>
      <c r="AC737" s="713"/>
      <c r="AD737" s="713"/>
      <c r="AE737" s="713"/>
      <c r="AF737" s="719"/>
      <c r="AG737" s="713"/>
      <c r="AH737" s="713"/>
      <c r="AI737" s="713"/>
    </row>
    <row r="738" spans="7:35">
      <c r="G738" s="1724"/>
      <c r="H738" s="725">
        <f>H737+0.05</f>
        <v>1.1500000000000001</v>
      </c>
      <c r="I738" s="713"/>
      <c r="J738" s="713"/>
      <c r="K738" s="713"/>
      <c r="L738" s="721"/>
      <c r="M738" s="713"/>
      <c r="N738" s="713"/>
      <c r="O738" s="713"/>
      <c r="Q738" s="1724"/>
      <c r="R738" s="725">
        <f t="shared" si="67"/>
        <v>1.1500000000000001</v>
      </c>
      <c r="S738" s="713"/>
      <c r="T738" s="713"/>
      <c r="U738" s="713"/>
      <c r="V738" s="721"/>
      <c r="W738" s="713"/>
      <c r="X738" s="713"/>
      <c r="Y738" s="713"/>
      <c r="AA738" s="1724"/>
      <c r="AB738" s="725">
        <f t="shared" si="68"/>
        <v>1.1500000000000001</v>
      </c>
      <c r="AC738" s="713"/>
      <c r="AD738" s="713"/>
      <c r="AE738" s="713"/>
      <c r="AF738" s="721"/>
      <c r="AG738" s="713"/>
      <c r="AH738" s="713"/>
      <c r="AI738" s="713"/>
    </row>
    <row r="739" spans="7:35">
      <c r="H739" s="712"/>
    </row>
    <row r="740" spans="7:35">
      <c r="G740" s="704" t="s">
        <v>985</v>
      </c>
      <c r="H740" s="705"/>
      <c r="I740" s="706" t="s">
        <v>56</v>
      </c>
      <c r="J740" s="707"/>
      <c r="K740" s="707"/>
      <c r="L740" s="707"/>
      <c r="M740" s="707"/>
      <c r="N740" s="707"/>
      <c r="O740" s="707"/>
      <c r="Q740" s="704" t="s">
        <v>986</v>
      </c>
      <c r="R740" s="705"/>
      <c r="S740" s="706" t="s">
        <v>988</v>
      </c>
      <c r="T740" s="707"/>
      <c r="U740" s="707"/>
      <c r="V740" s="707"/>
      <c r="W740" s="707"/>
      <c r="X740" s="707"/>
      <c r="Y740" s="707"/>
      <c r="AA740" s="704" t="s">
        <v>992</v>
      </c>
      <c r="AB740" s="705"/>
      <c r="AC740" s="706" t="s">
        <v>988</v>
      </c>
      <c r="AD740" s="707"/>
      <c r="AE740" s="707"/>
      <c r="AF740" s="707"/>
      <c r="AG740" s="707"/>
      <c r="AH740" s="707"/>
      <c r="AI740" s="707"/>
    </row>
    <row r="741" spans="7:35">
      <c r="G741" s="704"/>
      <c r="H741" s="705" t="s">
        <v>989</v>
      </c>
      <c r="I741" s="708">
        <f>+I742/ES!$E$12</f>
        <v>6.666666666666667</v>
      </c>
      <c r="J741" s="708">
        <f>+J742/ES!$E$12</f>
        <v>10</v>
      </c>
      <c r="K741" s="708">
        <f>+K742/ES!$E$12</f>
        <v>13.333333333333334</v>
      </c>
      <c r="L741" s="708">
        <f>+L742/ES!$E$12</f>
        <v>16.666666666666668</v>
      </c>
      <c r="M741" s="708">
        <f>+M742/ES!$E$12</f>
        <v>20</v>
      </c>
      <c r="N741" s="708">
        <f>+N742/ES!$E$12</f>
        <v>23.333333333333332</v>
      </c>
      <c r="O741" s="708">
        <f>+O742/ES!$E$12</f>
        <v>26.666666666666668</v>
      </c>
      <c r="Q741" s="704"/>
      <c r="R741" s="705" t="s">
        <v>989</v>
      </c>
      <c r="S741" s="708">
        <f>+I741</f>
        <v>6.666666666666667</v>
      </c>
      <c r="T741" s="708">
        <f t="shared" ref="T741:Y742" si="69">+J741</f>
        <v>10</v>
      </c>
      <c r="U741" s="708">
        <f t="shared" si="69"/>
        <v>13.333333333333334</v>
      </c>
      <c r="V741" s="708">
        <f t="shared" si="69"/>
        <v>16.666666666666668</v>
      </c>
      <c r="W741" s="708">
        <f t="shared" si="69"/>
        <v>20</v>
      </c>
      <c r="X741" s="708">
        <f t="shared" si="69"/>
        <v>23.333333333333332</v>
      </c>
      <c r="Y741" s="708">
        <f t="shared" si="69"/>
        <v>26.666666666666668</v>
      </c>
      <c r="AA741" s="704"/>
      <c r="AB741" s="705" t="s">
        <v>989</v>
      </c>
      <c r="AC741" s="708">
        <f>+S741</f>
        <v>6.666666666666667</v>
      </c>
      <c r="AD741" s="708">
        <f t="shared" ref="AD741" si="70">+T741</f>
        <v>10</v>
      </c>
      <c r="AE741" s="708">
        <f t="shared" ref="AE741" si="71">+U741</f>
        <v>13.333333333333334</v>
      </c>
      <c r="AF741" s="708">
        <f t="shared" ref="AF741:AF742" si="72">+V741</f>
        <v>16.666666666666668</v>
      </c>
      <c r="AG741" s="708">
        <f t="shared" ref="AG741" si="73">+W741</f>
        <v>20</v>
      </c>
      <c r="AH741" s="708">
        <f t="shared" ref="AH741" si="74">+X741</f>
        <v>23.333333333333332</v>
      </c>
      <c r="AI741" s="708">
        <f t="shared" ref="AI741" si="75">+Y741</f>
        <v>26.666666666666668</v>
      </c>
    </row>
    <row r="742" spans="7:35">
      <c r="G742" s="22" t="s">
        <v>1176</v>
      </c>
      <c r="H742" s="710" t="str">
        <f>TEXT(DCF!$P$324,"0.0%")&amp;" / "&amp;TEXT(DCF!$P$323,"0.00x")</f>
        <v>00% / 001x</v>
      </c>
      <c r="I742" s="714">
        <f t="shared" ref="I742:J742" si="76">+J742-$E$727</f>
        <v>2000000</v>
      </c>
      <c r="J742" s="714">
        <f t="shared" si="76"/>
        <v>3000000</v>
      </c>
      <c r="K742" s="714">
        <f>+L742-$E$727</f>
        <v>4000000</v>
      </c>
      <c r="L742" s="722">
        <f>PP</f>
        <v>5000000</v>
      </c>
      <c r="M742" s="714">
        <f>+L742+$E$727</f>
        <v>6000000</v>
      </c>
      <c r="N742" s="714">
        <f t="shared" ref="N742:O742" si="77">+M742+$E$727</f>
        <v>7000000</v>
      </c>
      <c r="O742" s="714">
        <f t="shared" si="77"/>
        <v>8000000</v>
      </c>
      <c r="Q742" s="22" t="s">
        <v>1176</v>
      </c>
      <c r="R742" s="710" t="str">
        <f>TEXT(ES!$O$28,"0.0%")&amp;" / "&amp;TEXT(FO!$F$36,"0.0%")&amp;" / "&amp;TEXT(ES!$O$27,"0.00x")</f>
        <v>00% / 07% / 001x</v>
      </c>
      <c r="S742" s="714">
        <f t="shared" ref="S742:T742" si="78">+T742-$E$727</f>
        <v>2000000</v>
      </c>
      <c r="T742" s="714">
        <f t="shared" si="78"/>
        <v>3000000</v>
      </c>
      <c r="U742" s="714">
        <f>+V742-$E$727</f>
        <v>4000000</v>
      </c>
      <c r="V742" s="722">
        <f t="shared" si="69"/>
        <v>5000000</v>
      </c>
      <c r="W742" s="714">
        <f>+V742+$E$727</f>
        <v>6000000</v>
      </c>
      <c r="X742" s="714">
        <f t="shared" ref="X742:Y742" si="79">+W742+$E$727</f>
        <v>7000000</v>
      </c>
      <c r="Y742" s="714">
        <f t="shared" si="79"/>
        <v>8000000</v>
      </c>
      <c r="AA742" s="22" t="s">
        <v>1176</v>
      </c>
      <c r="AB742" s="710" t="str">
        <f>TEXT(ES!$O$28,"0.0%")&amp;" / "&amp;TEXT(FO!$F$36,"0.0%")&amp;" / "&amp;TEXT(ES!$O$27,"0.00x")</f>
        <v>00% / 07% / 001x</v>
      </c>
      <c r="AC742" s="714">
        <f t="shared" ref="AC742:AD742" si="80">+AD742-$E$727</f>
        <v>2000000</v>
      </c>
      <c r="AD742" s="714">
        <f t="shared" si="80"/>
        <v>3000000</v>
      </c>
      <c r="AE742" s="714">
        <f>+AF742-$E$727</f>
        <v>4000000</v>
      </c>
      <c r="AF742" s="722">
        <f t="shared" si="72"/>
        <v>5000000</v>
      </c>
      <c r="AG742" s="714">
        <f>+AF742+$E$727</f>
        <v>6000000</v>
      </c>
      <c r="AH742" s="714">
        <f t="shared" ref="AH742:AI742" si="81">+AG742+$E$727</f>
        <v>7000000</v>
      </c>
      <c r="AI742" s="714">
        <f t="shared" si="81"/>
        <v>8000000</v>
      </c>
    </row>
    <row r="743" spans="7:35">
      <c r="G743" s="1723" t="s">
        <v>474</v>
      </c>
      <c r="H743" s="725">
        <f>H744-0.05</f>
        <v>0.84999999999999987</v>
      </c>
      <c r="I743" s="713" t="s">
        <v>1625</v>
      </c>
      <c r="J743" s="713" t="s">
        <v>1627</v>
      </c>
      <c r="K743" s="713" t="s">
        <v>1629</v>
      </c>
      <c r="L743" s="719" t="s">
        <v>1631</v>
      </c>
      <c r="M743" s="713" t="s">
        <v>1633</v>
      </c>
      <c r="N743" s="713" t="s">
        <v>1635</v>
      </c>
      <c r="O743" s="713" t="s">
        <v>1637</v>
      </c>
      <c r="Q743" s="1723" t="s">
        <v>953</v>
      </c>
      <c r="R743" s="725">
        <v>0.84999999999999987</v>
      </c>
      <c r="S743" s="713" t="s">
        <v>1626</v>
      </c>
      <c r="T743" s="713" t="s">
        <v>1628</v>
      </c>
      <c r="U743" s="713" t="s">
        <v>1630</v>
      </c>
      <c r="V743" s="719" t="s">
        <v>1632</v>
      </c>
      <c r="W743" s="713" t="s">
        <v>1634</v>
      </c>
      <c r="X743" s="713" t="s">
        <v>1636</v>
      </c>
      <c r="Y743" s="713" t="s">
        <v>1638</v>
      </c>
      <c r="AA743" s="1723" t="s">
        <v>953</v>
      </c>
      <c r="AB743" s="725">
        <v>0.84999999999999987</v>
      </c>
      <c r="AC743" s="713" t="s">
        <v>1626</v>
      </c>
      <c r="AD743" s="713" t="s">
        <v>1628</v>
      </c>
      <c r="AE743" s="713" t="s">
        <v>1630</v>
      </c>
      <c r="AF743" s="719" t="s">
        <v>1632</v>
      </c>
      <c r="AG743" s="713" t="s">
        <v>1634</v>
      </c>
      <c r="AH743" s="713" t="s">
        <v>1636</v>
      </c>
      <c r="AI743" s="713" t="s">
        <v>1638</v>
      </c>
    </row>
    <row r="744" spans="7:35">
      <c r="G744" s="1724"/>
      <c r="H744" s="725">
        <f>H745-0.05</f>
        <v>0.89999999999999991</v>
      </c>
      <c r="I744" s="713" t="s">
        <v>1639</v>
      </c>
      <c r="J744" s="713" t="s">
        <v>1641</v>
      </c>
      <c r="K744" s="713" t="s">
        <v>1643</v>
      </c>
      <c r="L744" s="719" t="s">
        <v>1645</v>
      </c>
      <c r="M744" s="713" t="s">
        <v>1647</v>
      </c>
      <c r="N744" s="713" t="s">
        <v>1649</v>
      </c>
      <c r="O744" s="713" t="s">
        <v>1650</v>
      </c>
      <c r="Q744" s="1724"/>
      <c r="R744" s="725">
        <v>0.89999999999999991</v>
      </c>
      <c r="S744" s="713" t="s">
        <v>1640</v>
      </c>
      <c r="T744" s="713" t="s">
        <v>1642</v>
      </c>
      <c r="U744" s="713" t="s">
        <v>1644</v>
      </c>
      <c r="V744" s="719" t="s">
        <v>1646</v>
      </c>
      <c r="W744" s="713" t="s">
        <v>1648</v>
      </c>
      <c r="X744" s="713" t="s">
        <v>1636</v>
      </c>
      <c r="Y744" s="713" t="s">
        <v>1638</v>
      </c>
      <c r="AA744" s="1724"/>
      <c r="AB744" s="725">
        <v>0.89999999999999991</v>
      </c>
      <c r="AC744" s="713" t="s">
        <v>1640</v>
      </c>
      <c r="AD744" s="713" t="s">
        <v>1642</v>
      </c>
      <c r="AE744" s="713" t="s">
        <v>1644</v>
      </c>
      <c r="AF744" s="719" t="s">
        <v>1646</v>
      </c>
      <c r="AG744" s="713" t="s">
        <v>1648</v>
      </c>
      <c r="AH744" s="713" t="s">
        <v>1636</v>
      </c>
      <c r="AI744" s="713" t="s">
        <v>1638</v>
      </c>
    </row>
    <row r="745" spans="7:35">
      <c r="G745" s="1724"/>
      <c r="H745" s="725">
        <f>H746-0.05</f>
        <v>0.95</v>
      </c>
      <c r="I745" s="713" t="s">
        <v>1651</v>
      </c>
      <c r="J745" s="713" t="s">
        <v>1653</v>
      </c>
      <c r="K745" s="713" t="s">
        <v>1655</v>
      </c>
      <c r="L745" s="719" t="s">
        <v>1657</v>
      </c>
      <c r="M745" s="713" t="s">
        <v>1659</v>
      </c>
      <c r="N745" s="713" t="s">
        <v>1660</v>
      </c>
      <c r="O745" s="713" t="s">
        <v>1661</v>
      </c>
      <c r="Q745" s="1724"/>
      <c r="R745" s="725">
        <v>0.95</v>
      </c>
      <c r="S745" s="713" t="s">
        <v>1652</v>
      </c>
      <c r="T745" s="713" t="s">
        <v>1654</v>
      </c>
      <c r="U745" s="713" t="s">
        <v>1656</v>
      </c>
      <c r="V745" s="719" t="s">
        <v>1658</v>
      </c>
      <c r="W745" s="713" t="s">
        <v>1648</v>
      </c>
      <c r="X745" s="713" t="s">
        <v>1636</v>
      </c>
      <c r="Y745" s="713" t="s">
        <v>1638</v>
      </c>
      <c r="AA745" s="1724"/>
      <c r="AB745" s="725">
        <v>0.95</v>
      </c>
      <c r="AC745" s="713" t="s">
        <v>1652</v>
      </c>
      <c r="AD745" s="713" t="s">
        <v>1654</v>
      </c>
      <c r="AE745" s="713" t="s">
        <v>1656</v>
      </c>
      <c r="AF745" s="719" t="s">
        <v>1658</v>
      </c>
      <c r="AG745" s="713" t="s">
        <v>1648</v>
      </c>
      <c r="AH745" s="713" t="s">
        <v>1636</v>
      </c>
      <c r="AI745" s="713" t="s">
        <v>1638</v>
      </c>
    </row>
    <row r="746" spans="7:35">
      <c r="G746" s="1724"/>
      <c r="H746" s="715">
        <v>1</v>
      </c>
      <c r="I746" s="716" t="s">
        <v>1662</v>
      </c>
      <c r="J746" s="716" t="s">
        <v>1664</v>
      </c>
      <c r="K746" s="716" t="s">
        <v>1666</v>
      </c>
      <c r="L746" s="720" t="s">
        <v>1668</v>
      </c>
      <c r="M746" s="716" t="s">
        <v>1670</v>
      </c>
      <c r="N746" s="716" t="s">
        <v>1672</v>
      </c>
      <c r="O746" s="717" t="s">
        <v>1635</v>
      </c>
      <c r="Q746" s="1724"/>
      <c r="R746" s="715">
        <v>1</v>
      </c>
      <c r="S746" s="716" t="s">
        <v>1663</v>
      </c>
      <c r="T746" s="716" t="s">
        <v>1665</v>
      </c>
      <c r="U746" s="716" t="s">
        <v>1667</v>
      </c>
      <c r="V746" s="720" t="s">
        <v>1669</v>
      </c>
      <c r="W746" s="716" t="s">
        <v>1671</v>
      </c>
      <c r="X746" s="716" t="s">
        <v>1673</v>
      </c>
      <c r="Y746" s="717" t="s">
        <v>1638</v>
      </c>
      <c r="AA746" s="1724"/>
      <c r="AB746" s="715">
        <v>1</v>
      </c>
      <c r="AC746" s="716" t="s">
        <v>1663</v>
      </c>
      <c r="AD746" s="716" t="s">
        <v>1665</v>
      </c>
      <c r="AE746" s="716" t="s">
        <v>1667</v>
      </c>
      <c r="AF746" s="720" t="s">
        <v>1669</v>
      </c>
      <c r="AG746" s="716" t="s">
        <v>1671</v>
      </c>
      <c r="AH746" s="716" t="s">
        <v>1673</v>
      </c>
      <c r="AI746" s="717" t="s">
        <v>1638</v>
      </c>
    </row>
    <row r="747" spans="7:35">
      <c r="G747" s="1724"/>
      <c r="H747" s="725">
        <f>H746+0.05</f>
        <v>1.05</v>
      </c>
      <c r="I747" s="713" t="s">
        <v>1674</v>
      </c>
      <c r="J747" s="713" t="s">
        <v>1676</v>
      </c>
      <c r="K747" s="713" t="s">
        <v>1678</v>
      </c>
      <c r="L747" s="719" t="s">
        <v>1680</v>
      </c>
      <c r="M747" s="713" t="s">
        <v>1682</v>
      </c>
      <c r="N747" s="713" t="s">
        <v>1684</v>
      </c>
      <c r="O747" s="713" t="s">
        <v>1685</v>
      </c>
      <c r="Q747" s="1724"/>
      <c r="R747" s="725">
        <v>1.05</v>
      </c>
      <c r="S747" s="713" t="s">
        <v>1675</v>
      </c>
      <c r="T747" s="713" t="s">
        <v>1677</v>
      </c>
      <c r="U747" s="713" t="s">
        <v>1679</v>
      </c>
      <c r="V747" s="719" t="s">
        <v>1681</v>
      </c>
      <c r="W747" s="713" t="s">
        <v>1683</v>
      </c>
      <c r="X747" s="713" t="s">
        <v>1673</v>
      </c>
      <c r="Y747" s="713" t="s">
        <v>1638</v>
      </c>
      <c r="AA747" s="1724"/>
      <c r="AB747" s="725">
        <v>1.05</v>
      </c>
      <c r="AC747" s="713" t="s">
        <v>1675</v>
      </c>
      <c r="AD747" s="713" t="s">
        <v>1677</v>
      </c>
      <c r="AE747" s="713" t="s">
        <v>1679</v>
      </c>
      <c r="AF747" s="719" t="s">
        <v>1681</v>
      </c>
      <c r="AG747" s="713" t="s">
        <v>1683</v>
      </c>
      <c r="AH747" s="713" t="s">
        <v>1673</v>
      </c>
      <c r="AI747" s="713" t="s">
        <v>1638</v>
      </c>
    </row>
    <row r="748" spans="7:35">
      <c r="G748" s="1724"/>
      <c r="H748" s="725">
        <f>H747+0.05</f>
        <v>1.1000000000000001</v>
      </c>
      <c r="I748" s="713" t="s">
        <v>1686</v>
      </c>
      <c r="J748" s="713" t="s">
        <v>1688</v>
      </c>
      <c r="K748" s="713" t="s">
        <v>1690</v>
      </c>
      <c r="L748" s="719" t="s">
        <v>1692</v>
      </c>
      <c r="M748" s="713" t="s">
        <v>1694</v>
      </c>
      <c r="N748" s="713" t="s">
        <v>1696</v>
      </c>
      <c r="O748" s="713" t="s">
        <v>1660</v>
      </c>
      <c r="Q748" s="1724"/>
      <c r="R748" s="725">
        <v>1.1000000000000001</v>
      </c>
      <c r="S748" s="713" t="s">
        <v>1687</v>
      </c>
      <c r="T748" s="713" t="s">
        <v>1689</v>
      </c>
      <c r="U748" s="713" t="s">
        <v>1691</v>
      </c>
      <c r="V748" s="719" t="s">
        <v>1693</v>
      </c>
      <c r="W748" s="713" t="s">
        <v>1695</v>
      </c>
      <c r="X748" s="713" t="s">
        <v>1673</v>
      </c>
      <c r="Y748" s="713" t="s">
        <v>1638</v>
      </c>
      <c r="AA748" s="1724"/>
      <c r="AB748" s="725">
        <v>1.1000000000000001</v>
      </c>
      <c r="AC748" s="713" t="s">
        <v>1687</v>
      </c>
      <c r="AD748" s="713" t="s">
        <v>1689</v>
      </c>
      <c r="AE748" s="713" t="s">
        <v>1691</v>
      </c>
      <c r="AF748" s="719" t="s">
        <v>1693</v>
      </c>
      <c r="AG748" s="713" t="s">
        <v>1695</v>
      </c>
      <c r="AH748" s="713" t="s">
        <v>1673</v>
      </c>
      <c r="AI748" s="713" t="s">
        <v>1638</v>
      </c>
    </row>
    <row r="749" spans="7:35">
      <c r="G749" s="1724"/>
      <c r="H749" s="725">
        <f>H748+0.05</f>
        <v>1.1500000000000001</v>
      </c>
      <c r="I749" s="713" t="s">
        <v>1697</v>
      </c>
      <c r="J749" s="713" t="s">
        <v>1699</v>
      </c>
      <c r="K749" s="713" t="s">
        <v>1627</v>
      </c>
      <c r="L749" s="721" t="s">
        <v>1702</v>
      </c>
      <c r="M749" s="713" t="s">
        <v>1704</v>
      </c>
      <c r="N749" s="713" t="s">
        <v>1706</v>
      </c>
      <c r="O749" s="713" t="s">
        <v>1672</v>
      </c>
      <c r="Q749" s="1724"/>
      <c r="R749" s="725">
        <v>1.1500000000000001</v>
      </c>
      <c r="S749" s="713" t="s">
        <v>1698</v>
      </c>
      <c r="T749" s="713" t="s">
        <v>1700</v>
      </c>
      <c r="U749" s="713" t="s">
        <v>1701</v>
      </c>
      <c r="V749" s="721" t="s">
        <v>1703</v>
      </c>
      <c r="W749" s="713" t="s">
        <v>1705</v>
      </c>
      <c r="X749" s="713" t="s">
        <v>1673</v>
      </c>
      <c r="Y749" s="713" t="s">
        <v>1638</v>
      </c>
      <c r="AA749" s="1724"/>
      <c r="AB749" s="725">
        <v>1.1500000000000001</v>
      </c>
      <c r="AC749" s="713" t="s">
        <v>1698</v>
      </c>
      <c r="AD749" s="713" t="s">
        <v>1700</v>
      </c>
      <c r="AE749" s="713" t="s">
        <v>1701</v>
      </c>
      <c r="AF749" s="721" t="s">
        <v>1703</v>
      </c>
      <c r="AG749" s="713" t="s">
        <v>1705</v>
      </c>
      <c r="AH749" s="713" t="s">
        <v>1673</v>
      </c>
      <c r="AI749" s="713" t="s">
        <v>1638</v>
      </c>
    </row>
    <row r="751" spans="7:35">
      <c r="G751" s="704" t="s">
        <v>985</v>
      </c>
      <c r="H751" s="705"/>
      <c r="I751" s="706" t="s">
        <v>56</v>
      </c>
      <c r="J751" s="707"/>
      <c r="K751" s="707"/>
      <c r="L751" s="707"/>
      <c r="M751" s="707"/>
      <c r="N751" s="707"/>
      <c r="O751" s="707"/>
      <c r="Q751" s="704" t="s">
        <v>986</v>
      </c>
      <c r="R751" s="705"/>
      <c r="S751" s="706" t="s">
        <v>56</v>
      </c>
      <c r="T751" s="707"/>
      <c r="U751" s="707"/>
      <c r="V751" s="707"/>
      <c r="W751" s="707"/>
      <c r="X751" s="707"/>
      <c r="Y751" s="707"/>
      <c r="AA751" s="704" t="s">
        <v>992</v>
      </c>
      <c r="AB751" s="705"/>
      <c r="AC751" s="706" t="s">
        <v>56</v>
      </c>
      <c r="AD751" s="707"/>
      <c r="AE751" s="707"/>
      <c r="AF751" s="707"/>
      <c r="AG751" s="707"/>
      <c r="AH751" s="707"/>
      <c r="AI751" s="707"/>
    </row>
    <row r="752" spans="7:35">
      <c r="G752" s="704"/>
      <c r="H752" s="705" t="s">
        <v>989</v>
      </c>
      <c r="I752" s="708">
        <f>+I753/ES!$E$12</f>
        <v>6.666666666666667</v>
      </c>
      <c r="J752" s="708">
        <f>+J753/ES!$E$12</f>
        <v>10</v>
      </c>
      <c r="K752" s="708">
        <f>+K753/ES!$E$12</f>
        <v>13.333333333333334</v>
      </c>
      <c r="L752" s="708">
        <f>+L753/ES!$E$12</f>
        <v>16.666666666666668</v>
      </c>
      <c r="M752" s="708">
        <f>+M753/ES!$E$12</f>
        <v>20</v>
      </c>
      <c r="N752" s="708">
        <f>+N753/ES!$E$12</f>
        <v>23.333333333333332</v>
      </c>
      <c r="O752" s="708">
        <f>+O753/ES!$E$12</f>
        <v>26.666666666666668</v>
      </c>
      <c r="Q752" s="704"/>
      <c r="R752" s="705" t="s">
        <v>989</v>
      </c>
      <c r="S752" s="708">
        <f>I752</f>
        <v>6.666666666666667</v>
      </c>
      <c r="T752" s="708">
        <f t="shared" ref="T752:Y752" si="82">J752</f>
        <v>10</v>
      </c>
      <c r="U752" s="708">
        <f t="shared" si="82"/>
        <v>13.333333333333334</v>
      </c>
      <c r="V752" s="708">
        <f t="shared" si="82"/>
        <v>16.666666666666668</v>
      </c>
      <c r="W752" s="708">
        <f t="shared" si="82"/>
        <v>20</v>
      </c>
      <c r="X752" s="708">
        <f t="shared" si="82"/>
        <v>23.333333333333332</v>
      </c>
      <c r="Y752" s="708">
        <f t="shared" si="82"/>
        <v>26.666666666666668</v>
      </c>
      <c r="AA752" s="704"/>
      <c r="AB752" s="705" t="s">
        <v>989</v>
      </c>
      <c r="AC752" s="708">
        <f>I752</f>
        <v>6.666666666666667</v>
      </c>
      <c r="AD752" s="708">
        <f t="shared" ref="AD752:AI752" si="83">J752</f>
        <v>10</v>
      </c>
      <c r="AE752" s="708">
        <f t="shared" si="83"/>
        <v>13.333333333333334</v>
      </c>
      <c r="AF752" s="708">
        <f t="shared" si="83"/>
        <v>16.666666666666668</v>
      </c>
      <c r="AG752" s="708">
        <f t="shared" si="83"/>
        <v>20</v>
      </c>
      <c r="AH752" s="708">
        <f t="shared" si="83"/>
        <v>23.333333333333332</v>
      </c>
      <c r="AI752" s="708">
        <f t="shared" si="83"/>
        <v>26.666666666666668</v>
      </c>
    </row>
    <row r="753" spans="7:35">
      <c r="G753" s="22" t="s">
        <v>1177</v>
      </c>
      <c r="H753" s="710" t="str">
        <f>TEXT(DCF!$P$324,"0.0%")&amp;" / "&amp;TEXT(DCF!$P$323,"0.00x")</f>
        <v>00% / 001x</v>
      </c>
      <c r="I753" s="714">
        <f t="shared" ref="I753:J753" si="84">+J753-$E$727</f>
        <v>2000000</v>
      </c>
      <c r="J753" s="714">
        <f t="shared" si="84"/>
        <v>3000000</v>
      </c>
      <c r="K753" s="714">
        <f>+L753-$E$727</f>
        <v>4000000</v>
      </c>
      <c r="L753" s="722">
        <f>L742</f>
        <v>5000000</v>
      </c>
      <c r="M753" s="714">
        <f>+L753+$E$727</f>
        <v>6000000</v>
      </c>
      <c r="N753" s="714">
        <f t="shared" ref="N753:O753" si="85">+M753+$E$727</f>
        <v>7000000</v>
      </c>
      <c r="O753" s="714">
        <f t="shared" si="85"/>
        <v>8000000</v>
      </c>
      <c r="Q753" s="22" t="s">
        <v>1177</v>
      </c>
      <c r="R753" s="710" t="str">
        <f>TEXT(ES!$O$28,"0.0%")&amp;" / "&amp;TEXT(FO!$F$36,"0.0%")&amp;" / "&amp;TEXT(ES!$O$27,"0.00x")</f>
        <v>00% / 07% / 001x</v>
      </c>
      <c r="S753" s="714">
        <f t="shared" ref="S753:T753" si="86">+T753-$E$727</f>
        <v>2000000</v>
      </c>
      <c r="T753" s="714">
        <f t="shared" si="86"/>
        <v>3000000</v>
      </c>
      <c r="U753" s="714">
        <f>+V753-$E$727</f>
        <v>4000000</v>
      </c>
      <c r="V753" s="722">
        <f t="shared" ref="V753" si="87">+L753</f>
        <v>5000000</v>
      </c>
      <c r="W753" s="714">
        <f>+V753+$E$727</f>
        <v>6000000</v>
      </c>
      <c r="X753" s="714">
        <f t="shared" ref="X753:Y753" si="88">+W753+$E$727</f>
        <v>7000000</v>
      </c>
      <c r="Y753" s="714">
        <f t="shared" si="88"/>
        <v>8000000</v>
      </c>
      <c r="AA753" s="22" t="s">
        <v>1177</v>
      </c>
      <c r="AB753" s="710" t="str">
        <f>TEXT(ES!$O$28,"0.0%")&amp;" / "&amp;TEXT(FO!$F$36,"0.0%")&amp;" / "&amp;TEXT(ES!$O$27,"0.00x")</f>
        <v>00% / 07% / 001x</v>
      </c>
      <c r="AC753" s="714">
        <f t="shared" ref="AC753:AD753" si="89">+AD753-$E$727</f>
        <v>2000000</v>
      </c>
      <c r="AD753" s="714">
        <f t="shared" si="89"/>
        <v>3000000</v>
      </c>
      <c r="AE753" s="714">
        <f>+AF753-$E$727</f>
        <v>4000000</v>
      </c>
      <c r="AF753" s="722">
        <f t="shared" ref="AF753" si="90">+V753</f>
        <v>5000000</v>
      </c>
      <c r="AG753" s="714">
        <f>+AF753+$E$727</f>
        <v>6000000</v>
      </c>
      <c r="AH753" s="714">
        <f t="shared" ref="AH753:AI753" si="91">+AG753+$E$727</f>
        <v>7000000</v>
      </c>
      <c r="AI753" s="714">
        <f t="shared" si="91"/>
        <v>8000000</v>
      </c>
    </row>
    <row r="754" spans="7:35">
      <c r="G754" s="1723" t="s">
        <v>229</v>
      </c>
      <c r="H754" s="725">
        <f>H755-0.05</f>
        <v>0.84999999999999987</v>
      </c>
      <c r="I754" s="713"/>
      <c r="J754" s="713"/>
      <c r="K754" s="713"/>
      <c r="L754" s="719"/>
      <c r="M754" s="713"/>
      <c r="N754" s="713"/>
      <c r="O754" s="713"/>
      <c r="Q754" s="1723" t="s">
        <v>229</v>
      </c>
      <c r="R754" s="725">
        <v>0.84999999999999987</v>
      </c>
      <c r="S754" s="713"/>
      <c r="T754" s="713"/>
      <c r="U754" s="713"/>
      <c r="V754" s="719"/>
      <c r="W754" s="713"/>
      <c r="X754" s="713"/>
      <c r="Y754" s="713"/>
      <c r="AA754" s="1723" t="s">
        <v>229</v>
      </c>
      <c r="AB754" s="725">
        <v>0.84999999999999987</v>
      </c>
      <c r="AC754" s="713"/>
      <c r="AD754" s="713"/>
      <c r="AE754" s="713"/>
      <c r="AF754" s="719"/>
      <c r="AG754" s="713"/>
      <c r="AH754" s="713"/>
      <c r="AI754" s="713"/>
    </row>
    <row r="755" spans="7:35">
      <c r="G755" s="1724"/>
      <c r="H755" s="725">
        <f>H756-0.05</f>
        <v>0.89999999999999991</v>
      </c>
      <c r="I755" s="713"/>
      <c r="J755" s="713"/>
      <c r="K755" s="713"/>
      <c r="L755" s="719"/>
      <c r="M755" s="713"/>
      <c r="N755" s="713"/>
      <c r="O755" s="713"/>
      <c r="Q755" s="1724"/>
      <c r="R755" s="725">
        <v>0.89999999999999991</v>
      </c>
      <c r="S755" s="713"/>
      <c r="T755" s="713"/>
      <c r="U755" s="713"/>
      <c r="V755" s="719"/>
      <c r="W755" s="713"/>
      <c r="X755" s="713"/>
      <c r="Y755" s="713"/>
      <c r="AA755" s="1724"/>
      <c r="AB755" s="725">
        <v>0.89999999999999991</v>
      </c>
      <c r="AC755" s="713"/>
      <c r="AD755" s="713"/>
      <c r="AE755" s="713"/>
      <c r="AF755" s="719"/>
      <c r="AG755" s="713"/>
      <c r="AH755" s="713"/>
      <c r="AI755" s="713"/>
    </row>
    <row r="756" spans="7:35">
      <c r="G756" s="1724"/>
      <c r="H756" s="725">
        <f>H757-0.05</f>
        <v>0.95</v>
      </c>
      <c r="I756" s="713"/>
      <c r="J756" s="713"/>
      <c r="K756" s="713"/>
      <c r="L756" s="719"/>
      <c r="M756" s="713"/>
      <c r="N756" s="713"/>
      <c r="O756" s="713"/>
      <c r="Q756" s="1724"/>
      <c r="R756" s="725">
        <v>0.95</v>
      </c>
      <c r="S756" s="713"/>
      <c r="T756" s="713"/>
      <c r="U756" s="713"/>
      <c r="V756" s="719"/>
      <c r="W756" s="713"/>
      <c r="X756" s="713"/>
      <c r="Y756" s="713"/>
      <c r="AA756" s="1724"/>
      <c r="AB756" s="725">
        <v>0.95</v>
      </c>
      <c r="AC756" s="713"/>
      <c r="AD756" s="713"/>
      <c r="AE756" s="713"/>
      <c r="AF756" s="719"/>
      <c r="AG756" s="713"/>
      <c r="AH756" s="713"/>
      <c r="AI756" s="713"/>
    </row>
    <row r="757" spans="7:35">
      <c r="G757" s="1724"/>
      <c r="H757" s="715">
        <v>1</v>
      </c>
      <c r="I757" s="716"/>
      <c r="J757" s="716"/>
      <c r="K757" s="716"/>
      <c r="L757" s="720"/>
      <c r="M757" s="716"/>
      <c r="N757" s="716"/>
      <c r="O757" s="717"/>
      <c r="Q757" s="1724"/>
      <c r="R757" s="715">
        <v>1</v>
      </c>
      <c r="S757" s="716"/>
      <c r="T757" s="716"/>
      <c r="U757" s="716"/>
      <c r="V757" s="720"/>
      <c r="W757" s="716"/>
      <c r="X757" s="716"/>
      <c r="Y757" s="717"/>
      <c r="AA757" s="1724"/>
      <c r="AB757" s="715">
        <v>1</v>
      </c>
      <c r="AC757" s="716"/>
      <c r="AD757" s="716"/>
      <c r="AE757" s="716"/>
      <c r="AF757" s="720"/>
      <c r="AG757" s="716"/>
      <c r="AH757" s="716"/>
      <c r="AI757" s="717"/>
    </row>
    <row r="758" spans="7:35">
      <c r="G758" s="1724"/>
      <c r="H758" s="725">
        <f>H757+0.05</f>
        <v>1.05</v>
      </c>
      <c r="I758" s="713"/>
      <c r="J758" s="713"/>
      <c r="K758" s="713"/>
      <c r="L758" s="719"/>
      <c r="M758" s="713"/>
      <c r="N758" s="713"/>
      <c r="O758" s="713"/>
      <c r="Q758" s="1724"/>
      <c r="R758" s="725">
        <v>1.05</v>
      </c>
      <c r="S758" s="713"/>
      <c r="T758" s="713"/>
      <c r="U758" s="713"/>
      <c r="V758" s="719"/>
      <c r="W758" s="713"/>
      <c r="X758" s="713"/>
      <c r="Y758" s="713"/>
      <c r="AA758" s="1724"/>
      <c r="AB758" s="725">
        <v>1.05</v>
      </c>
      <c r="AC758" s="713"/>
      <c r="AD758" s="713"/>
      <c r="AE758" s="713"/>
      <c r="AF758" s="719"/>
      <c r="AG758" s="713"/>
      <c r="AH758" s="713"/>
      <c r="AI758" s="713"/>
    </row>
    <row r="759" spans="7:35">
      <c r="G759" s="1724"/>
      <c r="H759" s="725">
        <f>H758+0.05</f>
        <v>1.1000000000000001</v>
      </c>
      <c r="I759" s="713"/>
      <c r="J759" s="713"/>
      <c r="K759" s="713"/>
      <c r="L759" s="719"/>
      <c r="M759" s="713"/>
      <c r="N759" s="713"/>
      <c r="O759" s="713"/>
      <c r="Q759" s="1724"/>
      <c r="R759" s="725">
        <v>1.1000000000000001</v>
      </c>
      <c r="S759" s="713"/>
      <c r="T759" s="713"/>
      <c r="U759" s="713"/>
      <c r="V759" s="719"/>
      <c r="W759" s="713"/>
      <c r="X759" s="713"/>
      <c r="Y759" s="713"/>
      <c r="AA759" s="1724"/>
      <c r="AB759" s="725">
        <v>1.1000000000000001</v>
      </c>
      <c r="AC759" s="713"/>
      <c r="AD759" s="713"/>
      <c r="AE759" s="713"/>
      <c r="AF759" s="719"/>
      <c r="AG759" s="713"/>
      <c r="AH759" s="713"/>
      <c r="AI759" s="713"/>
    </row>
    <row r="760" spans="7:35">
      <c r="G760" s="1724"/>
      <c r="H760" s="725">
        <f>H759+0.05</f>
        <v>1.1500000000000001</v>
      </c>
      <c r="I760" s="713"/>
      <c r="J760" s="713"/>
      <c r="K760" s="713"/>
      <c r="L760" s="721"/>
      <c r="M760" s="713"/>
      <c r="N760" s="713"/>
      <c r="O760" s="713"/>
      <c r="Q760" s="1724"/>
      <c r="R760" s="725">
        <v>1.1500000000000001</v>
      </c>
      <c r="S760" s="713"/>
      <c r="T760" s="713"/>
      <c r="U760" s="713"/>
      <c r="V760" s="721"/>
      <c r="W760" s="713"/>
      <c r="X760" s="713"/>
      <c r="Y760" s="713"/>
      <c r="AA760" s="1724"/>
      <c r="AB760" s="725">
        <v>1.1500000000000001</v>
      </c>
      <c r="AC760" s="713"/>
      <c r="AD760" s="713"/>
      <c r="AE760" s="713"/>
      <c r="AF760" s="721"/>
      <c r="AG760" s="713"/>
      <c r="AH760" s="713"/>
      <c r="AI760" s="713"/>
    </row>
    <row r="761" spans="7:35">
      <c r="G761" s="989"/>
      <c r="H761" s="1094"/>
      <c r="I761" s="713"/>
      <c r="J761" s="713"/>
      <c r="K761" s="713"/>
      <c r="L761" s="1095"/>
      <c r="M761" s="713"/>
      <c r="N761" s="713"/>
      <c r="O761" s="713"/>
      <c r="Q761" s="989"/>
      <c r="R761" s="1094"/>
      <c r="S761" s="713"/>
      <c r="T761" s="713"/>
      <c r="U761" s="713"/>
      <c r="V761" s="1095"/>
      <c r="W761" s="713"/>
      <c r="X761" s="713"/>
      <c r="Y761" s="713"/>
      <c r="AA761" s="989"/>
      <c r="AB761" s="1094"/>
      <c r="AC761" s="713"/>
      <c r="AD761" s="713"/>
      <c r="AE761" s="713"/>
      <c r="AF761" s="1095"/>
      <c r="AG761" s="713"/>
      <c r="AH761" s="713"/>
      <c r="AI761" s="713"/>
    </row>
    <row r="762" spans="7:35">
      <c r="Q762" s="704" t="s">
        <v>986</v>
      </c>
      <c r="R762" s="705"/>
      <c r="S762" s="706" t="s">
        <v>574</v>
      </c>
      <c r="T762" s="707"/>
      <c r="U762" s="707"/>
      <c r="V762" s="707"/>
      <c r="W762" s="707"/>
      <c r="X762" s="707"/>
      <c r="Y762" s="707"/>
      <c r="AA762" s="704" t="s">
        <v>992</v>
      </c>
      <c r="AB762" s="705"/>
      <c r="AC762" s="706" t="s">
        <v>574</v>
      </c>
      <c r="AD762" s="707"/>
      <c r="AE762" s="707"/>
      <c r="AF762" s="707"/>
      <c r="AG762" s="707"/>
      <c r="AH762" s="707"/>
      <c r="AI762" s="707"/>
    </row>
    <row r="763" spans="7:35">
      <c r="Q763" s="22" t="s">
        <v>1409</v>
      </c>
      <c r="R763" s="710" t="str">
        <f>TEXT(ES!$O$28,"0.0%")&amp;" / "&amp;TEXT(FO!$F$36,"0.0%")&amp;" / "&amp;TEXT(ES!$O$27,"0.00x")</f>
        <v>00% / 07% / 001x</v>
      </c>
      <c r="S763" s="1121">
        <v>-0.15000000000000002</v>
      </c>
      <c r="T763" s="1121">
        <v>-0.1</v>
      </c>
      <c r="U763" s="1121">
        <v>-0.05</v>
      </c>
      <c r="V763" s="1122">
        <v>0</v>
      </c>
      <c r="W763" s="1121">
        <v>0.05</v>
      </c>
      <c r="X763" s="1121">
        <v>0.1</v>
      </c>
      <c r="Y763" s="1121">
        <v>0.15000000000000002</v>
      </c>
      <c r="AA763" s="22" t="s">
        <v>1409</v>
      </c>
      <c r="AB763" s="710" t="str">
        <f>TEXT(ES!$O$28,"0.0%")&amp;" / "&amp;TEXT(FO!$F$36,"0.0%")&amp;" / "&amp;TEXT(ES!$O$27,"0.00x")</f>
        <v>00% / 07% / 001x</v>
      </c>
      <c r="AC763" s="1096">
        <f t="shared" ref="AC763:AD763" si="92">S763</f>
        <v>-0.15000000000000002</v>
      </c>
      <c r="AD763" s="1096">
        <f t="shared" si="92"/>
        <v>-0.1</v>
      </c>
      <c r="AE763" s="1096">
        <f>U763</f>
        <v>-0.05</v>
      </c>
      <c r="AF763" s="1097">
        <f>V763</f>
        <v>0</v>
      </c>
      <c r="AG763" s="1101">
        <f t="shared" ref="AG763:AH763" si="93">W763</f>
        <v>0.05</v>
      </c>
      <c r="AH763" s="1101">
        <f t="shared" si="93"/>
        <v>0.1</v>
      </c>
      <c r="AI763" s="1101">
        <f>Y763</f>
        <v>0.15000000000000002</v>
      </c>
    </row>
    <row r="764" spans="7:35" ht="15" customHeight="1">
      <c r="Q764" s="1723" t="s">
        <v>1154</v>
      </c>
      <c r="R764" s="1098">
        <v>-3.0000000000000001E-3</v>
      </c>
      <c r="S764" s="713"/>
      <c r="T764" s="713"/>
      <c r="U764" s="713"/>
      <c r="V764" s="719"/>
      <c r="W764" s="713"/>
      <c r="X764" s="713"/>
      <c r="Y764" s="713"/>
      <c r="AA764" s="1723" t="s">
        <v>1154</v>
      </c>
      <c r="AB764" s="1098">
        <f>R764</f>
        <v>-3.0000000000000001E-3</v>
      </c>
      <c r="AC764" s="713"/>
      <c r="AD764" s="713"/>
      <c r="AE764" s="713"/>
      <c r="AF764" s="719"/>
      <c r="AG764" s="713"/>
      <c r="AH764" s="713"/>
      <c r="AI764" s="713"/>
    </row>
    <row r="765" spans="7:35">
      <c r="Q765" s="1724"/>
      <c r="R765" s="1098">
        <v>-2E-3</v>
      </c>
      <c r="S765" s="713"/>
      <c r="T765" s="713"/>
      <c r="U765" s="713"/>
      <c r="V765" s="719"/>
      <c r="W765" s="713"/>
      <c r="X765" s="713"/>
      <c r="Y765" s="713"/>
      <c r="AA765" s="1724"/>
      <c r="AB765" s="1098">
        <f t="shared" ref="AB765:AB766" si="94">R765</f>
        <v>-2E-3</v>
      </c>
      <c r="AC765" s="713"/>
      <c r="AD765" s="713"/>
      <c r="AE765" s="713"/>
      <c r="AF765" s="719"/>
      <c r="AG765" s="713"/>
      <c r="AH765" s="713"/>
      <c r="AI765" s="713"/>
    </row>
    <row r="766" spans="7:35">
      <c r="Q766" s="1724"/>
      <c r="R766" s="1098">
        <v>-1E-3</v>
      </c>
      <c r="S766" s="713"/>
      <c r="T766" s="713"/>
      <c r="U766" s="713"/>
      <c r="V766" s="719"/>
      <c r="W766" s="713"/>
      <c r="X766" s="713"/>
      <c r="Y766" s="713"/>
      <c r="AA766" s="1724"/>
      <c r="AB766" s="1098">
        <f t="shared" si="94"/>
        <v>-1E-3</v>
      </c>
      <c r="AC766" s="713"/>
      <c r="AD766" s="713"/>
      <c r="AE766" s="713"/>
      <c r="AF766" s="719"/>
      <c r="AG766" s="713"/>
      <c r="AH766" s="713"/>
      <c r="AI766" s="713"/>
    </row>
    <row r="767" spans="7:35">
      <c r="Q767" s="1724"/>
      <c r="R767" s="1099">
        <v>0</v>
      </c>
      <c r="S767" s="716"/>
      <c r="T767" s="716"/>
      <c r="U767" s="716"/>
      <c r="V767" s="720"/>
      <c r="W767" s="716"/>
      <c r="X767" s="716"/>
      <c r="Y767" s="717"/>
      <c r="AA767" s="1724"/>
      <c r="AB767" s="1099">
        <f>R767</f>
        <v>0</v>
      </c>
      <c r="AC767" s="716"/>
      <c r="AD767" s="716"/>
      <c r="AE767" s="716"/>
      <c r="AF767" s="720"/>
      <c r="AG767" s="716"/>
      <c r="AH767" s="716"/>
      <c r="AI767" s="717"/>
    </row>
    <row r="768" spans="7:35">
      <c r="Q768" s="1724"/>
      <c r="R768" s="1098">
        <v>1E-3</v>
      </c>
      <c r="S768" s="713"/>
      <c r="T768" s="713"/>
      <c r="U768" s="713"/>
      <c r="V768" s="719"/>
      <c r="W768" s="713"/>
      <c r="X768" s="713"/>
      <c r="Y768" s="713"/>
      <c r="AA768" s="1724"/>
      <c r="AB768" s="1100">
        <f>R768</f>
        <v>1E-3</v>
      </c>
      <c r="AC768" s="713"/>
      <c r="AD768" s="713"/>
      <c r="AE768" s="713"/>
      <c r="AF768" s="719"/>
      <c r="AG768" s="713"/>
      <c r="AH768" s="713"/>
      <c r="AI768" s="713"/>
    </row>
    <row r="769" spans="7:35">
      <c r="Q769" s="1724"/>
      <c r="R769" s="1098">
        <v>2E-3</v>
      </c>
      <c r="S769" s="713"/>
      <c r="T769" s="713"/>
      <c r="U769" s="713"/>
      <c r="V769" s="719"/>
      <c r="W769" s="713"/>
      <c r="X769" s="713"/>
      <c r="Y769" s="713"/>
      <c r="AA769" s="1724"/>
      <c r="AB769" s="1100">
        <f t="shared" ref="AB769:AB770" si="95">R769</f>
        <v>2E-3</v>
      </c>
      <c r="AC769" s="713"/>
      <c r="AD769" s="713"/>
      <c r="AE769" s="713"/>
      <c r="AF769" s="719"/>
      <c r="AG769" s="713"/>
      <c r="AH769" s="713"/>
      <c r="AI769" s="713"/>
    </row>
    <row r="770" spans="7:35">
      <c r="Q770" s="1724"/>
      <c r="R770" s="1098">
        <v>3.0000000000000001E-3</v>
      </c>
      <c r="S770" s="713"/>
      <c r="T770" s="713"/>
      <c r="U770" s="713"/>
      <c r="V770" s="721"/>
      <c r="W770" s="713"/>
      <c r="X770" s="713"/>
      <c r="Y770" s="713"/>
      <c r="AA770" s="1724"/>
      <c r="AB770" s="1100">
        <f t="shared" si="95"/>
        <v>3.0000000000000001E-3</v>
      </c>
      <c r="AC770" s="713"/>
      <c r="AD770" s="713"/>
      <c r="AE770" s="713"/>
      <c r="AF770" s="721"/>
      <c r="AG770" s="713"/>
      <c r="AH770" s="713"/>
      <c r="AI770" s="713"/>
    </row>
    <row r="771" spans="7:35">
      <c r="G771" s="989"/>
      <c r="H771" s="1094"/>
      <c r="I771" s="713"/>
      <c r="J771" s="713"/>
      <c r="K771" s="713"/>
      <c r="L771" s="1095"/>
      <c r="M771" s="713"/>
      <c r="N771" s="713"/>
      <c r="O771" s="713"/>
      <c r="Q771" s="989"/>
      <c r="R771" s="1094"/>
      <c r="S771" s="713"/>
      <c r="T771" s="713"/>
      <c r="U771" s="713"/>
      <c r="V771" s="1095"/>
      <c r="W771" s="713"/>
      <c r="X771" s="713"/>
      <c r="Y771" s="713"/>
      <c r="AA771" s="989"/>
      <c r="AB771" s="1094"/>
      <c r="AC771" s="713"/>
      <c r="AD771" s="713"/>
      <c r="AE771" s="713"/>
      <c r="AF771" s="1095"/>
      <c r="AG771" s="713"/>
      <c r="AH771" s="713"/>
      <c r="AI771" s="713"/>
    </row>
    <row r="772" spans="7:35">
      <c r="G772" s="704" t="s">
        <v>985</v>
      </c>
      <c r="H772" s="705"/>
      <c r="I772" s="706" t="s">
        <v>56</v>
      </c>
      <c r="J772" s="707"/>
      <c r="K772" s="707"/>
      <c r="L772" s="707"/>
      <c r="M772" s="707"/>
      <c r="N772" s="707"/>
      <c r="O772" s="707"/>
      <c r="Q772" s="704" t="s">
        <v>986</v>
      </c>
      <c r="R772" s="705"/>
      <c r="S772" s="706" t="str">
        <f t="shared" ref="S772:S774" si="96">I772</f>
        <v>Purchase Price</v>
      </c>
      <c r="T772" s="707"/>
      <c r="U772" s="707"/>
      <c r="V772" s="707"/>
      <c r="W772" s="707"/>
      <c r="X772" s="707"/>
      <c r="Y772" s="707"/>
      <c r="AA772" s="704" t="str">
        <f t="shared" ref="AA772:AA781" si="97">Q772</f>
        <v>Levered</v>
      </c>
      <c r="AB772" s="705"/>
      <c r="AC772" s="706" t="str">
        <f t="shared" ref="AC772:AC774" si="98">S772</f>
        <v>Purchase Price</v>
      </c>
      <c r="AD772" s="707"/>
      <c r="AE772" s="707"/>
      <c r="AF772" s="707"/>
      <c r="AG772" s="707"/>
      <c r="AH772" s="707"/>
      <c r="AI772" s="707"/>
    </row>
    <row r="773" spans="7:35">
      <c r="G773" s="704"/>
      <c r="H773" s="705" t="s">
        <v>989</v>
      </c>
      <c r="I773" s="708">
        <f>+I774/ES!$E$12</f>
        <v>6.666666666666667</v>
      </c>
      <c r="J773" s="708">
        <f>+J774/ES!$E$12</f>
        <v>10</v>
      </c>
      <c r="K773" s="708">
        <f>+K774/ES!$E$12</f>
        <v>13.333333333333334</v>
      </c>
      <c r="L773" s="708">
        <f>+L774/ES!$E$12</f>
        <v>16.666666666666668</v>
      </c>
      <c r="M773" s="708">
        <f>+M774/ES!$E$12</f>
        <v>20</v>
      </c>
      <c r="N773" s="708">
        <f>+N774/ES!$E$12</f>
        <v>23.333333333333332</v>
      </c>
      <c r="O773" s="708">
        <f>+O774/ES!$E$12</f>
        <v>26.666666666666668</v>
      </c>
      <c r="Q773" s="704"/>
      <c r="R773" s="705" t="str">
        <f t="shared" ref="R773:R781" si="99">H773</f>
        <v>Going In Multiple</v>
      </c>
      <c r="S773" s="708">
        <f t="shared" si="96"/>
        <v>6.666666666666667</v>
      </c>
      <c r="T773" s="708">
        <f t="shared" ref="T773:T774" si="100">J773</f>
        <v>10</v>
      </c>
      <c r="U773" s="708">
        <f t="shared" ref="U773:U774" si="101">K773</f>
        <v>13.333333333333334</v>
      </c>
      <c r="V773" s="708">
        <f t="shared" ref="V773:V774" si="102">L773</f>
        <v>16.666666666666668</v>
      </c>
      <c r="W773" s="708">
        <f t="shared" ref="W773:W774" si="103">M773</f>
        <v>20</v>
      </c>
      <c r="X773" s="708">
        <f t="shared" ref="X773:X774" si="104">N773</f>
        <v>23.333333333333332</v>
      </c>
      <c r="Y773" s="708">
        <f t="shared" ref="Y773:Y774" si="105">O773</f>
        <v>26.666666666666668</v>
      </c>
      <c r="AA773" s="704"/>
      <c r="AB773" s="705" t="str">
        <f t="shared" ref="AB773:AB781" si="106">R773</f>
        <v>Going In Multiple</v>
      </c>
      <c r="AC773" s="708">
        <f t="shared" si="98"/>
        <v>6.666666666666667</v>
      </c>
      <c r="AD773" s="708">
        <f t="shared" ref="AD773:AD774" si="107">T773</f>
        <v>10</v>
      </c>
      <c r="AE773" s="708">
        <f t="shared" ref="AE773:AE774" si="108">U773</f>
        <v>13.333333333333334</v>
      </c>
      <c r="AF773" s="708">
        <f t="shared" ref="AF773:AF774" si="109">V773</f>
        <v>16.666666666666668</v>
      </c>
      <c r="AG773" s="708">
        <f t="shared" ref="AG773:AG774" si="110">W773</f>
        <v>20</v>
      </c>
      <c r="AH773" s="708">
        <f t="shared" ref="AH773:AH774" si="111">X773</f>
        <v>23.333333333333332</v>
      </c>
      <c r="AI773" s="708">
        <f t="shared" ref="AI773:AI774" si="112">Y773</f>
        <v>26.666666666666668</v>
      </c>
    </row>
    <row r="774" spans="7:35">
      <c r="G774" s="22" t="s">
        <v>1178</v>
      </c>
      <c r="H774" s="710" t="str">
        <f>TEXT(DCF!$P$324,"0.0%")&amp;" / "&amp;TEXT(DCF!$P$323,"0.00x")</f>
        <v>00% / 001x</v>
      </c>
      <c r="I774" s="714">
        <f t="shared" ref="I774" si="113">+J774-$E$727</f>
        <v>2000000</v>
      </c>
      <c r="J774" s="714">
        <f t="shared" ref="J774" si="114">+K774-$E$727</f>
        <v>3000000</v>
      </c>
      <c r="K774" s="714">
        <f>+L774-$E$727</f>
        <v>4000000</v>
      </c>
      <c r="L774" s="722">
        <f>L742</f>
        <v>5000000</v>
      </c>
      <c r="M774" s="714">
        <f>+L774+$E$727</f>
        <v>6000000</v>
      </c>
      <c r="N774" s="714">
        <f t="shared" ref="N774" si="115">+M774+$E$727</f>
        <v>7000000</v>
      </c>
      <c r="O774" s="714">
        <f t="shared" ref="O774" si="116">+N774+$E$727</f>
        <v>8000000</v>
      </c>
      <c r="Q774" s="22" t="s">
        <v>1178</v>
      </c>
      <c r="R774" s="710" t="str">
        <f>TEXT(ES!$O$28,"0.0%")&amp;" / "&amp;TEXT(FO!$F$36,"0.0%")&amp;" / "&amp;TEXT(ES!$O$27,"0.00x")</f>
        <v>00% / 07% / 001x</v>
      </c>
      <c r="S774" s="714">
        <f t="shared" si="96"/>
        <v>2000000</v>
      </c>
      <c r="T774" s="714">
        <f t="shared" si="100"/>
        <v>3000000</v>
      </c>
      <c r="U774" s="714">
        <f t="shared" si="101"/>
        <v>4000000</v>
      </c>
      <c r="V774" s="722">
        <f t="shared" si="102"/>
        <v>5000000</v>
      </c>
      <c r="W774" s="714">
        <f t="shared" si="103"/>
        <v>6000000</v>
      </c>
      <c r="X774" s="714">
        <f t="shared" si="104"/>
        <v>7000000</v>
      </c>
      <c r="Y774" s="714">
        <f t="shared" si="105"/>
        <v>8000000</v>
      </c>
      <c r="AA774" s="22" t="s">
        <v>1178</v>
      </c>
      <c r="AB774" s="710" t="str">
        <f>TEXT(ES!$O$28,"0.0%")&amp;" / "&amp;TEXT(FO!$F$36,"0.0%")&amp;" / "&amp;TEXT(ES!$O$27,"0.00x")</f>
        <v>00% / 07% / 001x</v>
      </c>
      <c r="AC774" s="714">
        <f t="shared" si="98"/>
        <v>2000000</v>
      </c>
      <c r="AD774" s="714">
        <f t="shared" si="107"/>
        <v>3000000</v>
      </c>
      <c r="AE774" s="714">
        <f t="shared" si="108"/>
        <v>4000000</v>
      </c>
      <c r="AF774" s="722">
        <f t="shared" si="109"/>
        <v>5000000</v>
      </c>
      <c r="AG774" s="714">
        <f t="shared" si="110"/>
        <v>6000000</v>
      </c>
      <c r="AH774" s="714">
        <f t="shared" si="111"/>
        <v>7000000</v>
      </c>
      <c r="AI774" s="714">
        <f t="shared" si="112"/>
        <v>8000000</v>
      </c>
    </row>
    <row r="775" spans="7:35">
      <c r="G775" s="1723" t="s">
        <v>973</v>
      </c>
      <c r="H775" s="1119">
        <f t="shared" ref="H775:H776" si="117">H776-0.5</f>
        <v>-1.5</v>
      </c>
      <c r="I775" s="713"/>
      <c r="J775" s="713"/>
      <c r="K775" s="713"/>
      <c r="L775" s="719"/>
      <c r="M775" s="713"/>
      <c r="N775" s="713"/>
      <c r="O775" s="713"/>
      <c r="Q775" s="1723" t="str">
        <f t="shared" ref="Q775:Q781" si="118">G775</f>
        <v>Exit Multiple</v>
      </c>
      <c r="R775" s="1119">
        <f t="shared" si="99"/>
        <v>-1.5</v>
      </c>
      <c r="S775" s="713"/>
      <c r="T775" s="713"/>
      <c r="U775" s="713"/>
      <c r="V775" s="719"/>
      <c r="W775" s="713"/>
      <c r="X775" s="713"/>
      <c r="Y775" s="713"/>
      <c r="AA775" s="1723" t="str">
        <f t="shared" si="97"/>
        <v>Exit Multiple</v>
      </c>
      <c r="AB775" s="1119">
        <f t="shared" si="106"/>
        <v>-1.5</v>
      </c>
      <c r="AC775" s="713"/>
      <c r="AD775" s="713"/>
      <c r="AE775" s="713"/>
      <c r="AF775" s="719"/>
      <c r="AG775" s="713"/>
      <c r="AH775" s="713"/>
      <c r="AI775" s="713"/>
    </row>
    <row r="776" spans="7:35">
      <c r="G776" s="1724"/>
      <c r="H776" s="1119">
        <f t="shared" si="117"/>
        <v>-1</v>
      </c>
      <c r="I776" s="713"/>
      <c r="J776" s="713"/>
      <c r="K776" s="713"/>
      <c r="L776" s="719"/>
      <c r="M776" s="713"/>
      <c r="N776" s="713"/>
      <c r="O776" s="713"/>
      <c r="Q776" s="1724">
        <f t="shared" si="118"/>
        <v>0</v>
      </c>
      <c r="R776" s="1119">
        <f t="shared" si="99"/>
        <v>-1</v>
      </c>
      <c r="S776" s="713"/>
      <c r="T776" s="713"/>
      <c r="U776" s="713"/>
      <c r="V776" s="719"/>
      <c r="W776" s="713"/>
      <c r="X776" s="713"/>
      <c r="Y776" s="713"/>
      <c r="AA776" s="1724">
        <f t="shared" si="97"/>
        <v>0</v>
      </c>
      <c r="AB776" s="1119">
        <f t="shared" si="106"/>
        <v>-1</v>
      </c>
      <c r="AC776" s="713"/>
      <c r="AD776" s="713"/>
      <c r="AE776" s="713"/>
      <c r="AF776" s="719"/>
      <c r="AG776" s="713"/>
      <c r="AH776" s="713"/>
      <c r="AI776" s="713"/>
    </row>
    <row r="777" spans="7:35">
      <c r="G777" s="1724"/>
      <c r="H777" s="1119">
        <f>H778-0.5</f>
        <v>-0.5</v>
      </c>
      <c r="I777" s="713"/>
      <c r="J777" s="713"/>
      <c r="K777" s="713"/>
      <c r="L777" s="719"/>
      <c r="M777" s="713"/>
      <c r="N777" s="713"/>
      <c r="O777" s="713"/>
      <c r="Q777" s="1724">
        <f t="shared" si="118"/>
        <v>0</v>
      </c>
      <c r="R777" s="1119">
        <f t="shared" si="99"/>
        <v>-0.5</v>
      </c>
      <c r="S777" s="713"/>
      <c r="T777" s="713"/>
      <c r="U777" s="713"/>
      <c r="V777" s="719"/>
      <c r="W777" s="713"/>
      <c r="X777" s="713"/>
      <c r="Y777" s="713"/>
      <c r="AA777" s="1724">
        <f t="shared" si="97"/>
        <v>0</v>
      </c>
      <c r="AB777" s="1119">
        <f t="shared" si="106"/>
        <v>-0.5</v>
      </c>
      <c r="AC777" s="713"/>
      <c r="AD777" s="713"/>
      <c r="AE777" s="713"/>
      <c r="AF777" s="719"/>
      <c r="AG777" s="713"/>
      <c r="AH777" s="713"/>
      <c r="AI777" s="713"/>
    </row>
    <row r="778" spans="7:35">
      <c r="G778" s="1724"/>
      <c r="H778" s="1120">
        <v>0</v>
      </c>
      <c r="I778" s="716"/>
      <c r="J778" s="716"/>
      <c r="K778" s="716"/>
      <c r="L778" s="720"/>
      <c r="M778" s="716"/>
      <c r="N778" s="716"/>
      <c r="O778" s="717"/>
      <c r="Q778" s="1724">
        <f t="shared" si="118"/>
        <v>0</v>
      </c>
      <c r="R778" s="1120">
        <f t="shared" si="99"/>
        <v>0</v>
      </c>
      <c r="S778" s="716"/>
      <c r="T778" s="716"/>
      <c r="U778" s="716"/>
      <c r="V778" s="720"/>
      <c r="W778" s="716"/>
      <c r="X778" s="716"/>
      <c r="Y778" s="717"/>
      <c r="AA778" s="1724">
        <f t="shared" si="97"/>
        <v>0</v>
      </c>
      <c r="AB778" s="1120">
        <f t="shared" si="106"/>
        <v>0</v>
      </c>
      <c r="AC778" s="716"/>
      <c r="AD778" s="716"/>
      <c r="AE778" s="716"/>
      <c r="AF778" s="720"/>
      <c r="AG778" s="716"/>
      <c r="AH778" s="716"/>
      <c r="AI778" s="717"/>
    </row>
    <row r="779" spans="7:35">
      <c r="G779" s="1724"/>
      <c r="H779" s="1119">
        <f>H778+0.5</f>
        <v>0.5</v>
      </c>
      <c r="I779" s="713"/>
      <c r="J779" s="713"/>
      <c r="K779" s="713"/>
      <c r="L779" s="719"/>
      <c r="M779" s="713"/>
      <c r="N779" s="713"/>
      <c r="O779" s="713"/>
      <c r="Q779" s="1724">
        <f t="shared" si="118"/>
        <v>0</v>
      </c>
      <c r="R779" s="1119">
        <f t="shared" si="99"/>
        <v>0.5</v>
      </c>
      <c r="S779" s="713"/>
      <c r="T779" s="713"/>
      <c r="U779" s="713"/>
      <c r="V779" s="719"/>
      <c r="W779" s="713"/>
      <c r="X779" s="713"/>
      <c r="Y779" s="713"/>
      <c r="AA779" s="1724">
        <f t="shared" si="97"/>
        <v>0</v>
      </c>
      <c r="AB779" s="1119">
        <f t="shared" si="106"/>
        <v>0.5</v>
      </c>
      <c r="AC779" s="713"/>
      <c r="AD779" s="713"/>
      <c r="AE779" s="713"/>
      <c r="AF779" s="719"/>
      <c r="AG779" s="713"/>
      <c r="AH779" s="713"/>
      <c r="AI779" s="713"/>
    </row>
    <row r="780" spans="7:35">
      <c r="G780" s="1724"/>
      <c r="H780" s="1119">
        <f t="shared" ref="H780:H781" si="119">H779+0.5</f>
        <v>1</v>
      </c>
      <c r="I780" s="713"/>
      <c r="J780" s="713"/>
      <c r="K780" s="713"/>
      <c r="L780" s="719"/>
      <c r="M780" s="713"/>
      <c r="N780" s="713"/>
      <c r="O780" s="713"/>
      <c r="Q780" s="1724">
        <f t="shared" si="118"/>
        <v>0</v>
      </c>
      <c r="R780" s="1119">
        <f t="shared" si="99"/>
        <v>1</v>
      </c>
      <c r="S780" s="713"/>
      <c r="T780" s="713"/>
      <c r="U780" s="713"/>
      <c r="V780" s="719"/>
      <c r="W780" s="713"/>
      <c r="X780" s="713"/>
      <c r="Y780" s="713"/>
      <c r="AA780" s="1724">
        <f t="shared" si="97"/>
        <v>0</v>
      </c>
      <c r="AB780" s="1119">
        <f t="shared" si="106"/>
        <v>1</v>
      </c>
      <c r="AC780" s="713"/>
      <c r="AD780" s="713"/>
      <c r="AE780" s="713"/>
      <c r="AF780" s="719"/>
      <c r="AG780" s="713"/>
      <c r="AH780" s="713"/>
      <c r="AI780" s="713"/>
    </row>
    <row r="781" spans="7:35">
      <c r="G781" s="1724"/>
      <c r="H781" s="1119">
        <f t="shared" si="119"/>
        <v>1.5</v>
      </c>
      <c r="I781" s="713"/>
      <c r="J781" s="713"/>
      <c r="K781" s="713"/>
      <c r="L781" s="721"/>
      <c r="M781" s="713"/>
      <c r="N781" s="713"/>
      <c r="O781" s="713"/>
      <c r="Q781" s="1724">
        <f t="shared" si="118"/>
        <v>0</v>
      </c>
      <c r="R781" s="1119">
        <f t="shared" si="99"/>
        <v>1.5</v>
      </c>
      <c r="S781" s="713"/>
      <c r="T781" s="713"/>
      <c r="U781" s="713"/>
      <c r="V781" s="721"/>
      <c r="W781" s="713"/>
      <c r="X781" s="713"/>
      <c r="Y781" s="713"/>
      <c r="AA781" s="1724">
        <f t="shared" si="97"/>
        <v>0</v>
      </c>
      <c r="AB781" s="1119">
        <f t="shared" si="106"/>
        <v>1.5</v>
      </c>
      <c r="AC781" s="713"/>
      <c r="AD781" s="713"/>
      <c r="AE781" s="713"/>
      <c r="AF781" s="721"/>
      <c r="AG781" s="713"/>
      <c r="AH781" s="713"/>
      <c r="AI781" s="713"/>
    </row>
    <row r="782" spans="7:35">
      <c r="G782" s="989"/>
      <c r="H782" s="1094"/>
      <c r="I782" s="713"/>
      <c r="J782" s="713"/>
      <c r="K782" s="713"/>
      <c r="L782" s="1095"/>
      <c r="M782" s="713"/>
      <c r="N782" s="713"/>
      <c r="O782" s="713"/>
      <c r="Q782" s="989"/>
      <c r="R782" s="1094"/>
      <c r="S782" s="713"/>
      <c r="T782" s="713"/>
      <c r="U782" s="713"/>
      <c r="V782" s="1095"/>
      <c r="W782" s="713"/>
      <c r="X782" s="713"/>
      <c r="Y782" s="713"/>
      <c r="AA782" s="989"/>
      <c r="AB782" s="1094"/>
      <c r="AC782" s="713"/>
      <c r="AD782" s="713"/>
      <c r="AE782" s="713"/>
      <c r="AF782" s="1095"/>
      <c r="AG782" s="713"/>
      <c r="AH782" s="713"/>
      <c r="AI782" s="713"/>
    </row>
    <row r="783" spans="7:35">
      <c r="G783" s="22" t="s">
        <v>1300</v>
      </c>
      <c r="H783" s="22"/>
      <c r="Q783" s="22" t="s">
        <v>990</v>
      </c>
      <c r="AA783" s="22" t="s">
        <v>990</v>
      </c>
    </row>
    <row r="784" spans="7:35">
      <c r="G784" s="704" t="s">
        <v>985</v>
      </c>
      <c r="H784" s="705"/>
      <c r="I784" s="706" t="s">
        <v>988</v>
      </c>
      <c r="J784" s="707"/>
      <c r="K784" s="707"/>
      <c r="L784" s="707"/>
      <c r="M784" s="707"/>
      <c r="N784" s="707"/>
      <c r="O784" s="707"/>
      <c r="Q784" s="704" t="s">
        <v>986</v>
      </c>
      <c r="R784" s="705"/>
      <c r="S784" s="706" t="s">
        <v>988</v>
      </c>
      <c r="T784" s="707"/>
      <c r="U784" s="707"/>
      <c r="V784" s="707"/>
      <c r="W784" s="707"/>
      <c r="X784" s="707"/>
      <c r="Y784" s="707"/>
      <c r="AA784" s="704" t="s">
        <v>986</v>
      </c>
      <c r="AB784" s="705"/>
      <c r="AC784" s="706" t="s">
        <v>988</v>
      </c>
      <c r="AD784" s="707"/>
      <c r="AE784" s="707"/>
      <c r="AF784" s="707"/>
      <c r="AG784" s="707"/>
      <c r="AH784" s="707"/>
      <c r="AI784" s="707"/>
    </row>
    <row r="785" spans="2:35">
      <c r="G785" s="704"/>
      <c r="H785" s="705" t="s">
        <v>989</v>
      </c>
      <c r="I785" s="708">
        <f>+I786/ES!$E$12</f>
        <v>6.666666666666667</v>
      </c>
      <c r="J785" s="708">
        <f>+J786/ES!$E$12</f>
        <v>10</v>
      </c>
      <c r="K785" s="708">
        <f>+K786/ES!$E$12</f>
        <v>13.333333333333334</v>
      </c>
      <c r="L785" s="708">
        <f>+L786/ES!$E$12</f>
        <v>16.666666666666668</v>
      </c>
      <c r="M785" s="708">
        <f>+M786/ES!$E$12</f>
        <v>20</v>
      </c>
      <c r="N785" s="708">
        <f>+N786/ES!$E$12</f>
        <v>23.333333333333332</v>
      </c>
      <c r="O785" s="708">
        <f>+O786/ES!$E$12</f>
        <v>26.666666666666668</v>
      </c>
      <c r="Q785" s="704"/>
      <c r="R785" s="705"/>
      <c r="S785" s="708">
        <f>+S786/ES!$E$12</f>
        <v>6.666666666666667</v>
      </c>
      <c r="T785" s="708">
        <f>+T786/ES!$E$12</f>
        <v>10</v>
      </c>
      <c r="U785" s="708">
        <f>+U786/ES!$E$12</f>
        <v>13.333333333333334</v>
      </c>
      <c r="V785" s="708">
        <f>+V786/ES!$E$12</f>
        <v>16.666666666666668</v>
      </c>
      <c r="W785" s="708">
        <f>+W786/ES!$E$12</f>
        <v>20</v>
      </c>
      <c r="X785" s="708">
        <f>+X786/ES!$E$12</f>
        <v>23.333333333333332</v>
      </c>
      <c r="Y785" s="708">
        <f>+Y786/ES!$E$12</f>
        <v>26.666666666666668</v>
      </c>
      <c r="AA785" s="704"/>
      <c r="AB785" s="705"/>
      <c r="AC785" s="708">
        <f>+AC786/ES!$E$12</f>
        <v>6.666666666666667</v>
      </c>
      <c r="AD785" s="708">
        <f>+AD786/ES!$E$12</f>
        <v>10</v>
      </c>
      <c r="AE785" s="708">
        <f>+AE786/ES!$E$12</f>
        <v>13.333333333333334</v>
      </c>
      <c r="AF785" s="708">
        <f>+AF786/ES!$E$12</f>
        <v>16.666666666666668</v>
      </c>
      <c r="AG785" s="708">
        <f>+AG786/ES!$E$12</f>
        <v>20</v>
      </c>
      <c r="AH785" s="708">
        <f>+AH786/ES!$E$12</f>
        <v>23.333333333333332</v>
      </c>
      <c r="AI785" s="708">
        <f>+AI786/ES!$E$12</f>
        <v>26.666666666666668</v>
      </c>
    </row>
    <row r="786" spans="2:35">
      <c r="G786" s="22" t="s">
        <v>1179</v>
      </c>
      <c r="H786" s="710" t="str">
        <f>TEXT(DCF!$P$324,"0.0%")&amp;" / "&amp;TEXT(DCF!$P$323,"0.00x")</f>
        <v>00% / 001x</v>
      </c>
      <c r="I786" s="714">
        <f t="shared" ref="I786" si="120">+J786-$E$727</f>
        <v>2000000</v>
      </c>
      <c r="J786" s="714">
        <f t="shared" ref="J786" si="121">+K786-$E$727</f>
        <v>3000000</v>
      </c>
      <c r="K786" s="714">
        <f>+L786-$E$727</f>
        <v>4000000</v>
      </c>
      <c r="L786" s="723">
        <f>L742</f>
        <v>5000000</v>
      </c>
      <c r="M786" s="714">
        <f>+L786+$E$727</f>
        <v>6000000</v>
      </c>
      <c r="N786" s="714">
        <f t="shared" ref="N786" si="122">+M786+$E$727</f>
        <v>7000000</v>
      </c>
      <c r="O786" s="714">
        <f t="shared" ref="O786" si="123">+N786+$E$727</f>
        <v>8000000</v>
      </c>
      <c r="Q786" s="22" t="s">
        <v>1179</v>
      </c>
      <c r="R786" s="710" t="str">
        <f>TEXT(ES!$O$28,"0.0%")&amp;" / "&amp;TEXT(ES!$O$27,"0.00x")</f>
        <v>00% / 001x</v>
      </c>
      <c r="S786" s="714">
        <f t="shared" ref="S786:T786" si="124">+T786-$E$727</f>
        <v>2000000</v>
      </c>
      <c r="T786" s="714">
        <f t="shared" si="124"/>
        <v>3000000</v>
      </c>
      <c r="U786" s="714">
        <f>+V786-$E$727</f>
        <v>4000000</v>
      </c>
      <c r="V786" s="723">
        <f>V742</f>
        <v>5000000</v>
      </c>
      <c r="W786" s="714">
        <f>+V786+$E$727</f>
        <v>6000000</v>
      </c>
      <c r="X786" s="714">
        <f t="shared" ref="X786:Y786" si="125">+W786+$E$727</f>
        <v>7000000</v>
      </c>
      <c r="Y786" s="714">
        <f t="shared" si="125"/>
        <v>8000000</v>
      </c>
      <c r="AA786" s="22" t="s">
        <v>1179</v>
      </c>
      <c r="AB786" s="710" t="str">
        <f>TEXT(DCF!$Y$324,"0.0%")&amp;" / "&amp;TEXT(DCF!$Y$323,"0.00x")</f>
        <v>00% / 001x</v>
      </c>
      <c r="AC786" s="714">
        <f t="shared" ref="AC786:AD786" si="126">+AD786-$E$727</f>
        <v>2000000</v>
      </c>
      <c r="AD786" s="714">
        <f t="shared" si="126"/>
        <v>3000000</v>
      </c>
      <c r="AE786" s="714">
        <f>+AF786-$E$727</f>
        <v>4000000</v>
      </c>
      <c r="AF786" s="723">
        <f>AF742</f>
        <v>5000000</v>
      </c>
      <c r="AG786" s="714">
        <f>+AF786+$E$727</f>
        <v>6000000</v>
      </c>
      <c r="AH786" s="714">
        <f t="shared" ref="AH786:AI786" si="127">+AG786+$E$727</f>
        <v>7000000</v>
      </c>
      <c r="AI786" s="714">
        <f t="shared" si="127"/>
        <v>8000000</v>
      </c>
    </row>
    <row r="787" spans="2:35">
      <c r="G787" s="1723" t="s">
        <v>151</v>
      </c>
      <c r="H787" s="726">
        <f>H788+1</f>
        <v>3</v>
      </c>
      <c r="I787" s="713"/>
      <c r="J787" s="713"/>
      <c r="K787" s="713"/>
      <c r="L787" s="719"/>
      <c r="M787" s="713"/>
      <c r="N787" s="713"/>
      <c r="O787" s="713"/>
      <c r="Q787" s="1723" t="s">
        <v>151</v>
      </c>
      <c r="R787" s="726">
        <f t="shared" ref="R787:R793" si="128">H787</f>
        <v>3</v>
      </c>
      <c r="S787" s="713"/>
      <c r="T787" s="713"/>
      <c r="U787" s="713"/>
      <c r="V787" s="719"/>
      <c r="W787" s="713"/>
      <c r="X787" s="713"/>
      <c r="Y787" s="713"/>
      <c r="AA787" s="1723" t="s">
        <v>151</v>
      </c>
      <c r="AB787" s="726">
        <f t="shared" ref="AB787:AB793" si="129">R787</f>
        <v>3</v>
      </c>
      <c r="AC787" s="713"/>
      <c r="AD787" s="713"/>
      <c r="AE787" s="713"/>
      <c r="AF787" s="719"/>
      <c r="AG787" s="713"/>
      <c r="AH787" s="713"/>
      <c r="AI787" s="713"/>
    </row>
    <row r="788" spans="2:35">
      <c r="G788" s="1724"/>
      <c r="H788" s="726">
        <f>H789+1</f>
        <v>2</v>
      </c>
      <c r="I788" s="713"/>
      <c r="J788" s="713"/>
      <c r="K788" s="713"/>
      <c r="L788" s="719"/>
      <c r="M788" s="713"/>
      <c r="N788" s="713"/>
      <c r="O788" s="713"/>
      <c r="Q788" s="1724"/>
      <c r="R788" s="726">
        <f t="shared" si="128"/>
        <v>2</v>
      </c>
      <c r="S788" s="713"/>
      <c r="T788" s="713"/>
      <c r="U788" s="713"/>
      <c r="V788" s="719"/>
      <c r="W788" s="713"/>
      <c r="X788" s="713"/>
      <c r="Y788" s="713"/>
      <c r="AA788" s="1724"/>
      <c r="AB788" s="726">
        <f t="shared" si="129"/>
        <v>2</v>
      </c>
      <c r="AC788" s="713"/>
      <c r="AD788" s="713"/>
      <c r="AE788" s="713"/>
      <c r="AF788" s="719"/>
      <c r="AG788" s="713"/>
      <c r="AH788" s="713"/>
      <c r="AI788" s="713"/>
    </row>
    <row r="789" spans="2:35">
      <c r="G789" s="1724"/>
      <c r="H789" s="726">
        <f>H790+1</f>
        <v>1</v>
      </c>
      <c r="I789" s="713"/>
      <c r="J789" s="713"/>
      <c r="K789" s="713"/>
      <c r="L789" s="719"/>
      <c r="M789" s="713"/>
      <c r="N789" s="713"/>
      <c r="O789" s="713"/>
      <c r="Q789" s="1724"/>
      <c r="R789" s="726">
        <f t="shared" si="128"/>
        <v>1</v>
      </c>
      <c r="S789" s="713"/>
      <c r="T789" s="713"/>
      <c r="U789" s="713"/>
      <c r="V789" s="719"/>
      <c r="W789" s="713"/>
      <c r="X789" s="713"/>
      <c r="Y789" s="713"/>
      <c r="AA789" s="1724"/>
      <c r="AB789" s="726">
        <f t="shared" si="129"/>
        <v>1</v>
      </c>
      <c r="AC789" s="713"/>
      <c r="AD789" s="713"/>
      <c r="AE789" s="713"/>
      <c r="AF789" s="719"/>
      <c r="AG789" s="713"/>
      <c r="AH789" s="713"/>
      <c r="AI789" s="713"/>
    </row>
    <row r="790" spans="2:35">
      <c r="G790" s="1724"/>
      <c r="H790" s="724">
        <v>0</v>
      </c>
      <c r="I790" s="716"/>
      <c r="J790" s="716"/>
      <c r="K790" s="716"/>
      <c r="L790" s="720"/>
      <c r="M790" s="716"/>
      <c r="N790" s="716"/>
      <c r="O790" s="717"/>
      <c r="Q790" s="1724"/>
      <c r="R790" s="724">
        <f t="shared" si="128"/>
        <v>0</v>
      </c>
      <c r="S790" s="716"/>
      <c r="T790" s="716"/>
      <c r="U790" s="716"/>
      <c r="V790" s="720"/>
      <c r="W790" s="716"/>
      <c r="X790" s="716"/>
      <c r="Y790" s="717"/>
      <c r="AA790" s="1724"/>
      <c r="AB790" s="724">
        <f t="shared" si="129"/>
        <v>0</v>
      </c>
      <c r="AC790" s="716"/>
      <c r="AD790" s="716"/>
      <c r="AE790" s="716"/>
      <c r="AF790" s="720"/>
      <c r="AG790" s="716"/>
      <c r="AH790" s="716"/>
      <c r="AI790" s="717"/>
    </row>
    <row r="791" spans="2:35">
      <c r="G791" s="1724"/>
      <c r="H791" s="726">
        <f>H790-1</f>
        <v>-1</v>
      </c>
      <c r="I791" s="713"/>
      <c r="J791" s="713"/>
      <c r="K791" s="713"/>
      <c r="L791" s="719"/>
      <c r="M791" s="713"/>
      <c r="N791" s="713"/>
      <c r="O791" s="713"/>
      <c r="Q791" s="1724"/>
      <c r="R791" s="726">
        <f t="shared" si="128"/>
        <v>-1</v>
      </c>
      <c r="S791" s="713"/>
      <c r="T791" s="713"/>
      <c r="U791" s="713"/>
      <c r="V791" s="719"/>
      <c r="W791" s="713"/>
      <c r="X791" s="713"/>
      <c r="Y791" s="713"/>
      <c r="AA791" s="1724"/>
      <c r="AB791" s="726">
        <f t="shared" si="129"/>
        <v>-1</v>
      </c>
      <c r="AC791" s="713"/>
      <c r="AD791" s="713"/>
      <c r="AE791" s="713"/>
      <c r="AF791" s="719"/>
      <c r="AG791" s="713"/>
      <c r="AH791" s="713"/>
      <c r="AI791" s="713"/>
    </row>
    <row r="792" spans="2:35">
      <c r="G792" s="1724"/>
      <c r="H792" s="726">
        <f>H791-1</f>
        <v>-2</v>
      </c>
      <c r="I792" s="713"/>
      <c r="J792" s="713"/>
      <c r="K792" s="713"/>
      <c r="L792" s="719"/>
      <c r="M792" s="713"/>
      <c r="N792" s="713"/>
      <c r="O792" s="713"/>
      <c r="Q792" s="1724"/>
      <c r="R792" s="726">
        <f t="shared" si="128"/>
        <v>-2</v>
      </c>
      <c r="S792" s="713"/>
      <c r="T792" s="713"/>
      <c r="U792" s="713"/>
      <c r="V792" s="719"/>
      <c r="W792" s="713"/>
      <c r="X792" s="713"/>
      <c r="Y792" s="713"/>
      <c r="AA792" s="1724"/>
      <c r="AB792" s="726">
        <f t="shared" si="129"/>
        <v>-2</v>
      </c>
      <c r="AC792" s="713"/>
      <c r="AD792" s="713"/>
      <c r="AE792" s="713"/>
      <c r="AF792" s="719"/>
      <c r="AG792" s="713"/>
      <c r="AH792" s="713"/>
      <c r="AI792" s="713"/>
    </row>
    <row r="793" spans="2:35">
      <c r="G793" s="1724"/>
      <c r="H793" s="726">
        <f>H792-1</f>
        <v>-3</v>
      </c>
      <c r="I793" s="713"/>
      <c r="J793" s="713"/>
      <c r="K793" s="713"/>
      <c r="L793" s="721"/>
      <c r="M793" s="713"/>
      <c r="N793" s="713"/>
      <c r="O793" s="713"/>
      <c r="Q793" s="1724"/>
      <c r="R793" s="726">
        <f t="shared" si="128"/>
        <v>-3</v>
      </c>
      <c r="S793" s="713"/>
      <c r="T793" s="713"/>
      <c r="U793" s="713"/>
      <c r="V793" s="721"/>
      <c r="W793" s="713"/>
      <c r="X793" s="713"/>
      <c r="Y793" s="713"/>
      <c r="AA793" s="1724"/>
      <c r="AB793" s="726">
        <f t="shared" si="129"/>
        <v>-3</v>
      </c>
      <c r="AC793" s="713"/>
      <c r="AD793" s="713"/>
      <c r="AE793" s="713"/>
      <c r="AF793" s="721"/>
      <c r="AG793" s="713"/>
      <c r="AH793" s="713"/>
      <c r="AI793" s="713"/>
    </row>
    <row r="797" spans="2:35" s="36" customFormat="1">
      <c r="B797" s="470" t="s">
        <v>759</v>
      </c>
      <c r="C797" s="59"/>
      <c r="D797" s="37"/>
    </row>
  </sheetData>
  <mergeCells count="17">
    <mergeCell ref="G775:G781"/>
    <mergeCell ref="Q775:Q781"/>
    <mergeCell ref="AA775:AA781"/>
    <mergeCell ref="G787:G793"/>
    <mergeCell ref="Q787:Q793"/>
    <mergeCell ref="G732:G738"/>
    <mergeCell ref="Q732:Q738"/>
    <mergeCell ref="G743:G749"/>
    <mergeCell ref="Q743:Q749"/>
    <mergeCell ref="G754:G760"/>
    <mergeCell ref="Q754:Q760"/>
    <mergeCell ref="AA732:AA738"/>
    <mergeCell ref="AA743:AA749"/>
    <mergeCell ref="AA754:AA760"/>
    <mergeCell ref="AA787:AA793"/>
    <mergeCell ref="Q764:Q770"/>
    <mergeCell ref="AA764:AA770"/>
  </mergeCells>
  <conditionalFormatting sqref="G315">
    <cfRule type="cellIs" dxfId="133" priority="36" operator="equal">
      <formula>0</formula>
    </cfRule>
    <cfRule type="cellIs" dxfId="132" priority="37" operator="equal">
      <formula>1</formula>
    </cfRule>
  </conditionalFormatting>
  <conditionalFormatting sqref="G429">
    <cfRule type="cellIs" dxfId="131" priority="34" operator="equal">
      <formula>2</formula>
    </cfRule>
    <cfRule type="cellIs" dxfId="130" priority="35" operator="equal">
      <formula>1</formula>
    </cfRule>
  </conditionalFormatting>
  <conditionalFormatting sqref="G434">
    <cfRule type="cellIs" dxfId="129" priority="32" operator="equal">
      <formula>0</formula>
    </cfRule>
    <cfRule type="cellIs" dxfId="128" priority="33" operator="equal">
      <formula>1</formula>
    </cfRule>
  </conditionalFormatting>
  <conditionalFormatting sqref="G494:J494">
    <cfRule type="cellIs" dxfId="127" priority="30" operator="equal">
      <formula>0</formula>
    </cfRule>
    <cfRule type="cellIs" dxfId="126" priority="31" operator="equal">
      <formula>1</formula>
    </cfRule>
  </conditionalFormatting>
  <conditionalFormatting sqref="G572:J572">
    <cfRule type="cellIs" dxfId="125" priority="28" operator="equal">
      <formula>0</formula>
    </cfRule>
    <cfRule type="cellIs" dxfId="124" priority="29" operator="equal">
      <formula>1</formula>
    </cfRule>
  </conditionalFormatting>
  <conditionalFormatting sqref="G648:J648">
    <cfRule type="cellIs" dxfId="123" priority="26" operator="equal">
      <formula>0</formula>
    </cfRule>
    <cfRule type="cellIs" dxfId="122" priority="27" operator="equal">
      <formula>1</formula>
    </cfRule>
  </conditionalFormatting>
  <conditionalFormatting sqref="G695:J695">
    <cfRule type="cellIs" dxfId="121" priority="24" operator="equal">
      <formula>0</formula>
    </cfRule>
    <cfRule type="cellIs" dxfId="120" priority="25" operator="equal">
      <formula>1</formula>
    </cfRule>
  </conditionalFormatting>
  <conditionalFormatting sqref="G700:J700">
    <cfRule type="cellIs" dxfId="119" priority="22" operator="equal">
      <formula>0</formula>
    </cfRule>
    <cfRule type="cellIs" dxfId="118" priority="23" operator="equal">
      <formula>1</formula>
    </cfRule>
  </conditionalFormatting>
  <conditionalFormatting sqref="H706:J706">
    <cfRule type="cellIs" dxfId="117" priority="20" operator="equal">
      <formula>0</formula>
    </cfRule>
    <cfRule type="cellIs" dxfId="116" priority="21" operator="equal">
      <formula>1</formula>
    </cfRule>
  </conditionalFormatting>
  <conditionalFormatting sqref="G654:J654">
    <cfRule type="cellIs" dxfId="115" priority="18" operator="equal">
      <formula>0</formula>
    </cfRule>
    <cfRule type="cellIs" dxfId="114" priority="19" operator="equal">
      <formula>1</formula>
    </cfRule>
  </conditionalFormatting>
  <conditionalFormatting sqref="G444">
    <cfRule type="cellIs" dxfId="113" priority="16" operator="equal">
      <formula>0</formula>
    </cfRule>
    <cfRule type="cellIs" dxfId="112" priority="17" operator="equal">
      <formula>1</formula>
    </cfRule>
  </conditionalFormatting>
  <conditionalFormatting sqref="G450">
    <cfRule type="cellIs" dxfId="111" priority="14" operator="equal">
      <formula>0</formula>
    </cfRule>
    <cfRule type="cellIs" dxfId="110" priority="15" operator="equal">
      <formula>1</formula>
    </cfRule>
  </conditionalFormatting>
  <conditionalFormatting sqref="G458">
    <cfRule type="cellIs" dxfId="109" priority="12" operator="equal">
      <formula>0</formula>
    </cfRule>
    <cfRule type="cellIs" dxfId="108" priority="13" operator="equal">
      <formula>1</formula>
    </cfRule>
  </conditionalFormatting>
  <conditionalFormatting sqref="G468">
    <cfRule type="cellIs" dxfId="107" priority="10" operator="equal">
      <formula>0</formula>
    </cfRule>
    <cfRule type="cellIs" dxfId="106" priority="11" operator="equal">
      <formula>1</formula>
    </cfRule>
  </conditionalFormatting>
  <conditionalFormatting sqref="G706">
    <cfRule type="cellIs" dxfId="105" priority="8" operator="equal">
      <formula>0</formula>
    </cfRule>
    <cfRule type="cellIs" dxfId="104" priority="9" operator="equal">
      <formula>1</formula>
    </cfRule>
  </conditionalFormatting>
  <conditionalFormatting sqref="G590:J590">
    <cfRule type="cellIs" dxfId="103" priority="6" operator="equal">
      <formula>0</formula>
    </cfRule>
    <cfRule type="cellIs" dxfId="102" priority="7" operator="equal">
      <formula>1</formula>
    </cfRule>
  </conditionalFormatting>
  <conditionalFormatting sqref="G53">
    <cfRule type="expression" dxfId="101" priority="3">
      <formula>DAY($G$53)&lt;&gt;1</formula>
    </cfRule>
  </conditionalFormatting>
  <conditionalFormatting sqref="G56">
    <cfRule type="expression" dxfId="100" priority="1">
      <formula>DAY($G$53)&lt;&gt;1</formula>
    </cfRule>
  </conditionalFormatting>
  <dataValidations disablePrompts="1" count="2">
    <dataValidation type="list" allowBlank="1" showInputMessage="1" showErrorMessage="1" sqref="G316" xr:uid="{F4192282-7034-4E12-A615-FDD0C190E975}">
      <formula1>"Signing,Closing"</formula1>
    </dataValidation>
    <dataValidation type="list" allowBlank="1" showInputMessage="1" showErrorMessage="1" sqref="G143" xr:uid="{CA7F7FC3-A838-4F55-9D4A-CDC2B9DA7B83}">
      <formula1>"Quarterly,Annually"</formula1>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F63DD-12F8-43A2-A5CD-4FCA9EF078E1}">
  <sheetPr codeName="Sheet10">
    <tabColor rgb="FFCCECFF"/>
  </sheetPr>
  <dimension ref="A1:IJ15"/>
  <sheetViews>
    <sheetView workbookViewId="0">
      <selection activeCell="ES30" sqref="ES30"/>
    </sheetView>
  </sheetViews>
  <sheetFormatPr baseColWidth="10" defaultColWidth="9.28515625" defaultRowHeight="15" outlineLevelCol="1"/>
  <cols>
    <col min="1" max="1" width="4.5703125" customWidth="1"/>
    <col min="2" max="2" width="3.5703125" customWidth="1"/>
    <col min="3" max="3" width="11" bestFit="1" customWidth="1"/>
    <col min="4" max="4" width="1.5703125" customWidth="1"/>
    <col min="6" max="6" width="1.5703125" customWidth="1"/>
    <col min="9" max="9" width="13" customWidth="1" outlineLevel="1"/>
    <col min="10" max="10" width="12.5703125" bestFit="1" customWidth="1" outlineLevel="1"/>
    <col min="11" max="11" width="12.5703125" customWidth="1" outlineLevel="1"/>
    <col min="12" max="13" width="9.28515625" outlineLevel="1"/>
    <col min="14" max="14" width="10.42578125" bestFit="1" customWidth="1" outlineLevel="1"/>
    <col min="15" max="15" width="9.28515625" outlineLevel="1"/>
    <col min="16" max="16" width="11.5703125" customWidth="1" outlineLevel="1"/>
    <col min="17" max="17" width="1.42578125" customWidth="1" outlineLevel="1"/>
    <col min="18" max="19" width="11.5703125" customWidth="1"/>
    <col min="20" max="20" width="12.42578125" bestFit="1" customWidth="1" outlineLevel="1"/>
    <col min="21" max="21" width="1.42578125" customWidth="1" outlineLevel="1"/>
    <col min="22" max="22" width="11.5703125" customWidth="1"/>
    <col min="23" max="23" width="12.5703125" bestFit="1" customWidth="1"/>
    <col min="24" max="24" width="11.5703125" customWidth="1"/>
    <col min="25" max="25" width="12.42578125" bestFit="1" customWidth="1" outlineLevel="1"/>
    <col min="26" max="27" width="11.5703125" customWidth="1" outlineLevel="1"/>
    <col min="28" max="28" width="1.5703125" customWidth="1" outlineLevel="1"/>
    <col min="29" max="29" width="23.28515625" bestFit="1" customWidth="1"/>
    <col min="30" max="30" width="7.42578125" bestFit="1" customWidth="1"/>
    <col min="31" max="31" width="31.5703125" bestFit="1" customWidth="1"/>
    <col min="32" max="32" width="9.42578125" bestFit="1" customWidth="1"/>
    <col min="33" max="33" width="32.5703125" bestFit="1" customWidth="1"/>
    <col min="35" max="35" width="12.5703125" bestFit="1" customWidth="1"/>
    <col min="36" max="36" width="10.5703125" bestFit="1" customWidth="1"/>
    <col min="37" max="37" width="6.28515625" customWidth="1"/>
    <col min="39" max="39" width="13" customWidth="1"/>
    <col min="40" max="40" width="10" customWidth="1" outlineLevel="1"/>
    <col min="41" max="41" width="11" customWidth="1" outlineLevel="1"/>
    <col min="42" max="42" width="10" customWidth="1" outlineLevel="1"/>
    <col min="43" max="44" width="9.28515625" customWidth="1" outlineLevel="1"/>
    <col min="45" max="45" width="10.42578125" customWidth="1" outlineLevel="1"/>
    <col min="46" max="46" width="12.28515625" customWidth="1" outlineLevel="1"/>
    <col min="47" max="47" width="10" customWidth="1" outlineLevel="1"/>
    <col min="48" max="48" width="1.5703125" customWidth="1" outlineLevel="1"/>
    <col min="49" max="52" width="10.7109375" customWidth="1" outlineLevel="1"/>
    <col min="53" max="53" width="1.5703125" customWidth="1" outlineLevel="1"/>
    <col min="54" max="54" width="10.7109375" customWidth="1" outlineLevel="1"/>
    <col min="55" max="55" width="11.5703125" customWidth="1" outlineLevel="1"/>
    <col min="56" max="56" width="8.7109375" customWidth="1" outlineLevel="1"/>
    <col min="57" max="57" width="9" customWidth="1" outlineLevel="1"/>
    <col min="58" max="59" width="9.28515625" customWidth="1" outlineLevel="1"/>
    <col min="60" max="60" width="11.5703125" customWidth="1" outlineLevel="1"/>
    <col min="61" max="61" width="9.28515625" customWidth="1" outlineLevel="1"/>
    <col min="62" max="62" width="9" customWidth="1" outlineLevel="1"/>
    <col min="63" max="63" width="11.5703125" customWidth="1" outlineLevel="1"/>
    <col min="64" max="64" width="8.7109375" customWidth="1" outlineLevel="1"/>
    <col min="65" max="65" width="9" customWidth="1" outlineLevel="1"/>
    <col min="66" max="66" width="11.5703125" customWidth="1" outlineLevel="1"/>
    <col min="67" max="67" width="8.7109375" customWidth="1" outlineLevel="1"/>
    <col min="68" max="68" width="9" customWidth="1" outlineLevel="1"/>
    <col min="69" max="69" width="11.5703125" customWidth="1" outlineLevel="1"/>
    <col min="70" max="70" width="8.7109375" customWidth="1" outlineLevel="1"/>
    <col min="71" max="71" width="9" customWidth="1" outlineLevel="1"/>
    <col min="72" max="72" width="11.5703125" customWidth="1" outlineLevel="1"/>
    <col min="73" max="73" width="8.7109375" customWidth="1" outlineLevel="1"/>
    <col min="74" max="74" width="9" customWidth="1" outlineLevel="1"/>
    <col min="75" max="75" width="11.5703125" customWidth="1" outlineLevel="1"/>
    <col min="76" max="76" width="8.7109375" customWidth="1" outlineLevel="1"/>
    <col min="77" max="77" width="9" customWidth="1" outlineLevel="1"/>
    <col min="78" max="78" width="2.42578125" customWidth="1" outlineLevel="1"/>
    <col min="79" max="79" width="11.5703125" customWidth="1" outlineLevel="1"/>
    <col min="80" max="80" width="8.7109375" customWidth="1" outlineLevel="1"/>
    <col min="81" max="81" width="9" customWidth="1" outlineLevel="1"/>
    <col min="82" max="82" width="11.5703125" customWidth="1" outlineLevel="1"/>
    <col min="83" max="83" width="8.7109375" customWidth="1" outlineLevel="1"/>
    <col min="84" max="84" width="9" customWidth="1" outlineLevel="1"/>
    <col min="85" max="85" width="1.5703125" customWidth="1" outlineLevel="1"/>
    <col min="86" max="87" width="9.28515625" customWidth="1" outlineLevel="1"/>
    <col min="88" max="88" width="10.42578125" customWidth="1" outlineLevel="1"/>
    <col min="89" max="89" width="1.5703125" customWidth="1" outlineLevel="1"/>
    <col min="90" max="102" width="9.28515625" customWidth="1" outlineLevel="1"/>
    <col min="103" max="103" width="1.5703125" customWidth="1" outlineLevel="1"/>
    <col min="104" max="115" width="9.28515625" customWidth="1" outlineLevel="1"/>
    <col min="116" max="116" width="1.5703125" customWidth="1" outlineLevel="1"/>
    <col min="117" max="128" width="9.28515625" customWidth="1" outlineLevel="1"/>
    <col min="129" max="129" width="1.5703125" customWidth="1" outlineLevel="1"/>
    <col min="130" max="130" width="12.5703125" customWidth="1" outlineLevel="1"/>
    <col min="131" max="131" width="10" customWidth="1" outlineLevel="1"/>
    <col min="132" max="132" width="12.42578125" customWidth="1" outlineLevel="1"/>
    <col min="133" max="133" width="1.5703125" customWidth="1" outlineLevel="1"/>
    <col min="134" max="138" width="9.28515625" customWidth="1" outlineLevel="1"/>
    <col min="139" max="139" width="3" customWidth="1" outlineLevel="1"/>
    <col min="140" max="140" width="14.7109375" customWidth="1" outlineLevel="1"/>
    <col min="141" max="141" width="17.28515625" customWidth="1" outlineLevel="1"/>
    <col min="142" max="142" width="18.7109375" customWidth="1" outlineLevel="1"/>
    <col min="143" max="143" width="3" customWidth="1" outlineLevel="1"/>
    <col min="144" max="145" width="9.28515625" customWidth="1" outlineLevel="1"/>
    <col min="146" max="146" width="3" customWidth="1" outlineLevel="1"/>
    <col min="147" max="148" width="9.28515625" customWidth="1" outlineLevel="1"/>
    <col min="149" max="149" width="10.42578125" customWidth="1" outlineLevel="1"/>
    <col min="150" max="150" width="9.28515625" customWidth="1" outlineLevel="1"/>
    <col min="151" max="151" width="1.5703125" customWidth="1" outlineLevel="1"/>
    <col min="152" max="153" width="13.5703125" customWidth="1" outlineLevel="1"/>
    <col min="154" max="154" width="9.5703125" customWidth="1" outlineLevel="1"/>
    <col min="155" max="155" width="12.42578125" customWidth="1" outlineLevel="1"/>
    <col min="156" max="156" width="9.28515625" customWidth="1" outlineLevel="1"/>
    <col min="157" max="157" width="1.5703125" customWidth="1" outlineLevel="1"/>
    <col min="158" max="158" width="13.5703125" customWidth="1" outlineLevel="1"/>
    <col min="159" max="160" width="9.7109375" customWidth="1" outlineLevel="1"/>
    <col min="161" max="161" width="11.42578125" customWidth="1" outlineLevel="1"/>
    <col min="162" max="162" width="9.28515625" customWidth="1" outlineLevel="1"/>
    <col min="163" max="163" width="10.28515625" customWidth="1" outlineLevel="1"/>
    <col min="164" max="166" width="9.28515625" customWidth="1" outlineLevel="1"/>
    <col min="167" max="167" width="1.7109375" customWidth="1" outlineLevel="1"/>
    <col min="168" max="168" width="13.5703125" customWidth="1" outlineLevel="1"/>
    <col min="169" max="170" width="9.7109375" customWidth="1" outlineLevel="1"/>
    <col min="171" max="171" width="11.42578125" customWidth="1" outlineLevel="1"/>
    <col min="172" max="172" width="9.28515625" customWidth="1" outlineLevel="1"/>
    <col min="173" max="173" width="10.28515625" customWidth="1" outlineLevel="1"/>
    <col min="174" max="176" width="9.28515625" customWidth="1" outlineLevel="1"/>
    <col min="177" max="177" width="1.7109375" customWidth="1" outlineLevel="1"/>
    <col min="178" max="178" width="9.28515625" customWidth="1" outlineLevel="1"/>
    <col min="179" max="179" width="1.5703125" customWidth="1" outlineLevel="1"/>
    <col min="180" max="180" width="72.42578125" customWidth="1"/>
    <col min="181" max="181" width="1.5703125" customWidth="1"/>
    <col min="182" max="185" width="12.28515625" customWidth="1"/>
    <col min="186" max="186" width="11" bestFit="1" customWidth="1"/>
    <col min="187" max="190" width="12.28515625" customWidth="1"/>
    <col min="191" max="191" width="1.7109375" customWidth="1"/>
    <col min="192" max="192" width="10.28515625" customWidth="1"/>
    <col min="193" max="193" width="11" customWidth="1"/>
    <col min="194" max="194" width="10.28515625" customWidth="1"/>
    <col min="195" max="195" width="1.7109375" customWidth="1"/>
    <col min="196" max="196" width="15" bestFit="1" customWidth="1"/>
    <col min="197" max="197" width="11" customWidth="1"/>
    <col min="198" max="198" width="12.42578125" bestFit="1" customWidth="1"/>
    <col min="199" max="199" width="10.5703125" customWidth="1"/>
    <col min="200" max="200" width="11.42578125" customWidth="1"/>
    <col min="201" max="201" width="10.42578125" customWidth="1"/>
    <col min="202" max="202" width="1.7109375" customWidth="1"/>
    <col min="203" max="203" width="12.28515625" bestFit="1" customWidth="1"/>
    <col min="207" max="207" width="12.28515625" bestFit="1" customWidth="1"/>
  </cols>
  <sheetData>
    <row r="1" spans="1:244"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Y1" s="58"/>
      <c r="Z1" s="58"/>
      <c r="AA1" s="58"/>
      <c r="AB1" s="58"/>
      <c r="AV1" s="58"/>
      <c r="AW1" s="58"/>
      <c r="AX1" s="58"/>
      <c r="AY1" s="58"/>
      <c r="AZ1" s="58"/>
      <c r="BA1" s="58"/>
      <c r="CG1" s="58"/>
      <c r="CK1" s="58"/>
      <c r="CL1" s="58"/>
      <c r="CY1" s="58"/>
      <c r="DL1" s="58"/>
      <c r="DY1" s="58"/>
      <c r="DZ1" s="58"/>
      <c r="EA1" s="58"/>
      <c r="EB1" s="58"/>
      <c r="EC1" s="58"/>
      <c r="EU1" s="58"/>
      <c r="FA1" s="58"/>
      <c r="FW1" s="58"/>
      <c r="FY1" s="58"/>
    </row>
    <row r="2" spans="1:244" s="35" customFormat="1">
      <c r="A2" s="1" t="s">
        <v>105</v>
      </c>
      <c r="B2" s="1"/>
      <c r="D2" s="58"/>
      <c r="F2" s="58"/>
      <c r="G2" s="58"/>
      <c r="H2" s="58"/>
      <c r="I2" s="58"/>
      <c r="J2" s="58"/>
      <c r="K2" s="58"/>
      <c r="L2" s="58"/>
      <c r="M2" s="58"/>
      <c r="N2" s="58"/>
      <c r="O2" s="58"/>
      <c r="P2" s="58"/>
      <c r="Q2" s="58"/>
      <c r="R2" s="58"/>
      <c r="S2" s="58"/>
      <c r="T2" s="58"/>
      <c r="U2" s="58"/>
      <c r="V2" s="58"/>
      <c r="W2" s="58"/>
      <c r="X2" s="58"/>
      <c r="Y2" s="58"/>
      <c r="Z2" s="58"/>
      <c r="AA2" s="58"/>
      <c r="AB2" s="58"/>
      <c r="AV2" s="58"/>
      <c r="AW2" s="58"/>
      <c r="AX2" s="58"/>
      <c r="AY2" s="58"/>
      <c r="AZ2" s="58"/>
      <c r="BA2" s="58"/>
      <c r="CG2" s="58"/>
      <c r="CK2" s="58"/>
      <c r="CL2" s="58"/>
      <c r="CY2" s="58"/>
      <c r="DL2" s="58"/>
      <c r="DY2" s="58"/>
      <c r="DZ2" s="58"/>
      <c r="EA2" s="58"/>
      <c r="EB2" s="58"/>
      <c r="EC2" s="58"/>
      <c r="EU2" s="58"/>
      <c r="FA2" s="58"/>
      <c r="FW2" s="58"/>
      <c r="FY2" s="58"/>
    </row>
    <row r="3" spans="1:244" s="35" customFormat="1" ht="17.25">
      <c r="D3" s="58"/>
      <c r="F3" s="58"/>
      <c r="G3" s="58"/>
      <c r="H3" s="58"/>
      <c r="I3" s="58"/>
      <c r="J3" s="58"/>
      <c r="K3" s="58"/>
      <c r="L3" s="58"/>
      <c r="M3" s="58"/>
      <c r="N3" s="58"/>
      <c r="O3" s="58"/>
      <c r="P3" s="58"/>
      <c r="Q3" s="58"/>
      <c r="R3" s="58"/>
      <c r="S3" s="58"/>
      <c r="T3" s="58"/>
      <c r="U3" s="58"/>
      <c r="V3" s="58"/>
      <c r="W3" s="58"/>
      <c r="X3" s="58"/>
      <c r="Y3" s="58"/>
      <c r="Z3" s="58"/>
      <c r="AA3" s="58"/>
      <c r="AB3" s="58"/>
      <c r="AE3" s="156"/>
      <c r="AF3" s="156"/>
      <c r="AG3" s="156"/>
      <c r="AV3" s="58"/>
      <c r="AW3" s="58"/>
      <c r="AX3" s="58"/>
      <c r="AY3" s="58"/>
      <c r="AZ3" s="58"/>
      <c r="BA3" s="58"/>
      <c r="CG3" s="58"/>
      <c r="CK3" s="58"/>
      <c r="CL3" s="58"/>
      <c r="CY3" s="58"/>
      <c r="DL3" s="58"/>
      <c r="DY3" s="58"/>
      <c r="DZ3" s="58"/>
      <c r="EA3" s="58"/>
      <c r="EB3" s="58"/>
      <c r="EC3" s="58"/>
      <c r="EU3" s="58"/>
      <c r="FA3" s="58"/>
      <c r="FW3" s="58"/>
      <c r="FY3" s="58"/>
    </row>
    <row r="4" spans="1:244" s="35" customFormat="1">
      <c r="D4" s="58"/>
      <c r="F4" s="58"/>
      <c r="G4" s="58"/>
      <c r="H4" s="58"/>
      <c r="I4" s="58"/>
      <c r="J4" s="58"/>
      <c r="K4" s="58"/>
      <c r="L4" s="58"/>
      <c r="M4" s="58"/>
      <c r="N4" s="58"/>
      <c r="O4" s="58"/>
      <c r="P4" s="58"/>
      <c r="Q4" s="58"/>
      <c r="R4" s="58"/>
      <c r="S4" s="58"/>
      <c r="T4" s="58"/>
      <c r="U4" s="58"/>
      <c r="V4" s="58"/>
      <c r="W4" s="58"/>
      <c r="X4" s="58"/>
      <c r="Y4" s="58"/>
      <c r="Z4" s="58"/>
      <c r="AA4" s="58"/>
      <c r="AB4" s="58"/>
      <c r="AE4" s="157"/>
      <c r="AF4" s="157"/>
      <c r="AG4" s="157"/>
      <c r="AV4" s="58"/>
      <c r="AW4" s="58"/>
      <c r="AX4" s="58"/>
      <c r="AY4" s="58"/>
      <c r="AZ4" s="58"/>
      <c r="BA4" s="58"/>
      <c r="CG4" s="58"/>
      <c r="CK4" s="58"/>
      <c r="CL4" s="58"/>
      <c r="CY4" s="58"/>
      <c r="DL4" s="58"/>
      <c r="DY4" s="58"/>
      <c r="DZ4" s="58"/>
      <c r="EA4" s="58"/>
      <c r="EB4" s="58"/>
      <c r="EC4" s="58"/>
      <c r="EU4" s="58"/>
      <c r="FA4" s="58"/>
      <c r="FW4" s="58"/>
      <c r="FY4" s="58"/>
    </row>
    <row r="6" spans="1:244">
      <c r="G6" s="76" t="s">
        <v>108</v>
      </c>
      <c r="H6" s="37"/>
      <c r="I6" s="37"/>
      <c r="J6" s="37"/>
      <c r="K6" s="37"/>
      <c r="L6" s="37"/>
      <c r="M6" s="37"/>
      <c r="N6" s="37"/>
      <c r="O6" s="37"/>
      <c r="P6" s="37"/>
      <c r="Q6" s="83"/>
      <c r="R6" s="83"/>
      <c r="S6" s="83"/>
      <c r="T6" s="83"/>
      <c r="U6" s="83"/>
      <c r="V6" s="83"/>
      <c r="W6" s="83"/>
      <c r="X6" s="83"/>
      <c r="Y6" s="83"/>
      <c r="Z6" s="83"/>
      <c r="AA6" s="87"/>
      <c r="AC6" s="76" t="s">
        <v>107</v>
      </c>
      <c r="AD6" s="37"/>
      <c r="AE6" s="37"/>
      <c r="AF6" s="37"/>
      <c r="AG6" s="37"/>
      <c r="AH6" s="37"/>
      <c r="AI6" s="37"/>
      <c r="AJ6" s="37"/>
      <c r="AK6" s="37"/>
      <c r="AL6" s="37"/>
      <c r="AM6" s="37"/>
      <c r="AN6" s="37"/>
      <c r="AO6" s="37"/>
      <c r="AP6" s="37"/>
      <c r="AQ6" s="83"/>
      <c r="AR6" s="83"/>
      <c r="AS6" s="83"/>
      <c r="AT6" s="83"/>
      <c r="AU6" s="87"/>
      <c r="AW6" s="76" t="s">
        <v>1071</v>
      </c>
      <c r="AX6" s="37"/>
      <c r="AY6" s="37"/>
      <c r="AZ6" s="172"/>
      <c r="BB6" s="76" t="s">
        <v>161</v>
      </c>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172"/>
      <c r="CH6" s="76" t="s">
        <v>228</v>
      </c>
      <c r="CI6" s="37"/>
      <c r="CJ6" s="172"/>
      <c r="CL6" s="187" t="s">
        <v>241</v>
      </c>
      <c r="CM6" s="187"/>
      <c r="CN6" s="188"/>
      <c r="CO6" s="188"/>
      <c r="CP6" s="188"/>
      <c r="CQ6" s="188"/>
      <c r="CR6" s="188"/>
      <c r="CS6" s="188"/>
      <c r="CT6" s="188"/>
      <c r="CU6" s="188"/>
      <c r="CV6" s="188"/>
      <c r="CW6" s="188"/>
      <c r="CX6" s="191"/>
      <c r="CZ6" s="192" t="s">
        <v>253</v>
      </c>
      <c r="DA6" s="192"/>
      <c r="DB6" s="193"/>
      <c r="DC6" s="193"/>
      <c r="DD6" s="193"/>
      <c r="DE6" s="193"/>
      <c r="DF6" s="193"/>
      <c r="DG6" s="193"/>
      <c r="DH6" s="193"/>
      <c r="DI6" s="193"/>
      <c r="DJ6" s="193"/>
      <c r="DK6" s="195"/>
      <c r="DM6" s="204" t="s">
        <v>255</v>
      </c>
      <c r="DN6" s="201"/>
      <c r="DO6" s="202"/>
      <c r="DP6" s="202"/>
      <c r="DQ6" s="202"/>
      <c r="DR6" s="202"/>
      <c r="DS6" s="202"/>
      <c r="DT6" s="202"/>
      <c r="DU6" s="202"/>
      <c r="DV6" s="202"/>
      <c r="DW6" s="202"/>
      <c r="DX6" s="203"/>
      <c r="DZ6" s="76" t="s">
        <v>1160</v>
      </c>
      <c r="EA6" s="76"/>
      <c r="EB6" s="379"/>
      <c r="ED6" s="76" t="s">
        <v>257</v>
      </c>
      <c r="EE6" s="37"/>
      <c r="EF6" s="37"/>
      <c r="EG6" s="37"/>
      <c r="EH6" s="37"/>
      <c r="EI6" s="37"/>
      <c r="EJ6" s="37"/>
      <c r="EK6" s="37"/>
      <c r="EL6" s="37"/>
      <c r="EM6" s="37"/>
      <c r="EN6" s="37"/>
      <c r="EO6" s="37"/>
      <c r="EP6" s="37"/>
      <c r="EQ6" s="37"/>
      <c r="ER6" s="37"/>
      <c r="ES6" s="37"/>
      <c r="ET6" s="172"/>
      <c r="EV6" s="76" t="s">
        <v>423</v>
      </c>
      <c r="EW6" s="37"/>
      <c r="EX6" s="37"/>
      <c r="EY6" s="37"/>
      <c r="EZ6" s="172"/>
      <c r="FB6" s="76" t="s">
        <v>446</v>
      </c>
      <c r="FC6" s="37"/>
      <c r="FD6" s="37"/>
      <c r="FE6" s="37"/>
      <c r="FF6" s="37"/>
      <c r="FG6" s="37"/>
      <c r="FH6" s="37"/>
      <c r="FI6" s="37"/>
      <c r="FJ6" s="37"/>
      <c r="FK6" s="37"/>
      <c r="FL6" s="37"/>
      <c r="FM6" s="37"/>
      <c r="FN6" s="37"/>
      <c r="FO6" s="37"/>
      <c r="FP6" s="37"/>
      <c r="FQ6" s="37"/>
      <c r="FR6" s="37"/>
      <c r="FS6" s="37"/>
      <c r="FT6" s="37"/>
      <c r="FU6" s="37"/>
      <c r="FV6" s="172"/>
      <c r="FX6" s="379" t="s">
        <v>563</v>
      </c>
      <c r="FZ6" s="76" t="s">
        <v>564</v>
      </c>
      <c r="GA6" s="37"/>
      <c r="GB6" s="37"/>
      <c r="GC6" s="37"/>
      <c r="GD6" s="37"/>
      <c r="GE6" s="37"/>
      <c r="GF6" s="37"/>
      <c r="GG6" s="37"/>
      <c r="GH6" s="172"/>
      <c r="GJ6" s="76" t="s">
        <v>1165</v>
      </c>
      <c r="GK6" s="1102"/>
      <c r="GL6" s="1103"/>
      <c r="GN6" s="1117" t="s">
        <v>1167</v>
      </c>
      <c r="GO6" s="1102"/>
      <c r="GP6" s="1102"/>
      <c r="GQ6" s="1102"/>
      <c r="GR6" s="1102"/>
      <c r="GS6" s="1103"/>
      <c r="GU6" s="76" t="s">
        <v>1157</v>
      </c>
      <c r="GV6" s="1102"/>
      <c r="GW6" s="1102"/>
      <c r="GX6" s="1102"/>
      <c r="GY6" s="1102"/>
      <c r="GZ6" s="1102"/>
      <c r="HA6" s="1102"/>
      <c r="HB6" s="1102"/>
      <c r="HC6" s="1102"/>
      <c r="HD6" s="1102"/>
      <c r="HE6" s="1102"/>
      <c r="HF6" s="1102"/>
      <c r="HG6" s="1102"/>
      <c r="HH6" s="1102"/>
      <c r="HI6" s="1102"/>
      <c r="HJ6" s="1102"/>
      <c r="HK6" s="1102"/>
      <c r="HL6" s="1102"/>
      <c r="HM6" s="1102"/>
      <c r="HN6" s="1102"/>
      <c r="HO6" s="1102"/>
      <c r="HP6" s="1102"/>
      <c r="HQ6" s="1102"/>
      <c r="HR6" s="1102"/>
      <c r="HS6" s="1102"/>
      <c r="HT6" s="1102"/>
      <c r="HU6" s="1102"/>
      <c r="HV6" s="1102"/>
      <c r="HW6" s="1102"/>
      <c r="HX6" s="1102"/>
      <c r="HY6" s="1102"/>
      <c r="HZ6" s="1102"/>
      <c r="IA6" s="1102"/>
      <c r="IB6" s="1102"/>
      <c r="IC6" s="1102"/>
      <c r="ID6" s="1102"/>
      <c r="IE6" s="1102"/>
      <c r="IF6" s="1102"/>
      <c r="IG6" s="1102"/>
      <c r="IH6" s="1103"/>
    </row>
    <row r="7" spans="1:244">
      <c r="G7" s="77"/>
      <c r="AA7" s="151"/>
      <c r="AC7" s="77"/>
      <c r="AU7" s="151"/>
      <c r="AW7" s="77"/>
      <c r="AZ7" s="151"/>
      <c r="BB7" s="77"/>
      <c r="CF7" s="151"/>
      <c r="CH7" s="77"/>
      <c r="CJ7" s="151"/>
      <c r="CL7" s="77"/>
      <c r="CX7" s="151"/>
      <c r="CZ7" s="194"/>
      <c r="DK7" s="151"/>
      <c r="DM7" s="194"/>
      <c r="DX7" s="151"/>
      <c r="DZ7" s="77"/>
      <c r="EB7" s="151"/>
      <c r="ED7" s="77"/>
      <c r="ET7" s="151"/>
      <c r="EV7" s="77"/>
      <c r="EZ7" s="151"/>
      <c r="FB7" s="77"/>
      <c r="FV7" s="151"/>
      <c r="FX7" s="298"/>
      <c r="FZ7" s="77"/>
      <c r="GH7" s="151"/>
      <c r="GJ7" s="77"/>
      <c r="GL7" s="151"/>
      <c r="GN7" s="77"/>
      <c r="GS7" s="151"/>
      <c r="GU7" s="77"/>
      <c r="IH7" s="151"/>
    </row>
    <row r="8" spans="1:244">
      <c r="G8" s="77"/>
      <c r="H8" s="152" t="s">
        <v>138</v>
      </c>
      <c r="I8" s="221">
        <f>GA!F30</f>
        <v>1</v>
      </c>
      <c r="J8" s="21" t="str">
        <f>INDEX(GA!$E$31:$E$32,MATCH(AA!$I$8,GA!$F$31:$F$32,0))</f>
        <v>IPO Case</v>
      </c>
      <c r="K8" s="235"/>
      <c r="AA8" s="151"/>
      <c r="AC8" s="77"/>
      <c r="AU8" s="151"/>
      <c r="AW8" s="77"/>
      <c r="AZ8" s="151"/>
      <c r="BB8" s="77"/>
      <c r="BC8" s="916">
        <f>GA!$G$118</f>
        <v>0</v>
      </c>
      <c r="CF8" s="151"/>
      <c r="CH8" s="190" t="s">
        <v>231</v>
      </c>
      <c r="CI8" s="266">
        <f>$I$8</f>
        <v>1</v>
      </c>
      <c r="CJ8" s="175" t="str">
        <f>INDEX(GA!$E$31:$E$32,MATCH($CI$8,GA!$F$31:$F$32,0))</f>
        <v>IPO Case</v>
      </c>
      <c r="CL8" s="190" t="s">
        <v>231</v>
      </c>
      <c r="CM8" s="266">
        <f>$I$8</f>
        <v>1</v>
      </c>
      <c r="CN8" s="21" t="str">
        <f>INDEX(GA!$E$31:$E$32,MATCH($CM$8,GA!$F$31:$F$32,0))</f>
        <v>IPO Case</v>
      </c>
      <c r="CX8" s="151"/>
      <c r="CZ8" s="190" t="s">
        <v>231</v>
      </c>
      <c r="DA8" s="266">
        <f>$I$8</f>
        <v>1</v>
      </c>
      <c r="DB8" s="21" t="str">
        <f>INDEX(GA!$E$31:$E$32,MATCH($DA$8,GA!$F$31:$F$32,0))</f>
        <v>IPO Case</v>
      </c>
      <c r="DK8" s="151"/>
      <c r="DM8" s="77"/>
      <c r="DX8" s="151"/>
      <c r="DZ8" s="77"/>
      <c r="EB8" s="151"/>
      <c r="ED8" s="77"/>
      <c r="EQ8" t="s">
        <v>269</v>
      </c>
      <c r="ES8" s="207">
        <v>1</v>
      </c>
      <c r="ET8" s="151"/>
      <c r="EV8" s="77"/>
      <c r="EZ8" s="151"/>
      <c r="FB8" s="190" t="s">
        <v>231</v>
      </c>
      <c r="FC8" s="266">
        <f>$I$8</f>
        <v>1</v>
      </c>
      <c r="FD8" s="21" t="str">
        <f>INDEX(GA!$E$31:$E$32,MATCH($DA$8,GA!$F$31:$F$32,0))</f>
        <v>IPO Case</v>
      </c>
      <c r="FE8" s="152" t="s">
        <v>456</v>
      </c>
      <c r="FF8" s="207">
        <v>0.15</v>
      </c>
      <c r="FH8" t="s">
        <v>461</v>
      </c>
      <c r="FI8" s="207">
        <v>0.19</v>
      </c>
      <c r="FO8" s="152" t="s">
        <v>456</v>
      </c>
      <c r="FP8" s="207">
        <v>0.15</v>
      </c>
      <c r="FR8" t="s">
        <v>461</v>
      </c>
      <c r="FS8" s="207">
        <v>0.19</v>
      </c>
      <c r="FV8" s="151"/>
      <c r="FX8" s="298"/>
      <c r="FZ8" s="77"/>
      <c r="GC8" t="s">
        <v>586</v>
      </c>
      <c r="GD8" t="s">
        <v>585</v>
      </c>
      <c r="GH8" s="151"/>
      <c r="GJ8" s="77"/>
      <c r="GL8" s="151"/>
      <c r="GN8" s="77"/>
      <c r="GO8" t="s">
        <v>586</v>
      </c>
      <c r="GP8" t="s">
        <v>1168</v>
      </c>
      <c r="GS8" s="151"/>
      <c r="GU8" s="77"/>
      <c r="GV8" s="22" t="s">
        <v>1158</v>
      </c>
      <c r="GW8" s="22"/>
      <c r="GX8" s="22"/>
      <c r="GY8" s="22"/>
      <c r="GZ8" s="22"/>
      <c r="IH8" s="151"/>
    </row>
    <row r="9" spans="1:244">
      <c r="G9" s="77"/>
      <c r="H9" s="152"/>
      <c r="I9" s="152"/>
      <c r="J9" s="152"/>
      <c r="K9" s="152"/>
      <c r="L9" s="152"/>
      <c r="M9" s="21"/>
      <c r="AA9" s="151"/>
      <c r="AC9" s="77"/>
      <c r="AU9" s="151"/>
      <c r="AW9" s="77"/>
      <c r="AZ9" s="151"/>
      <c r="BB9" s="77"/>
      <c r="CF9" s="151"/>
      <c r="CH9" s="77"/>
      <c r="CJ9" s="151"/>
      <c r="CL9" s="77"/>
      <c r="CX9" s="151"/>
      <c r="CZ9" s="77"/>
      <c r="DK9" s="151"/>
      <c r="DM9" s="77"/>
      <c r="DX9" s="151"/>
      <c r="DZ9" s="77"/>
      <c r="EB9" s="151"/>
      <c r="ED9" s="77"/>
      <c r="ET9" s="151"/>
      <c r="EV9" s="77"/>
      <c r="EZ9" s="151"/>
      <c r="FB9" s="77"/>
      <c r="FV9" s="151"/>
      <c r="FX9" s="298"/>
      <c r="FZ9" s="77"/>
      <c r="GC9" s="386">
        <f>GA!G494</f>
        <v>1</v>
      </c>
      <c r="GD9" s="384">
        <f>GA!$G$499</f>
        <v>2500000</v>
      </c>
      <c r="GH9" s="151"/>
      <c r="GJ9" s="77"/>
      <c r="GL9" s="151"/>
      <c r="GN9" s="77"/>
      <c r="GO9" s="386">
        <f>GA!G648</f>
        <v>0</v>
      </c>
      <c r="GP9" s="384">
        <f>GA!G649</f>
        <v>0</v>
      </c>
      <c r="GS9" s="151"/>
      <c r="GU9" s="77"/>
      <c r="IH9" s="151"/>
    </row>
    <row r="10" spans="1:244" ht="17.25">
      <c r="G10" s="81" t="s">
        <v>139</v>
      </c>
      <c r="H10" s="81"/>
      <c r="I10" s="81"/>
      <c r="J10" s="81"/>
      <c r="K10" s="81"/>
      <c r="L10" s="81"/>
      <c r="M10" s="81"/>
      <c r="N10" s="82" t="s">
        <v>140</v>
      </c>
      <c r="O10" s="82"/>
      <c r="P10" s="86"/>
      <c r="R10" s="116" t="s">
        <v>1709</v>
      </c>
      <c r="S10" s="116"/>
      <c r="T10" s="131"/>
      <c r="V10" s="116" t="s">
        <v>142</v>
      </c>
      <c r="W10" s="131"/>
      <c r="X10" s="131"/>
      <c r="Y10" s="131"/>
      <c r="Z10" s="131"/>
      <c r="AA10" s="210"/>
      <c r="AC10" s="77"/>
      <c r="AU10" s="151"/>
      <c r="AW10" s="77"/>
      <c r="AZ10" s="151"/>
      <c r="BB10" s="329"/>
      <c r="BC10" s="116" t="s">
        <v>322</v>
      </c>
      <c r="BD10" s="116"/>
      <c r="BE10" s="116"/>
      <c r="BH10" s="116" t="s">
        <v>168</v>
      </c>
      <c r="BI10" s="116"/>
      <c r="BJ10" s="116"/>
      <c r="BK10" s="116" t="s">
        <v>99</v>
      </c>
      <c r="BL10" s="116"/>
      <c r="BM10" s="116"/>
      <c r="BN10" s="116" t="s">
        <v>169</v>
      </c>
      <c r="BO10" s="116"/>
      <c r="BP10" s="116"/>
      <c r="BQ10" s="116" t="s">
        <v>101</v>
      </c>
      <c r="BR10" s="116"/>
      <c r="BS10" s="116"/>
      <c r="BT10" s="116" t="s">
        <v>102</v>
      </c>
      <c r="BU10" s="116"/>
      <c r="BV10" s="116"/>
      <c r="BW10" s="116" t="s">
        <v>103</v>
      </c>
      <c r="BX10" s="116"/>
      <c r="BY10" s="116"/>
      <c r="CA10" s="116" t="s">
        <v>170</v>
      </c>
      <c r="CB10" s="116"/>
      <c r="CC10" s="116"/>
      <c r="CD10" s="116" t="s">
        <v>226</v>
      </c>
      <c r="CE10" s="116"/>
      <c r="CF10" s="82"/>
      <c r="CH10" s="81" t="s">
        <v>229</v>
      </c>
      <c r="CI10" s="116"/>
      <c r="CJ10" s="82"/>
      <c r="CL10" s="86" t="s">
        <v>242</v>
      </c>
      <c r="CM10" s="86"/>
      <c r="CN10" s="86"/>
      <c r="CO10" s="86"/>
      <c r="CP10" s="116" t="s">
        <v>245</v>
      </c>
      <c r="CQ10" s="116"/>
      <c r="CR10" s="116"/>
      <c r="CS10" s="116" t="s">
        <v>247</v>
      </c>
      <c r="CT10" s="116"/>
      <c r="CU10" s="116"/>
      <c r="CV10" s="116" t="s">
        <v>249</v>
      </c>
      <c r="CW10" s="116"/>
      <c r="CX10" s="82"/>
      <c r="CZ10" s="81" t="s">
        <v>251</v>
      </c>
      <c r="DA10" s="116"/>
      <c r="DB10" s="116"/>
      <c r="DC10" s="116" t="s">
        <v>254</v>
      </c>
      <c r="DD10" s="116"/>
      <c r="DE10" s="116"/>
      <c r="DF10" s="116" t="s">
        <v>247</v>
      </c>
      <c r="DG10" s="116"/>
      <c r="DH10" s="116"/>
      <c r="DI10" s="116" t="s">
        <v>249</v>
      </c>
      <c r="DJ10" s="116"/>
      <c r="DK10" s="82"/>
      <c r="DM10" s="81" t="s">
        <v>251</v>
      </c>
      <c r="DN10" s="116"/>
      <c r="DO10" s="116"/>
      <c r="DP10" s="116" t="s">
        <v>256</v>
      </c>
      <c r="DQ10" s="116"/>
      <c r="DR10" s="116"/>
      <c r="DS10" s="116" t="s">
        <v>247</v>
      </c>
      <c r="DT10" s="116"/>
      <c r="DU10" s="116"/>
      <c r="DV10" s="116" t="s">
        <v>249</v>
      </c>
      <c r="DW10" s="116"/>
      <c r="DX10" s="82"/>
      <c r="DZ10" s="346"/>
      <c r="EA10" s="17"/>
      <c r="EB10" s="317"/>
      <c r="ED10" s="81" t="s">
        <v>263</v>
      </c>
      <c r="EE10" s="81"/>
      <c r="EF10" s="81"/>
      <c r="EG10" s="81"/>
      <c r="EH10" s="81"/>
      <c r="EJ10" s="116" t="s">
        <v>492</v>
      </c>
      <c r="EK10" s="116"/>
      <c r="EL10" s="116"/>
      <c r="EN10" s="116" t="s">
        <v>265</v>
      </c>
      <c r="EO10" s="116"/>
      <c r="EQ10" s="116" t="s">
        <v>268</v>
      </c>
      <c r="ER10" s="116"/>
      <c r="ES10" s="116"/>
      <c r="ET10" s="82"/>
      <c r="EV10" s="77"/>
      <c r="EZ10" s="151"/>
      <c r="FB10" s="81" t="s">
        <v>454</v>
      </c>
      <c r="FC10" s="131"/>
      <c r="FD10" s="131"/>
      <c r="FE10" s="131"/>
      <c r="FF10" s="131"/>
      <c r="FG10" s="131"/>
      <c r="FH10" s="131"/>
      <c r="FI10" s="131"/>
      <c r="FJ10" s="131"/>
      <c r="FL10" s="116" t="s">
        <v>465</v>
      </c>
      <c r="FM10" s="131"/>
      <c r="FN10" s="131"/>
      <c r="FO10" s="131"/>
      <c r="FP10" s="131"/>
      <c r="FQ10" s="131"/>
      <c r="FR10" s="131"/>
      <c r="FS10" s="131"/>
      <c r="FT10" s="131"/>
      <c r="FV10" s="151"/>
      <c r="FX10" s="298"/>
      <c r="FZ10" s="77"/>
      <c r="GF10" s="116" t="s">
        <v>569</v>
      </c>
      <c r="GG10" s="116"/>
      <c r="GH10" s="82"/>
      <c r="GJ10" s="86" t="s">
        <v>569</v>
      </c>
      <c r="GK10" s="217"/>
      <c r="GL10" s="251"/>
      <c r="GN10" s="77"/>
      <c r="GQ10" s="116" t="s">
        <v>569</v>
      </c>
      <c r="GR10" s="116"/>
      <c r="GS10" s="82"/>
      <c r="GU10" s="77"/>
      <c r="IH10" s="151"/>
    </row>
    <row r="11" spans="1:244" ht="45">
      <c r="C11" s="162" t="s">
        <v>4</v>
      </c>
      <c r="D11" s="95"/>
      <c r="E11" s="162" t="s">
        <v>106</v>
      </c>
      <c r="F11" s="95"/>
      <c r="G11" s="163" t="str">
        <f>GA!$E$31</f>
        <v>IPO Case</v>
      </c>
      <c r="H11" s="164" t="str">
        <f>GA!$E$32</f>
        <v>3y Case</v>
      </c>
      <c r="I11" s="165" t="s">
        <v>224</v>
      </c>
      <c r="J11" s="165" t="s">
        <v>224</v>
      </c>
      <c r="K11" s="165" t="s">
        <v>225</v>
      </c>
      <c r="L11" s="165" t="s">
        <v>225</v>
      </c>
      <c r="M11" s="165" t="s">
        <v>137</v>
      </c>
      <c r="N11" s="164" t="str">
        <f>GA!$E$31</f>
        <v>IPO Case</v>
      </c>
      <c r="O11" s="164" t="str">
        <f>GA!$E$32</f>
        <v>3y Case</v>
      </c>
      <c r="P11" s="165" t="s">
        <v>141</v>
      </c>
      <c r="Q11" s="166"/>
      <c r="R11" s="164" t="str">
        <f>GA!$E$31</f>
        <v>IPO Case</v>
      </c>
      <c r="S11" s="164" t="str">
        <f>GA!$E$32</f>
        <v>3y Case</v>
      </c>
      <c r="T11" s="165" t="s">
        <v>1710</v>
      </c>
      <c r="U11" s="166"/>
      <c r="V11" s="164" t="str">
        <f>GA!$E$31</f>
        <v>IPO Case</v>
      </c>
      <c r="W11" s="165" t="s">
        <v>143</v>
      </c>
      <c r="X11" s="164" t="str">
        <f>GA!$E$32</f>
        <v>3y Case</v>
      </c>
      <c r="Y11" s="165" t="s">
        <v>143</v>
      </c>
      <c r="Z11" s="165" t="s">
        <v>144</v>
      </c>
      <c r="AA11" s="167" t="s">
        <v>145</v>
      </c>
      <c r="AB11" s="168"/>
      <c r="AC11" s="96" t="s">
        <v>109</v>
      </c>
      <c r="AD11" s="169" t="s">
        <v>110</v>
      </c>
      <c r="AE11" s="169" t="s">
        <v>111</v>
      </c>
      <c r="AF11" s="169" t="s">
        <v>112</v>
      </c>
      <c r="AG11" s="169" t="s">
        <v>113</v>
      </c>
      <c r="AH11" s="169" t="s">
        <v>114</v>
      </c>
      <c r="AI11" s="169" t="s">
        <v>264</v>
      </c>
      <c r="AJ11" s="169" t="s">
        <v>115</v>
      </c>
      <c r="AK11" s="169" t="s">
        <v>116</v>
      </c>
      <c r="AL11" s="169" t="s">
        <v>117</v>
      </c>
      <c r="AM11" s="169" t="s">
        <v>1480</v>
      </c>
      <c r="AN11" s="169" t="s">
        <v>118</v>
      </c>
      <c r="AO11" s="169" t="s">
        <v>135</v>
      </c>
      <c r="AP11" s="169" t="s">
        <v>157</v>
      </c>
      <c r="AQ11" s="169" t="s">
        <v>156</v>
      </c>
      <c r="AR11" s="165" t="s">
        <v>159</v>
      </c>
      <c r="AS11" s="169" t="s">
        <v>158</v>
      </c>
      <c r="AT11" s="169" t="s">
        <v>155</v>
      </c>
      <c r="AU11" s="170" t="s">
        <v>160</v>
      </c>
      <c r="AV11" s="168"/>
      <c r="AW11" s="96" t="s">
        <v>1012</v>
      </c>
      <c r="AX11" s="169" t="s">
        <v>1013</v>
      </c>
      <c r="AY11" s="169" t="s">
        <v>1014</v>
      </c>
      <c r="AZ11" s="169" t="s">
        <v>1072</v>
      </c>
      <c r="BA11" s="168"/>
      <c r="BB11" s="171" t="s">
        <v>165</v>
      </c>
      <c r="BC11" s="165" t="s">
        <v>162</v>
      </c>
      <c r="BD11" s="165" t="s">
        <v>163</v>
      </c>
      <c r="BE11" s="165" t="s">
        <v>164</v>
      </c>
      <c r="BF11" s="166" t="s">
        <v>166</v>
      </c>
      <c r="BG11" s="166" t="s">
        <v>167</v>
      </c>
      <c r="BH11" s="165" t="s">
        <v>162</v>
      </c>
      <c r="BI11" s="165" t="s">
        <v>163</v>
      </c>
      <c r="BJ11" s="165" t="s">
        <v>164</v>
      </c>
      <c r="BK11" s="165" t="s">
        <v>162</v>
      </c>
      <c r="BL11" s="165" t="s">
        <v>163</v>
      </c>
      <c r="BM11" s="165" t="s">
        <v>164</v>
      </c>
      <c r="BN11" s="165" t="s">
        <v>162</v>
      </c>
      <c r="BO11" s="165" t="s">
        <v>163</v>
      </c>
      <c r="BP11" s="165" t="s">
        <v>164</v>
      </c>
      <c r="BQ11" s="165" t="s">
        <v>162</v>
      </c>
      <c r="BR11" s="165" t="s">
        <v>163</v>
      </c>
      <c r="BS11" s="165" t="s">
        <v>164</v>
      </c>
      <c r="BT11" s="165" t="s">
        <v>162</v>
      </c>
      <c r="BU11" s="165" t="s">
        <v>163</v>
      </c>
      <c r="BV11" s="165" t="s">
        <v>164</v>
      </c>
      <c r="BW11" s="165" t="s">
        <v>162</v>
      </c>
      <c r="BX11" s="165" t="s">
        <v>163</v>
      </c>
      <c r="BY11" s="167" t="s">
        <v>164</v>
      </c>
      <c r="BZ11" s="95"/>
      <c r="CA11" s="171" t="s">
        <v>162</v>
      </c>
      <c r="CB11" s="165" t="s">
        <v>163</v>
      </c>
      <c r="CC11" s="165" t="s">
        <v>164</v>
      </c>
      <c r="CD11" s="165" t="s">
        <v>162</v>
      </c>
      <c r="CE11" s="165" t="s">
        <v>163</v>
      </c>
      <c r="CF11" s="167" t="s">
        <v>164</v>
      </c>
      <c r="CG11" s="168"/>
      <c r="CH11" s="163" t="str">
        <f>GA!$E$31</f>
        <v>IPO Case</v>
      </c>
      <c r="CI11" s="164" t="str">
        <f>GA!$E$32</f>
        <v>3y Case</v>
      </c>
      <c r="CJ11" s="167" t="s">
        <v>230</v>
      </c>
      <c r="CK11" s="168"/>
      <c r="CL11" s="171" t="s">
        <v>244</v>
      </c>
      <c r="CM11" s="164" t="str">
        <f>GA!$E$31</f>
        <v>IPO Case</v>
      </c>
      <c r="CN11" s="164" t="str">
        <f>GA!$E$32</f>
        <v>3y Case</v>
      </c>
      <c r="CO11" s="165" t="s">
        <v>243</v>
      </c>
      <c r="CP11" s="164" t="str">
        <f>GA!$E$31</f>
        <v>IPO Case</v>
      </c>
      <c r="CQ11" s="164" t="str">
        <f>GA!$E$32</f>
        <v>3y Case</v>
      </c>
      <c r="CR11" s="165" t="s">
        <v>246</v>
      </c>
      <c r="CS11" s="164" t="str">
        <f>GA!$E$31</f>
        <v>IPO Case</v>
      </c>
      <c r="CT11" s="164" t="str">
        <f>GA!$E$32</f>
        <v>3y Case</v>
      </c>
      <c r="CU11" s="165" t="s">
        <v>248</v>
      </c>
      <c r="CV11" s="164" t="str">
        <f>GA!$E$31</f>
        <v>IPO Case</v>
      </c>
      <c r="CW11" s="164" t="str">
        <f>GA!$E$32</f>
        <v>3y Case</v>
      </c>
      <c r="CX11" s="167" t="s">
        <v>250</v>
      </c>
      <c r="CY11" s="168"/>
      <c r="CZ11" s="163" t="str">
        <f>GA!$E$31</f>
        <v>IPO Case</v>
      </c>
      <c r="DA11" s="164" t="str">
        <f>GA!$E$32</f>
        <v>3y Case</v>
      </c>
      <c r="DB11" s="165" t="s">
        <v>252</v>
      </c>
      <c r="DC11" s="164" t="str">
        <f>GA!$E$31</f>
        <v>IPO Case</v>
      </c>
      <c r="DD11" s="164" t="str">
        <f>GA!$E$32</f>
        <v>3y Case</v>
      </c>
      <c r="DE11" s="165" t="s">
        <v>246</v>
      </c>
      <c r="DF11" s="164" t="str">
        <f>GA!$E$31</f>
        <v>IPO Case</v>
      </c>
      <c r="DG11" s="164" t="str">
        <f>GA!$E$32</f>
        <v>3y Case</v>
      </c>
      <c r="DH11" s="165" t="s">
        <v>248</v>
      </c>
      <c r="DI11" s="164" t="str">
        <f>GA!$E$31</f>
        <v>IPO Case</v>
      </c>
      <c r="DJ11" s="164" t="str">
        <f>GA!$E$32</f>
        <v>3y Case</v>
      </c>
      <c r="DK11" s="167" t="s">
        <v>250</v>
      </c>
      <c r="DL11" s="168"/>
      <c r="DM11" s="163" t="str">
        <f>GA!$E$31</f>
        <v>IPO Case</v>
      </c>
      <c r="DN11" s="164" t="str">
        <f>GA!$E$32</f>
        <v>3y Case</v>
      </c>
      <c r="DO11" s="165" t="s">
        <v>252</v>
      </c>
      <c r="DP11" s="164" t="str">
        <f>GA!$E$31</f>
        <v>IPO Case</v>
      </c>
      <c r="DQ11" s="164" t="str">
        <f>GA!$E$32</f>
        <v>3y Case</v>
      </c>
      <c r="DR11" s="165" t="s">
        <v>246</v>
      </c>
      <c r="DS11" s="164" t="str">
        <f>GA!$E$31</f>
        <v>IPO Case</v>
      </c>
      <c r="DT11" s="164" t="str">
        <f>GA!$E$32</f>
        <v>3y Case</v>
      </c>
      <c r="DU11" s="165" t="s">
        <v>248</v>
      </c>
      <c r="DV11" s="164" t="str">
        <f>GA!$E$31</f>
        <v>IPO Case</v>
      </c>
      <c r="DW11" s="164" t="str">
        <f>GA!$E$32</f>
        <v>3y Case</v>
      </c>
      <c r="DX11" s="167" t="s">
        <v>250</v>
      </c>
      <c r="DY11" s="168"/>
      <c r="DZ11" s="171" t="s">
        <v>292</v>
      </c>
      <c r="EA11" s="165" t="s">
        <v>1161</v>
      </c>
      <c r="EB11" s="170" t="s">
        <v>1162</v>
      </c>
      <c r="EC11" s="168"/>
      <c r="ED11" s="171" t="s">
        <v>258</v>
      </c>
      <c r="EE11" s="165" t="s">
        <v>259</v>
      </c>
      <c r="EF11" s="165" t="s">
        <v>260</v>
      </c>
      <c r="EG11" s="165" t="s">
        <v>261</v>
      </c>
      <c r="EH11" s="170" t="s">
        <v>262</v>
      </c>
      <c r="EI11" s="166"/>
      <c r="EJ11" s="96" t="s">
        <v>162</v>
      </c>
      <c r="EK11" s="169" t="s">
        <v>491</v>
      </c>
      <c r="EL11" s="170" t="s">
        <v>493</v>
      </c>
      <c r="EM11" s="166"/>
      <c r="EN11" s="96" t="s">
        <v>266</v>
      </c>
      <c r="EO11" s="170" t="s">
        <v>267</v>
      </c>
      <c r="EP11" s="166"/>
      <c r="EQ11" s="96" t="s">
        <v>227</v>
      </c>
      <c r="ER11" s="169" t="s">
        <v>266</v>
      </c>
      <c r="ES11" s="169" t="s">
        <v>270</v>
      </c>
      <c r="ET11" s="170" t="s">
        <v>267</v>
      </c>
      <c r="EU11" s="168"/>
      <c r="EV11" s="96" t="s">
        <v>425</v>
      </c>
      <c r="EW11" s="169" t="s">
        <v>426</v>
      </c>
      <c r="EX11" s="169" t="s">
        <v>427</v>
      </c>
      <c r="EY11" s="169" t="s">
        <v>428</v>
      </c>
      <c r="EZ11" s="170" t="s">
        <v>429</v>
      </c>
      <c r="FA11" s="168"/>
      <c r="FB11" s="96" t="s">
        <v>162</v>
      </c>
      <c r="FC11" s="218" t="str">
        <f>GA!$E$31</f>
        <v>IPO Case</v>
      </c>
      <c r="FD11" s="218" t="str">
        <f>GA!$E$32</f>
        <v>3y Case</v>
      </c>
      <c r="FE11" s="169" t="s">
        <v>164</v>
      </c>
      <c r="FF11" s="169" t="s">
        <v>455</v>
      </c>
      <c r="FG11" s="169" t="s">
        <v>457</v>
      </c>
      <c r="FH11" s="169" t="s">
        <v>458</v>
      </c>
      <c r="FI11" s="169" t="s">
        <v>459</v>
      </c>
      <c r="FJ11" s="170" t="s">
        <v>460</v>
      </c>
      <c r="FL11" s="96" t="s">
        <v>162</v>
      </c>
      <c r="FM11" s="218" t="str">
        <f>GA!$E$31</f>
        <v>IPO Case</v>
      </c>
      <c r="FN11" s="218" t="str">
        <f>GA!$E$32</f>
        <v>3y Case</v>
      </c>
      <c r="FO11" s="169" t="s">
        <v>164</v>
      </c>
      <c r="FP11" s="169" t="s">
        <v>455</v>
      </c>
      <c r="FQ11" s="169" t="s">
        <v>457</v>
      </c>
      <c r="FR11" s="169" t="s">
        <v>458</v>
      </c>
      <c r="FS11" s="169" t="s">
        <v>459</v>
      </c>
      <c r="FT11" s="170" t="s">
        <v>460</v>
      </c>
      <c r="FV11" s="101" t="s">
        <v>466</v>
      </c>
      <c r="FW11" s="168"/>
      <c r="FX11" s="97" t="s">
        <v>562</v>
      </c>
      <c r="FY11" s="168"/>
      <c r="FZ11" s="96" t="s">
        <v>266</v>
      </c>
      <c r="GA11" s="169" t="s">
        <v>474</v>
      </c>
      <c r="GB11" s="169" t="s">
        <v>442</v>
      </c>
      <c r="GC11" s="169" t="s">
        <v>565</v>
      </c>
      <c r="GD11" s="169" t="s">
        <v>588</v>
      </c>
      <c r="GE11" s="169" t="s">
        <v>567</v>
      </c>
      <c r="GF11" s="169" t="s">
        <v>162</v>
      </c>
      <c r="GG11" s="169" t="s">
        <v>568</v>
      </c>
      <c r="GH11" s="170" t="s">
        <v>566</v>
      </c>
      <c r="GJ11" s="96" t="s">
        <v>162</v>
      </c>
      <c r="GK11" s="169" t="s">
        <v>568</v>
      </c>
      <c r="GL11" s="170" t="s">
        <v>566</v>
      </c>
      <c r="GN11" s="171" t="s">
        <v>565</v>
      </c>
      <c r="GO11" s="165" t="s">
        <v>1169</v>
      </c>
      <c r="GP11" s="169" t="s">
        <v>1170</v>
      </c>
      <c r="GQ11" s="169" t="s">
        <v>162</v>
      </c>
      <c r="GR11" s="169" t="s">
        <v>568</v>
      </c>
      <c r="GS11" s="170" t="s">
        <v>566</v>
      </c>
      <c r="GU11" s="1106">
        <v>1</v>
      </c>
      <c r="GV11" s="1107">
        <v>2</v>
      </c>
      <c r="GW11" s="1107">
        <v>3</v>
      </c>
      <c r="GX11" s="1107">
        <v>4</v>
      </c>
      <c r="GY11" s="1107">
        <v>5</v>
      </c>
      <c r="GZ11" s="1107">
        <v>6</v>
      </c>
      <c r="HA11" s="1107">
        <v>7</v>
      </c>
      <c r="HB11" s="1107">
        <v>8</v>
      </c>
      <c r="HC11" s="1107">
        <v>9</v>
      </c>
      <c r="HD11" s="1107">
        <v>10</v>
      </c>
      <c r="HE11" s="1107">
        <v>11</v>
      </c>
      <c r="HF11" s="1107">
        <v>12</v>
      </c>
      <c r="HG11" s="1107">
        <v>13</v>
      </c>
      <c r="HH11" s="1107">
        <v>14</v>
      </c>
      <c r="HI11" s="1107">
        <v>15</v>
      </c>
      <c r="HJ11" s="1107">
        <v>16</v>
      </c>
      <c r="HK11" s="1107">
        <v>17</v>
      </c>
      <c r="HL11" s="1107">
        <v>18</v>
      </c>
      <c r="HM11" s="1107">
        <v>19</v>
      </c>
      <c r="HN11" s="1107">
        <v>20</v>
      </c>
      <c r="HO11" s="1107">
        <v>21</v>
      </c>
      <c r="HP11" s="1107">
        <v>22</v>
      </c>
      <c r="HQ11" s="1107">
        <v>23</v>
      </c>
      <c r="HR11" s="1107">
        <v>24</v>
      </c>
      <c r="HS11" s="1107">
        <v>25</v>
      </c>
      <c r="HT11" s="1107">
        <v>26</v>
      </c>
      <c r="HU11" s="1107">
        <v>27</v>
      </c>
      <c r="HV11" s="1107">
        <v>28</v>
      </c>
      <c r="HW11" s="1107">
        <v>29</v>
      </c>
      <c r="HX11" s="1107">
        <v>30</v>
      </c>
      <c r="HY11" s="1107">
        <v>31</v>
      </c>
      <c r="HZ11" s="1107">
        <v>32</v>
      </c>
      <c r="IA11" s="1107">
        <v>33</v>
      </c>
      <c r="IB11" s="1107">
        <v>34</v>
      </c>
      <c r="IC11" s="1107">
        <v>35</v>
      </c>
      <c r="ID11" s="1107">
        <v>36</v>
      </c>
      <c r="IE11" s="1107">
        <v>37</v>
      </c>
      <c r="IF11" s="1107">
        <v>38</v>
      </c>
      <c r="IG11" s="1107">
        <v>39</v>
      </c>
      <c r="IH11" s="1108">
        <v>40</v>
      </c>
      <c r="IJ11" t="s">
        <v>152</v>
      </c>
    </row>
    <row r="12" spans="1:244">
      <c r="C12" s="110"/>
      <c r="E12" s="110"/>
      <c r="G12" s="111"/>
      <c r="H12" s="112"/>
      <c r="I12" s="112"/>
      <c r="J12" s="112"/>
      <c r="K12" s="112"/>
      <c r="L12" s="112"/>
      <c r="M12" s="113"/>
      <c r="N12" s="112"/>
      <c r="O12" s="112"/>
      <c r="P12" s="113"/>
      <c r="Q12" s="109"/>
      <c r="R12" s="112"/>
      <c r="S12" s="112"/>
      <c r="T12" s="113"/>
      <c r="U12" s="109"/>
      <c r="V12" s="112"/>
      <c r="W12" s="113"/>
      <c r="X12" s="112"/>
      <c r="Y12" s="113"/>
      <c r="Z12" s="113"/>
      <c r="AA12" s="114"/>
      <c r="AB12" s="49"/>
      <c r="AC12" s="115"/>
      <c r="AD12" s="113"/>
      <c r="AE12" s="113"/>
      <c r="AF12" s="113"/>
      <c r="AG12" s="113"/>
      <c r="AH12" s="113"/>
      <c r="AI12" s="113"/>
      <c r="AJ12" s="113"/>
      <c r="AK12" s="113"/>
      <c r="AL12" s="113"/>
      <c r="AM12" s="113"/>
      <c r="AN12" s="113"/>
      <c r="AO12" s="113"/>
      <c r="AP12" s="113"/>
      <c r="AQ12" s="113"/>
      <c r="AR12" s="113"/>
      <c r="AS12" s="113"/>
      <c r="AT12" s="113"/>
      <c r="AU12" s="114"/>
      <c r="AV12" s="49"/>
      <c r="AW12" s="115"/>
      <c r="AX12" s="113"/>
      <c r="AY12" s="113"/>
      <c r="AZ12" s="114"/>
      <c r="BA12" s="49"/>
      <c r="BB12" s="115"/>
      <c r="BC12" s="153"/>
      <c r="BD12" s="153"/>
      <c r="BE12" s="248"/>
      <c r="BF12" s="153"/>
      <c r="BG12" s="153"/>
      <c r="BH12" s="153"/>
      <c r="BI12" s="153"/>
      <c r="BJ12" s="153"/>
      <c r="BK12" s="153"/>
      <c r="BL12" s="153"/>
      <c r="BM12" s="153"/>
      <c r="BN12" s="153"/>
      <c r="BO12" s="153"/>
      <c r="BP12" s="153"/>
      <c r="BQ12" s="153"/>
      <c r="BR12" s="153"/>
      <c r="BS12" s="153"/>
      <c r="BT12" s="153"/>
      <c r="BU12" s="153"/>
      <c r="BV12" s="153"/>
      <c r="BW12" s="153"/>
      <c r="BX12" s="153"/>
      <c r="BY12" s="161"/>
      <c r="CA12" s="160"/>
      <c r="CB12" s="153"/>
      <c r="CC12" s="153"/>
      <c r="CD12" s="153"/>
      <c r="CE12" s="153"/>
      <c r="CF12" s="173"/>
      <c r="CG12" s="49"/>
      <c r="CH12" s="111"/>
      <c r="CI12" s="112"/>
      <c r="CJ12" s="176"/>
      <c r="CK12" s="49"/>
      <c r="CL12" s="111"/>
      <c r="CM12" s="112"/>
      <c r="CN12" s="112"/>
      <c r="CO12" s="112"/>
      <c r="CP12" s="112"/>
      <c r="CQ12" s="112"/>
      <c r="CR12" s="112"/>
      <c r="CS12" s="112"/>
      <c r="CT12" s="112"/>
      <c r="CU12" s="112"/>
      <c r="CV12" s="112"/>
      <c r="CW12" s="112"/>
      <c r="CX12" s="176"/>
      <c r="CY12" s="49"/>
      <c r="CZ12" s="111"/>
      <c r="DA12" s="112"/>
      <c r="DB12" s="112"/>
      <c r="DC12" s="112"/>
      <c r="DD12" s="112"/>
      <c r="DE12" s="112"/>
      <c r="DF12" s="112"/>
      <c r="DG12" s="112"/>
      <c r="DH12" s="112"/>
      <c r="DI12" s="112"/>
      <c r="DJ12" s="112"/>
      <c r="DK12" s="176"/>
      <c r="DL12" s="49"/>
      <c r="DM12" s="111"/>
      <c r="DN12" s="112"/>
      <c r="DO12" s="112"/>
      <c r="DP12" s="112"/>
      <c r="DQ12" s="112"/>
      <c r="DR12" s="112"/>
      <c r="DS12" s="112"/>
      <c r="DT12" s="112"/>
      <c r="DU12" s="112"/>
      <c r="DV12" s="112"/>
      <c r="DW12" s="112"/>
      <c r="DX12" s="176"/>
      <c r="DY12" s="49"/>
      <c r="DZ12" s="111"/>
      <c r="EA12" s="112"/>
      <c r="EB12" s="176"/>
      <c r="EC12" s="49"/>
      <c r="ED12" s="111"/>
      <c r="EE12" s="112"/>
      <c r="EF12" s="112"/>
      <c r="EG12" s="112"/>
      <c r="EH12" s="176"/>
      <c r="EI12" s="166"/>
      <c r="EJ12" s="351"/>
      <c r="EK12" s="182"/>
      <c r="EL12" s="350"/>
      <c r="EM12" s="166"/>
      <c r="EN12" s="111"/>
      <c r="EO12" s="208"/>
      <c r="EP12" s="166"/>
      <c r="EQ12" s="111"/>
      <c r="ER12" s="112"/>
      <c r="ES12" s="112"/>
      <c r="ET12" s="208"/>
      <c r="EU12" s="49"/>
      <c r="EV12" s="111"/>
      <c r="EW12" s="112"/>
      <c r="EX12" s="112"/>
      <c r="EY12" s="112"/>
      <c r="EZ12" s="176"/>
      <c r="FA12" s="49"/>
      <c r="FB12" s="111"/>
      <c r="FC12" s="112"/>
      <c r="FD12" s="112"/>
      <c r="FE12" s="112"/>
      <c r="FF12" s="112"/>
      <c r="FG12" s="112"/>
      <c r="FH12" s="182"/>
      <c r="FI12" s="182"/>
      <c r="FJ12" s="350"/>
      <c r="FK12" s="349"/>
      <c r="FL12" s="111"/>
      <c r="FM12" s="112"/>
      <c r="FN12" s="112"/>
      <c r="FO12" s="112"/>
      <c r="FP12" s="112"/>
      <c r="FQ12" s="112"/>
      <c r="FR12" s="182"/>
      <c r="FS12" s="182"/>
      <c r="FT12" s="350"/>
      <c r="FU12" s="349"/>
      <c r="FV12" s="352"/>
      <c r="FW12" s="49"/>
      <c r="FX12" s="352"/>
      <c r="FY12" s="49"/>
      <c r="FZ12" s="111"/>
      <c r="GA12" s="112"/>
      <c r="GB12" s="112"/>
      <c r="GC12" s="112"/>
      <c r="GD12" s="112"/>
      <c r="GE12" s="112"/>
      <c r="GF12" s="112"/>
      <c r="GG12" s="112"/>
      <c r="GH12" s="176"/>
      <c r="GJ12" s="111"/>
      <c r="GK12" s="112"/>
      <c r="GL12" s="176"/>
      <c r="GN12" s="111"/>
      <c r="GO12" s="112"/>
      <c r="GP12" s="112"/>
      <c r="GQ12" s="112"/>
      <c r="GR12" s="112"/>
      <c r="GS12" s="176"/>
      <c r="GU12" s="111"/>
      <c r="GV12" s="112"/>
      <c r="GW12" s="112"/>
      <c r="GX12" s="112"/>
      <c r="GY12" s="112"/>
      <c r="GZ12" s="112"/>
      <c r="HA12" s="112"/>
      <c r="HB12" s="112"/>
      <c r="HC12" s="112"/>
      <c r="HD12" s="112"/>
      <c r="HE12" s="112"/>
      <c r="HF12" s="112"/>
      <c r="HG12" s="112"/>
      <c r="HH12" s="112"/>
      <c r="HI12" s="112"/>
      <c r="HJ12" s="112"/>
      <c r="HK12" s="112"/>
      <c r="HL12" s="112"/>
      <c r="HM12" s="112"/>
      <c r="HN12" s="112"/>
      <c r="HO12" s="112"/>
      <c r="HP12" s="112"/>
      <c r="HQ12" s="112"/>
      <c r="HR12" s="112"/>
      <c r="HS12" s="112"/>
      <c r="HT12" s="112"/>
      <c r="HU12" s="112"/>
      <c r="HV12" s="112"/>
      <c r="HW12" s="112"/>
      <c r="HX12" s="112"/>
      <c r="HY12" s="112"/>
      <c r="HZ12" s="112"/>
      <c r="IA12" s="112"/>
      <c r="IB12" s="112"/>
      <c r="IC12" s="112"/>
      <c r="ID12" s="112"/>
      <c r="IE12" s="112"/>
      <c r="IF12" s="112"/>
      <c r="IG12" s="112"/>
      <c r="IH12" s="176"/>
    </row>
    <row r="13" spans="1:244">
      <c r="C13" s="73">
        <v>1</v>
      </c>
      <c r="E13" s="158">
        <v>1</v>
      </c>
      <c r="G13" s="159">
        <v>12</v>
      </c>
      <c r="H13" s="180">
        <f>G13</f>
        <v>12</v>
      </c>
      <c r="I13" s="1089"/>
      <c r="J13" s="1363">
        <f>IF($I13="",GA!$G$487,$I13)*$E13</f>
        <v>0</v>
      </c>
      <c r="K13" s="198"/>
      <c r="L13" s="1364">
        <f>IF($K13="",GA!$G$488,$K13)*$E13</f>
        <v>0</v>
      </c>
      <c r="M13" s="1363">
        <f>(CHOOSE($I$8,G13,H13)+$J13+GA!$G$721)*(1+$L13)*$E13</f>
        <v>12</v>
      </c>
      <c r="N13" s="121"/>
      <c r="O13" s="121"/>
      <c r="P13" s="261">
        <f>CHOOSE($I$8,N13,O13)*$E13</f>
        <v>0</v>
      </c>
      <c r="R13" s="84">
        <v>1</v>
      </c>
      <c r="S13" s="84">
        <v>1</v>
      </c>
      <c r="T13" s="1367">
        <f>CHOOSE(GA!$F$30,$R13,$S13)</f>
        <v>1</v>
      </c>
      <c r="V13" s="84">
        <v>12</v>
      </c>
      <c r="W13" s="1365">
        <f>EOMONTH(GA!$G$53,V13*3-1)*$E13</f>
        <v>45351</v>
      </c>
      <c r="X13" s="84">
        <f>V13</f>
        <v>12</v>
      </c>
      <c r="Y13" s="1365">
        <f>EOMONTH(GA!$G$53,X13*3-1)*$E13</f>
        <v>45351</v>
      </c>
      <c r="Z13" s="1366">
        <f>GA!$G$722*$E13</f>
        <v>0</v>
      </c>
      <c r="AA13" s="1367">
        <f>MAX(CHOOSE($I$8,V13,X13)+Z13,GA!$G$723)*$E13</f>
        <v>12</v>
      </c>
      <c r="AC13" s="1598" t="str">
        <f>INDEX(RR!$H$23:$H$25,MATCH(AA!$C13,RR!$C$23:$C$25,0))</f>
        <v>backup</v>
      </c>
      <c r="AD13" s="78">
        <v>12345</v>
      </c>
      <c r="AE13" s="1598" t="str">
        <f>INDEX(RR!$I$23:$I$25,MATCH(AA!$C13,RR!$C$23:$C$25,0))</f>
        <v>backup</v>
      </c>
      <c r="AF13" s="79" t="s">
        <v>119</v>
      </c>
      <c r="AG13" s="79" t="s">
        <v>132</v>
      </c>
      <c r="AH13" s="1331">
        <f>GA!$G$315*IF($AF13=GA!$G$294,INDEX(GA!$G$296:$G$311,MATCH($AG13,GA!$E$296:$E$311,0)),IF($AF13=GA!$E$313,GA!$G$313,"check"))*$E13</f>
        <v>0.05</v>
      </c>
      <c r="AI13" s="80" t="s">
        <v>77</v>
      </c>
      <c r="AJ13" s="80"/>
      <c r="AK13" s="80"/>
      <c r="AL13" s="80" t="s">
        <v>1481</v>
      </c>
      <c r="AM13" s="1426"/>
      <c r="AN13" s="876" t="str">
        <f>IF(E13=1,INDEX(TA!R:R,MATCH(C13&amp;" - 1",TA!D:D,0)),0)</f>
        <v>backup</v>
      </c>
      <c r="AO13" s="119"/>
      <c r="AP13" s="913">
        <f>SUMIFS(TA!$V:$V,TA!$C:$C,$C13)*$E13</f>
        <v>1000</v>
      </c>
      <c r="AQ13" s="882">
        <f>SUMIFS(TA!$V:$V,TA!$C:$C,$C13,TA!$R:$R,"vacant")*$E13</f>
        <v>0</v>
      </c>
      <c r="AR13" s="914">
        <f>IFERROR(AQ13/AP13,0)</f>
        <v>0</v>
      </c>
      <c r="AS13" s="746">
        <f>AP13-AQ13</f>
        <v>1000</v>
      </c>
      <c r="AT13" s="1333">
        <f>IFERROR(IF(AR13=1,1,SUMIFS(RR!P:P,RR!G:G,$C13,RR!K:K,"&lt;&gt;vacant",RR!S:S,"&lt;&gt;vatable")/SUMIFS(RR!P:P,RR!G:G,$C13,RR!K:K,"&lt;&gt;vacant"))*$E13,0)</f>
        <v>0</v>
      </c>
      <c r="AU13" s="1334">
        <f>(1-AT13)*$E13</f>
        <v>1</v>
      </c>
      <c r="AW13" s="731"/>
      <c r="AX13" s="246"/>
      <c r="AY13" s="246"/>
      <c r="AZ13" s="732"/>
      <c r="BB13" s="1335">
        <f>SUMIFS(TA!$AJ$15:$AJ$17,TA!$C$15:$C$17,C13)*$E13</f>
        <v>100000</v>
      </c>
      <c r="BC13" s="261">
        <f>$BC$8*$AS13*12*$E13</f>
        <v>0</v>
      </c>
      <c r="BD13" s="246"/>
      <c r="BE13" s="1336">
        <f>IF(BD13&lt;&gt;"",BD13*12*AS13,BC13)*$E13</f>
        <v>0</v>
      </c>
      <c r="BF13" s="247"/>
      <c r="BG13" s="283">
        <f>SUM(BE13:BF13,BB13)*$E13</f>
        <v>100000</v>
      </c>
      <c r="BH13" s="1338">
        <f>GA!$G$119*$E13</f>
        <v>0</v>
      </c>
      <c r="BI13" s="1303"/>
      <c r="BJ13" s="1338">
        <f>IF(BI13&lt;&gt;"",BI13,BH13)*$E13</f>
        <v>0</v>
      </c>
      <c r="BK13" s="1338">
        <f>GA!$G$120*$E13</f>
        <v>4.2500000000000003E-2</v>
      </c>
      <c r="BL13" s="1303">
        <f>IFERROR(INDEX(GA!L$120:R$120,MATCH($AI13,GA!$L$117:$R$117,0)),"")</f>
        <v>1.2E-2</v>
      </c>
      <c r="BM13" s="1338">
        <f>IF(BL13&lt;&gt;"",BL13,BK13)*$E13</f>
        <v>1.2E-2</v>
      </c>
      <c r="BN13" s="1252">
        <f>GA!$G$121*$E13</f>
        <v>0.1875</v>
      </c>
      <c r="BO13" s="245">
        <f>IFERROR(INDEX(GA!L$121:R$121,MATCH($AI13,GA!$L$117:$R$117,0))+INDEX(GA!L$124:R$124,MATCH($AI13,GA!$L$117:$R$117,0))/12/AP13,"")</f>
        <v>0.43333333333333335</v>
      </c>
      <c r="BP13" s="1252">
        <f>IF(BO13&lt;&gt;"",BO13,BN13)*$E13</f>
        <v>0.43333333333333335</v>
      </c>
      <c r="BQ13" s="1252">
        <f>GA!$G$122*$E13</f>
        <v>2</v>
      </c>
      <c r="BR13" s="245">
        <f>IFERROR(INDEX(GA!L$122:R$122,MATCH($AI13,GA!$L$117:$R$117,0)),"")</f>
        <v>1.5</v>
      </c>
      <c r="BS13" s="1252">
        <f>IF(BR13&lt;&gt;"",BR13,BQ13)*$E13</f>
        <v>1.5</v>
      </c>
      <c r="BT13" s="1338">
        <f>GA!$G$123*$E13</f>
        <v>1.7999999999999999E-2</v>
      </c>
      <c r="BU13" s="1303">
        <f>IFERROR(INDEX(GA!L$123:R$123,MATCH($AI13,GA!$L$117:$R$117,0)),"")</f>
        <v>1.2E-2</v>
      </c>
      <c r="BV13" s="1338">
        <f>IF(BU13&lt;&gt;"",BU13,BT13)*$E13</f>
        <v>1.2E-2</v>
      </c>
      <c r="BW13" s="1368">
        <f>GA!$G$124*$E13</f>
        <v>0</v>
      </c>
      <c r="BX13" s="1303"/>
      <c r="BY13" s="1339">
        <f>IF(BX13&lt;&gt;"",BX13,BW13)*$E13</f>
        <v>0</v>
      </c>
      <c r="CA13" s="1369">
        <f>GA!$G$435*$E13</f>
        <v>0.03</v>
      </c>
      <c r="CB13" s="1303"/>
      <c r="CC13" s="1341">
        <f>IF(CB13&lt;&gt;"",CB13,CA13)*$E13</f>
        <v>0.03</v>
      </c>
      <c r="CD13" s="1370">
        <f>GA!$G$436*$E13</f>
        <v>0.1</v>
      </c>
      <c r="CE13" s="1303"/>
      <c r="CF13" s="1342">
        <f>IF(CE13&lt;&gt;"",CE13,CD13)*$E13</f>
        <v>0.1</v>
      </c>
      <c r="CH13" s="174"/>
      <c r="CI13" s="178"/>
      <c r="CJ13" s="1344">
        <f>CHOOSE($CI$8,CH13,CI13)*$E13</f>
        <v>0</v>
      </c>
      <c r="CL13" s="1371">
        <f>GA!$G$131*$E13</f>
        <v>5</v>
      </c>
      <c r="CM13" s="1304"/>
      <c r="CN13" s="1304"/>
      <c r="CO13" s="1289">
        <f>CHOOSE($CM$8,IF(CM13&lt;&gt;"",CM13,CL13),IF(CN13&lt;&gt;"",CN13,CL13))*$E13</f>
        <v>5</v>
      </c>
      <c r="CP13" s="198"/>
      <c r="CQ13" s="198"/>
      <c r="CR13" s="1241" t="str">
        <f>CHOOSE($CM$8,IF(CP13&lt;&gt;"",CP13,""),IF(CQ13&lt;&gt;"",CQ13,""))</f>
        <v/>
      </c>
      <c r="CS13" s="1242"/>
      <c r="CT13" s="1242"/>
      <c r="CU13" s="1241" t="str">
        <f>CHOOSE($CM$8,IF(CS13&lt;&gt;"",CS13,""),IF(CT13&lt;&gt;"",CT13,""))</f>
        <v/>
      </c>
      <c r="CV13" s="1242"/>
      <c r="CW13" s="1242"/>
      <c r="CX13" s="1243" t="str">
        <f>CHOOSE($CM$8,IF(CV13&lt;&gt;"",CV13,""),IF(CW13&lt;&gt;"",CW13,""))</f>
        <v/>
      </c>
      <c r="CY13" s="1244"/>
      <c r="CZ13" s="1308"/>
      <c r="DA13" s="186"/>
      <c r="DB13" s="249" t="str">
        <f>CHOOSE($DA$8,IF(CZ13&lt;&gt;"",CZ13,""),IF(DA13&lt;&gt;"",DA13,""))</f>
        <v/>
      </c>
      <c r="DC13" s="120"/>
      <c r="DD13" s="120"/>
      <c r="DE13" s="196" t="str">
        <f>CHOOSE($DA$8,IF(DC13&lt;&gt;"",DC13,""),IF(DD13&lt;&gt;"",DD13,""))</f>
        <v/>
      </c>
      <c r="DF13" s="1304"/>
      <c r="DG13" s="1304"/>
      <c r="DH13" s="1306" t="str">
        <f>CHOOSE($DA$8,IF(DF13&lt;&gt;"",DF13,""),IF(DG13&lt;&gt;"",DG13,""))</f>
        <v/>
      </c>
      <c r="DI13" s="178"/>
      <c r="DJ13" s="1310"/>
      <c r="DK13" s="199" t="str">
        <f>CHOOSE($DA$8,IF(DI13&lt;&gt;"",DI13,""),IF(DJ13&lt;&gt;"",DJ13,""))</f>
        <v/>
      </c>
      <c r="DL13" s="1244"/>
      <c r="DM13" s="1308"/>
      <c r="DN13" s="186"/>
      <c r="DO13" s="249" t="str">
        <f t="shared" ref="DO13:DO14" si="0">CHOOSE($FC$8,IF(DM13&lt;&gt;"",DM13,""),IF(DN13&lt;&gt;"",DN13,""))</f>
        <v/>
      </c>
      <c r="DP13" s="198"/>
      <c r="DQ13" s="198"/>
      <c r="DR13" s="196" t="str">
        <f t="shared" ref="DR13:DR14" si="1">CHOOSE($FC$8,IF(DP13&lt;&gt;"",DP13,""),IF(DQ13&lt;&gt;"",DQ13,""))</f>
        <v/>
      </c>
      <c r="DS13" s="186"/>
      <c r="DT13" s="186"/>
      <c r="DU13" s="249" t="str">
        <f t="shared" ref="DU13:DU14" si="2">CHOOSE($FC$8,IF(DS13&lt;&gt;"",DS13,""),IF(DT13&lt;&gt;"",DT13,""))</f>
        <v/>
      </c>
      <c r="DV13" s="186"/>
      <c r="DW13" s="189"/>
      <c r="DX13" s="199" t="str">
        <f t="shared" ref="DX13:DX14" si="3">CHOOSE($FC$8,IF(DV13&lt;&gt;"",DV13,""),IF(DW13&lt;&gt;"",DW13,""))</f>
        <v/>
      </c>
      <c r="DZ13" s="1111"/>
      <c r="EA13" s="186"/>
      <c r="EB13" s="888">
        <f>EA13*3</f>
        <v>0</v>
      </c>
      <c r="ED13" s="75">
        <v>1</v>
      </c>
      <c r="EE13" s="80">
        <v>1</v>
      </c>
      <c r="EF13" s="80">
        <v>1</v>
      </c>
      <c r="EG13" s="80">
        <v>1</v>
      </c>
      <c r="EH13" s="206">
        <v>1</v>
      </c>
      <c r="EI13" s="29"/>
      <c r="EJ13" s="1346">
        <f>GA!$G$430*$E13</f>
        <v>0.1</v>
      </c>
      <c r="EK13" s="356"/>
      <c r="EL13" s="1348">
        <f>IF(EK13&lt;&gt;"",EK13,EJ13)*$E13</f>
        <v>0.1</v>
      </c>
      <c r="EM13" s="29"/>
      <c r="EN13" s="731"/>
      <c r="EO13" s="1105"/>
      <c r="EP13" s="205"/>
      <c r="EQ13" s="1311"/>
      <c r="ER13" s="1312"/>
      <c r="ES13" s="283">
        <f>ER13*$ES$8*$E13</f>
        <v>0</v>
      </c>
      <c r="ET13" s="206"/>
      <c r="EV13" s="342"/>
      <c r="EW13" s="876">
        <f>MAX(ROUND(IF(EX13&lt;&gt;"",(EX13-GA!$G$53)/365,0),0),0)*$E13</f>
        <v>0</v>
      </c>
      <c r="EX13" s="219"/>
      <c r="EY13" s="876">
        <f>IFERROR(INDEX(GA!$G$321:$G$422,MATCH($EW13,GA!$E$321:$E$422,0)),0)*$E13</f>
        <v>0</v>
      </c>
      <c r="EZ13" s="917">
        <f>EY13*EV13</f>
        <v>0</v>
      </c>
      <c r="FB13" s="1373">
        <f>GA!$G$474*$AP13*$E13</f>
        <v>0</v>
      </c>
      <c r="FC13" s="1313"/>
      <c r="FD13" s="1313"/>
      <c r="FE13" s="261">
        <f>IF(CHOOSE($FC$8,FC13,FD13)&lt;&gt;"",CHOOSE($FC$8,FC13,FD13),FB13)*$E13</f>
        <v>0</v>
      </c>
      <c r="FF13" s="261">
        <f>FE13*(1+$FF$8)*$E13</f>
        <v>0</v>
      </c>
      <c r="FG13" s="261">
        <f>FF13*(1+$FI$8*$AT13)*$E13</f>
        <v>0</v>
      </c>
      <c r="FH13" s="1375">
        <f>GA!$G$475*$E13</f>
        <v>4</v>
      </c>
      <c r="FI13" s="1313"/>
      <c r="FJ13" s="1314">
        <f>IF(FI13&lt;&gt;"",FI13,FH13)*$E13</f>
        <v>4</v>
      </c>
      <c r="FL13" s="1335">
        <f>$AP13*GA!$G$477*4*$E13</f>
        <v>0</v>
      </c>
      <c r="FM13" s="1313"/>
      <c r="FN13" s="1313"/>
      <c r="FO13" s="261">
        <f>IF(CHOOSE($FC$8,FM13,FN13)&lt;&gt;"",CHOOSE($FC$8,FM13,FN13),FL13)*$E13</f>
        <v>0</v>
      </c>
      <c r="FP13" s="1316">
        <f>FO13*(1+$FP$8)*$E13</f>
        <v>0</v>
      </c>
      <c r="FQ13" s="280">
        <f>FP13*(1+$FS$8*$AT13)*$E13</f>
        <v>0</v>
      </c>
      <c r="FR13" s="1375">
        <f>GA!$G$479*$E13</f>
        <v>16</v>
      </c>
      <c r="FS13" s="1313"/>
      <c r="FT13" s="283">
        <f>IF(FS13&lt;&gt;"",FS13,FR13)*$E13</f>
        <v>16</v>
      </c>
      <c r="FU13" s="1217"/>
      <c r="FV13" s="1317">
        <f>FQ13+FG13</f>
        <v>0</v>
      </c>
      <c r="FX13" s="56"/>
      <c r="FZ13" s="919">
        <f t="shared" ref="FZ13:FZ15" si="4">$ES13*$E13</f>
        <v>0</v>
      </c>
      <c r="GA13" s="280">
        <f>$E13*PCF!$P233</f>
        <v>1227203.0062499989</v>
      </c>
      <c r="GB13" s="280">
        <f>IFERROR(PCF!$K269*$E13,0)</f>
        <v>1925462.7034918049</v>
      </c>
      <c r="GC13" s="1377">
        <f>CHOOSE(GA!$G$515,AA!FZ13,AA!GA13,AA!GB13)</f>
        <v>1227203.0062499989</v>
      </c>
      <c r="GD13" s="382">
        <v>1</v>
      </c>
      <c r="GE13" s="1168">
        <f>IFERROR(GC13/SUMIFS(GC$13:GC$15,GD$13:GD$15,1)*GC$9*GD$9*GD13,0)*$E13</f>
        <v>833333.33333333326</v>
      </c>
      <c r="GF13" s="1318">
        <f>GA!$G$516*$E13</f>
        <v>1.2</v>
      </c>
      <c r="GG13" s="198"/>
      <c r="GH13" s="1350">
        <f>IF(GG13&lt;&gt;"",GG13,GF13)*$E13</f>
        <v>1.2</v>
      </c>
      <c r="GJ13" s="1439">
        <f>GA!$G$592*$E13</f>
        <v>1.2</v>
      </c>
      <c r="GK13" s="198"/>
      <c r="GL13" s="1350">
        <f>IF(GK13&lt;&gt;"",GK13,GJ13)*$E13</f>
        <v>1.2</v>
      </c>
      <c r="GN13" s="881">
        <f>CHOOSE(GA!$G$655,AA!FZ13,AA!GA13,AA!GB13)*GA!$G$654*$E13</f>
        <v>1227203.0062499989</v>
      </c>
      <c r="GO13" s="382">
        <v>1</v>
      </c>
      <c r="GP13" s="1156">
        <f>IFERROR(GN13/SUM($GN$13:$GN$15)*$GP$9*$GO13,0)*$E13</f>
        <v>0</v>
      </c>
      <c r="GQ13" s="1319">
        <f>GA!$G$656*$E13</f>
        <v>1.2</v>
      </c>
      <c r="GR13" s="198"/>
      <c r="GS13" s="1350">
        <f>IF(GR13&lt;&gt;"",GR13,GQ13)*$E13</f>
        <v>1.2</v>
      </c>
      <c r="GU13" s="342"/>
      <c r="GV13" s="121"/>
      <c r="GW13" s="121"/>
      <c r="GX13" s="121"/>
      <c r="GY13" s="121"/>
      <c r="GZ13" s="121"/>
      <c r="HA13" s="121"/>
      <c r="HB13" s="121"/>
      <c r="HC13" s="121"/>
      <c r="HD13" s="121"/>
      <c r="HE13" s="121"/>
      <c r="HF13" s="121"/>
      <c r="HG13" s="121"/>
      <c r="HH13" s="121"/>
      <c r="HI13" s="121"/>
      <c r="HJ13" s="121"/>
      <c r="HK13" s="121"/>
      <c r="HL13" s="121"/>
      <c r="HM13" s="121"/>
      <c r="HN13" s="121"/>
      <c r="HO13" s="121"/>
      <c r="HP13" s="121"/>
      <c r="HQ13" s="121"/>
      <c r="HR13" s="121"/>
      <c r="HS13" s="121"/>
      <c r="HT13" s="121"/>
      <c r="HU13" s="121"/>
      <c r="HV13" s="121"/>
      <c r="HW13" s="121"/>
      <c r="HX13" s="121"/>
      <c r="HY13" s="121"/>
      <c r="HZ13" s="121"/>
      <c r="IA13" s="121"/>
      <c r="IB13" s="121"/>
      <c r="IC13" s="121"/>
      <c r="ID13" s="121"/>
      <c r="IE13" s="121"/>
      <c r="IF13" s="121"/>
      <c r="IG13" s="121"/>
      <c r="IH13" s="1104"/>
      <c r="IJ13" s="259">
        <f>SUM(GU13:IH13)</f>
        <v>0</v>
      </c>
    </row>
    <row r="14" spans="1:244">
      <c r="C14" s="73">
        <v>2</v>
      </c>
      <c r="E14" s="158">
        <v>1</v>
      </c>
      <c r="G14" s="159">
        <v>12</v>
      </c>
      <c r="H14" s="181">
        <f>G14</f>
        <v>12</v>
      </c>
      <c r="I14" s="1089"/>
      <c r="J14" s="1363">
        <f>IF($I14="",GA!$G$487,$I14)*$E14</f>
        <v>0</v>
      </c>
      <c r="K14" s="120"/>
      <c r="L14" s="1364">
        <f>IF($K14="",GA!$G$488,$K14)*$E14</f>
        <v>0</v>
      </c>
      <c r="M14" s="1363">
        <f>(CHOOSE($I$8,G14,H14)+$J14+GA!$G$721)*(1+$L14)*$E14</f>
        <v>12</v>
      </c>
      <c r="N14" s="119"/>
      <c r="O14" s="119"/>
      <c r="P14" s="261">
        <f t="shared" ref="P14" si="5">CHOOSE($I$8,N14,O14)*$E14</f>
        <v>0</v>
      </c>
      <c r="R14" s="84">
        <v>2</v>
      </c>
      <c r="S14" s="84">
        <v>1</v>
      </c>
      <c r="T14" s="1367">
        <f>CHOOSE(GA!$F$30,$R14,$S14)</f>
        <v>2</v>
      </c>
      <c r="V14" s="84">
        <v>12</v>
      </c>
      <c r="W14" s="1365">
        <f>EOMONTH(GA!$G$53,V14*3-1)*$E14</f>
        <v>45351</v>
      </c>
      <c r="X14" s="84">
        <f>V14</f>
        <v>12</v>
      </c>
      <c r="Y14" s="1365">
        <f>EOMONTH(GA!$G$53,X14*3-1)*$E14</f>
        <v>45351</v>
      </c>
      <c r="Z14" s="1366">
        <f>GA!$G$722*$E14</f>
        <v>0</v>
      </c>
      <c r="AA14" s="1367">
        <f>MAX(CHOOSE($I$8,V14,X14)+Z14,GA!$G$723)*$E14</f>
        <v>12</v>
      </c>
      <c r="AC14" s="1598" t="str">
        <f>INDEX(RR!$H$23:$H$25,MATCH(AA!$C14,RR!$C$23:$C$25,0))</f>
        <v>backup</v>
      </c>
      <c r="AD14" s="78">
        <v>12345</v>
      </c>
      <c r="AE14" s="1599" t="str">
        <f>INDEX(RR!$I$23:$I$25,MATCH(AA!$C14,RR!$C$23:$C$25,0))</f>
        <v>backup</v>
      </c>
      <c r="AF14" s="80" t="s">
        <v>119</v>
      </c>
      <c r="AG14" s="80" t="s">
        <v>132</v>
      </c>
      <c r="AH14" s="1332">
        <f>GA!$G$315*IF($AF14=GA!$G$294,INDEX(GA!$G$296:$G$311,MATCH($AG14,GA!$E$296:$E$311,0)),IF($AF14=GA!$E$313,GA!$G$313,"check"))*$E14</f>
        <v>0.05</v>
      </c>
      <c r="AI14" s="80" t="s">
        <v>1269</v>
      </c>
      <c r="AJ14" s="80"/>
      <c r="AK14" s="80"/>
      <c r="AL14" s="80" t="s">
        <v>133</v>
      </c>
      <c r="AM14" s="1426"/>
      <c r="AN14" s="876" t="str">
        <f>IF(E14=1,INDEX(TA!R:R,MATCH(C14&amp;" - 1",TA!D:D,0)),0)</f>
        <v>backup</v>
      </c>
      <c r="AO14" s="119"/>
      <c r="AP14" s="913">
        <f>SUMIFS(TA!$V:$V,TA!$C:$C,$C14)*$E14</f>
        <v>1000</v>
      </c>
      <c r="AQ14" s="882">
        <f>SUMIFS(TA!$V:$V,TA!$C:$C,$C14,TA!$R:$R,"vacant")*$E14</f>
        <v>0</v>
      </c>
      <c r="AR14" s="914">
        <f t="shared" ref="AR14" si="6">IFERROR(AQ14/AP14,0)</f>
        <v>0</v>
      </c>
      <c r="AS14" s="746">
        <f t="shared" ref="AS14" si="7">AP14-AQ14</f>
        <v>1000</v>
      </c>
      <c r="AT14" s="1333">
        <f>IFERROR(IF(AR14=1,1,SUMIFS(RR!P:P,RR!G:G,$C14,RR!K:K,"&lt;&gt;vacant",RR!S:S,"&lt;&gt;vatable")/SUMIFS(RR!P:P,RR!G:G,$C14,RR!K:K,"&lt;&gt;vacant"))*$E14,0)</f>
        <v>0</v>
      </c>
      <c r="AU14" s="1334">
        <f t="shared" ref="AU14" si="8">(1-AT14)*$E14</f>
        <v>1</v>
      </c>
      <c r="AW14" s="731"/>
      <c r="AX14" s="246"/>
      <c r="AY14" s="246"/>
      <c r="AZ14" s="732"/>
      <c r="BB14" s="1335">
        <f>SUMIFS(TA!$AJ$15:$AJ$17,TA!$C$15:$C$17,C14)*$E14</f>
        <v>100000</v>
      </c>
      <c r="BC14" s="261">
        <f t="shared" ref="BC14:BC15" si="9">$BC$8*$AS14*12*$E14</f>
        <v>0</v>
      </c>
      <c r="BD14" s="246"/>
      <c r="BE14" s="1337">
        <f t="shared" ref="BE14" si="10">IF(BD14&lt;&gt;"",BD14*12*AS14,BC14)*$E14</f>
        <v>0</v>
      </c>
      <c r="BF14" s="247"/>
      <c r="BG14" s="284">
        <f>SUM(BE14:BF14,BB14)*$E14</f>
        <v>100000</v>
      </c>
      <c r="BH14" s="1338">
        <f>GA!$G$119*$E14</f>
        <v>0</v>
      </c>
      <c r="BI14" s="356"/>
      <c r="BJ14" s="1338">
        <f t="shared" ref="BJ14" si="11">IF(BI14&lt;&gt;"",BI14,BH14)*$E14</f>
        <v>0</v>
      </c>
      <c r="BK14" s="1338">
        <f>GA!$G$120*$E14</f>
        <v>4.2500000000000003E-2</v>
      </c>
      <c r="BL14" s="356">
        <f>IFERROR(INDEX(GA!L$120:R$120,MATCH($AI14,GA!$L$117:$R$117,0)),"")</f>
        <v>0.04</v>
      </c>
      <c r="BM14" s="1338">
        <f t="shared" ref="BM14" si="12">IF(BL14&lt;&gt;"",BL14,BK14)*$E14</f>
        <v>0.04</v>
      </c>
      <c r="BN14" s="1252">
        <f>GA!$G$121*$E14</f>
        <v>0.1875</v>
      </c>
      <c r="BO14" s="245">
        <f>IFERROR(INDEX(GA!L$121:R$121,MATCH($AI14,GA!$L$117:$R$117,0))+INDEX(GA!L$124:R$124,MATCH($AI14,GA!$L$117:$R$117,0))/12/AP14,"")</f>
        <v>0.3833333333333333</v>
      </c>
      <c r="BP14" s="1252">
        <f t="shared" ref="BP14" si="13">IF(BO14&lt;&gt;"",BO14,BN14)*$E14</f>
        <v>0.3833333333333333</v>
      </c>
      <c r="BQ14" s="1252">
        <f>GA!$G$122*$E14</f>
        <v>2</v>
      </c>
      <c r="BR14" s="245">
        <f>IFERROR(INDEX(GA!L$122:R$122,MATCH($AI14,GA!$L$117:$R$117,0)),"")</f>
        <v>1.5</v>
      </c>
      <c r="BS14" s="1252">
        <f t="shared" ref="BS14" si="14">IF(BR14&lt;&gt;"",BR14,BQ14)*$E14</f>
        <v>1.5</v>
      </c>
      <c r="BT14" s="1338">
        <f>GA!$G$123*$E14</f>
        <v>1.7999999999999999E-2</v>
      </c>
      <c r="BU14" s="356">
        <f>IFERROR(INDEX(GA!L$123:R$123,MATCH($AI14,GA!$L$117:$R$117,0)),"")</f>
        <v>1.2E-2</v>
      </c>
      <c r="BV14" s="1338">
        <f t="shared" ref="BV14" si="15">IF(BU14&lt;&gt;"",BU14,BT14)*$E14</f>
        <v>1.2E-2</v>
      </c>
      <c r="BW14" s="1368">
        <f>GA!$G$124*$E14</f>
        <v>0</v>
      </c>
      <c r="BX14" s="356"/>
      <c r="BY14" s="1340">
        <f t="shared" ref="BY14" si="16">IF(BX14&lt;&gt;"",BX14,BW14)*$E14</f>
        <v>0</v>
      </c>
      <c r="CA14" s="1369">
        <f>GA!$G$435*$E14</f>
        <v>0.03</v>
      </c>
      <c r="CB14" s="356"/>
      <c r="CC14" s="1338">
        <f t="shared" ref="CC14" si="17">IF(CB14&lt;&gt;"",CB14,CA14)*$E14</f>
        <v>0.03</v>
      </c>
      <c r="CD14" s="1368">
        <f>GA!$G$436*$E14</f>
        <v>0.1</v>
      </c>
      <c r="CE14" s="356"/>
      <c r="CF14" s="1343">
        <f t="shared" ref="CF14" si="18">IF(CE14&lt;&gt;"",CE14,CD14)*$E14</f>
        <v>0.1</v>
      </c>
      <c r="CH14" s="174"/>
      <c r="CI14" s="179"/>
      <c r="CJ14" s="1345">
        <f t="shared" ref="CJ14" si="19">CHOOSE($CI$8,CH14,CI14)*$E14</f>
        <v>0</v>
      </c>
      <c r="CL14" s="1372">
        <f>GA!$G$131*$E14</f>
        <v>5</v>
      </c>
      <c r="CM14" s="1305"/>
      <c r="CN14" s="1305"/>
      <c r="CO14" s="1289">
        <f t="shared" ref="CO14" si="20">CHOOSE($CM$8,IF(CM14&lt;&gt;"",CM14,CL14),IF(CN14&lt;&gt;"",CN14,CL14))*$E14</f>
        <v>5</v>
      </c>
      <c r="CP14" s="120"/>
      <c r="CQ14" s="120"/>
      <c r="CR14" s="1245" t="str">
        <f t="shared" ref="CR14" si="21">CHOOSE($CM$8,IF(CP14&lt;&gt;"",CP14,""),IF(CQ14&lt;&gt;"",CQ14,""))</f>
        <v/>
      </c>
      <c r="CS14" s="1246"/>
      <c r="CT14" s="1246"/>
      <c r="CU14" s="1245" t="str">
        <f t="shared" ref="CU14" si="22">CHOOSE($CM$8,IF(CS14&lt;&gt;"",CS14,""),IF(CT14&lt;&gt;"",CT14,""))</f>
        <v/>
      </c>
      <c r="CV14" s="1246"/>
      <c r="CW14" s="1246"/>
      <c r="CX14" s="1247" t="str">
        <f t="shared" ref="CX14" si="23">CHOOSE($CM$8,IF(CV14&lt;&gt;"",CV14,""),IF(CW14&lt;&gt;"",CW14,""))</f>
        <v/>
      </c>
      <c r="CY14" s="1244"/>
      <c r="CZ14" s="1309"/>
      <c r="DA14" s="185"/>
      <c r="DB14" s="250" t="str">
        <f>CHOOSE($DA$8,IF(CZ14&lt;&gt;"",CZ14,""),IF(DA14&lt;&gt;"",DA14,""))</f>
        <v/>
      </c>
      <c r="DC14" s="120"/>
      <c r="DD14" s="120"/>
      <c r="DE14" s="197" t="str">
        <f>CHOOSE($DA$8,IF(DC14&lt;&gt;"",DC14,""),IF(DD14&lt;&gt;"",DD14,""))</f>
        <v/>
      </c>
      <c r="DF14" s="1305"/>
      <c r="DG14" s="1305"/>
      <c r="DH14" s="1307" t="str">
        <f>CHOOSE($DA$8,IF(DF14&lt;&gt;"",DF14,""),IF(DG14&lt;&gt;"",DG14,""))</f>
        <v/>
      </c>
      <c r="DI14" s="179"/>
      <c r="DJ14" s="183"/>
      <c r="DK14" s="200" t="str">
        <f>CHOOSE($DA$8,IF(DI14&lt;&gt;"",DI14,""),IF(DJ14&lt;&gt;"",DJ14,""))</f>
        <v/>
      </c>
      <c r="DL14" s="1244"/>
      <c r="DM14" s="1309"/>
      <c r="DN14" s="185"/>
      <c r="DO14" s="250" t="str">
        <f t="shared" si="0"/>
        <v/>
      </c>
      <c r="DP14" s="120"/>
      <c r="DQ14" s="120"/>
      <c r="DR14" s="197" t="str">
        <f t="shared" si="1"/>
        <v/>
      </c>
      <c r="DS14" s="185"/>
      <c r="DT14" s="185"/>
      <c r="DU14" s="250" t="str">
        <f t="shared" si="2"/>
        <v/>
      </c>
      <c r="DV14" s="185"/>
      <c r="DW14" s="184"/>
      <c r="DX14" s="200" t="str">
        <f t="shared" si="3"/>
        <v/>
      </c>
      <c r="DZ14" s="1112"/>
      <c r="EA14" s="185"/>
      <c r="EB14" s="889">
        <f t="shared" ref="EB14" si="24">EA14*3</f>
        <v>0</v>
      </c>
      <c r="ED14" s="75">
        <v>1</v>
      </c>
      <c r="EE14" s="80">
        <v>1</v>
      </c>
      <c r="EF14" s="80">
        <v>1</v>
      </c>
      <c r="EG14" s="80">
        <v>1</v>
      </c>
      <c r="EH14" s="206">
        <v>1</v>
      </c>
      <c r="EI14" s="29"/>
      <c r="EJ14" s="1347">
        <f>GA!$G$430*$E14</f>
        <v>0.1</v>
      </c>
      <c r="EK14" s="356"/>
      <c r="EL14" s="1349">
        <f t="shared" ref="EL14" si="25">IF(EK14&lt;&gt;"",EK14,EJ14)*$E14</f>
        <v>0.1</v>
      </c>
      <c r="EM14" s="29"/>
      <c r="EN14" s="731"/>
      <c r="EO14" s="1105"/>
      <c r="EP14" s="205"/>
      <c r="EQ14" s="1311"/>
      <c r="ER14" s="1312"/>
      <c r="ES14" s="284">
        <f t="shared" ref="ES14" si="26">ER14*$ES$8*$E14</f>
        <v>0</v>
      </c>
      <c r="ET14" s="206"/>
      <c r="EV14" s="343"/>
      <c r="EW14" s="876">
        <f>MAX(ROUND(IF(EX14&lt;&gt;"",(EX14-GA!$G$53)/365,0),0),0)*$E14</f>
        <v>0</v>
      </c>
      <c r="EX14" s="220"/>
      <c r="EY14" s="876">
        <f>IFERROR(INDEX(GA!$G$321:$G$422,MATCH($EW14,GA!$E$321:$E$422,0)),0)*$E14</f>
        <v>0</v>
      </c>
      <c r="EZ14" s="918">
        <f t="shared" ref="EZ14:EZ15" si="27">EY14*EV14</f>
        <v>0</v>
      </c>
      <c r="FB14" s="1374">
        <f>GA!$G$474*$AP14*$E14</f>
        <v>0</v>
      </c>
      <c r="FC14" s="1312"/>
      <c r="FD14" s="1312"/>
      <c r="FE14" s="261">
        <f t="shared" ref="FE14" si="28">IF(CHOOSE($FC$8,FC14,FD14)&lt;&gt;"",CHOOSE($FC$8,FC14,FD14),FB14)*$E14</f>
        <v>0</v>
      </c>
      <c r="FF14" s="261">
        <f t="shared" ref="FF14" si="29">FE14*(1+$FF$8)*$E14</f>
        <v>0</v>
      </c>
      <c r="FG14" s="261">
        <f t="shared" ref="FG14" si="30">FF14*(1+$FI$8*$AT14)*$E14</f>
        <v>0</v>
      </c>
      <c r="FH14" s="1376">
        <f>GA!$G$475*$E14</f>
        <v>4</v>
      </c>
      <c r="FI14" s="1312"/>
      <c r="FJ14" s="1315">
        <f t="shared" ref="FJ14" si="31">IF(FI14&lt;&gt;"",FI14,FH14)*$E14</f>
        <v>4</v>
      </c>
      <c r="FL14" s="1335">
        <f>$AP14*GA!$G$477*4*$E14</f>
        <v>0</v>
      </c>
      <c r="FM14" s="1312"/>
      <c r="FN14" s="1312"/>
      <c r="FO14" s="261">
        <f t="shared" ref="FO14" si="32">IF(CHOOSE($FC$8,FM14,FN14)&lt;&gt;"",CHOOSE($FC$8,FM14,FN14),FL14)*$E14</f>
        <v>0</v>
      </c>
      <c r="FP14" s="261">
        <f t="shared" ref="FP14" si="33">FO14*(1+$FP$8)*$E14</f>
        <v>0</v>
      </c>
      <c r="FQ14" s="279">
        <f t="shared" ref="FQ14" si="34">FP14*(1+$FS$8*$AT14)*$E14</f>
        <v>0</v>
      </c>
      <c r="FR14" s="1376">
        <f>GA!$G$479*$E14</f>
        <v>16</v>
      </c>
      <c r="FS14" s="1312"/>
      <c r="FT14" s="1315">
        <f t="shared" ref="FT14" si="35">IF(FS14&lt;&gt;"",FS14,FR14)*$E14</f>
        <v>16</v>
      </c>
      <c r="FU14" s="261"/>
      <c r="FV14" s="1317">
        <f t="shared" ref="FV14" si="36">FQ14+FG14</f>
        <v>0</v>
      </c>
      <c r="FX14" s="56"/>
      <c r="FZ14" s="920">
        <f t="shared" si="4"/>
        <v>0</v>
      </c>
      <c r="GA14" s="279">
        <f>$E14*PCF!$P234</f>
        <v>1227203.0062499989</v>
      </c>
      <c r="GB14" s="279">
        <f>IFERROR(PCF!$K270*$E14,0)</f>
        <v>1879436.3987825688</v>
      </c>
      <c r="GC14" s="1378">
        <f>CHOOSE(GA!$G$515,AA!FZ14,AA!GA14,AA!GB14)</f>
        <v>1227203.0062499989</v>
      </c>
      <c r="GD14" s="383">
        <v>1</v>
      </c>
      <c r="GE14" s="1156">
        <f>IFERROR(GC14/SUMIFS(GC$13:GC$15,GD$13:GD$15,1)*GC$9*GD$9*GD14,0)*$E14</f>
        <v>833333.33333333326</v>
      </c>
      <c r="GF14" s="1319">
        <f>GA!$G$516*$E14</f>
        <v>1.2</v>
      </c>
      <c r="GG14" s="120"/>
      <c r="GH14" s="1334">
        <f t="shared" ref="GH14" si="37">IF(GG14&lt;&gt;"",GG14,GF14)*$E14</f>
        <v>1.2</v>
      </c>
      <c r="GJ14" s="1440">
        <f>GA!$G$592*$E14</f>
        <v>1.2</v>
      </c>
      <c r="GK14" s="120"/>
      <c r="GL14" s="1334">
        <f t="shared" ref="GL14" si="38">IF(GK14&lt;&gt;"",GK14,GJ14)*$E14</f>
        <v>1.2</v>
      </c>
      <c r="GN14" s="881">
        <f>CHOOSE(GA!$G$655,AA!FZ14,AA!GA14,AA!GB14)*GA!$G$654*$E14</f>
        <v>1227203.0062499989</v>
      </c>
      <c r="GO14" s="383">
        <v>1</v>
      </c>
      <c r="GP14" s="1156">
        <f>IFERROR(GN14/SUM($GN$13:$GN$15)*$GP$9*$GO14,0)*$E14</f>
        <v>0</v>
      </c>
      <c r="GQ14" s="1319">
        <f>GA!$G$656*$E14</f>
        <v>1.2</v>
      </c>
      <c r="GR14" s="120"/>
      <c r="GS14" s="1334">
        <f t="shared" ref="GS14" si="39">IF(GR14&lt;&gt;"",GR14,GQ14)*$E14</f>
        <v>1.2</v>
      </c>
      <c r="GU14" s="343"/>
      <c r="GV14" s="119"/>
      <c r="GW14" s="119"/>
      <c r="GX14" s="119"/>
      <c r="GY14" s="119"/>
      <c r="GZ14" s="119"/>
      <c r="HA14" s="119"/>
      <c r="HB14" s="119"/>
      <c r="HC14" s="119"/>
      <c r="HD14" s="119"/>
      <c r="HE14" s="119"/>
      <c r="HF14" s="119"/>
      <c r="HG14" s="119"/>
      <c r="HH14" s="119"/>
      <c r="HI14" s="119"/>
      <c r="HJ14" s="119"/>
      <c r="HK14" s="119"/>
      <c r="HL14" s="119"/>
      <c r="HM14" s="119"/>
      <c r="HN14" s="119"/>
      <c r="HO14" s="119"/>
      <c r="HP14" s="119"/>
      <c r="HQ14" s="119"/>
      <c r="HR14" s="119"/>
      <c r="HS14" s="119"/>
      <c r="HT14" s="119"/>
      <c r="HU14" s="119"/>
      <c r="HV14" s="119"/>
      <c r="HW14" s="119"/>
      <c r="HX14" s="119"/>
      <c r="HY14" s="119"/>
      <c r="HZ14" s="119"/>
      <c r="IA14" s="119"/>
      <c r="IB14" s="119"/>
      <c r="IC14" s="119"/>
      <c r="ID14" s="119"/>
      <c r="IE14" s="119"/>
      <c r="IF14" s="119"/>
      <c r="IG14" s="119"/>
      <c r="IH14" s="1105"/>
      <c r="IJ14" s="259">
        <f t="shared" ref="IJ14:IJ15" si="40">SUM(GU14:IH14)</f>
        <v>0</v>
      </c>
    </row>
    <row r="15" spans="1:244">
      <c r="C15" s="73">
        <v>3</v>
      </c>
      <c r="E15" s="158">
        <v>1</v>
      </c>
      <c r="G15" s="159">
        <v>12</v>
      </c>
      <c r="H15" s="181">
        <f>G15</f>
        <v>12</v>
      </c>
      <c r="I15" s="1089"/>
      <c r="J15" s="1363">
        <f>IF($I15="",GA!$G$487,$I15)*$E15</f>
        <v>0</v>
      </c>
      <c r="K15" s="120"/>
      <c r="L15" s="1364">
        <f>IF($K15="",GA!$G$488,$K15)*$E15</f>
        <v>0</v>
      </c>
      <c r="M15" s="1363">
        <f>(CHOOSE($I$8,G15,H15)+$J15+GA!$G$721)*(1+$L15)*$E15</f>
        <v>12</v>
      </c>
      <c r="N15" s="119"/>
      <c r="O15" s="119"/>
      <c r="P15" s="261">
        <f t="shared" ref="P15" si="41">CHOOSE($I$8,N15,O15)*$E15</f>
        <v>0</v>
      </c>
      <c r="R15" s="84">
        <v>3</v>
      </c>
      <c r="S15" s="84">
        <v>1</v>
      </c>
      <c r="T15" s="1367">
        <f>CHOOSE(GA!$F$30,$R15,$S15)</f>
        <v>3</v>
      </c>
      <c r="V15" s="84">
        <v>12</v>
      </c>
      <c r="W15" s="1365">
        <f>EOMONTH(GA!$G$53,V15*3-1)*$E15</f>
        <v>45351</v>
      </c>
      <c r="X15" s="84">
        <f>V15</f>
        <v>12</v>
      </c>
      <c r="Y15" s="1365">
        <f>EOMONTH(GA!$G$53,X15*3-1)*$E15</f>
        <v>45351</v>
      </c>
      <c r="Z15" s="1366">
        <f>GA!$G$722*$E15</f>
        <v>0</v>
      </c>
      <c r="AA15" s="1367">
        <f>MAX(CHOOSE($I$8,V15,X15)+Z15,GA!$G$723)*$E15</f>
        <v>12</v>
      </c>
      <c r="AC15" s="1598" t="str">
        <f>INDEX(RR!$H$23:$H$25,MATCH(AA!$C15,RR!$C$23:$C$25,0))</f>
        <v>backup</v>
      </c>
      <c r="AD15" s="78">
        <v>12345</v>
      </c>
      <c r="AE15" s="1599" t="str">
        <f>INDEX(RR!$I$23:$I$25,MATCH(AA!$C15,RR!$C$23:$C$25,0))</f>
        <v>backup</v>
      </c>
      <c r="AF15" s="80" t="s">
        <v>119</v>
      </c>
      <c r="AG15" s="80" t="s">
        <v>132</v>
      </c>
      <c r="AH15" s="1332">
        <f>GA!$G$315*IF($AF15=GA!$G$294,INDEX(GA!$G$296:$G$311,MATCH($AG15,GA!$E$296:$E$311,0)),IF($AF15=GA!$E$313,GA!$G$313,"check"))*$E15</f>
        <v>0.05</v>
      </c>
      <c r="AI15" s="80" t="s">
        <v>79</v>
      </c>
      <c r="AJ15" s="80"/>
      <c r="AK15" s="80"/>
      <c r="AL15" s="80" t="s">
        <v>134</v>
      </c>
      <c r="AM15" s="1426"/>
      <c r="AN15" s="876" t="str">
        <f>IF(E15=1,INDEX(TA!R:R,MATCH(C15&amp;" - 1",TA!D:D,0)),0)</f>
        <v>backup</v>
      </c>
      <c r="AO15" s="119"/>
      <c r="AP15" s="913">
        <f>SUMIFS(TA!$V:$V,TA!$C:$C,$C15)*$E15</f>
        <v>1000</v>
      </c>
      <c r="AQ15" s="882">
        <f>SUMIFS(TA!$V:$V,TA!$C:$C,$C15,TA!$R:$R,"vacant")*$E15</f>
        <v>0</v>
      </c>
      <c r="AR15" s="914">
        <f t="shared" ref="AR15" si="42">IFERROR(AQ15/AP15,0)</f>
        <v>0</v>
      </c>
      <c r="AS15" s="746">
        <f t="shared" ref="AS15" si="43">AP15-AQ15</f>
        <v>1000</v>
      </c>
      <c r="AT15" s="1333">
        <f>IFERROR(IF(AR15=1,1,SUMIFS(RR!P:P,RR!G:G,$C15,RR!K:K,"&lt;&gt;vacant",RR!S:S,"&lt;&gt;vatable")/SUMIFS(RR!P:P,RR!G:G,$C15,RR!K:K,"&lt;&gt;vacant"))*$E15,0)</f>
        <v>0</v>
      </c>
      <c r="AU15" s="1334">
        <f t="shared" ref="AU15" si="44">(1-AT15)*$E15</f>
        <v>1</v>
      </c>
      <c r="AW15" s="731"/>
      <c r="AX15" s="246"/>
      <c r="AY15" s="246"/>
      <c r="AZ15" s="732"/>
      <c r="BB15" s="1335">
        <f>SUMIFS(TA!$AJ$15:$AJ$17,TA!$C$15:$C$17,C15)*$E15</f>
        <v>100000</v>
      </c>
      <c r="BC15" s="261">
        <f t="shared" si="9"/>
        <v>0</v>
      </c>
      <c r="BD15" s="246"/>
      <c r="BE15" s="1337">
        <f t="shared" ref="BE15" si="45">IF(BD15&lt;&gt;"",BD15*12*AS15,BC15)*$E15</f>
        <v>0</v>
      </c>
      <c r="BF15" s="247"/>
      <c r="BG15" s="284">
        <f t="shared" ref="BG15" si="46">SUM(BE15:BF15,BB15)*$E15</f>
        <v>100000</v>
      </c>
      <c r="BH15" s="1338">
        <f>GA!$G$119*$E15</f>
        <v>0</v>
      </c>
      <c r="BI15" s="356"/>
      <c r="BJ15" s="1338">
        <f t="shared" ref="BJ15" si="47">IF(BI15&lt;&gt;"",BI15,BH15)*$E15</f>
        <v>0</v>
      </c>
      <c r="BK15" s="1338">
        <f>GA!$G$120*$E15</f>
        <v>4.2500000000000003E-2</v>
      </c>
      <c r="BL15" s="356" t="str">
        <f>IFERROR(INDEX(GA!L$120:R$120,MATCH($AI15,GA!$L$117:$R$117,0)),"")</f>
        <v/>
      </c>
      <c r="BM15" s="1338">
        <f t="shared" ref="BM15" si="48">IF(BL15&lt;&gt;"",BL15,BK15)*$E15</f>
        <v>4.2500000000000003E-2</v>
      </c>
      <c r="BN15" s="1252">
        <f>GA!$G$121*$E15</f>
        <v>0.1875</v>
      </c>
      <c r="BO15" s="245" t="str">
        <f>IFERROR(INDEX(GA!L$121:R$121,MATCH($AI15,GA!$L$117:$R$117,0))+INDEX(GA!L$124:R$124,MATCH($AI15,GA!$L$117:$R$117,0))/12/AP15,"")</f>
        <v/>
      </c>
      <c r="BP15" s="1252">
        <f t="shared" ref="BP15" si="49">IF(BO15&lt;&gt;"",BO15,BN15)*$E15</f>
        <v>0.1875</v>
      </c>
      <c r="BQ15" s="1252">
        <f>GA!$G$122*$E15</f>
        <v>2</v>
      </c>
      <c r="BR15" s="245" t="str">
        <f>IFERROR(INDEX(GA!L$122:R$122,MATCH($AI15,GA!$L$117:$R$117,0)),"")</f>
        <v/>
      </c>
      <c r="BS15" s="1252">
        <f t="shared" ref="BS15" si="50">IF(BR15&lt;&gt;"",BR15,BQ15)*$E15</f>
        <v>2</v>
      </c>
      <c r="BT15" s="1338">
        <f>GA!$G$123*$E15</f>
        <v>1.7999999999999999E-2</v>
      </c>
      <c r="BU15" s="356" t="str">
        <f>IFERROR(INDEX(GA!L$123:R$123,MATCH($AI15,GA!$L$117:$R$117,0)),"")</f>
        <v/>
      </c>
      <c r="BV15" s="1338">
        <f t="shared" ref="BV15" si="51">IF(BU15&lt;&gt;"",BU15,BT15)*$E15</f>
        <v>1.7999999999999999E-2</v>
      </c>
      <c r="BW15" s="1368">
        <f>GA!$G$124*$E15</f>
        <v>0</v>
      </c>
      <c r="BX15" s="356"/>
      <c r="BY15" s="1340">
        <f t="shared" ref="BY15" si="52">IF(BX15&lt;&gt;"",BX15,BW15)*$E15</f>
        <v>0</v>
      </c>
      <c r="CA15" s="1369">
        <f>GA!$G$435*$E15</f>
        <v>0.03</v>
      </c>
      <c r="CB15" s="356"/>
      <c r="CC15" s="1338">
        <f t="shared" ref="CC15" si="53">IF(CB15&lt;&gt;"",CB15,CA15)*$E15</f>
        <v>0.03</v>
      </c>
      <c r="CD15" s="1368">
        <f>GA!$G$436*$E15</f>
        <v>0.1</v>
      </c>
      <c r="CE15" s="356"/>
      <c r="CF15" s="1343">
        <f t="shared" ref="CF15" si="54">IF(CE15&lt;&gt;"",CE15,CD15)*$E15</f>
        <v>0.1</v>
      </c>
      <c r="CH15" s="174"/>
      <c r="CI15" s="179"/>
      <c r="CJ15" s="1345">
        <f t="shared" ref="CJ15" si="55">CHOOSE($CI$8,CH15,CI15)*$E15</f>
        <v>0</v>
      </c>
      <c r="CL15" s="1372">
        <f>GA!$G$131*$E15</f>
        <v>5</v>
      </c>
      <c r="CM15" s="1305"/>
      <c r="CN15" s="1305"/>
      <c r="CO15" s="1289">
        <f t="shared" ref="CO15" si="56">CHOOSE($CM$8,IF(CM15&lt;&gt;"",CM15,CL15),IF(CN15&lt;&gt;"",CN15,CL15))*$E15</f>
        <v>5</v>
      </c>
      <c r="CP15" s="120"/>
      <c r="CQ15" s="120"/>
      <c r="CR15" s="1245" t="str">
        <f t="shared" ref="CR15" si="57">CHOOSE($CM$8,IF(CP15&lt;&gt;"",CP15,""),IF(CQ15&lt;&gt;"",CQ15,""))</f>
        <v/>
      </c>
      <c r="CS15" s="1246"/>
      <c r="CT15" s="1246"/>
      <c r="CU15" s="1245" t="str">
        <f t="shared" ref="CU15" si="58">CHOOSE($CM$8,IF(CS15&lt;&gt;"",CS15,""),IF(CT15&lt;&gt;"",CT15,""))</f>
        <v/>
      </c>
      <c r="CV15" s="1246"/>
      <c r="CW15" s="1246"/>
      <c r="CX15" s="1247" t="str">
        <f t="shared" ref="CX15" si="59">CHOOSE($CM$8,IF(CV15&lt;&gt;"",CV15,""),IF(CW15&lt;&gt;"",CW15,""))</f>
        <v/>
      </c>
      <c r="CY15" s="1244"/>
      <c r="CZ15" s="1309"/>
      <c r="DA15" s="185"/>
      <c r="DB15" s="250" t="str">
        <f t="shared" ref="DB15" si="60">CHOOSE($DA$8,IF(CZ15&lt;&gt;"",CZ15,""),IF(DA15&lt;&gt;"",DA15,""))</f>
        <v/>
      </c>
      <c r="DC15" s="120"/>
      <c r="DD15" s="120"/>
      <c r="DE15" s="197" t="str">
        <f t="shared" ref="DE15" si="61">CHOOSE($DA$8,IF(DC15&lt;&gt;"",DC15,""),IF(DD15&lt;&gt;"",DD15,""))</f>
        <v/>
      </c>
      <c r="DF15" s="1305"/>
      <c r="DG15" s="1305"/>
      <c r="DH15" s="1307" t="str">
        <f t="shared" ref="DH15" si="62">CHOOSE($DA$8,IF(DF15&lt;&gt;"",DF15,""),IF(DG15&lt;&gt;"",DG15,""))</f>
        <v/>
      </c>
      <c r="DI15" s="179"/>
      <c r="DJ15" s="183"/>
      <c r="DK15" s="200" t="str">
        <f t="shared" ref="DK15" si="63">CHOOSE($DA$8,IF(DI15&lt;&gt;"",DI15,""),IF(DJ15&lt;&gt;"",DJ15,""))</f>
        <v/>
      </c>
      <c r="DL15" s="1244"/>
      <c r="DM15" s="1309"/>
      <c r="DN15" s="185"/>
      <c r="DO15" s="250" t="str">
        <f t="shared" ref="DO15" si="64">CHOOSE($FC$8,IF(DM15&lt;&gt;"",DM15,""),IF(DN15&lt;&gt;"",DN15,""))</f>
        <v/>
      </c>
      <c r="DP15" s="120"/>
      <c r="DQ15" s="120"/>
      <c r="DR15" s="197" t="str">
        <f t="shared" ref="DR15" si="65">CHOOSE($FC$8,IF(DP15&lt;&gt;"",DP15,""),IF(DQ15&lt;&gt;"",DQ15,""))</f>
        <v/>
      </c>
      <c r="DS15" s="185"/>
      <c r="DT15" s="185"/>
      <c r="DU15" s="250" t="str">
        <f t="shared" ref="DU15" si="66">CHOOSE($FC$8,IF(DS15&lt;&gt;"",DS15,""),IF(DT15&lt;&gt;"",DT15,""))</f>
        <v/>
      </c>
      <c r="DV15" s="185"/>
      <c r="DW15" s="184"/>
      <c r="DX15" s="200" t="str">
        <f t="shared" ref="DX15" si="67">CHOOSE($FC$8,IF(DV15&lt;&gt;"",DV15,""),IF(DW15&lt;&gt;"",DW15,""))</f>
        <v/>
      </c>
      <c r="DZ15" s="1112"/>
      <c r="EA15" s="185"/>
      <c r="EB15" s="889">
        <f t="shared" ref="EB15" si="68">EA15*3</f>
        <v>0</v>
      </c>
      <c r="ED15" s="75">
        <v>1</v>
      </c>
      <c r="EE15" s="80">
        <v>1</v>
      </c>
      <c r="EF15" s="80">
        <v>1</v>
      </c>
      <c r="EG15" s="80">
        <v>1</v>
      </c>
      <c r="EH15" s="206">
        <v>1</v>
      </c>
      <c r="EI15" s="29"/>
      <c r="EJ15" s="1347">
        <f>GA!$G$430*$E15</f>
        <v>0.1</v>
      </c>
      <c r="EK15" s="356"/>
      <c r="EL15" s="1349">
        <f t="shared" ref="EL15" si="69">IF(EK15&lt;&gt;"",EK15,EJ15)*$E15</f>
        <v>0.1</v>
      </c>
      <c r="EM15" s="29"/>
      <c r="EN15" s="731"/>
      <c r="EO15" s="1105"/>
      <c r="EP15" s="205"/>
      <c r="EQ15" s="1311"/>
      <c r="ER15" s="1312"/>
      <c r="ES15" s="284">
        <f t="shared" ref="ES15" si="70">ER15*$ES$8*$E15</f>
        <v>0</v>
      </c>
      <c r="ET15" s="206"/>
      <c r="EV15" s="343"/>
      <c r="EW15" s="876">
        <f>MAX(ROUND(IF(EX15&lt;&gt;"",(EX15-GA!$G$53)/365,0),0),0)*$E15</f>
        <v>0</v>
      </c>
      <c r="EX15" s="220"/>
      <c r="EY15" s="876">
        <f>IFERROR(INDEX(GA!$G$321:$G$422,MATCH($EW15,GA!$E$321:$E$422,0)),0)*$E15</f>
        <v>0</v>
      </c>
      <c r="EZ15" s="918">
        <f t="shared" si="27"/>
        <v>0</v>
      </c>
      <c r="FB15" s="1374">
        <f>GA!$G$474*$AP15*$E15</f>
        <v>0</v>
      </c>
      <c r="FC15" s="1312"/>
      <c r="FD15" s="1312"/>
      <c r="FE15" s="261">
        <f t="shared" ref="FE15" si="71">IF(CHOOSE($FC$8,FC15,FD15)&lt;&gt;"",CHOOSE($FC$8,FC15,FD15),FB15)*$E15</f>
        <v>0</v>
      </c>
      <c r="FF15" s="261">
        <f t="shared" ref="FF15" si="72">FE15*(1+$FF$8)*$E15</f>
        <v>0</v>
      </c>
      <c r="FG15" s="261">
        <f t="shared" ref="FG15" si="73">FF15*(1+$FI$8*$AT15)*$E15</f>
        <v>0</v>
      </c>
      <c r="FH15" s="1376">
        <f>GA!$G$475*$E15</f>
        <v>4</v>
      </c>
      <c r="FI15" s="1312"/>
      <c r="FJ15" s="1315">
        <f t="shared" ref="FJ15" si="74">IF(FI15&lt;&gt;"",FI15,FH15)*$E15</f>
        <v>4</v>
      </c>
      <c r="FL15" s="1335">
        <f>$AP15*GA!$G$477*4*$E15</f>
        <v>0</v>
      </c>
      <c r="FM15" s="1312"/>
      <c r="FN15" s="1312"/>
      <c r="FO15" s="261">
        <f t="shared" ref="FO15" si="75">IF(CHOOSE($FC$8,FM15,FN15)&lt;&gt;"",CHOOSE($FC$8,FM15,FN15),FL15)*$E15</f>
        <v>0</v>
      </c>
      <c r="FP15" s="261">
        <f t="shared" ref="FP15" si="76">FO15*(1+$FP$8)*$E15</f>
        <v>0</v>
      </c>
      <c r="FQ15" s="279">
        <f t="shared" ref="FQ15" si="77">FP15*(1+$FS$8*$AT15)*$E15</f>
        <v>0</v>
      </c>
      <c r="FR15" s="1376">
        <f>GA!$G$479*$E15</f>
        <v>16</v>
      </c>
      <c r="FS15" s="1312"/>
      <c r="FT15" s="1315">
        <f t="shared" ref="FT15" si="78">IF(FS15&lt;&gt;"",FS15,FR15)*$E15</f>
        <v>16</v>
      </c>
      <c r="FU15" s="261"/>
      <c r="FV15" s="1317">
        <f t="shared" ref="FV15" si="79">FQ15+FG15</f>
        <v>0</v>
      </c>
      <c r="FX15" s="56"/>
      <c r="FZ15" s="920">
        <f t="shared" si="4"/>
        <v>0</v>
      </c>
      <c r="GA15" s="279">
        <f>$E15*PCF!$P235</f>
        <v>1227203.0062499989</v>
      </c>
      <c r="GB15" s="279">
        <f>IFERROR(PCF!$K271*$E15,0)</f>
        <v>1849150.8977256261</v>
      </c>
      <c r="GC15" s="1378">
        <f>CHOOSE(GA!$G$515,AA!FZ15,AA!GA15,AA!GB15)</f>
        <v>1227203.0062499989</v>
      </c>
      <c r="GD15" s="383">
        <v>1</v>
      </c>
      <c r="GE15" s="1156">
        <f>IFERROR(GC15/SUMIFS(GC$13:GC$15,GD$13:GD$15,1)*GC$9*GD$9*GD15,0)*$E15</f>
        <v>833333.33333333326</v>
      </c>
      <c r="GF15" s="1319">
        <f>GA!$G$516*$E15</f>
        <v>1.2</v>
      </c>
      <c r="GG15" s="120"/>
      <c r="GH15" s="1334">
        <f t="shared" ref="GH15" si="80">IF(GG15&lt;&gt;"",GG15,GF15)*$E15</f>
        <v>1.2</v>
      </c>
      <c r="GJ15" s="1440">
        <f>GA!$G$592*$E15</f>
        <v>1.2</v>
      </c>
      <c r="GK15" s="120"/>
      <c r="GL15" s="1334">
        <f t="shared" ref="GL15" si="81">IF(GK15&lt;&gt;"",GK15,GJ15)*$E15</f>
        <v>1.2</v>
      </c>
      <c r="GN15" s="881">
        <f>CHOOSE(GA!$G$655,AA!FZ15,AA!GA15,AA!GB15)*GA!$G$654*$E15</f>
        <v>1227203.0062499989</v>
      </c>
      <c r="GO15" s="383">
        <v>1</v>
      </c>
      <c r="GP15" s="1156">
        <f>IFERROR(GN15/SUM($GN$13:$GN$15)*$GP$9*$GO15,0)*$E15</f>
        <v>0</v>
      </c>
      <c r="GQ15" s="1319">
        <f>GA!$G$656*$E15</f>
        <v>1.2</v>
      </c>
      <c r="GR15" s="120"/>
      <c r="GS15" s="1334">
        <f t="shared" ref="GS15" si="82">IF(GR15&lt;&gt;"",GR15,GQ15)*$E15</f>
        <v>1.2</v>
      </c>
      <c r="GU15" s="343"/>
      <c r="GV15" s="119"/>
      <c r="GW15" s="119"/>
      <c r="GX15" s="119"/>
      <c r="GY15" s="119"/>
      <c r="GZ15" s="119"/>
      <c r="HA15" s="119"/>
      <c r="HB15" s="119"/>
      <c r="HC15" s="119"/>
      <c r="HD15" s="119"/>
      <c r="HE15" s="119"/>
      <c r="HF15" s="119"/>
      <c r="HG15" s="119"/>
      <c r="HH15" s="119"/>
      <c r="HI15" s="119"/>
      <c r="HJ15" s="119"/>
      <c r="HK15" s="119"/>
      <c r="HL15" s="119"/>
      <c r="HM15" s="119"/>
      <c r="HN15" s="119"/>
      <c r="HO15" s="119"/>
      <c r="HP15" s="119"/>
      <c r="HQ15" s="119"/>
      <c r="HR15" s="119"/>
      <c r="HS15" s="119"/>
      <c r="HT15" s="119"/>
      <c r="HU15" s="119"/>
      <c r="HV15" s="119"/>
      <c r="HW15" s="119"/>
      <c r="HX15" s="119"/>
      <c r="HY15" s="119"/>
      <c r="HZ15" s="119"/>
      <c r="IA15" s="119"/>
      <c r="IB15" s="119"/>
      <c r="IC15" s="119"/>
      <c r="ID15" s="119"/>
      <c r="IE15" s="119"/>
      <c r="IF15" s="119"/>
      <c r="IG15" s="119"/>
      <c r="IH15" s="1105"/>
      <c r="IJ15" s="259">
        <f t="shared" si="40"/>
        <v>0</v>
      </c>
    </row>
  </sheetData>
  <autoFilter ref="C12:AU15" xr:uid="{E4EAD658-74AC-417D-8165-ED5DCD4D4DF7}"/>
  <conditionalFormatting sqref="E13:E15 GD13:GD15 GO13:GO15">
    <cfRule type="cellIs" dxfId="99" priority="13" operator="equal">
      <formula>0</formula>
    </cfRule>
    <cfRule type="cellIs" dxfId="98" priority="14" operator="equal">
      <formula>1</formula>
    </cfRule>
  </conditionalFormatting>
  <conditionalFormatting sqref="GC9">
    <cfRule type="cellIs" dxfId="97" priority="9" operator="equal">
      <formula>0</formula>
    </cfRule>
    <cfRule type="cellIs" dxfId="96" priority="10" operator="equal">
      <formula>1</formula>
    </cfRule>
  </conditionalFormatting>
  <conditionalFormatting sqref="GO9">
    <cfRule type="cellIs" dxfId="95" priority="3" operator="equal">
      <formula>0</formula>
    </cfRule>
    <cfRule type="cellIs" dxfId="94" priority="4" operator="equal">
      <formula>1</formula>
    </cfRule>
  </conditionalFormatting>
  <dataValidations disablePrompts="1" count="1">
    <dataValidation type="list" allowBlank="1" showInputMessage="1" showErrorMessage="1" sqref="AL13:AL15" xr:uid="{E04BA77C-0270-4559-9E0B-173EBF23F2FD}">
      <formula1>"LTS,AVC1,AVC2,PTS"</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F7C71FC6-A7F5-49F3-A1CB-8708DD82C542}">
          <x14:formula1>
            <xm:f>GA!$E$296:$E$311</xm:f>
          </x14:formula1>
          <xm:sqref>AG13:AG15</xm:sqref>
        </x14:dataValidation>
        <x14:dataValidation type="list" allowBlank="1" showInputMessage="1" showErrorMessage="1" xr:uid="{8A80DED3-2BA1-4542-8376-9DCE678AA7FC}">
          <x14:formula1>
            <xm:f>GA!$E$61:$E$72</xm:f>
          </x14:formula1>
          <xm:sqref>AI13:AI15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77714-1ED2-4E42-AEFB-A007718E37AB}">
  <sheetPr codeName="Sheet11">
    <tabColor rgb="FFCCECFF"/>
  </sheetPr>
  <dimension ref="A1:GU18"/>
  <sheetViews>
    <sheetView workbookViewId="0"/>
  </sheetViews>
  <sheetFormatPr baseColWidth="10" defaultColWidth="8.7109375" defaultRowHeight="15" outlineLevelCol="1"/>
  <cols>
    <col min="1" max="1" width="4.5703125" customWidth="1"/>
    <col min="2" max="2" width="3.5703125" customWidth="1"/>
    <col min="5" max="5" width="1.5703125" customWidth="1"/>
    <col min="6" max="7" width="8.7109375" customWidth="1" outlineLevel="1"/>
    <col min="8" max="8" width="1.5703125" customWidth="1" outlineLevel="1"/>
    <col min="9" max="9" width="23.28515625" customWidth="1" outlineLevel="1"/>
    <col min="10" max="10" width="31.5703125" customWidth="1" outlineLevel="1"/>
    <col min="11" max="11" width="32.5703125" customWidth="1" outlineLevel="1"/>
    <col min="12" max="13" width="12.5703125" customWidth="1" outlineLevel="1"/>
    <col min="14" max="16" width="11.42578125" customWidth="1" outlineLevel="1"/>
    <col min="17" max="17" width="1.5703125" customWidth="1" outlineLevel="1"/>
    <col min="18" max="18" width="14" customWidth="1"/>
    <col min="19" max="19" width="12.5703125" customWidth="1" outlineLevel="1"/>
    <col min="20" max="20" width="11.5703125" customWidth="1" outlineLevel="1"/>
    <col min="21" max="21" width="17" customWidth="1" outlineLevel="1"/>
    <col min="22" max="23" width="11.5703125" customWidth="1" outlineLevel="1"/>
    <col min="24" max="24" width="1.5703125" customWidth="1" outlineLevel="1"/>
    <col min="25" max="25" width="14" customWidth="1" outlineLevel="1"/>
    <col min="26" max="26" width="12.5703125" customWidth="1" outlineLevel="1"/>
    <col min="27" max="27" width="11.7109375" customWidth="1" outlineLevel="1"/>
    <col min="28" max="28" width="14.5703125" customWidth="1" outlineLevel="1"/>
    <col min="29" max="30" width="11.7109375" bestFit="1" customWidth="1"/>
    <col min="31" max="40" width="11.7109375" customWidth="1" outlineLevel="1"/>
    <col min="41" max="41" width="13.5703125" customWidth="1" outlineLevel="1"/>
    <col min="42" max="42" width="14.28515625" customWidth="1" outlineLevel="1"/>
    <col min="43" max="43" width="13.42578125" customWidth="1" outlineLevel="1"/>
    <col min="44" max="50" width="11.7109375" customWidth="1" outlineLevel="1"/>
    <col min="51" max="51" width="1.5703125" customWidth="1" outlineLevel="1"/>
    <col min="52" max="52" width="15.42578125" customWidth="1" outlineLevel="1"/>
    <col min="53" max="53" width="11.5703125" customWidth="1" outlineLevel="1"/>
    <col min="54" max="54" width="15.42578125" bestFit="1" customWidth="1"/>
    <col min="55" max="55" width="11.5703125" bestFit="1" customWidth="1"/>
    <col min="56" max="56" width="15.42578125" bestFit="1" customWidth="1"/>
    <col min="57" max="60" width="11.5703125" customWidth="1" outlineLevel="1"/>
    <col min="61" max="61" width="9.7109375" customWidth="1" outlineLevel="1"/>
    <col min="62" max="62" width="11.5703125" customWidth="1" outlineLevel="1"/>
    <col min="63" max="63" width="1.5703125" customWidth="1"/>
    <col min="64" max="64" width="11.7109375" customWidth="1" outlineLevel="1"/>
    <col min="65" max="65" width="12.42578125" customWidth="1" outlineLevel="1"/>
    <col min="66" max="66" width="8" customWidth="1" outlineLevel="1"/>
    <col min="67" max="67" width="9.5703125" customWidth="1" outlineLevel="1"/>
    <col min="68" max="68" width="13.42578125" customWidth="1" outlineLevel="1"/>
    <col min="69" max="70" width="10.5703125" customWidth="1" outlineLevel="1"/>
    <col min="71" max="71" width="8.7109375" customWidth="1" outlineLevel="1"/>
    <col min="72" max="72" width="12.28515625" customWidth="1" outlineLevel="1"/>
    <col min="73" max="73" width="11.5703125" customWidth="1" outlineLevel="1"/>
    <col min="74" max="74" width="8.7109375" customWidth="1" outlineLevel="1"/>
    <col min="75" max="75" width="10.42578125" customWidth="1" outlineLevel="1"/>
    <col min="76" max="76" width="11.5703125" customWidth="1" outlineLevel="1"/>
    <col min="77" max="77" width="8.7109375" customWidth="1" outlineLevel="1"/>
    <col min="78" max="78" width="11.5703125" customWidth="1" outlineLevel="1"/>
    <col min="79" max="79" width="11" customWidth="1" outlineLevel="1"/>
    <col min="80" max="80" width="12.42578125" customWidth="1" outlineLevel="1"/>
    <col min="81" max="81" width="1.5703125" customWidth="1"/>
    <col min="82" max="82" width="12.42578125" customWidth="1" outlineLevel="1"/>
    <col min="83" max="83" width="9.28515625" customWidth="1" outlineLevel="1"/>
    <col min="84" max="84" width="11.5703125" customWidth="1" outlineLevel="1"/>
    <col min="85" max="85" width="7.5703125" bestFit="1" customWidth="1"/>
    <col min="86" max="86" width="9" bestFit="1" customWidth="1"/>
    <col min="87" max="87" width="10.28515625" bestFit="1" customWidth="1"/>
    <col min="88" max="88" width="1.5703125" customWidth="1"/>
    <col min="89" max="89" width="12.42578125" customWidth="1"/>
    <col min="90" max="90" width="12.5703125" bestFit="1" customWidth="1"/>
    <col min="91" max="91" width="11.5703125" bestFit="1" customWidth="1"/>
    <col min="92" max="92" width="11" bestFit="1" customWidth="1"/>
    <col min="96" max="96" width="2.42578125" customWidth="1"/>
    <col min="97" max="97" width="11.5703125" bestFit="1" customWidth="1"/>
    <col min="102" max="102" width="12.28515625" bestFit="1" customWidth="1"/>
    <col min="103" max="103" width="2.42578125" customWidth="1" outlineLevel="1"/>
    <col min="104" max="104" width="13.42578125" customWidth="1" outlineLevel="1"/>
    <col min="105" max="107" width="8.7109375" customWidth="1" outlineLevel="1"/>
    <col min="108" max="109" width="12.28515625" customWidth="1" outlineLevel="1"/>
    <col min="110" max="110" width="2.42578125" customWidth="1"/>
    <col min="111" max="111" width="11.5703125" bestFit="1" customWidth="1"/>
    <col min="112" max="112" width="11" bestFit="1" customWidth="1"/>
    <col min="116" max="116" width="10.42578125" bestFit="1" customWidth="1"/>
    <col min="117" max="117" width="11.42578125" bestFit="1" customWidth="1"/>
    <col min="118" max="118" width="1.5703125" customWidth="1"/>
    <col min="119" max="124" width="12.42578125" customWidth="1"/>
    <col min="125" max="125" width="12.28515625" bestFit="1" customWidth="1"/>
    <col min="126" max="126" width="2.42578125" customWidth="1"/>
    <col min="127" max="127" width="11.5703125" bestFit="1" customWidth="1"/>
    <col min="128" max="128" width="11" bestFit="1" customWidth="1"/>
    <col min="132" max="132" width="13.42578125" customWidth="1"/>
    <col min="133" max="133" width="2.42578125" customWidth="1"/>
    <col min="134" max="134" width="11.5703125" bestFit="1" customWidth="1"/>
    <col min="139" max="139" width="10.42578125" bestFit="1" customWidth="1"/>
    <col min="140" max="140" width="2.42578125" customWidth="1" outlineLevel="1"/>
    <col min="141" max="141" width="13.42578125" customWidth="1" outlineLevel="1"/>
    <col min="142" max="144" width="8.7109375" customWidth="1" outlineLevel="1"/>
    <col min="145" max="146" width="12.28515625" customWidth="1" outlineLevel="1"/>
    <col min="147" max="147" width="2.42578125" customWidth="1"/>
    <col min="148" max="148" width="11.5703125" bestFit="1" customWidth="1"/>
    <col min="149" max="149" width="11" bestFit="1" customWidth="1"/>
    <col min="153" max="153" width="10.42578125" bestFit="1" customWidth="1"/>
    <col min="154" max="154" width="11.42578125" bestFit="1" customWidth="1"/>
    <col min="155" max="155" width="1.5703125" customWidth="1"/>
    <col min="156" max="161" width="12.42578125" customWidth="1"/>
    <col min="162" max="162" width="11.5703125" bestFit="1" customWidth="1"/>
    <col min="163" max="163" width="2.42578125" customWidth="1"/>
    <col min="164" max="164" width="11.5703125" bestFit="1" customWidth="1"/>
    <col min="165" max="165" width="11" bestFit="1" customWidth="1"/>
    <col min="169" max="169" width="2.42578125" customWidth="1"/>
    <col min="170" max="170" width="11.5703125" bestFit="1" customWidth="1"/>
    <col min="175" max="175" width="11.5703125" bestFit="1" customWidth="1"/>
    <col min="176" max="176" width="2.42578125" customWidth="1" outlineLevel="1"/>
    <col min="177" max="177" width="13.42578125" customWidth="1" outlineLevel="1"/>
    <col min="178" max="180" width="8.7109375" customWidth="1" outlineLevel="1"/>
    <col min="181" max="181" width="11.5703125" customWidth="1" outlineLevel="1"/>
    <col min="182" max="182" width="11.42578125" customWidth="1" outlineLevel="1"/>
    <col min="183" max="183" width="2.42578125" customWidth="1"/>
    <col min="184" max="184" width="11.5703125" bestFit="1" customWidth="1"/>
    <col min="185" max="185" width="11" bestFit="1" customWidth="1"/>
    <col min="189" max="189" width="10.42578125" bestFit="1" customWidth="1"/>
    <col min="190" max="190" width="11.42578125" bestFit="1" customWidth="1"/>
    <col min="191" max="191" width="1.5703125" customWidth="1"/>
    <col min="192" max="192" width="16.5703125" bestFit="1" customWidth="1"/>
    <col min="194" max="194" width="14.7109375" bestFit="1" customWidth="1"/>
    <col min="195" max="195" width="13.7109375" bestFit="1" customWidth="1"/>
    <col min="196" max="196" width="1.5703125" customWidth="1"/>
    <col min="198" max="198" width="9.42578125" bestFit="1" customWidth="1"/>
    <col min="200" max="200" width="2.42578125" customWidth="1"/>
    <col min="201" max="202" width="12.42578125" bestFit="1" customWidth="1"/>
    <col min="203" max="203" width="9.42578125" bestFit="1" customWidth="1"/>
  </cols>
  <sheetData>
    <row r="1" spans="1:203" s="35" customFormat="1">
      <c r="A1" s="1" t="str">
        <f ca="1">UPPER(MID(CELL("filename",A1),FIND("[",CELL("filename",A1))+1,FIND("]",CELL("filename",A1))-FIND("[",CELL("filename",A1))-5))</f>
        <v>VORLAGE.</v>
      </c>
      <c r="B1" s="1"/>
      <c r="D1" s="58"/>
      <c r="E1" s="58"/>
      <c r="F1" s="58"/>
      <c r="G1" s="58"/>
      <c r="H1" s="58"/>
      <c r="I1" s="58"/>
      <c r="J1" s="58"/>
      <c r="K1" s="58"/>
      <c r="L1" s="58"/>
      <c r="M1" s="58"/>
      <c r="N1" s="58"/>
      <c r="O1" s="58"/>
      <c r="P1" s="58"/>
      <c r="Q1" s="58"/>
      <c r="R1" s="58"/>
      <c r="S1" s="58"/>
      <c r="T1" s="58"/>
      <c r="U1" s="58"/>
      <c r="V1" s="58"/>
      <c r="W1" s="58"/>
      <c r="X1" s="58"/>
      <c r="Y1" s="58"/>
      <c r="Z1" s="58"/>
      <c r="AY1" s="58"/>
      <c r="BK1" s="58"/>
      <c r="CC1" s="58"/>
      <c r="CI1" s="58"/>
      <c r="CJ1" s="58"/>
      <c r="CK1" s="58"/>
      <c r="CZ1" s="58"/>
      <c r="DA1" s="58"/>
      <c r="DN1" s="58"/>
      <c r="EH1" s="58"/>
      <c r="EU1" s="58"/>
      <c r="EY1" s="58"/>
      <c r="GI1" s="58"/>
    </row>
    <row r="2" spans="1:203" s="35" customFormat="1">
      <c r="A2" s="1" t="s">
        <v>271</v>
      </c>
      <c r="B2" s="1"/>
      <c r="D2" s="58"/>
      <c r="E2" s="58"/>
      <c r="F2" s="58"/>
      <c r="G2" s="58"/>
      <c r="H2" s="58"/>
      <c r="I2" s="58"/>
      <c r="J2" s="58"/>
      <c r="K2" s="58"/>
      <c r="L2" s="58"/>
      <c r="M2" s="58"/>
      <c r="N2" s="58"/>
      <c r="O2" s="58"/>
      <c r="P2" s="58"/>
      <c r="Q2" s="58"/>
      <c r="R2" s="58"/>
      <c r="S2" s="58"/>
      <c r="T2" s="58"/>
      <c r="U2" s="58"/>
      <c r="V2" s="58"/>
      <c r="W2" s="58"/>
      <c r="X2" s="58"/>
      <c r="Y2" s="58"/>
      <c r="Z2" s="58"/>
      <c r="AY2" s="58"/>
      <c r="BK2" s="58"/>
      <c r="CC2" s="58"/>
      <c r="CI2" s="58"/>
      <c r="CJ2" s="58"/>
      <c r="CK2" s="58"/>
      <c r="CZ2" s="58"/>
      <c r="DA2" s="58"/>
      <c r="DN2" s="58"/>
      <c r="EH2" s="58"/>
      <c r="EU2" s="58"/>
      <c r="EY2" s="58"/>
      <c r="GI2" s="58"/>
    </row>
    <row r="3" spans="1:203" s="35" customFormat="1" ht="17.25">
      <c r="D3" s="58"/>
      <c r="E3" s="58"/>
      <c r="F3" s="58"/>
      <c r="G3" s="58"/>
      <c r="H3" s="58"/>
      <c r="I3" s="58"/>
      <c r="J3" s="58"/>
      <c r="K3" s="58"/>
      <c r="L3" s="58"/>
      <c r="M3" s="58"/>
      <c r="N3" s="58"/>
      <c r="O3" s="58"/>
      <c r="P3" s="58"/>
      <c r="Q3" s="58"/>
      <c r="R3" s="58"/>
      <c r="S3" s="58"/>
      <c r="T3" s="58"/>
      <c r="U3" s="58"/>
      <c r="V3" s="58"/>
      <c r="W3" s="58"/>
      <c r="X3" s="58"/>
      <c r="Y3" s="58"/>
      <c r="Z3" s="222"/>
      <c r="AC3" s="156"/>
      <c r="AD3" s="156"/>
      <c r="AE3" s="156"/>
      <c r="AF3" s="156"/>
      <c r="AY3" s="58"/>
      <c r="BK3" s="58"/>
      <c r="CC3" s="58"/>
      <c r="CI3" s="58"/>
      <c r="CJ3" s="58"/>
      <c r="CK3" s="58"/>
      <c r="CZ3" s="58"/>
      <c r="DA3" s="58"/>
      <c r="DN3" s="58"/>
      <c r="EH3" s="58"/>
      <c r="EU3" s="58"/>
      <c r="EY3" s="58"/>
      <c r="GI3" s="58"/>
    </row>
    <row r="4" spans="1:203" s="35" customFormat="1">
      <c r="D4" s="58"/>
      <c r="E4" s="58"/>
      <c r="F4" s="58"/>
      <c r="G4" s="58"/>
      <c r="H4" s="58"/>
      <c r="I4" s="58"/>
      <c r="J4" s="58"/>
      <c r="K4" s="58"/>
      <c r="L4" s="58"/>
      <c r="M4" s="58"/>
      <c r="N4" s="58"/>
      <c r="O4" s="58"/>
      <c r="P4" s="58"/>
      <c r="Q4" s="58"/>
      <c r="R4" s="58"/>
      <c r="S4" s="58"/>
      <c r="T4" s="58"/>
      <c r="U4" s="58"/>
      <c r="V4" s="58"/>
      <c r="W4" s="58"/>
      <c r="X4" s="58"/>
      <c r="Y4" s="58"/>
      <c r="Z4" s="58"/>
      <c r="AC4" s="157"/>
      <c r="AD4" s="157"/>
      <c r="AE4" s="157"/>
      <c r="AF4" s="157"/>
      <c r="AY4" s="58"/>
      <c r="BK4" s="58"/>
      <c r="CC4" s="58"/>
      <c r="CI4" s="58"/>
      <c r="CJ4" s="58"/>
      <c r="CK4" s="58"/>
      <c r="CZ4" s="58"/>
      <c r="DA4" s="58"/>
      <c r="DN4" s="58"/>
      <c r="EH4" s="58"/>
      <c r="EU4" s="58"/>
      <c r="EY4" s="58"/>
      <c r="GI4" s="58"/>
    </row>
    <row r="6" spans="1:203">
      <c r="I6" s="76" t="s">
        <v>107</v>
      </c>
      <c r="J6" s="37"/>
      <c r="K6" s="37"/>
      <c r="L6" s="37"/>
      <c r="M6" s="37"/>
      <c r="N6" s="37"/>
      <c r="O6" s="37"/>
      <c r="P6" s="172"/>
      <c r="R6" s="76" t="s">
        <v>275</v>
      </c>
      <c r="S6" s="37"/>
      <c r="T6" s="37"/>
      <c r="U6" s="37"/>
      <c r="V6" s="37"/>
      <c r="W6" s="87"/>
      <c r="Y6" s="76" t="s">
        <v>343</v>
      </c>
      <c r="Z6" s="37"/>
      <c r="AA6" s="37"/>
      <c r="AB6" s="37"/>
      <c r="AC6" s="37"/>
      <c r="AD6" s="37"/>
      <c r="AE6" s="37"/>
      <c r="AF6" s="37"/>
      <c r="AG6" s="37"/>
      <c r="AH6" s="37"/>
      <c r="AI6" s="37"/>
      <c r="AJ6" s="37"/>
      <c r="AK6" s="37"/>
      <c r="AL6" s="37"/>
      <c r="AM6" s="37"/>
      <c r="AN6" s="37"/>
      <c r="AO6" s="37"/>
      <c r="AP6" s="37"/>
      <c r="AQ6" s="37"/>
      <c r="AR6" s="37"/>
      <c r="AS6" s="37"/>
      <c r="AT6" s="37"/>
      <c r="AU6" s="37"/>
      <c r="AV6" s="37"/>
      <c r="AW6" s="37"/>
      <c r="AX6" s="172"/>
      <c r="AZ6" s="76" t="s">
        <v>227</v>
      </c>
      <c r="BA6" s="37"/>
      <c r="BB6" s="37"/>
      <c r="BC6" s="37"/>
      <c r="BD6" s="37"/>
      <c r="BE6" s="37"/>
      <c r="BF6" s="37"/>
      <c r="BG6" s="37"/>
      <c r="BH6" s="37"/>
      <c r="BI6" s="37"/>
      <c r="BJ6" s="172"/>
      <c r="BL6" s="76" t="s">
        <v>232</v>
      </c>
      <c r="BM6" s="37"/>
      <c r="BN6" s="37"/>
      <c r="BO6" s="37"/>
      <c r="BP6" s="37"/>
      <c r="BQ6" s="37"/>
      <c r="BR6" s="37"/>
      <c r="BS6" s="37"/>
      <c r="BT6" s="37"/>
      <c r="BU6" s="37"/>
      <c r="BV6" s="37"/>
      <c r="BW6" s="37"/>
      <c r="BX6" s="37"/>
      <c r="BY6" s="37"/>
      <c r="BZ6" s="37"/>
      <c r="CA6" s="37"/>
      <c r="CB6" s="172"/>
      <c r="CD6" s="76" t="s">
        <v>344</v>
      </c>
      <c r="CE6" s="37"/>
      <c r="CF6" s="37"/>
      <c r="CG6" s="37"/>
      <c r="CH6" s="37"/>
      <c r="CI6" s="172"/>
      <c r="CK6" s="187" t="s">
        <v>241</v>
      </c>
      <c r="CL6" s="187"/>
      <c r="CM6" s="188"/>
      <c r="CN6" s="188"/>
      <c r="CO6" s="188"/>
      <c r="CP6" s="188"/>
      <c r="CQ6" s="188"/>
      <c r="CR6" s="188"/>
      <c r="CS6" s="188"/>
      <c r="CT6" s="188"/>
      <c r="CU6" s="188"/>
      <c r="CV6" s="188"/>
      <c r="CW6" s="188"/>
      <c r="CX6" s="188"/>
      <c r="CY6" s="188"/>
      <c r="CZ6" s="188"/>
      <c r="DA6" s="188"/>
      <c r="DB6" s="188"/>
      <c r="DC6" s="188"/>
      <c r="DD6" s="188"/>
      <c r="DE6" s="188"/>
      <c r="DF6" s="188"/>
      <c r="DG6" s="188"/>
      <c r="DH6" s="188"/>
      <c r="DI6" s="188"/>
      <c r="DJ6" s="188"/>
      <c r="DK6" s="188"/>
      <c r="DL6" s="188"/>
      <c r="DM6" s="191"/>
      <c r="DO6" s="192" t="s">
        <v>253</v>
      </c>
      <c r="DP6" s="193"/>
      <c r="DQ6" s="193"/>
      <c r="DR6" s="193"/>
      <c r="DS6" s="193"/>
      <c r="DT6" s="193"/>
      <c r="DU6" s="193"/>
      <c r="DV6" s="193"/>
      <c r="DW6" s="193"/>
      <c r="DX6" s="193"/>
      <c r="DY6" s="193"/>
      <c r="DZ6" s="193"/>
      <c r="EA6" s="193"/>
      <c r="EB6" s="193"/>
      <c r="EC6" s="193"/>
      <c r="ED6" s="193"/>
      <c r="EE6" s="193"/>
      <c r="EF6" s="193"/>
      <c r="EG6" s="193"/>
      <c r="EH6" s="193"/>
      <c r="EI6" s="193"/>
      <c r="EJ6" s="193"/>
      <c r="EK6" s="193"/>
      <c r="EL6" s="193"/>
      <c r="EM6" s="193"/>
      <c r="EN6" s="193"/>
      <c r="EO6" s="193"/>
      <c r="EP6" s="193"/>
      <c r="EQ6" s="193"/>
      <c r="ER6" s="193"/>
      <c r="ES6" s="193"/>
      <c r="ET6" s="193"/>
      <c r="EU6" s="193"/>
      <c r="EV6" s="193"/>
      <c r="EW6" s="193"/>
      <c r="EX6" s="195"/>
      <c r="EZ6" s="204" t="s">
        <v>255</v>
      </c>
      <c r="FA6" s="201"/>
      <c r="FB6" s="202"/>
      <c r="FC6" s="202"/>
      <c r="FD6" s="202"/>
      <c r="FE6" s="202"/>
      <c r="FF6" s="202"/>
      <c r="FG6" s="202"/>
      <c r="FH6" s="202"/>
      <c r="FI6" s="202"/>
      <c r="FJ6" s="202"/>
      <c r="FK6" s="202"/>
      <c r="FL6" s="202"/>
      <c r="FM6" s="202"/>
      <c r="FN6" s="202"/>
      <c r="FO6" s="202"/>
      <c r="FP6" s="202"/>
      <c r="FQ6" s="202"/>
      <c r="FR6" s="202"/>
      <c r="FS6" s="202"/>
      <c r="FT6" s="202"/>
      <c r="FU6" s="202"/>
      <c r="FV6" s="202"/>
      <c r="FW6" s="202"/>
      <c r="FX6" s="202"/>
      <c r="FY6" s="202"/>
      <c r="FZ6" s="202"/>
      <c r="GA6" s="202"/>
      <c r="GB6" s="202"/>
      <c r="GC6" s="202"/>
      <c r="GD6" s="202"/>
      <c r="GE6" s="202"/>
      <c r="GF6" s="202"/>
      <c r="GG6" s="202"/>
      <c r="GH6" s="203"/>
      <c r="GJ6" s="204" t="s">
        <v>939</v>
      </c>
      <c r="GK6" s="201"/>
      <c r="GL6" s="202"/>
      <c r="GM6" s="203"/>
      <c r="GO6" s="204" t="s">
        <v>1304</v>
      </c>
      <c r="GP6" s="201"/>
      <c r="GQ6" s="203"/>
      <c r="GS6" s="204" t="s">
        <v>1308</v>
      </c>
      <c r="GT6" s="202"/>
      <c r="GU6" s="203"/>
    </row>
    <row r="7" spans="1:203">
      <c r="I7" s="77"/>
      <c r="P7" s="151"/>
      <c r="R7" s="77"/>
      <c r="W7" s="151"/>
      <c r="Y7" s="77"/>
      <c r="AX7" s="151"/>
      <c r="AZ7" s="77"/>
      <c r="BJ7" s="151"/>
      <c r="BL7" s="77"/>
      <c r="BM7" s="313"/>
      <c r="CB7" s="151"/>
      <c r="CD7" s="77"/>
      <c r="CI7" s="151"/>
      <c r="CK7" s="77"/>
      <c r="DM7" s="151"/>
      <c r="DO7" s="194"/>
      <c r="EX7" s="151"/>
      <c r="EZ7" s="77"/>
      <c r="GH7" s="151"/>
      <c r="GJ7" s="77"/>
      <c r="GM7" s="151"/>
      <c r="GO7" s="194"/>
      <c r="GP7" s="269"/>
      <c r="GQ7" s="316"/>
      <c r="GS7" s="77"/>
      <c r="GU7" s="151"/>
    </row>
    <row r="8" spans="1:203">
      <c r="I8" s="77"/>
      <c r="P8" s="151"/>
      <c r="R8" s="77"/>
      <c r="T8" s="215" t="s">
        <v>279</v>
      </c>
      <c r="U8" s="228"/>
      <c r="W8" s="151"/>
      <c r="Y8" s="77"/>
      <c r="AS8" s="275"/>
      <c r="AX8" s="151"/>
      <c r="AZ8" s="77"/>
      <c r="BJ8" s="151"/>
      <c r="BL8" s="77"/>
      <c r="BP8" s="215" t="s">
        <v>279</v>
      </c>
      <c r="CB8" s="151"/>
      <c r="CD8" s="77"/>
      <c r="CE8" s="152" t="s">
        <v>138</v>
      </c>
      <c r="CF8" s="221">
        <f>GA!$F$30</f>
        <v>1</v>
      </c>
      <c r="CG8" t="str">
        <f>INDEX(GA!$E$31:$E$32,MATCH(TA!$AC$9,GA!$F$31:$F$32,0))</f>
        <v>IPO Case</v>
      </c>
      <c r="CI8" s="151"/>
      <c r="CK8" s="77"/>
      <c r="CL8" s="152" t="s">
        <v>138</v>
      </c>
      <c r="CM8" s="221">
        <f>GA!$F$30</f>
        <v>1</v>
      </c>
      <c r="CN8" t="str">
        <f>INDEX(GA!$E$31:$E$32,MATCH(TA!$AC$9,GA!$F$31:$F$32,0))</f>
        <v>IPO Case</v>
      </c>
      <c r="DI8" s="152" t="s">
        <v>357</v>
      </c>
      <c r="DJ8" s="281">
        <v>5</v>
      </c>
      <c r="DK8" t="s">
        <v>359</v>
      </c>
      <c r="DM8" s="282">
        <f>GA!$H$133</f>
        <v>0</v>
      </c>
      <c r="DO8" s="77"/>
      <c r="DP8" s="152" t="s">
        <v>138</v>
      </c>
      <c r="DQ8" s="221">
        <f>GA!$F$30</f>
        <v>1</v>
      </c>
      <c r="DR8" t="str">
        <f>INDEX(GA!$E$31:$E$32,MATCH(TA!$AC$9,GA!$F$31:$F$32,0))</f>
        <v>IPO Case</v>
      </c>
      <c r="ET8" s="152" t="s">
        <v>357</v>
      </c>
      <c r="EU8" s="281">
        <v>5</v>
      </c>
      <c r="EV8" t="s">
        <v>359</v>
      </c>
      <c r="EX8" s="282">
        <f>GA!$G$135</f>
        <v>0</v>
      </c>
      <c r="EZ8" s="77"/>
      <c r="FA8" s="152" t="s">
        <v>138</v>
      </c>
      <c r="FB8" s="221">
        <f>GA!$F$30</f>
        <v>1</v>
      </c>
      <c r="FC8" t="str">
        <f>INDEX(GA!$E$31:$E$32,MATCH(TA!$AC$9,GA!$F$31:$F$32,0))</f>
        <v>IPO Case</v>
      </c>
      <c r="GD8" s="152" t="s">
        <v>357</v>
      </c>
      <c r="GE8" s="281">
        <v>5</v>
      </c>
      <c r="GF8" t="s">
        <v>359</v>
      </c>
      <c r="GH8" s="282">
        <f>GA!$G$137</f>
        <v>0</v>
      </c>
      <c r="GJ8" s="77"/>
      <c r="GM8" s="151"/>
      <c r="GO8" s="77"/>
      <c r="GP8" s="41">
        <v>5</v>
      </c>
      <c r="GQ8" s="151" t="s">
        <v>1303</v>
      </c>
      <c r="GS8" s="77"/>
      <c r="GU8" s="151"/>
    </row>
    <row r="9" spans="1:203">
      <c r="I9" s="77"/>
      <c r="P9" s="151"/>
      <c r="R9" s="77"/>
      <c r="T9" s="98" t="str">
        <f>GA!$E89</f>
        <v>Existing</v>
      </c>
      <c r="U9" s="235"/>
      <c r="W9" s="151"/>
      <c r="Y9" s="77"/>
      <c r="AB9" s="152" t="s">
        <v>138</v>
      </c>
      <c r="AC9" s="221">
        <f>GA!$F$30</f>
        <v>1</v>
      </c>
      <c r="AD9" t="str">
        <f>INDEX(GA!$E$31:$E$32,MATCH(TA!$AC$9,GA!$F$31:$F$32,0))</f>
        <v>IPO Case</v>
      </c>
      <c r="AG9" s="746"/>
      <c r="AX9" s="151"/>
      <c r="AZ9" s="77"/>
      <c r="BA9" s="152" t="s">
        <v>138</v>
      </c>
      <c r="BB9" s="221">
        <f>GA!$F$30</f>
        <v>1</v>
      </c>
      <c r="BC9" t="str">
        <f>INDEX(GA!$E$31:$E$32,MATCH(TA!$AC$9,GA!$F$31:$F$32,0))</f>
        <v>IPO Case</v>
      </c>
      <c r="BJ9" s="151"/>
      <c r="BL9" s="77"/>
      <c r="BP9" s="98" t="s">
        <v>362</v>
      </c>
      <c r="BR9" s="152" t="s">
        <v>138</v>
      </c>
      <c r="BS9" s="221">
        <f>GA!$F$30</f>
        <v>1</v>
      </c>
      <c r="BT9" t="str">
        <f>INDEX(GA!$E$31:$E$32,MATCH(TA!$AC$9,GA!$F$31:$F$32,0))</f>
        <v>IPO Case</v>
      </c>
      <c r="CB9" s="151"/>
      <c r="CD9" s="77"/>
      <c r="CI9" s="151"/>
      <c r="CK9" s="77"/>
      <c r="DI9" s="152" t="s">
        <v>358</v>
      </c>
      <c r="DJ9" s="281">
        <v>5</v>
      </c>
      <c r="DM9" s="282">
        <f>GA!$H$134</f>
        <v>0</v>
      </c>
      <c r="DO9" s="77"/>
      <c r="EA9" t="s">
        <v>1292</v>
      </c>
      <c r="EB9" s="257" t="b">
        <f>MAX(EB15:EB17)&lt;=1</f>
        <v>1</v>
      </c>
      <c r="ET9" s="152" t="s">
        <v>358</v>
      </c>
      <c r="EU9" s="281">
        <v>5</v>
      </c>
      <c r="EX9" s="282">
        <f>GA!$G$136</f>
        <v>0</v>
      </c>
      <c r="EZ9" s="77"/>
      <c r="GD9" s="152" t="s">
        <v>358</v>
      </c>
      <c r="GE9" s="281">
        <v>5</v>
      </c>
      <c r="GH9" s="282">
        <f>GA!$G$138</f>
        <v>0</v>
      </c>
      <c r="GJ9" s="77"/>
      <c r="GM9" s="151"/>
      <c r="GO9" s="77"/>
      <c r="GP9" s="1211">
        <f>GA!G53+GP8*365</f>
        <v>46081</v>
      </c>
      <c r="GQ9" s="151"/>
      <c r="GS9" s="77"/>
      <c r="GU9" s="151"/>
    </row>
    <row r="10" spans="1:203">
      <c r="I10" s="77"/>
      <c r="P10" s="151"/>
      <c r="R10" s="77"/>
      <c r="T10" s="99" t="str">
        <f>GA!$E90</f>
        <v>Lease-Up</v>
      </c>
      <c r="U10" s="235"/>
      <c r="W10" s="151"/>
      <c r="Y10" s="77"/>
      <c r="AX10" s="151"/>
      <c r="AZ10" s="77"/>
      <c r="BJ10" s="151"/>
      <c r="BL10" s="77"/>
      <c r="BP10" s="99" t="s">
        <v>371</v>
      </c>
      <c r="BQ10" s="22" t="s">
        <v>391</v>
      </c>
      <c r="BR10" s="314"/>
      <c r="BS10" s="314"/>
      <c r="BT10" s="314"/>
      <c r="BU10" s="314"/>
      <c r="BV10" s="314"/>
      <c r="BW10" s="314"/>
      <c r="BX10" s="314"/>
      <c r="BY10" s="314"/>
      <c r="BZ10" s="314"/>
      <c r="CA10" s="314"/>
      <c r="CB10" s="151"/>
      <c r="CD10" s="77"/>
      <c r="CI10" s="151"/>
      <c r="CK10" s="77"/>
      <c r="DM10" s="151"/>
      <c r="DO10" s="77"/>
      <c r="EX10" s="151"/>
      <c r="EZ10" s="77"/>
      <c r="GH10" s="151"/>
      <c r="GJ10" s="77"/>
      <c r="GM10" s="151"/>
      <c r="GO10" s="77"/>
      <c r="GQ10" s="151"/>
      <c r="GS10" s="77"/>
      <c r="GU10" s="151"/>
    </row>
    <row r="11" spans="1:203">
      <c r="I11" s="77"/>
      <c r="P11" s="151"/>
      <c r="R11" s="77"/>
      <c r="T11" s="100" t="str">
        <f>GA!$E91</f>
        <v>Expansion</v>
      </c>
      <c r="U11" s="235"/>
      <c r="W11" s="151"/>
      <c r="Y11" s="77"/>
      <c r="AX11" s="151"/>
      <c r="AZ11" s="77"/>
      <c r="BJ11" s="151"/>
      <c r="BL11" s="77"/>
      <c r="BP11" s="100" t="s">
        <v>86</v>
      </c>
      <c r="BR11" s="23" t="s">
        <v>398</v>
      </c>
      <c r="CB11" s="151"/>
      <c r="CD11" s="77"/>
      <c r="CI11" s="151"/>
      <c r="CK11" s="77"/>
      <c r="DM11" s="151"/>
      <c r="DO11" s="77"/>
      <c r="EX11" s="151"/>
      <c r="EZ11" s="77"/>
      <c r="GH11" s="151"/>
      <c r="GJ11" s="494">
        <f>GA!G56</f>
        <v>44256</v>
      </c>
      <c r="GM11" s="151"/>
      <c r="GO11" s="77"/>
      <c r="GQ11" s="151"/>
      <c r="GS11" s="77"/>
      <c r="GU11" s="151"/>
    </row>
    <row r="12" spans="1:203" ht="17.25">
      <c r="I12" s="211" t="s">
        <v>107</v>
      </c>
      <c r="J12" s="82"/>
      <c r="K12" s="82"/>
      <c r="L12" s="116"/>
      <c r="M12" s="116"/>
      <c r="N12" s="116" t="s">
        <v>274</v>
      </c>
      <c r="O12" s="116"/>
      <c r="P12" s="82"/>
      <c r="R12" s="77"/>
      <c r="S12" s="267" t="s">
        <v>278</v>
      </c>
      <c r="T12" s="268"/>
      <c r="W12" s="216" t="s">
        <v>278</v>
      </c>
      <c r="Y12" s="86" t="s">
        <v>284</v>
      </c>
      <c r="Z12" s="116"/>
      <c r="AA12" s="116"/>
      <c r="AB12" s="217" t="s">
        <v>298</v>
      </c>
      <c r="AC12" s="217"/>
      <c r="AD12" s="86"/>
      <c r="AE12" s="86"/>
      <c r="AF12" s="86"/>
      <c r="AG12" s="217" t="s">
        <v>324</v>
      </c>
      <c r="AH12" s="217"/>
      <c r="AI12" s="217"/>
      <c r="AJ12" s="217"/>
      <c r="AK12" s="217"/>
      <c r="AL12" s="217"/>
      <c r="AM12" s="217"/>
      <c r="AN12" s="217"/>
      <c r="AO12" s="217" t="s">
        <v>1270</v>
      </c>
      <c r="AP12" s="217"/>
      <c r="AQ12" s="217"/>
      <c r="AR12" s="217"/>
      <c r="AS12" s="217"/>
      <c r="AT12" s="217"/>
      <c r="AU12" s="217"/>
      <c r="AV12" s="217" t="s">
        <v>322</v>
      </c>
      <c r="AW12" s="217"/>
      <c r="AX12" s="251"/>
      <c r="AZ12" s="86" t="s">
        <v>334</v>
      </c>
      <c r="BA12" s="217"/>
      <c r="BB12" s="264" t="str">
        <f>GA!E31</f>
        <v>IPO Case</v>
      </c>
      <c r="BC12" s="217"/>
      <c r="BD12" s="264" t="str">
        <f>GA!E32</f>
        <v>3y Case</v>
      </c>
      <c r="BE12" s="217"/>
      <c r="BJ12" s="151"/>
      <c r="BL12" s="86" t="s">
        <v>233</v>
      </c>
      <c r="BM12" s="81"/>
      <c r="BQ12" s="116" t="s">
        <v>234</v>
      </c>
      <c r="BR12" s="116"/>
      <c r="BS12" s="116"/>
      <c r="BT12" s="116"/>
      <c r="BU12" s="116" t="s">
        <v>238</v>
      </c>
      <c r="BV12" s="116"/>
      <c r="BW12" s="116"/>
      <c r="BX12" s="116" t="s">
        <v>378</v>
      </c>
      <c r="BY12" s="116"/>
      <c r="BZ12" s="116"/>
      <c r="CA12" s="116"/>
      <c r="CB12" s="151"/>
      <c r="CD12" s="77"/>
      <c r="CG12" s="116" t="s">
        <v>348</v>
      </c>
      <c r="CH12" s="116"/>
      <c r="CI12" s="151"/>
      <c r="CK12" s="77"/>
      <c r="CM12" s="116" t="s">
        <v>245</v>
      </c>
      <c r="CN12" s="116"/>
      <c r="CO12" s="116"/>
      <c r="CP12" s="116"/>
      <c r="CQ12" s="116"/>
      <c r="CS12" s="116" t="s">
        <v>354</v>
      </c>
      <c r="CT12" s="116"/>
      <c r="CU12" s="116"/>
      <c r="CV12" s="116"/>
      <c r="CW12" s="116"/>
      <c r="CX12" s="116"/>
      <c r="CZ12" s="116" t="s">
        <v>353</v>
      </c>
      <c r="DA12" s="116"/>
      <c r="DB12" s="116"/>
      <c r="DC12" s="116"/>
      <c r="DD12" s="116"/>
      <c r="DE12" s="116"/>
      <c r="DG12" s="116" t="s">
        <v>1374</v>
      </c>
      <c r="DH12" s="116"/>
      <c r="DI12" s="116"/>
      <c r="DJ12" s="116"/>
      <c r="DK12" s="116"/>
      <c r="DL12" s="116"/>
      <c r="DM12" s="151"/>
      <c r="DO12" s="86" t="s">
        <v>360</v>
      </c>
      <c r="DP12" s="116"/>
      <c r="DQ12" s="116"/>
      <c r="DR12" s="116"/>
      <c r="DS12" s="116"/>
      <c r="DW12" s="116" t="s">
        <v>254</v>
      </c>
      <c r="DX12" s="116"/>
      <c r="DY12" s="116"/>
      <c r="DZ12" s="116"/>
      <c r="EA12" s="116"/>
      <c r="ED12" s="116" t="s">
        <v>354</v>
      </c>
      <c r="EE12" s="116"/>
      <c r="EF12" s="116"/>
      <c r="EG12" s="116"/>
      <c r="EH12" s="116"/>
      <c r="EI12" s="116"/>
      <c r="EK12" s="116" t="s">
        <v>353</v>
      </c>
      <c r="EL12" s="116"/>
      <c r="EM12" s="116"/>
      <c r="EN12" s="116"/>
      <c r="EO12" s="116"/>
      <c r="EP12" s="116"/>
      <c r="ER12" s="116" t="s">
        <v>1374</v>
      </c>
      <c r="ES12" s="116"/>
      <c r="ET12" s="116"/>
      <c r="EU12" s="116"/>
      <c r="EV12" s="116"/>
      <c r="EW12" s="116"/>
      <c r="EX12" s="151"/>
      <c r="EZ12" s="86" t="s">
        <v>360</v>
      </c>
      <c r="FA12" s="116"/>
      <c r="FB12" s="116"/>
      <c r="FC12" s="116"/>
      <c r="FD12" s="116"/>
      <c r="FH12" s="116" t="s">
        <v>361</v>
      </c>
      <c r="FI12" s="116"/>
      <c r="FJ12" s="116"/>
      <c r="FK12" s="116"/>
      <c r="FL12" s="116"/>
      <c r="FN12" s="116" t="s">
        <v>354</v>
      </c>
      <c r="FO12" s="116"/>
      <c r="FP12" s="116"/>
      <c r="FQ12" s="116"/>
      <c r="FR12" s="116"/>
      <c r="FS12" s="116"/>
      <c r="FU12" s="116" t="s">
        <v>353</v>
      </c>
      <c r="FV12" s="116"/>
      <c r="FW12" s="116"/>
      <c r="FX12" s="116"/>
      <c r="FY12" s="116"/>
      <c r="FZ12" s="116"/>
      <c r="GB12" s="116" t="s">
        <v>1374</v>
      </c>
      <c r="GC12" s="116"/>
      <c r="GD12" s="116"/>
      <c r="GE12" s="116"/>
      <c r="GF12" s="116"/>
      <c r="GG12" s="116"/>
      <c r="GH12" s="151"/>
      <c r="GJ12" s="77"/>
      <c r="GM12" s="151"/>
      <c r="GO12" s="77"/>
      <c r="GQ12" s="151"/>
      <c r="GS12" s="77"/>
      <c r="GU12" s="151"/>
    </row>
    <row r="13" spans="1:203" ht="96.75" customHeight="1">
      <c r="C13" s="162" t="s">
        <v>4</v>
      </c>
      <c r="D13" s="101" t="s">
        <v>148</v>
      </c>
      <c r="F13" s="101" t="s">
        <v>272</v>
      </c>
      <c r="G13" s="101" t="s">
        <v>273</v>
      </c>
      <c r="I13" s="96" t="s">
        <v>109</v>
      </c>
      <c r="J13" s="169" t="s">
        <v>111</v>
      </c>
      <c r="K13" s="169" t="s">
        <v>113</v>
      </c>
      <c r="L13" s="169" t="s">
        <v>264</v>
      </c>
      <c r="M13" s="169" t="s">
        <v>117</v>
      </c>
      <c r="N13" s="169" t="s">
        <v>260</v>
      </c>
      <c r="O13" s="169" t="s">
        <v>258</v>
      </c>
      <c r="P13" s="170" t="s">
        <v>259</v>
      </c>
      <c r="R13" s="96" t="s">
        <v>9</v>
      </c>
      <c r="S13" s="169" t="s">
        <v>10</v>
      </c>
      <c r="T13" s="169" t="s">
        <v>280</v>
      </c>
      <c r="U13" s="169" t="s">
        <v>305</v>
      </c>
      <c r="V13" s="169" t="s">
        <v>277</v>
      </c>
      <c r="W13" s="170" t="s">
        <v>276</v>
      </c>
      <c r="Y13" s="96" t="s">
        <v>281</v>
      </c>
      <c r="Z13" s="169" t="s">
        <v>282</v>
      </c>
      <c r="AA13" s="169" t="s">
        <v>283</v>
      </c>
      <c r="AB13" s="169" t="s">
        <v>287</v>
      </c>
      <c r="AC13" s="218" t="str">
        <f>GA!E31</f>
        <v>IPO Case</v>
      </c>
      <c r="AD13" s="218" t="str">
        <f>GA!E32</f>
        <v>3y Case</v>
      </c>
      <c r="AE13" s="169" t="s">
        <v>286</v>
      </c>
      <c r="AF13" s="169" t="s">
        <v>285</v>
      </c>
      <c r="AG13" s="169" t="s">
        <v>288</v>
      </c>
      <c r="AH13" s="169" t="s">
        <v>289</v>
      </c>
      <c r="AI13" s="169" t="s">
        <v>1372</v>
      </c>
      <c r="AJ13" s="169" t="s">
        <v>290</v>
      </c>
      <c r="AK13" s="169" t="s">
        <v>291</v>
      </c>
      <c r="AL13" s="169" t="s">
        <v>314</v>
      </c>
      <c r="AM13" s="169" t="s">
        <v>315</v>
      </c>
      <c r="AN13" s="169" t="s">
        <v>316</v>
      </c>
      <c r="AO13" s="169" t="s">
        <v>1272</v>
      </c>
      <c r="AP13" s="169" t="s">
        <v>1273</v>
      </c>
      <c r="AQ13" s="169" t="s">
        <v>1274</v>
      </c>
      <c r="AR13" s="169" t="s">
        <v>1275</v>
      </c>
      <c r="AS13" s="169" t="s">
        <v>1276</v>
      </c>
      <c r="AT13" s="169" t="s">
        <v>1277</v>
      </c>
      <c r="AU13" s="169" t="s">
        <v>1278</v>
      </c>
      <c r="AV13" s="169" t="s">
        <v>325</v>
      </c>
      <c r="AW13" s="169" t="s">
        <v>1373</v>
      </c>
      <c r="AX13" s="170" t="s">
        <v>326</v>
      </c>
      <c r="AZ13" s="96" t="s">
        <v>335</v>
      </c>
      <c r="BA13" s="169" t="s">
        <v>336</v>
      </c>
      <c r="BB13" s="169" t="s">
        <v>335</v>
      </c>
      <c r="BC13" s="169" t="s">
        <v>336</v>
      </c>
      <c r="BD13" s="169" t="s">
        <v>335</v>
      </c>
      <c r="BE13" s="169" t="s">
        <v>336</v>
      </c>
      <c r="BF13" s="169" t="s">
        <v>1226</v>
      </c>
      <c r="BG13" s="169" t="s">
        <v>230</v>
      </c>
      <c r="BH13" s="169" t="s">
        <v>340</v>
      </c>
      <c r="BI13" s="169" t="s">
        <v>341</v>
      </c>
      <c r="BJ13" s="170" t="s">
        <v>342</v>
      </c>
      <c r="BL13" s="163" t="str">
        <f>GA!$E$31</f>
        <v>IPO Case</v>
      </c>
      <c r="BM13" s="164" t="str">
        <f>GA!$E$32</f>
        <v>3y Case</v>
      </c>
      <c r="BN13" s="169" t="s">
        <v>235</v>
      </c>
      <c r="BO13" s="165" t="s">
        <v>390</v>
      </c>
      <c r="BP13" s="165" t="s">
        <v>370</v>
      </c>
      <c r="BQ13" s="164" t="str">
        <f>GA!$E$31</f>
        <v>IPO Case</v>
      </c>
      <c r="BR13" s="164" t="str">
        <f>GA!$E$32</f>
        <v>3y Case</v>
      </c>
      <c r="BS13" s="169" t="s">
        <v>236</v>
      </c>
      <c r="BT13" s="169" t="s">
        <v>237</v>
      </c>
      <c r="BU13" s="164" t="str">
        <f>GA!$E$31</f>
        <v>IPO Case</v>
      </c>
      <c r="BV13" s="164" t="str">
        <f>GA!$E$32</f>
        <v>3y Case</v>
      </c>
      <c r="BW13" s="165" t="s">
        <v>239</v>
      </c>
      <c r="BX13" s="164" t="str">
        <f>GA!$E$31</f>
        <v>IPO Case</v>
      </c>
      <c r="BY13" s="164" t="str">
        <f>GA!$E$32</f>
        <v>3y Case</v>
      </c>
      <c r="BZ13" s="165" t="s">
        <v>240</v>
      </c>
      <c r="CA13" s="165" t="s">
        <v>386</v>
      </c>
      <c r="CB13" s="167" t="s">
        <v>1075</v>
      </c>
      <c r="CD13" s="96" t="s">
        <v>345</v>
      </c>
      <c r="CE13" s="169" t="s">
        <v>346</v>
      </c>
      <c r="CF13" s="169" t="s">
        <v>347</v>
      </c>
      <c r="CG13" s="218" t="str">
        <f>GA!$E$31</f>
        <v>IPO Case</v>
      </c>
      <c r="CH13" s="218" t="str">
        <f>GA!$E$32</f>
        <v>3y Case</v>
      </c>
      <c r="CI13" s="170" t="s">
        <v>164</v>
      </c>
      <c r="CK13" s="96" t="s">
        <v>11</v>
      </c>
      <c r="CL13" s="169" t="s">
        <v>13</v>
      </c>
      <c r="CM13" s="169" t="s">
        <v>162</v>
      </c>
      <c r="CN13" s="169" t="s">
        <v>349</v>
      </c>
      <c r="CO13" s="218" t="str">
        <f>GA!$E$31</f>
        <v>IPO Case</v>
      </c>
      <c r="CP13" s="218" t="str">
        <f>GA!$E$32</f>
        <v>3y Case</v>
      </c>
      <c r="CQ13" s="169" t="s">
        <v>164</v>
      </c>
      <c r="CR13" s="270"/>
      <c r="CS13" s="169" t="s">
        <v>162</v>
      </c>
      <c r="CT13" s="169" t="s">
        <v>349</v>
      </c>
      <c r="CU13" s="218" t="str">
        <f>GA!$E$31</f>
        <v>IPO Case</v>
      </c>
      <c r="CV13" s="218" t="str">
        <f>GA!$E$32</f>
        <v>3y Case</v>
      </c>
      <c r="CW13" s="169" t="s">
        <v>164</v>
      </c>
      <c r="CX13" s="169" t="s">
        <v>319</v>
      </c>
      <c r="CY13" s="270"/>
      <c r="CZ13" s="169" t="s">
        <v>162</v>
      </c>
      <c r="DA13" s="218" t="str">
        <f>GA!$E$31</f>
        <v>IPO Case</v>
      </c>
      <c r="DB13" s="218" t="str">
        <f>GA!$E$32</f>
        <v>3y Case</v>
      </c>
      <c r="DC13" s="169" t="s">
        <v>164</v>
      </c>
      <c r="DD13" s="169" t="s">
        <v>351</v>
      </c>
      <c r="DE13" s="169" t="s">
        <v>352</v>
      </c>
      <c r="DF13" s="270"/>
      <c r="DG13" s="169" t="s">
        <v>162</v>
      </c>
      <c r="DH13" s="169" t="s">
        <v>349</v>
      </c>
      <c r="DI13" s="218" t="str">
        <f>GA!$E$31</f>
        <v>IPO Case</v>
      </c>
      <c r="DJ13" s="218" t="str">
        <f>GA!$E$32</f>
        <v>3y Case</v>
      </c>
      <c r="DK13" s="169" t="s">
        <v>164</v>
      </c>
      <c r="DL13" s="169" t="s">
        <v>355</v>
      </c>
      <c r="DM13" s="170" t="s">
        <v>356</v>
      </c>
      <c r="DO13" s="96" t="s">
        <v>162</v>
      </c>
      <c r="DP13" s="169" t="s">
        <v>349</v>
      </c>
      <c r="DQ13" s="218" t="str">
        <f>GA!$E$31</f>
        <v>IPO Case</v>
      </c>
      <c r="DR13" s="218" t="str">
        <f>GA!$E$32</f>
        <v>3y Case</v>
      </c>
      <c r="DS13" s="169" t="s">
        <v>164</v>
      </c>
      <c r="DT13" s="169" t="s">
        <v>11</v>
      </c>
      <c r="DU13" s="169" t="s">
        <v>13</v>
      </c>
      <c r="DV13" s="270"/>
      <c r="DW13" s="169" t="s">
        <v>162</v>
      </c>
      <c r="DX13" s="169" t="s">
        <v>349</v>
      </c>
      <c r="DY13" s="218" t="str">
        <f>GA!$E$31</f>
        <v>IPO Case</v>
      </c>
      <c r="DZ13" s="218" t="str">
        <f>GA!$E$32</f>
        <v>3y Case</v>
      </c>
      <c r="EA13" s="169" t="s">
        <v>164</v>
      </c>
      <c r="EB13" s="270" t="s">
        <v>1046</v>
      </c>
      <c r="EC13" s="270"/>
      <c r="ED13" s="169" t="s">
        <v>162</v>
      </c>
      <c r="EE13" s="169" t="s">
        <v>349</v>
      </c>
      <c r="EF13" s="218" t="str">
        <f>GA!$E$31</f>
        <v>IPO Case</v>
      </c>
      <c r="EG13" s="218" t="str">
        <f>GA!$E$32</f>
        <v>3y Case</v>
      </c>
      <c r="EH13" s="169" t="s">
        <v>164</v>
      </c>
      <c r="EI13" s="169" t="s">
        <v>319</v>
      </c>
      <c r="EJ13" s="270"/>
      <c r="EK13" s="169" t="s">
        <v>162</v>
      </c>
      <c r="EL13" s="218" t="str">
        <f>GA!$E$31</f>
        <v>IPO Case</v>
      </c>
      <c r="EM13" s="218" t="str">
        <f>GA!$E$32</f>
        <v>3y Case</v>
      </c>
      <c r="EN13" s="169" t="s">
        <v>164</v>
      </c>
      <c r="EO13" s="169" t="s">
        <v>351</v>
      </c>
      <c r="EP13" s="169" t="s">
        <v>352</v>
      </c>
      <c r="EQ13" s="270"/>
      <c r="ER13" s="169" t="s">
        <v>162</v>
      </c>
      <c r="ES13" s="169" t="s">
        <v>349</v>
      </c>
      <c r="ET13" s="218" t="str">
        <f>GA!$E$31</f>
        <v>IPO Case</v>
      </c>
      <c r="EU13" s="218" t="str">
        <f>GA!$E$32</f>
        <v>3y Case</v>
      </c>
      <c r="EV13" s="169" t="s">
        <v>164</v>
      </c>
      <c r="EW13" s="169" t="s">
        <v>355</v>
      </c>
      <c r="EX13" s="170" t="s">
        <v>356</v>
      </c>
      <c r="EZ13" s="96" t="s">
        <v>162</v>
      </c>
      <c r="FA13" s="169" t="s">
        <v>349</v>
      </c>
      <c r="FB13" s="218" t="str">
        <f>GA!$E$31</f>
        <v>IPO Case</v>
      </c>
      <c r="FC13" s="218" t="str">
        <f>GA!$E$32</f>
        <v>3y Case</v>
      </c>
      <c r="FD13" s="169" t="s">
        <v>164</v>
      </c>
      <c r="FE13" s="169" t="s">
        <v>11</v>
      </c>
      <c r="FF13" s="169" t="s">
        <v>13</v>
      </c>
      <c r="FG13" s="270"/>
      <c r="FH13" s="169" t="s">
        <v>162</v>
      </c>
      <c r="FI13" s="169" t="s">
        <v>349</v>
      </c>
      <c r="FJ13" s="218" t="str">
        <f>GA!$E$31</f>
        <v>IPO Case</v>
      </c>
      <c r="FK13" s="218" t="str">
        <f>GA!$E$32</f>
        <v>3y Case</v>
      </c>
      <c r="FL13" s="169" t="s">
        <v>164</v>
      </c>
      <c r="FM13" s="270"/>
      <c r="FN13" s="169" t="s">
        <v>162</v>
      </c>
      <c r="FO13" s="169" t="s">
        <v>349</v>
      </c>
      <c r="FP13" s="218" t="str">
        <f>GA!$E$31</f>
        <v>IPO Case</v>
      </c>
      <c r="FQ13" s="218" t="str">
        <f>GA!$E$32</f>
        <v>3y Case</v>
      </c>
      <c r="FR13" s="169" t="s">
        <v>164</v>
      </c>
      <c r="FS13" s="169" t="s">
        <v>319</v>
      </c>
      <c r="FT13" s="270"/>
      <c r="FU13" s="169" t="s">
        <v>162</v>
      </c>
      <c r="FV13" s="218" t="str">
        <f>GA!$E$31</f>
        <v>IPO Case</v>
      </c>
      <c r="FW13" s="218" t="str">
        <f>GA!$E$32</f>
        <v>3y Case</v>
      </c>
      <c r="FX13" s="169" t="s">
        <v>164</v>
      </c>
      <c r="FY13" s="169" t="s">
        <v>351</v>
      </c>
      <c r="FZ13" s="169" t="s">
        <v>352</v>
      </c>
      <c r="GA13" s="270"/>
      <c r="GB13" s="169" t="s">
        <v>162</v>
      </c>
      <c r="GC13" s="169" t="s">
        <v>349</v>
      </c>
      <c r="GD13" s="218" t="str">
        <f>GA!$E$31</f>
        <v>IPO Case</v>
      </c>
      <c r="GE13" s="218" t="str">
        <f>GA!$E$32</f>
        <v>3y Case</v>
      </c>
      <c r="GF13" s="169" t="s">
        <v>164</v>
      </c>
      <c r="GG13" s="169" t="s">
        <v>355</v>
      </c>
      <c r="GH13" s="170" t="s">
        <v>356</v>
      </c>
      <c r="GJ13" s="371" t="s">
        <v>1378</v>
      </c>
      <c r="GK13" s="166" t="s">
        <v>1379</v>
      </c>
      <c r="GL13" s="166" t="s">
        <v>940</v>
      </c>
      <c r="GM13" s="495" t="s">
        <v>941</v>
      </c>
      <c r="GO13" s="371" t="s">
        <v>1305</v>
      </c>
      <c r="GQ13" s="151"/>
      <c r="GS13" s="371" t="s">
        <v>1309</v>
      </c>
      <c r="GT13" s="166" t="s">
        <v>1311</v>
      </c>
      <c r="GU13" s="495" t="s">
        <v>930</v>
      </c>
    </row>
    <row r="14" spans="1:203">
      <c r="C14" s="110"/>
      <c r="D14" s="110"/>
      <c r="F14" s="110"/>
      <c r="G14" s="110"/>
      <c r="I14" s="115"/>
      <c r="J14" s="113"/>
      <c r="K14" s="113"/>
      <c r="L14" s="113"/>
      <c r="M14" s="113"/>
      <c r="N14" s="113"/>
      <c r="O14" s="113"/>
      <c r="P14" s="114"/>
      <c r="R14" s="115"/>
      <c r="S14" s="113"/>
      <c r="T14" s="113"/>
      <c r="U14" s="113"/>
      <c r="V14" s="113"/>
      <c r="W14" s="114"/>
      <c r="Y14" s="115"/>
      <c r="Z14" s="113"/>
      <c r="AA14" s="113"/>
      <c r="AB14" s="113"/>
      <c r="AC14" s="113"/>
      <c r="AD14" s="113"/>
      <c r="AE14" s="113"/>
      <c r="AF14" s="113"/>
      <c r="AG14" s="113"/>
      <c r="AH14" s="113"/>
      <c r="AI14" s="113"/>
      <c r="AJ14" s="113"/>
      <c r="AK14" s="113"/>
      <c r="AL14" s="113"/>
      <c r="AM14" s="113"/>
      <c r="AN14" s="113"/>
      <c r="AO14" s="113"/>
      <c r="AP14" s="113"/>
      <c r="AQ14" s="113"/>
      <c r="AR14" s="113"/>
      <c r="AS14" s="113"/>
      <c r="AT14" s="113"/>
      <c r="AU14" s="113"/>
      <c r="AV14" s="113"/>
      <c r="AW14" s="113"/>
      <c r="AX14" s="114"/>
      <c r="AZ14" s="115"/>
      <c r="BA14" s="113"/>
      <c r="BB14" s="113"/>
      <c r="BC14" s="113"/>
      <c r="BD14" s="113"/>
      <c r="BE14" s="113"/>
      <c r="BF14" s="260"/>
      <c r="BG14" s="260"/>
      <c r="BH14" s="260"/>
      <c r="BI14" s="113"/>
      <c r="BJ14" s="114"/>
      <c r="BL14" s="111"/>
      <c r="BM14" s="112"/>
      <c r="BN14" s="182"/>
      <c r="BO14" s="182"/>
      <c r="BP14" s="112"/>
      <c r="BQ14" s="112"/>
      <c r="BR14" s="112"/>
      <c r="BS14" s="112"/>
      <c r="BT14" s="112"/>
      <c r="BU14" s="112"/>
      <c r="BV14" s="112"/>
      <c r="BW14" s="112"/>
      <c r="BX14" s="112"/>
      <c r="BY14" s="112"/>
      <c r="BZ14" s="112"/>
      <c r="CA14" s="112"/>
      <c r="CB14" s="311"/>
      <c r="CD14" s="111"/>
      <c r="CE14" s="112"/>
      <c r="CF14" s="112"/>
      <c r="CG14" s="112"/>
      <c r="CH14" s="112"/>
      <c r="CI14" s="176"/>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2"/>
      <c r="DM14" s="176"/>
      <c r="DO14" s="111"/>
      <c r="DP14" s="112"/>
      <c r="DQ14" s="112"/>
      <c r="DR14" s="112"/>
      <c r="DS14" s="112"/>
      <c r="DT14" s="112"/>
      <c r="DU14" s="112"/>
      <c r="DV14" s="112"/>
      <c r="DW14" s="112"/>
      <c r="DX14" s="112"/>
      <c r="DY14" s="112"/>
      <c r="DZ14" s="112"/>
      <c r="EA14" s="112"/>
      <c r="EB14" s="112"/>
      <c r="EC14" s="112"/>
      <c r="ED14" s="112"/>
      <c r="EE14" s="112"/>
      <c r="EF14" s="112"/>
      <c r="EG14" s="112"/>
      <c r="EH14" s="112"/>
      <c r="EI14" s="112"/>
      <c r="EJ14" s="112"/>
      <c r="EK14" s="112"/>
      <c r="EL14" s="112"/>
      <c r="EM14" s="112"/>
      <c r="EN14" s="112"/>
      <c r="EO14" s="112"/>
      <c r="EP14" s="112"/>
      <c r="EQ14" s="112"/>
      <c r="ER14" s="112"/>
      <c r="ES14" s="112"/>
      <c r="ET14" s="112"/>
      <c r="EU14" s="112"/>
      <c r="EV14" s="112"/>
      <c r="EW14" s="112"/>
      <c r="EX14" s="176"/>
      <c r="EZ14" s="111"/>
      <c r="FA14" s="112"/>
      <c r="FB14" s="112"/>
      <c r="FC14" s="112"/>
      <c r="FD14" s="112"/>
      <c r="FE14" s="112"/>
      <c r="FF14" s="112"/>
      <c r="FG14" s="112"/>
      <c r="FH14" s="112"/>
      <c r="FI14" s="112"/>
      <c r="FJ14" s="112"/>
      <c r="FK14" s="112"/>
      <c r="FL14" s="112"/>
      <c r="FM14" s="112"/>
      <c r="FN14" s="112"/>
      <c r="FO14" s="112"/>
      <c r="FP14" s="112"/>
      <c r="FQ14" s="112"/>
      <c r="FR14" s="112"/>
      <c r="FS14" s="112"/>
      <c r="FT14" s="112"/>
      <c r="FU14" s="112"/>
      <c r="FV14" s="112"/>
      <c r="FW14" s="112"/>
      <c r="FX14" s="112"/>
      <c r="FY14" s="112"/>
      <c r="FZ14" s="112"/>
      <c r="GA14" s="112"/>
      <c r="GB14" s="112"/>
      <c r="GC14" s="112"/>
      <c r="GD14" s="112"/>
      <c r="GE14" s="112"/>
      <c r="GF14" s="112"/>
      <c r="GG14" s="112"/>
      <c r="GH14" s="176"/>
      <c r="GJ14" s="77"/>
      <c r="GM14" s="151"/>
      <c r="GO14" s="77"/>
      <c r="GQ14" s="151"/>
      <c r="GS14" s="77"/>
      <c r="GU14" s="151"/>
    </row>
    <row r="15" spans="1:203">
      <c r="C15" s="99">
        <f>RR!C23</f>
        <v>1</v>
      </c>
      <c r="D15" s="99" t="str">
        <f>RR!E23</f>
        <v>1 - 1</v>
      </c>
      <c r="F15" s="212">
        <f>INDEX(AA!$E:$E,MATCH($C15,AA!C:C,0))</f>
        <v>1</v>
      </c>
      <c r="G15" s="209">
        <v>1</v>
      </c>
      <c r="I15" s="875" t="str">
        <f>IF(AND(F15=1,G15=1)=TRUE,INDEX(AA!$AC$13:$AI$15,MATCH($C15,AA!$C$13:$C$15,0),MATCH(I$13,AA!$AC$11:$AI$11,0)),0)</f>
        <v>backup</v>
      </c>
      <c r="J15" s="876" t="str">
        <f>IF(AND(F15=1,G15=1)=TRUE,INDEX(AA!$AC$13:$AI$15,MATCH($C15,AA!$C$13:$C$15,0),MATCH(J$13,AA!$AC$11:$AI$11,0)),0)</f>
        <v>backup</v>
      </c>
      <c r="K15" s="876" t="str">
        <f>IF(AND(F15=1,G15=1)=TRUE,INDEX(AA!$AC$13:$AI$15,MATCH($C15,AA!$C$13:$C$15,0),MATCH(K$13,AA!$AC$11:$AI$11,0)),0)</f>
        <v>Baden-Wuerttemberg</v>
      </c>
      <c r="L15" s="876" t="str">
        <f>IF(AND(F15=1,G15=1)=TRUE,INDEX(AA!$AC$13:$AI$15,MATCH($C15,AA!$C$13:$C$15,0),MATCH(L$13,AA!$AC$11:$AI$11,0)),0)</f>
        <v>Supermarket</v>
      </c>
      <c r="M15" s="876" t="str">
        <f>IF(AND(F15=1,G15=1)=TRUE,INDEX(AA!$AL$13:$AL$15,MATCH($C15,AA!$C$13:$C$15,0)),0)</f>
        <v>AVC1</v>
      </c>
      <c r="N15" s="876">
        <f>INDEX(AA!$ED$13:$EH$15,MATCH($C15,AA!$C$13:$C$15,0),MATCH(N$13,AA!$ED$11:$EH$11,0))*AND(F15=1,G15=1)</f>
        <v>1</v>
      </c>
      <c r="O15" s="876">
        <f>INDEX(AA!$ED$13:$EH$15,MATCH($C15,AA!$C$13:$C$15,0),MATCH(O$13,AA!$ED$11:$EH$11,0))*AND(F15=1,G15=1)</f>
        <v>1</v>
      </c>
      <c r="P15" s="877">
        <f>INDEX(AA!$ED$13:$EH$15,MATCH($C15,AA!$C$13:$C$15,0),MATCH(P$13,AA!$ED$11:$EH$11,0))*AND(F15=1,G15=1)</f>
        <v>1</v>
      </c>
      <c r="R15" s="879" t="str">
        <f>IF(AND(F15=1,G15=1)=TRUE,INDEX(RR!$K:$K,MATCH($D15,RR!$E:$E,0)),0)</f>
        <v>backup</v>
      </c>
      <c r="S15" s="878" t="str">
        <f>IF(AND(F15=1,G15=1)=TRUE,INDEX(RR!$L:$L,MATCH($D15,RR!$E:$E,0)),0)</f>
        <v>backup</v>
      </c>
      <c r="T15" s="1424" t="str">
        <f>IF(AND(F15=1,G15=1)=TRUE,IF($BN15&gt;0,$T$11,IF(AND($R15="vacant",$BG15&gt;0),$T$10,$T$9)),0)</f>
        <v>Existing</v>
      </c>
      <c r="U15" s="878" t="str">
        <f>IF(AND(F15=1,G15=1)=TRUE,INDEX(RR!$J:$J,MATCH($D15,RR!$E:$E,0)),0)</f>
        <v>FMCG-F</v>
      </c>
      <c r="V15" s="878">
        <f>INDEX(RR!$P:$P,MATCH($D15,RR!$E:$E,0))*AND(F15=1,G15=1)</f>
        <v>1000</v>
      </c>
      <c r="W15" s="880">
        <f>INDEX(RR!$R:$R,MATCH($D15,RR!$E:$E,0))*AND(F15=1,G15=1)</f>
        <v>0</v>
      </c>
      <c r="Y15" s="1379">
        <f>INDEX(RR!M:M,MATCH($D15,RR!E:E,0))*AND(F15=1,G15=1)</f>
        <v>43466</v>
      </c>
      <c r="Z15" s="219"/>
      <c r="AA15" s="275">
        <f>IF(Z15="",Y15,Z15)*AND(F15=1,G15=1)</f>
        <v>43466</v>
      </c>
      <c r="AB15" s="1381">
        <f>INDEX(RR!$N:$N,MATCH($D15,RR!E:E,0))*AND(F15=1,G15=1)</f>
        <v>50770</v>
      </c>
      <c r="AC15" s="219"/>
      <c r="AD15" s="219"/>
      <c r="AE15" s="275">
        <f>CHOOSE($AC$9,AC15,AD15)*AND(F15=1,G15=1)</f>
        <v>0</v>
      </c>
      <c r="AF15" s="275">
        <f>IF(AE15&lt;&gt;0,AE15,AB15)*AND(F15=1,G15=1)</f>
        <v>50770</v>
      </c>
      <c r="AG15" s="878">
        <f>INDEX(RR!Q:Q,MATCH($D15,RR!$E:$E,0))*AND(F15=1,G15=1)</f>
        <v>100000</v>
      </c>
      <c r="AH15" s="884">
        <f t="shared" ref="AH15:AH16" si="0">IF(V15=0,0,(AG15/12/V15))*AND(F15=1,G15=1)</f>
        <v>8.3333333333333339</v>
      </c>
      <c r="AI15" s="245"/>
      <c r="AJ15" s="885">
        <f>IF(AI15&lt;&gt;"",AI15*12*V15,AG15)*AND(F15=1,G15=1)</f>
        <v>100000</v>
      </c>
      <c r="AK15" s="887">
        <f>IF(V15=0,0,(AJ15/12/V15))*AND(F15=1,G15=1)</f>
        <v>8.3333333333333339</v>
      </c>
      <c r="AL15" s="219"/>
      <c r="AM15" s="219"/>
      <c r="AN15" s="198"/>
      <c r="AO15" s="1381">
        <f>IF(INDEX(RR!$V:$V,MATCH($D15,RR!$E:$E,0))&gt;0,EOMONTH(INDEX(RR!$V:$V,MATCH($D15,RR!$E:$E,0)),INDEX(RR!$X:$X,MATCH($D15,RR!$E:$E,0))),0)*AND(F15=1,G15=1)</f>
        <v>0</v>
      </c>
      <c r="AP15" s="1176">
        <f>INDEX(RR!$W:$W,MATCH($D15,RR!$E:$E,0))*AND(F15=1,G15=1)</f>
        <v>0</v>
      </c>
      <c r="AQ15" s="1176">
        <f>INDEX(RR!$Y:$Y,MATCH($D15,RR!$E:$E,0))*AND(F15=1,G15=1)</f>
        <v>0</v>
      </c>
      <c r="AR15" s="1381">
        <f>IFERROR(IF($AP15&gt;0,INDEX(CPI!$A:$A,MATCH(TRUE,INDEX(CPI!$B:$B&gt;INDEX(CPI!$B:$B,MATCH($AO15,CPI!$A:$A,0))*(1+$AP15),),0)),0)*AND(F15=1,G15=1),0)</f>
        <v>0</v>
      </c>
      <c r="AS15" s="1381">
        <f>IFERROR(IF($AP15&gt;0,INDEX(CPI!$A:$A,MATCH(TRUE,INDEX(CPI!$B:$B&gt;INDEX(CPI!$B:$B,MATCH($AR15,CPI!$A:$A,0))*(1+$AP15),),0)),0)*AND(F15=1,G15=1),0)</f>
        <v>0</v>
      </c>
      <c r="AT15" s="1381">
        <f>IFERROR(IF($AP15&gt;0,INDEX(CPI!$A:$A,MATCH(TRUE,INDEX(CPI!$B:$B&gt;INDEX(CPI!$B:$B,MATCH($AS15,CPI!$A:$A,0))*(1+$AP15),),0)),0)*AND(F15=1,G15=1),0)</f>
        <v>0</v>
      </c>
      <c r="AU15" s="1381">
        <f>IFERROR(IF($AP15&gt;0,INDEX(CPI!$A:$A,MATCH(TRUE,INDEX(CPI!$B:$B&gt;INDEX(CPI!$B:$B,MATCH($AT15,CPI!$A:$A,0))*(1+$AP15),),0)),0)*AND(F15=1,G15=1),0)</f>
        <v>0</v>
      </c>
      <c r="AV15" s="878">
        <f>IFERROR(IF(R15="vacant",0,INDEX(AA!$BE:$BE,MATCH($C15,AA!$C:$C,0))*V15/SUMIFS($V$15:$V$17,$R$15:$R$17,"&lt;&gt;vacant",$C$15:$C$17,$C15)),0)*AND(F15=1,G15=1)</f>
        <v>0</v>
      </c>
      <c r="AW15" s="252"/>
      <c r="AX15" s="888">
        <f>IF(AW15&lt;&gt;"",AW15*12*V15,AV15)*AND(F15=1,G15=1)</f>
        <v>0</v>
      </c>
      <c r="AZ15" s="890">
        <f>INDEX(AA!$CJ:$CJ,MATCH($C15,AA!$C:$C,0))*AND(F15=1,G15=1)</f>
        <v>0</v>
      </c>
      <c r="BA15" s="891">
        <f>AZ15*V15*12*AND(F15=1,G15=1)</f>
        <v>0</v>
      </c>
      <c r="BB15" s="245">
        <f>AK15</f>
        <v>8.3333333333333339</v>
      </c>
      <c r="BC15" s="893">
        <f>BB15*12*$V15*AND(F15=1,G15=1)</f>
        <v>100000</v>
      </c>
      <c r="BD15" s="245"/>
      <c r="BE15" s="885">
        <f>BD15*12*$V15*AND(F15=1,G15=1)</f>
        <v>0</v>
      </c>
      <c r="BF15" s="906">
        <f>IF(AND(F15=1,G15=1)=TRUE,IF(CHOOSE($BB$9,BB15,BD15)&lt;&gt;"",CHOOSE($BB$9,BB15,BD15))*ERVFlex,INDEX(AA!$CJ$13:$CJ$15,MATCH(TA!$C15,AA!$C$13:$C$15,0)))</f>
        <v>8.3333333333333339</v>
      </c>
      <c r="BG15" s="878">
        <f t="shared" ref="BG15:BG16" si="1">IF(CHOOSE($BB$9,BB15,BD15)&lt;&gt;"",CHOOSE($BB$9,BC15,BE15),BA15)*ERVFlex*AND(F15=1,G15=1)</f>
        <v>100000</v>
      </c>
      <c r="BH15" s="895">
        <f>IF(AND(F15=1,G15=1)=TRUE,INDEX(RR!$T:$T,MATCH($D15,RR!$E:$E,0)),0)</f>
        <v>0</v>
      </c>
      <c r="BI15" s="261">
        <f>(BG15-AJ15)*AND(F15=1,G15=1)</f>
        <v>0</v>
      </c>
      <c r="BJ15" s="262" t="str">
        <f>IF(AND(F15=1,G15=1)=TRUE,IF(BH15=0,"no option",IF(BI15&gt;0,"ITM","OTM")),0)</f>
        <v>no option</v>
      </c>
      <c r="BL15" s="265"/>
      <c r="BM15" s="186"/>
      <c r="BN15" s="261">
        <f>CHOOSE($BS$9,BL15,BM15)*AND(F15=1,G15=1)</f>
        <v>0</v>
      </c>
      <c r="BO15" s="261">
        <f>IF(V15=0,0,(BN15*$BG15/V15))*AND(F15=1,G15=1)</f>
        <v>0</v>
      </c>
      <c r="BP15" s="184"/>
      <c r="BQ15" s="184"/>
      <c r="BR15" s="185"/>
      <c r="BS15" s="261">
        <f>CHOOSE($BS$9,BQ15,BR15)*AND(F15=1,G15=1)</f>
        <v>0</v>
      </c>
      <c r="BT15" s="261">
        <f>BS15*BN15*AND(F15=1,G15=1)</f>
        <v>0</v>
      </c>
      <c r="BU15" s="184"/>
      <c r="BV15" s="185"/>
      <c r="BW15" s="261">
        <f>CHOOSE($BS$9,BU15,BV15)*AND(F15=1,G15=1)</f>
        <v>0</v>
      </c>
      <c r="BX15" s="184"/>
      <c r="BY15" s="185"/>
      <c r="BZ15" s="261">
        <f>CHOOSE($BS$9,BX15,BY15)*AND(F15=1,G15=1)</f>
        <v>0</v>
      </c>
      <c r="CA15" s="261">
        <f>(BW15+BZ15+1)*(BN15&gt;0)*AND(F15=1,G15=1)</f>
        <v>0</v>
      </c>
      <c r="CB15" s="263">
        <f>IF(V15=0,0,BN15*(AX15/V15))*AND(F15=1,G15=1)</f>
        <v>0</v>
      </c>
      <c r="CD15" s="897">
        <f>INDEX(AA!$CO:$CO,MATCH($C15,AA!$C:$C,0))*AND(F15=1,G15=1)</f>
        <v>5</v>
      </c>
      <c r="CE15" s="898"/>
      <c r="CF15" s="899">
        <f>IF(CE15&lt;&gt;"",CE15,CD15)*AND(F15=1,G15=1)</f>
        <v>5</v>
      </c>
      <c r="CG15" s="1489"/>
      <c r="CH15" s="1490"/>
      <c r="CI15" s="900">
        <f>IF(CHOOSE($CF$8,CG15,CH15)&lt;&gt;"",CHOOSE($CF$8,CG15,CH15),CF15)*AND(F15=1,G15=1)</f>
        <v>5</v>
      </c>
      <c r="CK15" s="276">
        <f>(AF15+1)*(R15&lt;&gt;"vacant")*AND(F15=1,G15=1)</f>
        <v>50771</v>
      </c>
      <c r="CL15" s="274">
        <f>EDATE(CK15,$CI15*12)*($R15&lt;&gt;"vacant")*AND(F15=1,G15=1)</f>
        <v>52597</v>
      </c>
      <c r="CM15" s="904">
        <f>IF(AND(R15&lt;&gt;"vacant",BG15&gt;0),IF($BJ15="ITM",INDEX(GA!$G$168:$P$172,MATCH($P15,GA!$E$168:$E$172,0),MATCH($U15,GA!$G$167:$P$167,0)),INDEX(GA!$G$158:$P$162,MATCH($P15,GA!$E$158:$E$162,0),MATCH($U15,GA!$G$157:$P$157,0))),0)*AND(F15=1,G15=1)</f>
        <v>1</v>
      </c>
      <c r="CN15" s="1430" t="str">
        <f>IF(AND(F15=1,G15=1)=TRUE,IF(AND(R15&lt;&gt;"vacant",BG15&gt;0),INDEX(AA!$CR:$CR,MATCH($C15,AA!$C:$C,0)),""),0)</f>
        <v/>
      </c>
      <c r="CO15" s="315"/>
      <c r="CP15" s="315"/>
      <c r="CQ15" s="271">
        <f>($BG15&gt;0)*IF(CHOOSE($CM$8,CO15,CP15)&lt;&gt;"",CHOOSE($CM$8,$CO15,$CP15),IF(CN15&lt;&gt;"",CN15,CM15))*AND(F15=1,G15=1)</f>
        <v>1</v>
      </c>
      <c r="CR15" s="269"/>
      <c r="CS15" s="1469">
        <f>INDEX(GA!$G$177:$G$186,MATCH($U15,GA!$E$177:$E$186,0))*AND(F15=1,G15=1)</f>
        <v>6</v>
      </c>
      <c r="CT15" s="1596" t="str">
        <f>IF(AND(F15=1,G15=1)=TRUE,INDEX(AA!$CU:$CU,MATCH($C15,AA!$C:$C,0)),0)</f>
        <v/>
      </c>
      <c r="CU15" s="1482"/>
      <c r="CV15" s="1305"/>
      <c r="CW15" s="261">
        <f>($BG15&gt;0)*IF(CHOOSE($CM$8,CU15,CV15)&lt;&gt;"",CHOOSE($CM$8,CU15,CV15),IF(CT15&lt;&gt;"",CT15,CS15))*AND(F15=1,G15=1)</f>
        <v>6</v>
      </c>
      <c r="CX15" s="274">
        <f>IFERROR(($BG15&gt;0)*EDATE(CK15,CW15),0)*AND(F15=1,G15=1)</f>
        <v>50952</v>
      </c>
      <c r="CY15" s="269"/>
      <c r="CZ15" s="906">
        <f>GA!$G$152*AND(F15=1,G15=1)</f>
        <v>1</v>
      </c>
      <c r="DA15" s="1482"/>
      <c r="DB15" s="1305"/>
      <c r="DC15" s="907">
        <f>IF(CHOOSE($CM$8,DA15,DB15)&lt;&gt;"",CHOOSE($CM$8,DA15,DB15),CZ15)*AND(F15=1,G15=1)</f>
        <v>1</v>
      </c>
      <c r="DD15" s="274">
        <f>IFERROR(EDATE(CK15,-DC15),0)*AND(F15=1,G15=1)</f>
        <v>50740</v>
      </c>
      <c r="DE15" s="274">
        <f>IFERROR(CK15-1,0)*(DD15&lt;&gt;0)*AND(F15=1,G15=1)</f>
        <v>50770</v>
      </c>
      <c r="DF15" s="269"/>
      <c r="DG15" s="280">
        <f>IFERROR(INDEX(GA!$G$192:$P$196,MATCH($N15,GA!$E$192:$E$196,0),MATCH($U15,GA!$G$191:$P$191,0)),0)*AND(F15=1,G15=1)</f>
        <v>0</v>
      </c>
      <c r="DH15" s="910" t="str">
        <f>IF(AND(F15=1,G15=1)=TRUE,INDEX(AA!$CX:$CX,MATCH($C15,AA!$C:$C,0)),0)</f>
        <v/>
      </c>
      <c r="DI15" s="184"/>
      <c r="DJ15" s="185"/>
      <c r="DK15" s="261">
        <f>($BG15&gt;0)*IF(CHOOSE($CM$8,DI15,DJ15)&lt;&gt;"",CHOOSE($CM$8,DI15,DJ15),IF(DH15&lt;&gt;"",DH15,DG15))*AND(F15=1,G15=1)</f>
        <v>0</v>
      </c>
      <c r="DL15" s="280">
        <f>DK15*$V15*CQ15*(1+GA!$G$148)*AND(F15=1,G15=1)</f>
        <v>0</v>
      </c>
      <c r="DM15" s="262">
        <f>IF($BJ15="ITM",$AJ15,$BG15)*IF($CI15&gt;$DJ$9,$DM$9,IF($CI15&lt;=$DJ$8,$DM$8,0))*CQ15*AND(F15=1,G15=1)</f>
        <v>0</v>
      </c>
      <c r="DO15" s="909">
        <f>IFERROR(INDEX(GA!$G$209:$P$213,MATCH($P15,GA!$E$209:$E$213,0),MATCH($U15,GA!$G$208:$P$208,0)),0)*AND(F15=1,G15=1)</f>
        <v>12</v>
      </c>
      <c r="DP15" s="1382" t="str">
        <f>IF(AND(F15=1,G15=1)=TRUE,INDEX(AA!$DB:$DB,MATCH($C15,AA!$C:$C,0)),0)</f>
        <v/>
      </c>
      <c r="DQ15" s="184"/>
      <c r="DR15" s="185"/>
      <c r="DS15" s="283">
        <f>($BG15&gt;0)*IF(CHOOSE($DQ$8,DQ15,DR15)&lt;&gt;"",CHOOSE($DQ$8,DQ15,DR15),IF(DP15&lt;&gt;"",DP15,DO15))*AND(F15=1,G15=1)</f>
        <v>12</v>
      </c>
      <c r="DT15" s="1383">
        <f>($R15&lt;&gt;"vacant")*EDATE(MAX(GA!$G$201,CK15),DS15)*AND(F15=1,G15=1)</f>
        <v>51136</v>
      </c>
      <c r="DU15" s="274">
        <f>EDATE(DT15,$CI15*12)*($R15&lt;&gt;"vacant")*AND(F15=1,G15=1)</f>
        <v>52963</v>
      </c>
      <c r="DV15" s="269"/>
      <c r="DW15" s="904">
        <f>(1-$CQ15)*AND(F15=1,G15=1,$R15&lt;&gt;"vacant",$BG15&gt;0)</f>
        <v>0</v>
      </c>
      <c r="DX15" s="1387" t="str">
        <f>IF(AND(F15=1,G15=1)=TRUE,IF(AND(R15&lt;&gt;"vacant",BG15&gt;0),INDEX(AA!$DE:$DE,MATCH($C15,AA!$C:$C,0)),""),0)</f>
        <v/>
      </c>
      <c r="DY15" s="315"/>
      <c r="DZ15" s="315"/>
      <c r="EA15" s="271">
        <f>($BG15&gt;0)*IF(CHOOSE($DQ$8,DY15,DZ15)&lt;&gt;"",CHOOSE($DQ$8,DY15,DZ15),IF(DX15&lt;&gt;"",DX15,DW15))*AND(F15=1,G15=1)</f>
        <v>0</v>
      </c>
      <c r="EB15" s="271">
        <f>(EA15+CQ15)*AND(F15=1,G15=1)</f>
        <v>1</v>
      </c>
      <c r="EC15" s="269"/>
      <c r="ED15" s="910">
        <f>INDEX(GA!$G$218:$G$227,MATCH($U15,GA!$E$218:$E$227,0))*AND(F15=1,G15=1)</f>
        <v>12</v>
      </c>
      <c r="EE15" s="1389" t="str">
        <f>IF(AND(F15=1,G15=1)=TRUE,INDEX(AA!$DH:$DH,MATCH($C15,AA!$C:$C,0)),0)</f>
        <v/>
      </c>
      <c r="EF15" s="184"/>
      <c r="EG15" s="185"/>
      <c r="EH15" s="283">
        <f>($BG15&gt;0)*IF(CHOOSE($DQ$8,EF15,EG15)&lt;&gt;"",CHOOSE($DQ$8,EF15,EG15),IF(EE15&lt;&gt;"",EE15,ED15))*AND(F15=1,G15=1)</f>
        <v>12</v>
      </c>
      <c r="EI15" s="274">
        <f>IFERROR(($BG15&gt;0)*EDATE(DT15,EH15),0)*AND(F15=1,G15=1)</f>
        <v>51502</v>
      </c>
      <c r="EJ15" s="269"/>
      <c r="EK15" s="911">
        <f>GA!$G$203*AND(F15=1,G15=1)</f>
        <v>3</v>
      </c>
      <c r="EL15" s="184"/>
      <c r="EM15" s="185"/>
      <c r="EN15" s="907">
        <f>IF(CHOOSE($DQ$8,EL15,EM15)&lt;&gt;"",CHOOSE($DQ$8,EL15,EM15),EK15)*AND(F15=1,G15=1)</f>
        <v>3</v>
      </c>
      <c r="EO15" s="274">
        <f>IFERROR(EDATE(DT15,-EN15),0)*AND(F15=1,G15=1)</f>
        <v>51044</v>
      </c>
      <c r="EP15" s="274">
        <f>IFERROR(DT15-1,0)*(EO15&lt;&gt;0)*AND(F15=1,G15=1)</f>
        <v>51135</v>
      </c>
      <c r="EQ15" s="269"/>
      <c r="ER15" s="280">
        <f>IFERROR(INDEX(GA!$G$233:$P$237,MATCH($N15,GA!$E$233:$E$237),MATCH($U15,GA!$G$232:$P$232,0)),0)*AND(F15=1,G15=1)</f>
        <v>0</v>
      </c>
      <c r="ES15" s="1390" t="str">
        <f>IF(AND(F15=1,G15=1)=TRUE,INDEX(AA!$DK:$DK,MATCH($C15,AA!$C:$C,0)),0)</f>
        <v/>
      </c>
      <c r="ET15" s="184"/>
      <c r="EU15" s="185"/>
      <c r="EV15" s="261">
        <f>($BG15&gt;0)*IF(CHOOSE($DQ$8,ET15,EU15)&lt;&gt;"",CHOOSE($DQ$8,ET15,EU15),IF(ES15&lt;&gt;"",ES15,ER15))*AND(F15=1,G15=1)</f>
        <v>0</v>
      </c>
      <c r="EW15" s="279">
        <f>EV15*$V15*EA15*(1+GA!$G$148)*AND(F15=1,G15=1)</f>
        <v>0</v>
      </c>
      <c r="EX15" s="262">
        <f>IF($BJ15="ITM",$AJ15,$BG15)*IF($CI15&gt;$EU$9,$EX$9,IF($CI15&lt;=$EU$8,$EX$8,0))*$EA15*AND(F15=1,G15=1)</f>
        <v>0</v>
      </c>
      <c r="EZ15" s="909">
        <f>IFERROR(INDEX(GA!$G$250:$P$254,MATCH($P15,GA!$E$250:$E$254,0),MATCH($U15,GA!$G$249:$P$249,0)),0)*AND(F15=1,G15=1)</f>
        <v>12</v>
      </c>
      <c r="FA15" s="1392" t="str">
        <f>IF(AND(F15=1,G15=1)=TRUE,INDEX(AA!$DO:$DO,MATCH($C15,AA!$C:$C,0)),0)</f>
        <v/>
      </c>
      <c r="FB15" s="184"/>
      <c r="FC15" s="185"/>
      <c r="FD15" s="283">
        <f>($BG15&gt;0)*IF(CHOOSE($FB$8,FB15,FC15)&lt;&gt;"",CHOOSE($FB$8,FB15,FC15),IF(FA15&lt;&gt;"",FA15,EZ15))*AND(F15=1,G15=1)</f>
        <v>12</v>
      </c>
      <c r="FE15" s="1383">
        <f>IF($R15="vacant",EDATE(GA!$G$242,FD15),0)*AND(F15=1,G15=1)</f>
        <v>0</v>
      </c>
      <c r="FF15" s="274">
        <f>EDATE(FE15,$CI15*12)*($R15="vacant")*AND(F15=1,G15=1)</f>
        <v>0</v>
      </c>
      <c r="FG15" s="269"/>
      <c r="FH15" s="904">
        <f>IF(AND($R15="vacant",$BG15&gt;0,F15=1,G15=1),INDEX(GA!$G$260:$K$264,MATCH($P15,GA!$E$260:$E$264,0),MATCH($O15,GA!$G$259:$K$259,0)),0)</f>
        <v>0</v>
      </c>
      <c r="FI15" s="1385" t="str">
        <f>IF(AND(F15=1,G15=1)=TRUE,IF(AND($R15="vacant",$BG15&gt;0),INDEX(AA!$DR:$DR,MATCH($C15,AA!$C:$C,0)),""),0)</f>
        <v/>
      </c>
      <c r="FJ15" s="315"/>
      <c r="FK15" s="315"/>
      <c r="FL15" s="271">
        <f>AND(F15=1,G15=1)*($BG15&gt;0)*IF(CHOOSE($FB$8,FJ15,FK15)&lt;&gt;"",CHOOSE($FB$8,FJ15,FK15),IF(FI15&lt;&gt;"",FI15,FH15))</f>
        <v>0</v>
      </c>
      <c r="FM15" s="269"/>
      <c r="FN15" s="910">
        <f>AND(F15=1,G15=1)*INDEX(GA!$G$269:$G$278,MATCH($U15,GA!$E$269:$E$278,0))</f>
        <v>18</v>
      </c>
      <c r="FO15" s="876" t="str">
        <f>IF(AND(F15=1,G15=1)=TRUE,INDEX(AA!$DU:$DU,MATCH($C15,AA!$C:$C,0)),0)</f>
        <v/>
      </c>
      <c r="FP15" s="184"/>
      <c r="FQ15" s="185"/>
      <c r="FR15" s="283">
        <f>AND(F15=1,G15=1)*($BG15&gt;0)*IF(CHOOSE($FB$8,FP15,FQ15)&lt;&gt;"",CHOOSE($FB$8,FP15,FQ15),IF(FO15&lt;&gt;"",FO15,FN15))</f>
        <v>18</v>
      </c>
      <c r="FS15" s="274">
        <f>AND(F15=1,G15=1)*IFERROR(($BG15&gt;0)*EDATE(FE15,FR15),0)</f>
        <v>547</v>
      </c>
      <c r="FT15" s="269"/>
      <c r="FU15" s="1320">
        <f>AND(F15=1,G15=1)*GA!$G$244</f>
        <v>3</v>
      </c>
      <c r="FV15" s="184"/>
      <c r="FW15" s="185"/>
      <c r="FX15" s="907">
        <f>AND(F15=1,G15=1)*IF(CHOOSE($FB$8,FV15,FW15)&lt;&gt;"",CHOOSE($FB$8,FV15,FW15),FU15)</f>
        <v>3</v>
      </c>
      <c r="FY15" s="274">
        <f>AND(F15=1,G15=1)*IFERROR(EDATE(FE15,-FX15),0)</f>
        <v>0</v>
      </c>
      <c r="FZ15" s="274">
        <f>AND(F15=1,G15=1)*IFERROR(FE15-1,0)*(FY15&lt;&gt;0)</f>
        <v>0</v>
      </c>
      <c r="GA15" s="269"/>
      <c r="GB15" s="280">
        <f>AND(F15=1,G15=1)*IFERROR(INDEX(GA!$G$284:$P$288,MATCH($N15,GA!$E$284:$E$288,0),MATCH($U15,GA!$G$283:$P$283,0)),0)</f>
        <v>0</v>
      </c>
      <c r="GC15" s="1390" t="str">
        <f>IF(AND(F15=1,G15=1)=TRUE,IF($T15=$T$10,INDEX(AA!$DX:$DX,MATCH($C15,AA!$C:$C,0)),""),0)</f>
        <v/>
      </c>
      <c r="GD15" s="184"/>
      <c r="GE15" s="185"/>
      <c r="GF15" s="283">
        <f>AND(F15=1,G15=1)*($BG15&gt;0)*IF(CHOOSE($FB$8,GD15,GE15)&lt;&gt;"",CHOOSE($FB$8,GD15,GE15),IF(GC15&lt;&gt;"",GC15,GB15))</f>
        <v>0</v>
      </c>
      <c r="GG15" s="280">
        <f>AND(F15=1,G15=1)*GF15*$V15*FL15*(1+GA!$G$148)</f>
        <v>0</v>
      </c>
      <c r="GH15" s="262">
        <f>AND(F15=1,G15=1)*IF($BJ15="ITM",$AJ15,$BG15)*IF($CI15&gt;$GE$9,$GH$9,IF($CI15&lt;=$GE$8,$GH$8,0))*$FL15</f>
        <v>0</v>
      </c>
      <c r="GJ15" s="1322">
        <f>AND(F15=1,G15=1)*IF($AB15&lt;&gt;0,YEARFRAC($GJ$11,$AB15,3),0)</f>
        <v>17.846575342465755</v>
      </c>
      <c r="GK15" s="1323">
        <f>AND(F15=1,G15=1)*IF($AB15&lt;&gt;$CL15,YEARFRAC($GJ$11,$AB15,3),0)</f>
        <v>17.846575342465755</v>
      </c>
      <c r="GL15" s="261">
        <f>AND(F15=1,G15=1)*$GJ15*$AJ15</f>
        <v>1784657.5342465756</v>
      </c>
      <c r="GM15" s="263">
        <f>AND(F15=1,G15=1)*GK15*$AJ15</f>
        <v>1784657.5342465756</v>
      </c>
      <c r="GO15" s="1273">
        <f>IF(AND(F15=1,G15=1)=TRUE,(COUNTIFS($AB$15:$AB$17,"&lt;"&amp;$GP$9,$AJ$15:$AJ$17,"&gt;"&amp;AJ15)+1)*(AB15&lt;$GP$9),0)</f>
        <v>0</v>
      </c>
      <c r="GQ15" s="151"/>
      <c r="GS15" s="1217">
        <f>AND(F15=1,G15=1)*SUMIFS($AJ:$AJ,$R:$R,$R15)</f>
        <v>300000</v>
      </c>
      <c r="GT15" s="261">
        <f>IF(COUNTIFS($R$14:R14,$R15)=0,$GS15,0)*AND(F15=1,G15=1)</f>
        <v>300000</v>
      </c>
      <c r="GU15" s="263">
        <f>AND(F15=1,G15=1)*IF(GT15=0,0,RANK($GT15,$GT$15:$GT$17))</f>
        <v>1</v>
      </c>
    </row>
    <row r="16" spans="1:203">
      <c r="C16" s="99">
        <f>RR!C24</f>
        <v>2</v>
      </c>
      <c r="D16" s="99" t="str">
        <f>RR!E24</f>
        <v>2 - 1</v>
      </c>
      <c r="F16" s="213">
        <f>INDEX(AA!$E:$E,MATCH($C16,AA!C:C,0))</f>
        <v>1</v>
      </c>
      <c r="G16" s="158">
        <v>1</v>
      </c>
      <c r="I16" s="875" t="str">
        <f>IF(AND(F16=1,G16=1)=TRUE,INDEX(AA!$AC$13:$AI$15,MATCH($C16,AA!$C$13:$C$15,0),MATCH(I$13,AA!$AC$11:$AI$11,0)),0)</f>
        <v>backup</v>
      </c>
      <c r="J16" s="876" t="str">
        <f>IF(AND(F16=1,G16=1)=TRUE,INDEX(AA!$AC$13:$AI$15,MATCH($C16,AA!$C$13:$C$15,0),MATCH(J$13,AA!$AC$11:$AI$11,0)),0)</f>
        <v>backup</v>
      </c>
      <c r="K16" s="876" t="str">
        <f>IF(AND(F16=1,G16=1)=TRUE,INDEX(AA!$AC$13:$AI$15,MATCH($C16,AA!$C$13:$C$15,0),MATCH(K$13,AA!$AC$11:$AI$11,0)),0)</f>
        <v>Baden-Wuerttemberg</v>
      </c>
      <c r="L16" s="876" t="str">
        <f>IF(AND(F16=1,G16=1)=TRUE,INDEX(AA!$AC$13:$AI$15,MATCH($C16,AA!$C$13:$C$15,0),MATCH(L$13,AA!$AC$11:$AI$11,0)),0)</f>
        <v>Discounter</v>
      </c>
      <c r="M16" s="876" t="str">
        <f>IF(AND(F16=1,G16=1)=TRUE,INDEX(AA!$AL$13:$AL$15,MATCH($C16,AA!$C$13:$C$15,0)),0)</f>
        <v>PTS</v>
      </c>
      <c r="N16" s="876">
        <f>INDEX(AA!$ED$13:$EH$15,MATCH($C16,AA!$C$13:$C$15,0),MATCH(N$13,AA!$ED$11:$EH$11,0))*AND(F16=1,G16=1)</f>
        <v>1</v>
      </c>
      <c r="O16" s="876">
        <f>INDEX(AA!$ED$13:$EH$15,MATCH($C16,AA!$C$13:$C$15,0),MATCH(O$13,AA!$ED$11:$EH$11,0))*AND(F16=1,G16=1)</f>
        <v>1</v>
      </c>
      <c r="P16" s="877">
        <f>INDEX(AA!$ED$13:$EH$15,MATCH($C16,AA!$C$13:$C$15,0),MATCH(P$13,AA!$ED$11:$EH$11,0))*AND(F16=1,G16=1)</f>
        <v>1</v>
      </c>
      <c r="R16" s="881" t="str">
        <f>IF(AND(F16=1,G16=1)=TRUE,INDEX(RR!$K:$K,MATCH($D16,RR!$E:$E,0)),0)</f>
        <v>backup</v>
      </c>
      <c r="S16" s="882" t="str">
        <f>IF(AND(F16=1,G16=1)=TRUE,INDEX(RR!$L:$L,MATCH($D16,RR!$E:$E,0)),0)</f>
        <v>backup</v>
      </c>
      <c r="T16" s="1425" t="str">
        <f t="shared" ref="T16" si="2">IF(AND(F16=1,G16=1)=TRUE,IF($BN16&gt;0,$T$11,IF(AND($R16="vacant",$BG16&gt;0),$T$10,$T$9)),0)</f>
        <v>Existing</v>
      </c>
      <c r="U16" s="882" t="str">
        <f>IF(AND(F16=1,G16=1)=TRUE,INDEX(RR!$J:$J,MATCH($D16,RR!$E:$E,0)),0)</f>
        <v>FMCG-F</v>
      </c>
      <c r="V16" s="882">
        <f>INDEX(RR!$P:$P,MATCH($D16,RR!$E:$E,0))*AND(F16=1,G16=1)</f>
        <v>1000</v>
      </c>
      <c r="W16" s="883">
        <f>INDEX(RR!$R:$R,MATCH($D16,RR!$E:$E,0))*AND(F16=1,G16=1)</f>
        <v>0</v>
      </c>
      <c r="Y16" s="1380">
        <f>INDEX(RR!M:M,MATCH($D16,RR!E:E,0))*AND(F16=1,G16=1)</f>
        <v>43466</v>
      </c>
      <c r="Z16" s="220"/>
      <c r="AA16" s="275">
        <f t="shared" ref="AA16" si="3">IF(Z16="",Y16,Z16)*AND(F16=1,G16=1)</f>
        <v>43466</v>
      </c>
      <c r="AB16" s="1381">
        <f>INDEX(RR!$N:$N,MATCH($D16,RR!E:E,0))*AND(F16=1,G16=1)</f>
        <v>50770</v>
      </c>
      <c r="AC16" s="220"/>
      <c r="AD16" s="220"/>
      <c r="AE16" s="275">
        <f t="shared" ref="AE16" si="4">CHOOSE($AC$9,AC16,AD16)*AND(F16=1,G16=1)</f>
        <v>0</v>
      </c>
      <c r="AF16" s="275">
        <f t="shared" ref="AF16" si="5">IF(AE16&lt;&gt;0,AE16,AB16)*AND(F16=1,G16=1)</f>
        <v>50770</v>
      </c>
      <c r="AG16" s="882">
        <f>INDEX(RR!Q:Q,MATCH($D16,RR!$E:$E,0))*AND(F16=1,G16=1)</f>
        <v>100000</v>
      </c>
      <c r="AH16" s="884">
        <f t="shared" si="0"/>
        <v>8.3333333333333339</v>
      </c>
      <c r="AI16" s="245"/>
      <c r="AJ16" s="886">
        <f t="shared" ref="AJ16" si="6">IF(AI16&lt;&gt;"",AI16*12*V16,AG16)*AND(F16=1,G16=1)</f>
        <v>100000</v>
      </c>
      <c r="AK16" s="884">
        <f t="shared" ref="AK16" si="7">IF(V16=0,0,(AJ16/12/V16))*AND(F16=1,G16=1)</f>
        <v>8.3333333333333339</v>
      </c>
      <c r="AL16" s="220"/>
      <c r="AM16" s="220"/>
      <c r="AN16" s="120"/>
      <c r="AO16" s="1381">
        <f>IF(INDEX(RR!$V:$V,MATCH($D16,RR!$E:$E,0))&gt;0,EOMONTH(INDEX(RR!$V:$V,MATCH($D16,RR!$E:$E,0)),INDEX(RR!$X:$X,MATCH($D16,RR!$E:$E,0))),0)*AND(F16=1,G16=1)</f>
        <v>0</v>
      </c>
      <c r="AP16" s="1177">
        <f>INDEX(RR!$W:$W,MATCH($D16,RR!$E:$E,0))*AND(F16=1,G16=1)</f>
        <v>0</v>
      </c>
      <c r="AQ16" s="1177">
        <f>INDEX(RR!$Y:$Y,MATCH($D16,RR!$E:$E,0))*AND(F16=1,G16=1)</f>
        <v>0</v>
      </c>
      <c r="AR16" s="1381">
        <f>IFERROR(IF($AP16&gt;0,INDEX(CPI!$A:$A,MATCH(TRUE,INDEX(CPI!$B:$B&gt;INDEX(CPI!$B:$B,MATCH($AO16,CPI!$A:$A,0))*(1+$AP16),),0)),0)*AND(F16=1,G16=1),0)</f>
        <v>0</v>
      </c>
      <c r="AS16" s="1381">
        <f>IFERROR(IF($AP16&gt;0,INDEX(CPI!$A:$A,MATCH(TRUE,INDEX(CPI!$B:$B&gt;INDEX(CPI!$B:$B,MATCH($AR16,CPI!$A:$A,0))*(1+$AP16),),0)),0)*AND(F16=1,G16=1),0)</f>
        <v>0</v>
      </c>
      <c r="AT16" s="1381">
        <f>IFERROR(IF($AP16&gt;0,INDEX(CPI!$A:$A,MATCH(TRUE,INDEX(CPI!$B:$B&gt;INDEX(CPI!$B:$B,MATCH($AS16,CPI!$A:$A,0))*(1+$AP16),),0)),0)*AND(F16=1,G16=1),0)</f>
        <v>0</v>
      </c>
      <c r="AU16" s="1381">
        <f>IFERROR(IF($AP16&gt;0,INDEX(CPI!$A:$A,MATCH(TRUE,INDEX(CPI!$B:$B&gt;INDEX(CPI!$B:$B,MATCH($AT16,CPI!$A:$A,0))*(1+$AP16),),0)),0)*AND(F16=1,G16=1),0)</f>
        <v>0</v>
      </c>
      <c r="AV16" s="882">
        <f>IFERROR(IF(R16="vacant",0,INDEX(AA!$BE:$BE,MATCH($C16,AA!$C:$C,0))*V16/SUMIFS($V$15:$V$17,$R$15:$R$17,"&lt;&gt;vacant",$C$15:$C$17,$C16)),0)*AND(F16=1,G16=1)</f>
        <v>0</v>
      </c>
      <c r="AW16" s="245"/>
      <c r="AX16" s="889">
        <f t="shared" ref="AX16" si="8">IF(AW16&lt;&gt;"",AW16*12*V16,AV16)*AND(F16=1,G16=1)</f>
        <v>0</v>
      </c>
      <c r="AZ16" s="890">
        <f>INDEX(AA!$CJ:$CJ,MATCH($C16,AA!$C:$C,0))*AND(F16=1,G16=1)</f>
        <v>0</v>
      </c>
      <c r="BA16" s="892">
        <f t="shared" ref="BA16" si="9">AZ16*V16*12*AND(F16=1,G16=1)</f>
        <v>0</v>
      </c>
      <c r="BB16" s="245">
        <f t="shared" ref="BB16:BB17" si="10">AK16</f>
        <v>8.3333333333333339</v>
      </c>
      <c r="BC16" s="894">
        <f t="shared" ref="BC16" si="11">BB16*12*$V16*AND(F16=1,G16=1)</f>
        <v>100000</v>
      </c>
      <c r="BD16" s="245"/>
      <c r="BE16" s="886">
        <f t="shared" ref="BE16" si="12">BD16*12*$V16*AND(F16=1,G16=1)</f>
        <v>0</v>
      </c>
      <c r="BF16" s="906">
        <f>IF(AND(F16=1,G16=1)=TRUE,IF(CHOOSE($BB$9,BB16,BD16)&lt;&gt;"",CHOOSE($BB$9,BB16,BD16))*ERVFlex,INDEX(AA!$CJ$13:$CJ$15,MATCH(TA!$C16,AA!$C$13:$C$15,0)))</f>
        <v>8.3333333333333339</v>
      </c>
      <c r="BG16" s="882">
        <f t="shared" si="1"/>
        <v>100000</v>
      </c>
      <c r="BH16" s="896">
        <f>IF(AND(F16=1,G16=1)=TRUE,INDEX(RR!$T:$T,MATCH($D16,RR!$E:$E,0)),0)</f>
        <v>0</v>
      </c>
      <c r="BI16" s="261">
        <f t="shared" ref="BI16" si="13">(BG16-AJ16)*AND(F16=1,G16=1)</f>
        <v>0</v>
      </c>
      <c r="BJ16" s="263" t="str">
        <f t="shared" ref="BJ16" si="14">IF(AND(F16=1,G16=1)=TRUE,IF(BH16=0,"no option",IF(BI16&gt;0,"ITM","OTM")),0)</f>
        <v>no option</v>
      </c>
      <c r="BL16" s="177"/>
      <c r="BM16" s="185"/>
      <c r="BN16" s="261">
        <f t="shared" ref="BN16" si="15">CHOOSE($BS$9,BL16,BM16)*AND(F16=1,G16=1)</f>
        <v>0</v>
      </c>
      <c r="BO16" s="261">
        <f t="shared" ref="BO16:BO17" si="16">IF(V16=0,0,(BN16*$BG16/V16))*AND(F16=1,G16=1)</f>
        <v>0</v>
      </c>
      <c r="BP16" s="184"/>
      <c r="BQ16" s="184"/>
      <c r="BR16" s="185"/>
      <c r="BS16" s="261">
        <f t="shared" ref="BS16" si="17">CHOOSE($BS$9,BQ16,BR16)*AND(F16=1,G16=1)</f>
        <v>0</v>
      </c>
      <c r="BT16" s="261">
        <f t="shared" ref="BT16" si="18">BS16*BN16*AND(F16=1,G16=1)</f>
        <v>0</v>
      </c>
      <c r="BU16" s="184"/>
      <c r="BV16" s="185"/>
      <c r="BW16" s="261">
        <f t="shared" ref="BW16" si="19">CHOOSE($BS$9,BU16,BV16)*AND(F16=1,G16=1)</f>
        <v>0</v>
      </c>
      <c r="BX16" s="184"/>
      <c r="BY16" s="185"/>
      <c r="BZ16" s="261">
        <f t="shared" ref="BZ16" si="20">CHOOSE($BS$9,BX16,BY16)*AND(F16=1,G16=1)</f>
        <v>0</v>
      </c>
      <c r="CA16" s="261">
        <f t="shared" ref="CA16" si="21">(BW16+BZ16+1)*(BN16&gt;0)*AND(F16=1,G16=1)</f>
        <v>0</v>
      </c>
      <c r="CB16" s="263">
        <f t="shared" ref="CB16" si="22">IF(V16=0,0,BN16*(AX16/V16))*AND(F16=1,G16=1)</f>
        <v>0</v>
      </c>
      <c r="CD16" s="901">
        <f>INDEX(AA!$CO:$CO,MATCH($C16,AA!$C:$C,0))*AND(F16=1,G16=1)</f>
        <v>5</v>
      </c>
      <c r="CE16" s="898"/>
      <c r="CF16" s="902">
        <f t="shared" ref="CF16" si="23">IF(CE16&lt;&gt;"",CE16,CD16)*AND(F16=1,G16=1)</f>
        <v>5</v>
      </c>
      <c r="CG16" s="1489"/>
      <c r="CH16" s="1490"/>
      <c r="CI16" s="903">
        <f t="shared" ref="CI16" si="24">IF(CHOOSE($CF$8,CG16,CH16)&lt;&gt;"",CHOOSE($CF$8,CG16,CH16),CF16)*AND(F16=1,G16=1)</f>
        <v>5</v>
      </c>
      <c r="CK16" s="277">
        <f t="shared" ref="CK16" si="25">(AF16+1)*(R16&lt;&gt;"vacant")*AND(F16=1,G16=1)</f>
        <v>50771</v>
      </c>
      <c r="CL16" s="275">
        <f t="shared" ref="CL16" si="26">EDATE(CK16,$CI16*12)*($R16&lt;&gt;"vacant")*AND(F16=1,G16=1)</f>
        <v>52597</v>
      </c>
      <c r="CM16" s="905">
        <f>IF(AND(R16&lt;&gt;"vacant",BG16&gt;0),IF($BJ16="ITM",INDEX(GA!$G$168:$P$172,MATCH($P16,GA!$E$168:$E$172,0),MATCH($U16,GA!$G$167:$P$167,0)),INDEX(GA!$G$158:$P$162,MATCH($P16,GA!$E$158:$E$162,0),MATCH($U16,GA!$G$157:$P$157,0))),0)*AND(F16=1,G16=1)</f>
        <v>1</v>
      </c>
      <c r="CN16" s="1431" t="str">
        <f>IF(AND(F16=1,G16=1)=TRUE,IF(AND(R16&lt;&gt;"vacant",BG16&gt;0),INDEX(AA!$CR:$CR,MATCH($C16,AA!$C:$C,0)),""),0)</f>
        <v/>
      </c>
      <c r="CO16" s="315"/>
      <c r="CP16" s="315"/>
      <c r="CQ16" s="272">
        <f t="shared" ref="CQ16" si="27">($BG16&gt;0)*IF(CHOOSE($CM$8,CO16,CP16)&lt;&gt;"",CHOOSE($CM$8,$CO16,$CP16),IF(CN16&lt;&gt;"",CN16,CM16))*AND(F16=1,G16=1)</f>
        <v>1</v>
      </c>
      <c r="CS16" s="1470">
        <f>INDEX(GA!$G$177:$G$186,MATCH($U16,GA!$E$177:$E$186,0))*AND(F16=1,G16=1)</f>
        <v>6</v>
      </c>
      <c r="CT16" s="1596" t="str">
        <f>IF(AND(F16=1,G16=1)=TRUE,INDEX(AA!$CU:$CU,MATCH($C16,AA!$C:$C,0)),0)</f>
        <v/>
      </c>
      <c r="CU16" s="1482"/>
      <c r="CV16" s="1305"/>
      <c r="CW16" s="261">
        <f t="shared" ref="CW16" si="28">($BG16&gt;0)*IF(CHOOSE($CM$8,CU16,CV16)&lt;&gt;"",CHOOSE($CM$8,CU16,CV16),IF(CT16&lt;&gt;"",CT16,CS16))*AND(F16=1,G16=1)</f>
        <v>6</v>
      </c>
      <c r="CX16" s="275">
        <f t="shared" ref="CX16" si="29">IFERROR(($BG16&gt;0)*EDATE(CK16,CW16),0)*AND(F16=1,G16=1)</f>
        <v>50952</v>
      </c>
      <c r="CZ16" s="906">
        <f>GA!$G$152*AND(F16=1,G16=1)</f>
        <v>1</v>
      </c>
      <c r="DA16" s="1482"/>
      <c r="DB16" s="1305"/>
      <c r="DC16" s="908">
        <f t="shared" ref="DC16" si="30">IF(CHOOSE($CM$8,DA16,DB16)&lt;&gt;"",CHOOSE($CM$8,DA16,DB16),CZ16)*AND(F16=1,G16=1)</f>
        <v>1</v>
      </c>
      <c r="DD16" s="275">
        <f t="shared" ref="DD16" si="31">IFERROR(EDATE(CK16,-DC16),0)*AND(F16=1,G16=1)</f>
        <v>50740</v>
      </c>
      <c r="DE16" s="275">
        <f t="shared" ref="DE16" si="32">IFERROR(CK16-1,0)*(DD16&lt;&gt;0)*AND(F16=1,G16=1)</f>
        <v>50770</v>
      </c>
      <c r="DG16" s="279">
        <f>IFERROR(INDEX(GA!$G$192:$P$196,MATCH($N16,GA!$E$192:$E$196,0),MATCH($U16,GA!$G$191:$P$191,0)),0)*AND(F16=1,G16=1)</f>
        <v>0</v>
      </c>
      <c r="DH16" s="876" t="str">
        <f>IF(AND(F16=1,G16=1)=TRUE,INDEX(AA!$CX:$CX,MATCH($C16,AA!$C:$C,0)),0)</f>
        <v/>
      </c>
      <c r="DI16" s="184"/>
      <c r="DJ16" s="185"/>
      <c r="DK16" s="261">
        <f t="shared" ref="DK16" si="33">($BG16&gt;0)*IF(CHOOSE($CM$8,DI16,DJ16)&lt;&gt;"",CHOOSE($CM$8,DI16,DJ16),IF(DH16&lt;&gt;"",DH16,DG16))*AND(F16=1,G16=1)</f>
        <v>0</v>
      </c>
      <c r="DL16" s="279">
        <f>DK16*$V16*CQ16*(1+GA!$G$148)*AND(F16=1,G16=1)</f>
        <v>0</v>
      </c>
      <c r="DM16" s="263">
        <f t="shared" ref="DM16" si="34">IF($BJ16="ITM",$AJ16,$BG16)*IF($CI16&gt;$DJ$9,$DM$9,IF($CI16&lt;=$DJ$8,$DM$8,0))*CQ16*AND(F16=1,G16=1)</f>
        <v>0</v>
      </c>
      <c r="DO16" s="875">
        <f>IFERROR(INDEX(GA!$G$209:$P$213,MATCH($P16,GA!$E$209:$E$213,0),MATCH($U16,GA!$G$208:$P$208,0)),0)*AND(F16=1,G16=1)</f>
        <v>12</v>
      </c>
      <c r="DP16" s="1381" t="str">
        <f>IF(AND(F16=1,G16=1)=TRUE,INDEX(AA!$DB:$DB,MATCH($C16,AA!$C:$C,0)),0)</f>
        <v/>
      </c>
      <c r="DQ16" s="184"/>
      <c r="DR16" s="185"/>
      <c r="DS16" s="284">
        <f t="shared" ref="DS16" si="35">($BG16&gt;0)*IF(CHOOSE($DQ$8,DQ16,DR16)&lt;&gt;"",CHOOSE($DQ$8,DQ16,DR16),IF(DP16&lt;&gt;"",DP16,DO16))*AND(F16=1,G16=1)</f>
        <v>12</v>
      </c>
      <c r="DT16" s="1384">
        <f>($R16&lt;&gt;"vacant")*EDATE(MAX(GA!$G$201,CK16),DS16)*AND(F16=1,G16=1)</f>
        <v>51136</v>
      </c>
      <c r="DU16" s="275">
        <f t="shared" ref="DU16" si="36">EDATE(DT16,$CI16*12)*($R16&lt;&gt;"vacant")*AND(F16=1,G16=1)</f>
        <v>52963</v>
      </c>
      <c r="DW16" s="905">
        <f t="shared" ref="DW16" si="37">(1-$CQ16)*AND(F16=1,G16=1,$R16&lt;&gt;"vacant",$BG16&gt;0)</f>
        <v>0</v>
      </c>
      <c r="DX16" s="1388" t="str">
        <f>IF(AND(F16=1,G16=1)=TRUE,IF(AND(R16&lt;&gt;"vacant",BG16&gt;0),INDEX(AA!$DE:$DE,MATCH($C16,AA!$C:$C,0)),""),0)</f>
        <v/>
      </c>
      <c r="DY16" s="315"/>
      <c r="DZ16" s="315"/>
      <c r="EA16" s="272">
        <f t="shared" ref="EA16" si="38">($BG16&gt;0)*IF(CHOOSE($DQ$8,DY16,DZ16)&lt;&gt;"",CHOOSE($DQ$8,DY16,DZ16),IF(DX16&lt;&gt;"",DX16,DW16))*AND(F16=1,G16=1)</f>
        <v>0</v>
      </c>
      <c r="EB16" s="272">
        <f t="shared" ref="EB16" si="39">(EA16+CQ16)*AND(F16=1,G16=1)</f>
        <v>1</v>
      </c>
      <c r="ED16" s="876">
        <f>INDEX(GA!$G$218:$G$227,MATCH($U16,GA!$E$218:$E$227,0))*AND(F16=1,G16=1)</f>
        <v>12</v>
      </c>
      <c r="EE16" s="1389" t="str">
        <f>IF(AND(F16=1,G16=1)=TRUE,INDEX(AA!$DH:$DH,MATCH($C16,AA!$C:$C,0)),0)</f>
        <v/>
      </c>
      <c r="EF16" s="184"/>
      <c r="EG16" s="185"/>
      <c r="EH16" s="284">
        <f t="shared" ref="EH16" si="40">($BG16&gt;0)*IF(CHOOSE($DQ$8,EF16,EG16)&lt;&gt;"",CHOOSE($DQ$8,EF16,EG16),IF(EE16&lt;&gt;"",EE16,ED16))*AND(F16=1,G16=1)</f>
        <v>12</v>
      </c>
      <c r="EI16" s="275">
        <f t="shared" ref="EI16" si="41">IFERROR(($BG16&gt;0)*EDATE(DT16,EH16),0)*AND(F16=1,G16=1)</f>
        <v>51502</v>
      </c>
      <c r="EK16" s="912">
        <f>GA!$G$203*AND(F16=1,G16=1)</f>
        <v>3</v>
      </c>
      <c r="EL16" s="184"/>
      <c r="EM16" s="185"/>
      <c r="EN16" s="908">
        <f t="shared" ref="EN16" si="42">IF(CHOOSE($DQ$8,EL16,EM16)&lt;&gt;"",CHOOSE($DQ$8,EL16,EM16),EK16)*AND(F16=1,G16=1)</f>
        <v>3</v>
      </c>
      <c r="EO16" s="275">
        <f t="shared" ref="EO16" si="43">IFERROR(EDATE(DT16,-EN16),0)*AND(F16=1,G16=1)</f>
        <v>51044</v>
      </c>
      <c r="EP16" s="275">
        <f t="shared" ref="EP16" si="44">IFERROR(DT16-1,0)*(EO16&lt;&gt;0)*AND(F16=1,G16=1)</f>
        <v>51135</v>
      </c>
      <c r="ER16" s="279">
        <f>IFERROR(INDEX(GA!$G$233:$P$237,MATCH($N16,GA!$E$233:$E$237),MATCH($U16,GA!$G$232:$P$232,0)),0)*AND(F16=1,G16=1)</f>
        <v>0</v>
      </c>
      <c r="ES16" s="1391" t="str">
        <f>IF(AND(F16=1,G16=1)=TRUE,INDEX(AA!$DK:$DK,MATCH($C16,AA!$C:$C,0)),0)</f>
        <v/>
      </c>
      <c r="ET16" s="184"/>
      <c r="EU16" s="185"/>
      <c r="EV16" s="261">
        <f t="shared" ref="EV16" si="45">($BG16&gt;0)*IF(CHOOSE($DQ$8,ET16,EU16)&lt;&gt;"",CHOOSE($DQ$8,ET16,EU16),IF(ES16&lt;&gt;"",ES16,ER16))*AND(F16=1,G16=1)</f>
        <v>0</v>
      </c>
      <c r="EW16" s="279">
        <f>EV16*$V16*EA16*(1+GA!$G$148)*AND(F16=1,G16=1)</f>
        <v>0</v>
      </c>
      <c r="EX16" s="263">
        <f t="shared" ref="EX16" si="46">IF($BJ16="ITM",$AJ16,$BG16)*IF($CI16&gt;$EU$9,$EX$9,IF($CI16&lt;=$EU$8,$EX$8,0))*$EA16*AND(F16=1,G16=1)</f>
        <v>0</v>
      </c>
      <c r="EZ16" s="875">
        <f>IFERROR(INDEX(GA!$G$250:$P$254,MATCH($P16,GA!$E$250:$E$254,0),MATCH($U16,GA!$G$249:$P$249,0)),0)*AND(F16=1,G16=1)</f>
        <v>12</v>
      </c>
      <c r="FA16" s="1393" t="str">
        <f>IF(AND(F16=1,G16=1)=TRUE,INDEX(AA!$DO:$DO,MATCH($C16,AA!$C:$C,0)),0)</f>
        <v/>
      </c>
      <c r="FB16" s="184"/>
      <c r="FC16" s="185"/>
      <c r="FD16" s="284">
        <f t="shared" ref="FD16" si="47">($BG16&gt;0)*IF(CHOOSE($FB$8,FB16,FC16)&lt;&gt;"",CHOOSE($FB$8,FB16,FC16),IF(FA16&lt;&gt;"",FA16,EZ16))*AND(F16=1,G16=1)</f>
        <v>12</v>
      </c>
      <c r="FE16" s="1384">
        <f>IF($R16="vacant",EDATE(GA!$G$242,FD16),0)*AND(F16=1,G16=1)</f>
        <v>0</v>
      </c>
      <c r="FF16" s="275">
        <f t="shared" ref="FF16" si="48">EDATE(FE16,$CI16*12)*($R16="vacant")*AND(F16=1,G16=1)</f>
        <v>0</v>
      </c>
      <c r="FH16" s="905">
        <f>IF(AND($R16="vacant",$BG16&gt;0,F16=1,G16=1),INDEX(GA!$G$260:$K$264,MATCH($P16,GA!$E$260:$E$264,0),MATCH($O16,GA!$G$259:$K$259,0)),0)</f>
        <v>0</v>
      </c>
      <c r="FI16" s="1386" t="str">
        <f>IF(AND(F16=1,G16=1)=TRUE,IF(AND($R16="vacant",$BG16&gt;0),INDEX(AA!$DR:$DR,MATCH($C16,AA!$C:$C,0)),""),0)</f>
        <v/>
      </c>
      <c r="FJ16" s="315"/>
      <c r="FK16" s="315"/>
      <c r="FL16" s="272">
        <f t="shared" ref="FL16" si="49">AND(F16=1,G16=1)*($BG16&gt;0)*IF(CHOOSE($FB$8,FJ16,FK16)&lt;&gt;"",CHOOSE($FB$8,FJ16,FK16),IF(FI16&lt;&gt;"",FI16,FH16))</f>
        <v>0</v>
      </c>
      <c r="FN16" s="876">
        <f>AND(F16=1,G16=1)*INDEX(GA!$G$269:$G$278,MATCH($U16,GA!$E$269:$E$278,0))</f>
        <v>18</v>
      </c>
      <c r="FO16" s="876" t="str">
        <f>IF(AND(F16=1,G16=1)=TRUE,INDEX(AA!$DU:$DU,MATCH($C16,AA!$C:$C,0)),0)</f>
        <v/>
      </c>
      <c r="FP16" s="184"/>
      <c r="FQ16" s="185"/>
      <c r="FR16" s="284">
        <f t="shared" ref="FR16" si="50">AND(F16=1,G16=1)*($BG16&gt;0)*IF(CHOOSE($FB$8,FP16,FQ16)&lt;&gt;"",CHOOSE($FB$8,FP16,FQ16),IF(FO16&lt;&gt;"",FO16,FN16))</f>
        <v>18</v>
      </c>
      <c r="FS16" s="275">
        <f t="shared" ref="FS16" si="51">AND(F16=1,G16=1)*IFERROR(($BG16&gt;0)*EDATE(FE16,FR16),0)</f>
        <v>547</v>
      </c>
      <c r="FU16" s="1321">
        <f>AND(F16=1,G16=1)*GA!$G$244</f>
        <v>3</v>
      </c>
      <c r="FV16" s="184"/>
      <c r="FW16" s="185"/>
      <c r="FX16" s="908">
        <f t="shared" ref="FX16" si="52">AND(F16=1,G16=1)*IF(CHOOSE($FB$8,FV16,FW16)&lt;&gt;"",CHOOSE($FB$8,FV16,FW16),FU16)</f>
        <v>3</v>
      </c>
      <c r="FY16" s="275">
        <f t="shared" ref="FY16" si="53">AND(F16=1,G16=1)*IFERROR(EDATE(FE16,-FX16),0)</f>
        <v>0</v>
      </c>
      <c r="FZ16" s="275">
        <f t="shared" ref="FZ16" si="54">AND(F16=1,G16=1)*IFERROR(FE16-1,0)*(FY16&lt;&gt;0)</f>
        <v>0</v>
      </c>
      <c r="GB16" s="279">
        <f>AND(F16=1,G16=1)*IFERROR(INDEX(GA!$G$284:$P$288,MATCH($N16,GA!$E$284:$E$288,0),MATCH($U16,GA!$G$283:$P$283,0)),0)</f>
        <v>0</v>
      </c>
      <c r="GC16" s="1391" t="str">
        <f>IF(AND(F16=1,G16=1)=TRUE,IF($T16=$T$10,INDEX(AA!$DX:$DX,MATCH($C16,AA!$C:$C,0)),""),0)</f>
        <v/>
      </c>
      <c r="GD16" s="184"/>
      <c r="GE16" s="185"/>
      <c r="GF16" s="284">
        <f t="shared" ref="GF16" si="55">AND(F16=1,G16=1)*($BG16&gt;0)*IF(CHOOSE($FB$8,GD16,GE16)&lt;&gt;"",CHOOSE($FB$8,GD16,GE16),IF(GC16&lt;&gt;"",GC16,GB16))</f>
        <v>0</v>
      </c>
      <c r="GG16" s="279">
        <f>AND(F16=1,G16=1)*GF16*$V16*FL16*(1+GA!$G$148)</f>
        <v>0</v>
      </c>
      <c r="GH16" s="263">
        <f t="shared" ref="GH16" si="56">AND(F16=1,G16=1)*IF($BJ16="ITM",$AJ16,$BG16)*IF($CI16&gt;$GE$9,$GH$9,IF($CI16&lt;=$GE$8,$GH$8,0))*$FL16</f>
        <v>0</v>
      </c>
      <c r="GJ16" s="1322">
        <f t="shared" ref="GJ16" si="57">AND(F16=1,G16=1)*IF($AB16&lt;&gt;0,YEARFRAC($GJ$11,$AB16,3),0)</f>
        <v>17.846575342465755</v>
      </c>
      <c r="GK16" s="1323">
        <f t="shared" ref="GK16" si="58">AND(F16=1,G16=1)*IF($AB16&lt;&gt;$CL16,YEARFRAC($GJ$11,$AB16,3),0)</f>
        <v>17.846575342465755</v>
      </c>
      <c r="GL16" s="261">
        <f>AND(F16=1,G16=1)*$GJ16*$AJ16</f>
        <v>1784657.5342465756</v>
      </c>
      <c r="GM16" s="263">
        <f t="shared" ref="GM16" si="59">AND(F16=1,G16=1)*GK16*$AJ16</f>
        <v>1784657.5342465756</v>
      </c>
      <c r="GO16" s="1273">
        <f>IF(AND(F16=1,G16=1)=TRUE,(COUNTIFS($AB$15:$AB$17,"&lt;"&amp;$GP$9,$AJ$15:$AJ$17,"&gt;"&amp;AJ16)+1)*(AB16&lt;$GP$9),0)</f>
        <v>0</v>
      </c>
      <c r="GQ16" s="151"/>
      <c r="GS16" s="1217">
        <f>AND(F16=1,G16=1)*SUMIFS($AJ:$AJ,$R:$R,$R16)</f>
        <v>300000</v>
      </c>
      <c r="GT16" s="261">
        <f>IF(COUNTIFS($R$14:R15,$R16)=0,$GS16,0)*AND(F16=1,G16=1)</f>
        <v>0</v>
      </c>
      <c r="GU16" s="263">
        <f>AND(F16=1,G16=1)*IF(GT16=0,0,RANK($GT16,$GT$15:$GT$17))</f>
        <v>0</v>
      </c>
    </row>
    <row r="17" spans="3:203">
      <c r="C17" s="99">
        <f>RR!C25</f>
        <v>3</v>
      </c>
      <c r="D17" s="99" t="str">
        <f>RR!E25</f>
        <v>3 - 1</v>
      </c>
      <c r="F17" s="213">
        <f>INDEX(AA!$E:$E,MATCH($C17,AA!C:C,0))</f>
        <v>1</v>
      </c>
      <c r="G17" s="158">
        <v>1</v>
      </c>
      <c r="I17" s="875" t="str">
        <f>IF(AND(F17=1,G17=1)=TRUE,INDEX(AA!$AC$13:$AI$15,MATCH($C17,AA!$C$13:$C$15,0),MATCH(I$13,AA!$AC$11:$AI$11,0)),0)</f>
        <v>backup</v>
      </c>
      <c r="J17" s="876" t="str">
        <f>IF(AND(F17=1,G17=1)=TRUE,INDEX(AA!$AC$13:$AI$15,MATCH($C17,AA!$C$13:$C$15,0),MATCH(J$13,AA!$AC$11:$AI$11,0)),0)</f>
        <v>backup</v>
      </c>
      <c r="K17" s="876" t="str">
        <f>IF(AND(F17=1,G17=1)=TRUE,INDEX(AA!$AC$13:$AI$15,MATCH($C17,AA!$C$13:$C$15,0),MATCH(K$13,AA!$AC$11:$AI$11,0)),0)</f>
        <v>Baden-Wuerttemberg</v>
      </c>
      <c r="L17" s="876" t="str">
        <f>IF(AND(F17=1,G17=1)=TRUE,INDEX(AA!$AC$13:$AI$15,MATCH($C17,AA!$C$13:$C$15,0),MATCH(L$13,AA!$AC$11:$AI$11,0)),0)</f>
        <v>Cash &amp; Carry</v>
      </c>
      <c r="M17" s="876" t="str">
        <f>IF(AND(F17=1,G17=1)=TRUE,INDEX(AA!$AL$13:$AL$15,MATCH($C17,AA!$C$13:$C$15,0)),0)</f>
        <v>LTS</v>
      </c>
      <c r="N17" s="876">
        <f>INDEX(AA!$ED$13:$EH$15,MATCH($C17,AA!$C$13:$C$15,0),MATCH(N$13,AA!$ED$11:$EH$11,0))*AND(F17=1,G17=1)</f>
        <v>1</v>
      </c>
      <c r="O17" s="876">
        <f>INDEX(AA!$ED$13:$EH$15,MATCH($C17,AA!$C$13:$C$15,0),MATCH(O$13,AA!$ED$11:$EH$11,0))*AND(F17=1,G17=1)</f>
        <v>1</v>
      </c>
      <c r="P17" s="877">
        <f>INDEX(AA!$ED$13:$EH$15,MATCH($C17,AA!$C$13:$C$15,0),MATCH(P$13,AA!$ED$11:$EH$11,0))*AND(F17=1,G17=1)</f>
        <v>1</v>
      </c>
      <c r="R17" s="881" t="str">
        <f>IF(AND(F17=1,G17=1)=TRUE,INDEX(RR!$K:$K,MATCH($D17,RR!$E:$E,0)),0)</f>
        <v>backup</v>
      </c>
      <c r="S17" s="882" t="str">
        <f>IF(AND(F17=1,G17=1)=TRUE,INDEX(RR!$L:$L,MATCH($D17,RR!$E:$E,0)),0)</f>
        <v>backup</v>
      </c>
      <c r="T17" s="1425" t="str">
        <f t="shared" ref="T17" si="60">IF(AND(F17=1,G17=1)=TRUE,IF($BN17&gt;0,$T$11,IF(AND($R17="vacant",$BG17&gt;0),$T$10,$T$9)),0)</f>
        <v>Existing</v>
      </c>
      <c r="U17" s="882" t="str">
        <f>IF(AND(F17=1,G17=1)=TRUE,INDEX(RR!$J:$J,MATCH($D17,RR!$E:$E,0)),0)</f>
        <v>FMCG-F</v>
      </c>
      <c r="V17" s="882">
        <f>INDEX(RR!$P:$P,MATCH($D17,RR!$E:$E,0))*AND(F17=1,G17=1)</f>
        <v>1000</v>
      </c>
      <c r="W17" s="883">
        <f>INDEX(RR!$R:$R,MATCH($D17,RR!$E:$E,0))*AND(F17=1,G17=1)</f>
        <v>0</v>
      </c>
      <c r="Y17" s="1380">
        <f>INDEX(RR!M:M,MATCH($D17,RR!E:E,0))*AND(F17=1,G17=1)</f>
        <v>43466</v>
      </c>
      <c r="Z17" s="220"/>
      <c r="AA17" s="275">
        <f t="shared" ref="AA17" si="61">IF(Z17="",Y17,Z17)*AND(F17=1,G17=1)</f>
        <v>43466</v>
      </c>
      <c r="AB17" s="1381">
        <f>INDEX(RR!$N:$N,MATCH($D17,RR!E:E,0))*AND(F17=1,G17=1)</f>
        <v>50770</v>
      </c>
      <c r="AC17" s="220"/>
      <c r="AD17" s="220"/>
      <c r="AE17" s="275">
        <f t="shared" ref="AE17" si="62">CHOOSE($AC$9,AC17,AD17)*AND(F17=1,G17=1)</f>
        <v>0</v>
      </c>
      <c r="AF17" s="275">
        <f t="shared" ref="AF17" si="63">IF(AE17&lt;&gt;0,AE17,AB17)*AND(F17=1,G17=1)</f>
        <v>50770</v>
      </c>
      <c r="AG17" s="882">
        <f>INDEX(RR!Q:Q,MATCH($D17,RR!$E:$E,0))*AND(F17=1,G17=1)</f>
        <v>100000</v>
      </c>
      <c r="AH17" s="884">
        <f t="shared" ref="AH17" si="64">IF(V17=0,0,(AG17/12/V17))*AND(F17=1,G17=1)</f>
        <v>8.3333333333333339</v>
      </c>
      <c r="AI17" s="245"/>
      <c r="AJ17" s="886">
        <f t="shared" ref="AJ17" si="65">IF(AI17&lt;&gt;"",AI17*12*V17,AG17)*AND(F17=1,G17=1)</f>
        <v>100000</v>
      </c>
      <c r="AK17" s="884">
        <f t="shared" ref="AK17" si="66">IF(V17=0,0,(AJ17/12/V17))*AND(F17=1,G17=1)</f>
        <v>8.3333333333333339</v>
      </c>
      <c r="AL17" s="220"/>
      <c r="AM17" s="220"/>
      <c r="AN17" s="120"/>
      <c r="AO17" s="1381">
        <f>IF(INDEX(RR!$V:$V,MATCH($D17,RR!$E:$E,0))&gt;0,EOMONTH(INDEX(RR!$V:$V,MATCH($D17,RR!$E:$E,0)),INDEX(RR!$X:$X,MATCH($D17,RR!$E:$E,0))),0)*AND(F17=1,G17=1)</f>
        <v>0</v>
      </c>
      <c r="AP17" s="1177">
        <f>INDEX(RR!$W:$W,MATCH($D17,RR!$E:$E,0))*AND(F17=1,G17=1)</f>
        <v>0</v>
      </c>
      <c r="AQ17" s="1177">
        <f>INDEX(RR!$Y:$Y,MATCH($D17,RR!$E:$E,0))*AND(F17=1,G17=1)</f>
        <v>0</v>
      </c>
      <c r="AR17" s="1381">
        <f>IFERROR(IF($AP17&gt;0,INDEX(CPI!$A:$A,MATCH(TRUE,INDEX(CPI!$B:$B&gt;INDEX(CPI!$B:$B,MATCH($AO17,CPI!$A:$A,0))*(1+$AP17),),0)),0)*AND(F17=1,G17=1),0)</f>
        <v>0</v>
      </c>
      <c r="AS17" s="1381">
        <f>IFERROR(IF($AP17&gt;0,INDEX(CPI!$A:$A,MATCH(TRUE,INDEX(CPI!$B:$B&gt;INDEX(CPI!$B:$B,MATCH($AR17,CPI!$A:$A,0))*(1+$AP17),),0)),0)*AND(F17=1,G17=1),0)</f>
        <v>0</v>
      </c>
      <c r="AT17" s="1381">
        <f>IFERROR(IF($AP17&gt;0,INDEX(CPI!$A:$A,MATCH(TRUE,INDEX(CPI!$B:$B&gt;INDEX(CPI!$B:$B,MATCH($AS17,CPI!$A:$A,0))*(1+$AP17),),0)),0)*AND(F17=1,G17=1),0)</f>
        <v>0</v>
      </c>
      <c r="AU17" s="1381">
        <f>IFERROR(IF($AP17&gt;0,INDEX(CPI!$A:$A,MATCH(TRUE,INDEX(CPI!$B:$B&gt;INDEX(CPI!$B:$B,MATCH($AT17,CPI!$A:$A,0))*(1+$AP17),),0)),0)*AND(F17=1,G17=1),0)</f>
        <v>0</v>
      </c>
      <c r="AV17" s="882">
        <f>IFERROR(IF(R17="vacant",0,INDEX(AA!$BE:$BE,MATCH($C17,AA!$C:$C,0))*V17/SUMIFS($V$15:$V$17,$R$15:$R$17,"&lt;&gt;vacant",$C$15:$C$17,$C17)),0)*AND(F17=1,G17=1)</f>
        <v>0</v>
      </c>
      <c r="AW17" s="245"/>
      <c r="AX17" s="889">
        <f t="shared" ref="AX17" si="67">IF(AW17&lt;&gt;"",AW17*12*V17,AV17)*AND(F17=1,G17=1)</f>
        <v>0</v>
      </c>
      <c r="AZ17" s="890">
        <f>INDEX(AA!$CJ:$CJ,MATCH($C17,AA!$C:$C,0))*AND(F17=1,G17=1)</f>
        <v>0</v>
      </c>
      <c r="BA17" s="892">
        <f t="shared" ref="BA17" si="68">AZ17*V17*12*AND(F17=1,G17=1)</f>
        <v>0</v>
      </c>
      <c r="BB17" s="245">
        <f t="shared" si="10"/>
        <v>8.3333333333333339</v>
      </c>
      <c r="BC17" s="894">
        <f t="shared" ref="BC17" si="69">BB17*12*$V17*AND(F17=1,G17=1)</f>
        <v>100000</v>
      </c>
      <c r="BD17" s="245"/>
      <c r="BE17" s="886">
        <f t="shared" ref="BE17" si="70">BD17*12*$V17*AND(F17=1,G17=1)</f>
        <v>0</v>
      </c>
      <c r="BF17" s="906">
        <f>IF(AND(F17=1,G17=1)=TRUE,IF(CHOOSE($BB$9,BB17,BD17)&lt;&gt;"",CHOOSE($BB$9,BB17,BD17))*ERVFlex,INDEX(AA!$CJ$13:$CJ$15,MATCH(TA!$C17,AA!$C$13:$C$15,0)))</f>
        <v>8.3333333333333339</v>
      </c>
      <c r="BG17" s="882">
        <f t="shared" ref="BG17" si="71">IF(CHOOSE($BB$9,BB17,BD17)&lt;&gt;"",CHOOSE($BB$9,BC17,BE17),BA17)*ERVFlex*AND(F17=1,G17=1)</f>
        <v>100000</v>
      </c>
      <c r="BH17" s="896">
        <f>IF(AND(F17=1,G17=1)=TRUE,INDEX(RR!$T:$T,MATCH($D17,RR!$E:$E,0)),0)</f>
        <v>0</v>
      </c>
      <c r="BI17" s="261">
        <f t="shared" ref="BI17" si="72">(BG17-AJ17)*AND(F17=1,G17=1)</f>
        <v>0</v>
      </c>
      <c r="BJ17" s="263" t="str">
        <f t="shared" ref="BJ17" si="73">IF(AND(F17=1,G17=1)=TRUE,IF(BH17=0,"no option",IF(BI17&gt;0,"ITM","OTM")),0)</f>
        <v>no option</v>
      </c>
      <c r="BL17" s="177"/>
      <c r="BM17" s="185"/>
      <c r="BN17" s="261">
        <f t="shared" ref="BN17" si="74">CHOOSE($BS$9,BL17,BM17)*AND(F17=1,G17=1)</f>
        <v>0</v>
      </c>
      <c r="BO17" s="261">
        <f t="shared" si="16"/>
        <v>0</v>
      </c>
      <c r="BP17" s="184"/>
      <c r="BQ17" s="184"/>
      <c r="BR17" s="185"/>
      <c r="BS17" s="261">
        <f t="shared" ref="BS17" si="75">CHOOSE($BS$9,BQ17,BR17)*AND(F17=1,G17=1)</f>
        <v>0</v>
      </c>
      <c r="BT17" s="261">
        <f t="shared" ref="BT17" si="76">BS17*BN17*AND(F17=1,G17=1)</f>
        <v>0</v>
      </c>
      <c r="BU17" s="184"/>
      <c r="BV17" s="185"/>
      <c r="BW17" s="261">
        <f t="shared" ref="BW17" si="77">CHOOSE($BS$9,BU17,BV17)*AND(F17=1,G17=1)</f>
        <v>0</v>
      </c>
      <c r="BX17" s="184"/>
      <c r="BY17" s="185"/>
      <c r="BZ17" s="261">
        <f t="shared" ref="BZ17" si="78">CHOOSE($BS$9,BX17,BY17)*AND(F17=1,G17=1)</f>
        <v>0</v>
      </c>
      <c r="CA17" s="261">
        <f t="shared" ref="CA17" si="79">(BW17+BZ17+1)*(BN17&gt;0)*AND(F17=1,G17=1)</f>
        <v>0</v>
      </c>
      <c r="CB17" s="263">
        <f t="shared" ref="CB17" si="80">IF(V17=0,0,BN17*(AX17/V17))*AND(F17=1,G17=1)</f>
        <v>0</v>
      </c>
      <c r="CD17" s="901">
        <f>INDEX(AA!$CO:$CO,MATCH($C17,AA!$C:$C,0))*AND(F17=1,G17=1)</f>
        <v>5</v>
      </c>
      <c r="CE17" s="898"/>
      <c r="CF17" s="902">
        <f t="shared" ref="CF17" si="81">IF(CE17&lt;&gt;"",CE17,CD17)*AND(F17=1,G17=1)</f>
        <v>5</v>
      </c>
      <c r="CG17" s="1489"/>
      <c r="CH17" s="1490"/>
      <c r="CI17" s="903">
        <f t="shared" ref="CI17" si="82">IF(CHOOSE($CF$8,CG17,CH17)&lt;&gt;"",CHOOSE($CF$8,CG17,CH17),CF17)*AND(F17=1,G17=1)</f>
        <v>5</v>
      </c>
      <c r="CK17" s="277">
        <f t="shared" ref="CK17" si="83">(AF17+1)*(R17&lt;&gt;"vacant")*AND(F17=1,G17=1)</f>
        <v>50771</v>
      </c>
      <c r="CL17" s="275">
        <f t="shared" ref="CL17" si="84">EDATE(CK17,$CI17*12)*($R17&lt;&gt;"vacant")*AND(F17=1,G17=1)</f>
        <v>52597</v>
      </c>
      <c r="CM17" s="905">
        <f>IF(AND(R17&lt;&gt;"vacant",BG17&gt;0),IF($BJ17="ITM",INDEX(GA!$G$168:$P$172,MATCH($P17,GA!$E$168:$E$172,0),MATCH($U17,GA!$G$167:$P$167,0)),INDEX(GA!$G$158:$P$162,MATCH($P17,GA!$E$158:$E$162,0),MATCH($U17,GA!$G$157:$P$157,0))),0)*AND(F17=1,G17=1)</f>
        <v>1</v>
      </c>
      <c r="CN17" s="1431" t="str">
        <f>IF(AND(F17=1,G17=1)=TRUE,IF(AND(R17&lt;&gt;"vacant",BG17&gt;0),INDEX(AA!$CR:$CR,MATCH($C17,AA!$C:$C,0)),""),0)</f>
        <v/>
      </c>
      <c r="CO17" s="315"/>
      <c r="CP17" s="315"/>
      <c r="CQ17" s="272">
        <f t="shared" ref="CQ17" si="85">($BG17&gt;0)*IF(CHOOSE($CM$8,CO17,CP17)&lt;&gt;"",CHOOSE($CM$8,$CO17,$CP17),IF(CN17&lt;&gt;"",CN17,CM17))*AND(F17=1,G17=1)</f>
        <v>1</v>
      </c>
      <c r="CS17" s="1470">
        <f>INDEX(GA!$G$177:$G$186,MATCH($U17,GA!$E$177:$E$186,0))*AND(F17=1,G17=1)</f>
        <v>6</v>
      </c>
      <c r="CT17" s="1596" t="str">
        <f>IF(AND(F17=1,G17=1)=TRUE,INDEX(AA!$CU:$CU,MATCH($C17,AA!$C:$C,0)),0)</f>
        <v/>
      </c>
      <c r="CU17" s="1482"/>
      <c r="CV17" s="1305"/>
      <c r="CW17" s="261">
        <f t="shared" ref="CW17" si="86">($BG17&gt;0)*IF(CHOOSE($CM$8,CU17,CV17)&lt;&gt;"",CHOOSE($CM$8,CU17,CV17),IF(CT17&lt;&gt;"",CT17,CS17))*AND(F17=1,G17=1)</f>
        <v>6</v>
      </c>
      <c r="CX17" s="275">
        <f t="shared" ref="CX17" si="87">IFERROR(($BG17&gt;0)*EDATE(CK17,CW17),0)*AND(F17=1,G17=1)</f>
        <v>50952</v>
      </c>
      <c r="CZ17" s="906">
        <f>GA!$G$152*AND(F17=1,G17=1)</f>
        <v>1</v>
      </c>
      <c r="DA17" s="1482"/>
      <c r="DB17" s="1305"/>
      <c r="DC17" s="908">
        <f t="shared" ref="DC17" si="88">IF(CHOOSE($CM$8,DA17,DB17)&lt;&gt;"",CHOOSE($CM$8,DA17,DB17),CZ17)*AND(F17=1,G17=1)</f>
        <v>1</v>
      </c>
      <c r="DD17" s="275">
        <f t="shared" ref="DD17" si="89">IFERROR(EDATE(CK17,-DC17),0)*AND(F17=1,G17=1)</f>
        <v>50740</v>
      </c>
      <c r="DE17" s="275">
        <f t="shared" ref="DE17" si="90">IFERROR(CK17-1,0)*(DD17&lt;&gt;0)*AND(F17=1,G17=1)</f>
        <v>50770</v>
      </c>
      <c r="DG17" s="279">
        <f>IFERROR(INDEX(GA!$G$192:$P$196,MATCH($N17,GA!$E$192:$E$196,0),MATCH($U17,GA!$G$191:$P$191,0)),0)*AND(F17=1,G17=1)</f>
        <v>0</v>
      </c>
      <c r="DH17" s="876" t="str">
        <f>IF(AND(F17=1,G17=1)=TRUE,INDEX(AA!$CX:$CX,MATCH($C17,AA!$C:$C,0)),0)</f>
        <v/>
      </c>
      <c r="DI17" s="184"/>
      <c r="DJ17" s="185"/>
      <c r="DK17" s="261">
        <f t="shared" ref="DK17" si="91">($BG17&gt;0)*IF(CHOOSE($CM$8,DI17,DJ17)&lt;&gt;"",CHOOSE($CM$8,DI17,DJ17),IF(DH17&lt;&gt;"",DH17,DG17))*AND(F17=1,G17=1)</f>
        <v>0</v>
      </c>
      <c r="DL17" s="279">
        <f>DK17*$V17*CQ17*(1+GA!$G$148)*AND(F17=1,G17=1)</f>
        <v>0</v>
      </c>
      <c r="DM17" s="263">
        <f t="shared" ref="DM17" si="92">IF($BJ17="ITM",$AJ17,$BG17)*IF($CI17&gt;$DJ$9,$DM$9,IF($CI17&lt;=$DJ$8,$DM$8,0))*CQ17*AND(F17=1,G17=1)</f>
        <v>0</v>
      </c>
      <c r="DO17" s="875">
        <f>IFERROR(INDEX(GA!$G$209:$P$213,MATCH($P17,GA!$E$209:$E$213,0),MATCH($U17,GA!$G$208:$P$208,0)),0)*AND(F17=1,G17=1)</f>
        <v>12</v>
      </c>
      <c r="DP17" s="1381" t="str">
        <f>IF(AND(F17=1,G17=1)=TRUE,INDEX(AA!$DB:$DB,MATCH($C17,AA!$C:$C,0)),0)</f>
        <v/>
      </c>
      <c r="DQ17" s="184"/>
      <c r="DR17" s="185"/>
      <c r="DS17" s="284">
        <f t="shared" ref="DS17" si="93">($BG17&gt;0)*IF(CHOOSE($DQ$8,DQ17,DR17)&lt;&gt;"",CHOOSE($DQ$8,DQ17,DR17),IF(DP17&lt;&gt;"",DP17,DO17))*AND(F17=1,G17=1)</f>
        <v>12</v>
      </c>
      <c r="DT17" s="1384">
        <f>($R17&lt;&gt;"vacant")*EDATE(MAX(GA!$G$201,CK17),DS17)*AND(F17=1,G17=1)</f>
        <v>51136</v>
      </c>
      <c r="DU17" s="275">
        <f t="shared" ref="DU17" si="94">EDATE(DT17,$CI17*12)*($R17&lt;&gt;"vacant")*AND(F17=1,G17=1)</f>
        <v>52963</v>
      </c>
      <c r="DW17" s="905">
        <f t="shared" ref="DW17" si="95">(1-$CQ17)*AND(F17=1,G17=1,$R17&lt;&gt;"vacant",$BG17&gt;0)</f>
        <v>0</v>
      </c>
      <c r="DX17" s="1388" t="str">
        <f>IF(AND(F17=1,G17=1)=TRUE,IF(AND(R17&lt;&gt;"vacant",BG17&gt;0),INDEX(AA!$DE:$DE,MATCH($C17,AA!$C:$C,0)),""),0)</f>
        <v/>
      </c>
      <c r="DY17" s="315"/>
      <c r="DZ17" s="315"/>
      <c r="EA17" s="272">
        <f t="shared" ref="EA17" si="96">($BG17&gt;0)*IF(CHOOSE($DQ$8,DY17,DZ17)&lt;&gt;"",CHOOSE($DQ$8,DY17,DZ17),IF(DX17&lt;&gt;"",DX17,DW17))*AND(F17=1,G17=1)</f>
        <v>0</v>
      </c>
      <c r="EB17" s="272">
        <f t="shared" ref="EB17" si="97">(EA17+CQ17)*AND(F17=1,G17=1)</f>
        <v>1</v>
      </c>
      <c r="ED17" s="876">
        <f>INDEX(GA!$G$218:$G$227,MATCH($U17,GA!$E$218:$E$227,0))*AND(F17=1,G17=1)</f>
        <v>12</v>
      </c>
      <c r="EE17" s="1389" t="str">
        <f>IF(AND(F17=1,G17=1)=TRUE,INDEX(AA!$DH:$DH,MATCH($C17,AA!$C:$C,0)),0)</f>
        <v/>
      </c>
      <c r="EF17" s="184"/>
      <c r="EG17" s="185"/>
      <c r="EH17" s="284">
        <f t="shared" ref="EH17" si="98">($BG17&gt;0)*IF(CHOOSE($DQ$8,EF17,EG17)&lt;&gt;"",CHOOSE($DQ$8,EF17,EG17),IF(EE17&lt;&gt;"",EE17,ED17))*AND(F17=1,G17=1)</f>
        <v>12</v>
      </c>
      <c r="EI17" s="275">
        <f t="shared" ref="EI17" si="99">IFERROR(($BG17&gt;0)*EDATE(DT17,EH17),0)*AND(F17=1,G17=1)</f>
        <v>51502</v>
      </c>
      <c r="EK17" s="912">
        <f>GA!$G$203*AND(F17=1,G17=1)</f>
        <v>3</v>
      </c>
      <c r="EL17" s="184"/>
      <c r="EM17" s="185"/>
      <c r="EN17" s="908">
        <f t="shared" ref="EN17" si="100">IF(CHOOSE($DQ$8,EL17,EM17)&lt;&gt;"",CHOOSE($DQ$8,EL17,EM17),EK17)*AND(F17=1,G17=1)</f>
        <v>3</v>
      </c>
      <c r="EO17" s="275">
        <f t="shared" ref="EO17" si="101">IFERROR(EDATE(DT17,-EN17),0)*AND(F17=1,G17=1)</f>
        <v>51044</v>
      </c>
      <c r="EP17" s="275">
        <f t="shared" ref="EP17" si="102">IFERROR(DT17-1,0)*(EO17&lt;&gt;0)*AND(F17=1,G17=1)</f>
        <v>51135</v>
      </c>
      <c r="ER17" s="279">
        <f>IFERROR(INDEX(GA!$G$233:$P$237,MATCH($N17,GA!$E$233:$E$237),MATCH($U17,GA!$G$232:$P$232,0)),0)*AND(F17=1,G17=1)</f>
        <v>0</v>
      </c>
      <c r="ES17" s="1391" t="str">
        <f>IF(AND(F17=1,G17=1)=TRUE,INDEX(AA!$DK:$DK,MATCH($C17,AA!$C:$C,0)),0)</f>
        <v/>
      </c>
      <c r="ET17" s="184"/>
      <c r="EU17" s="185"/>
      <c r="EV17" s="261">
        <f t="shared" ref="EV17" si="103">($BG17&gt;0)*IF(CHOOSE($DQ$8,ET17,EU17)&lt;&gt;"",CHOOSE($DQ$8,ET17,EU17),IF(ES17&lt;&gt;"",ES17,ER17))*AND(F17=1,G17=1)</f>
        <v>0</v>
      </c>
      <c r="EW17" s="279">
        <f>EV17*$V17*EA17*(1+GA!$G$148)*AND(F17=1,G17=1)</f>
        <v>0</v>
      </c>
      <c r="EX17" s="263">
        <f t="shared" ref="EX17" si="104">IF($BJ17="ITM",$AJ17,$BG17)*IF($CI17&gt;$EU$9,$EX$9,IF($CI17&lt;=$EU$8,$EX$8,0))*$EA17*AND(F17=1,G17=1)</f>
        <v>0</v>
      </c>
      <c r="EZ17" s="875">
        <f>IFERROR(INDEX(GA!$G$250:$P$254,MATCH($P17,GA!$E$250:$E$254,0),MATCH($U17,GA!$G$249:$P$249,0)),0)*AND(F17=1,G17=1)</f>
        <v>12</v>
      </c>
      <c r="FA17" s="1393" t="str">
        <f>IF(AND(F17=1,G17=1)=TRUE,INDEX(AA!$DO:$DO,MATCH($C17,AA!$C:$C,0)),0)</f>
        <v/>
      </c>
      <c r="FB17" s="184"/>
      <c r="FC17" s="185"/>
      <c r="FD17" s="284">
        <f t="shared" ref="FD17" si="105">($BG17&gt;0)*IF(CHOOSE($FB$8,FB17,FC17)&lt;&gt;"",CHOOSE($FB$8,FB17,FC17),IF(FA17&lt;&gt;"",FA17,EZ17))*AND(F17=1,G17=1)</f>
        <v>12</v>
      </c>
      <c r="FE17" s="1384">
        <f>IF($R17="vacant",EDATE(GA!$G$242,FD17),0)*AND(F17=1,G17=1)</f>
        <v>0</v>
      </c>
      <c r="FF17" s="275">
        <f t="shared" ref="FF17" si="106">EDATE(FE17,$CI17*12)*($R17="vacant")*AND(F17=1,G17=1)</f>
        <v>0</v>
      </c>
      <c r="FH17" s="905">
        <f>IF(AND($R17="vacant",$BG17&gt;0,F17=1,G17=1),INDEX(GA!$G$260:$K$264,MATCH($P17,GA!$E$260:$E$264,0),MATCH($O17,GA!$G$259:$K$259,0)),0)</f>
        <v>0</v>
      </c>
      <c r="FI17" s="1386" t="str">
        <f>IF(AND(F17=1,G17=1)=TRUE,IF(AND($R17="vacant",$BG17&gt;0),INDEX(AA!$DR:$DR,MATCH($C17,AA!$C:$C,0)),""),0)</f>
        <v/>
      </c>
      <c r="FJ17" s="315"/>
      <c r="FK17" s="315"/>
      <c r="FL17" s="272">
        <f t="shared" ref="FL17" si="107">AND(F17=1,G17=1)*($BG17&gt;0)*IF(CHOOSE($FB$8,FJ17,FK17)&lt;&gt;"",CHOOSE($FB$8,FJ17,FK17),IF(FI17&lt;&gt;"",FI17,FH17))</f>
        <v>0</v>
      </c>
      <c r="FN17" s="876">
        <f>AND(F17=1,G17=1)*INDEX(GA!$G$269:$G$278,MATCH($U17,GA!$E$269:$E$278,0))</f>
        <v>18</v>
      </c>
      <c r="FO17" s="876" t="str">
        <f>IF(AND(F17=1,G17=1)=TRUE,INDEX(AA!$DU:$DU,MATCH($C17,AA!$C:$C,0)),0)</f>
        <v/>
      </c>
      <c r="FP17" s="184"/>
      <c r="FQ17" s="185"/>
      <c r="FR17" s="284">
        <f t="shared" ref="FR17" si="108">AND(F17=1,G17=1)*($BG17&gt;0)*IF(CHOOSE($FB$8,FP17,FQ17)&lt;&gt;"",CHOOSE($FB$8,FP17,FQ17),IF(FO17&lt;&gt;"",FO17,FN17))</f>
        <v>18</v>
      </c>
      <c r="FS17" s="275">
        <f t="shared" ref="FS17" si="109">AND(F17=1,G17=1)*IFERROR(($BG17&gt;0)*EDATE(FE17,FR17),0)</f>
        <v>547</v>
      </c>
      <c r="FU17" s="1321">
        <f>AND(F17=1,G17=1)*GA!$G$244</f>
        <v>3</v>
      </c>
      <c r="FV17" s="184"/>
      <c r="FW17" s="185"/>
      <c r="FX17" s="908">
        <f t="shared" ref="FX17" si="110">AND(F17=1,G17=1)*IF(CHOOSE($FB$8,FV17,FW17)&lt;&gt;"",CHOOSE($FB$8,FV17,FW17),FU17)</f>
        <v>3</v>
      </c>
      <c r="FY17" s="275">
        <f t="shared" ref="FY17" si="111">AND(F17=1,G17=1)*IFERROR(EDATE(FE17,-FX17),0)</f>
        <v>0</v>
      </c>
      <c r="FZ17" s="275">
        <f t="shared" ref="FZ17" si="112">AND(F17=1,G17=1)*IFERROR(FE17-1,0)*(FY17&lt;&gt;0)</f>
        <v>0</v>
      </c>
      <c r="GB17" s="279">
        <f>AND(F17=1,G17=1)*IFERROR(INDEX(GA!$G$284:$P$288,MATCH($N17,GA!$E$284:$E$288,0),MATCH($U17,GA!$G$283:$P$283,0)),0)</f>
        <v>0</v>
      </c>
      <c r="GC17" s="1391" t="str">
        <f>IF(AND(F17=1,G17=1)=TRUE,IF($T17=$T$10,INDEX(AA!$DX:$DX,MATCH($C17,AA!$C:$C,0)),""),0)</f>
        <v/>
      </c>
      <c r="GD17" s="184"/>
      <c r="GE17" s="185"/>
      <c r="GF17" s="284">
        <f t="shared" ref="GF17" si="113">AND(F17=1,G17=1)*($BG17&gt;0)*IF(CHOOSE($FB$8,GD17,GE17)&lt;&gt;"",CHOOSE($FB$8,GD17,GE17),IF(GC17&lt;&gt;"",GC17,GB17))</f>
        <v>0</v>
      </c>
      <c r="GG17" s="279">
        <f>AND(F17=1,G17=1)*GF17*$V17*FL17*(1+GA!$G$148)</f>
        <v>0</v>
      </c>
      <c r="GH17" s="263">
        <f t="shared" ref="GH17" si="114">AND(F17=1,G17=1)*IF($BJ17="ITM",$AJ17,$BG17)*IF($CI17&gt;$GE$9,$GH$9,IF($CI17&lt;=$GE$8,$GH$8,0))*$FL17</f>
        <v>0</v>
      </c>
      <c r="GJ17" s="1322">
        <f t="shared" ref="GJ17" si="115">AND(F17=1,G17=1)*IF($AB17&lt;&gt;0,YEARFRAC($GJ$11,$AB17,3),0)</f>
        <v>17.846575342465755</v>
      </c>
      <c r="GK17" s="1323">
        <f t="shared" ref="GK17" si="116">AND(F17=1,G17=1)*IF($AB17&lt;&gt;$CL17,YEARFRAC($GJ$11,$AB17,3),0)</f>
        <v>17.846575342465755</v>
      </c>
      <c r="GL17" s="261">
        <f t="shared" ref="GL17" si="117">AND(F17=1,G17=1)*$GJ17*$AJ17</f>
        <v>1784657.5342465756</v>
      </c>
      <c r="GM17" s="263">
        <f t="shared" ref="GM17" si="118">AND(F17=1,G17=1)*GK17*$AJ17</f>
        <v>1784657.5342465756</v>
      </c>
      <c r="GO17" s="1273">
        <f>IF(AND(F17=1,G17=1)=TRUE,(COUNTIFS($AB$15:$AB$17,"&lt;"&amp;$GP$9,$AJ$15:$AJ$17,"&gt;"&amp;AJ17)+1)*(AB17&lt;$GP$9),0)</f>
        <v>0</v>
      </c>
      <c r="GQ17" s="151"/>
      <c r="GS17" s="1217">
        <f>AND(F17=1,G17=1)*SUMIFS($AJ:$AJ,$R:$R,$R17)</f>
        <v>300000</v>
      </c>
      <c r="GT17" s="261">
        <f>IF(COUNTIFS($R$14:R16,$R17)=0,$GS17,0)*AND(F17=1,G17=1)</f>
        <v>0</v>
      </c>
      <c r="GU17" s="263">
        <f>AND(F17=1,G17=1)*IF(GT17=0,0,RANK($GT17,$GT$15:$GT$17))</f>
        <v>0</v>
      </c>
    </row>
    <row r="18" spans="3:203">
      <c r="C18" s="269"/>
      <c r="D18" s="269"/>
      <c r="F18" s="269"/>
      <c r="G18" s="269"/>
      <c r="I18" s="269"/>
      <c r="J18" s="269"/>
      <c r="K18" s="269"/>
      <c r="L18" s="269"/>
      <c r="M18" s="269"/>
      <c r="N18" s="269"/>
      <c r="O18" s="269"/>
      <c r="P18" s="269"/>
      <c r="R18" s="269"/>
      <c r="S18" s="269"/>
      <c r="T18" s="269"/>
      <c r="U18" s="269"/>
      <c r="V18" s="269"/>
      <c r="W18" s="269"/>
      <c r="Y18" s="269"/>
      <c r="Z18" s="269"/>
      <c r="AA18" s="269"/>
      <c r="AB18" s="269"/>
      <c r="AC18" s="269"/>
      <c r="AD18" s="269"/>
      <c r="AE18" s="269"/>
      <c r="AF18" s="269"/>
      <c r="AG18" s="269"/>
      <c r="AH18" s="269"/>
      <c r="AI18" s="269"/>
      <c r="AJ18" s="269"/>
      <c r="AK18" s="269"/>
      <c r="AL18" s="269"/>
      <c r="AM18" s="269"/>
      <c r="AN18" s="269"/>
      <c r="AO18" s="269"/>
      <c r="AP18" s="269"/>
      <c r="AQ18" s="269"/>
      <c r="AR18" s="269"/>
      <c r="AS18" s="269"/>
      <c r="AT18" s="269"/>
      <c r="AU18" s="269"/>
      <c r="AV18" s="269"/>
      <c r="AW18" s="269"/>
      <c r="AX18" s="269"/>
      <c r="AZ18" s="269"/>
      <c r="BA18" s="269"/>
      <c r="BB18" s="269"/>
      <c r="BC18" s="269"/>
      <c r="BD18" s="269"/>
      <c r="BE18" s="269"/>
      <c r="BF18" s="269"/>
      <c r="BG18" s="269"/>
      <c r="BH18" s="269"/>
      <c r="BI18" s="269"/>
      <c r="BJ18" s="269"/>
      <c r="BL18" s="269"/>
      <c r="BM18" s="269"/>
      <c r="BN18" s="269"/>
      <c r="BO18" s="269"/>
      <c r="BP18" s="269"/>
      <c r="BQ18" s="269"/>
      <c r="BR18" s="269"/>
      <c r="BS18" s="269"/>
      <c r="BT18" s="269"/>
      <c r="BU18" s="269"/>
      <c r="BV18" s="269"/>
      <c r="BW18" s="269"/>
      <c r="BX18" s="269"/>
      <c r="BY18" s="269"/>
      <c r="BZ18" s="269"/>
      <c r="CA18" s="269"/>
      <c r="CB18" s="269"/>
      <c r="CD18" s="269"/>
      <c r="CE18" s="269"/>
      <c r="CF18" s="269"/>
      <c r="CG18" s="269"/>
      <c r="CH18" s="269"/>
      <c r="CI18" s="269"/>
      <c r="CK18" s="269"/>
      <c r="CL18" s="269"/>
      <c r="CM18" s="269"/>
      <c r="CN18" s="269"/>
      <c r="CO18" s="269"/>
      <c r="CP18" s="269"/>
      <c r="CQ18" s="269"/>
      <c r="CR18" s="269"/>
      <c r="CS18" s="269"/>
      <c r="CT18" s="269"/>
      <c r="CU18" s="269"/>
      <c r="CV18" s="269"/>
      <c r="CW18" s="273"/>
      <c r="CX18" s="269"/>
      <c r="CY18" s="269"/>
      <c r="CZ18" s="269"/>
      <c r="DA18" s="269"/>
      <c r="DB18" s="269"/>
      <c r="DC18" s="269"/>
      <c r="DD18" s="269"/>
      <c r="DE18" s="269"/>
      <c r="DF18" s="269"/>
      <c r="DG18" s="269"/>
      <c r="DH18" s="269"/>
      <c r="DI18" s="269"/>
      <c r="DJ18" s="269"/>
      <c r="DK18" s="269"/>
      <c r="DL18" s="269"/>
      <c r="DM18" s="269"/>
      <c r="DO18" s="269"/>
      <c r="DP18" s="269"/>
      <c r="DQ18" s="269"/>
      <c r="DR18" s="269"/>
      <c r="DS18" s="269"/>
      <c r="DT18" s="269"/>
      <c r="DU18" s="269"/>
      <c r="DV18" s="269"/>
      <c r="DW18" s="269"/>
      <c r="DX18" s="269"/>
      <c r="DY18" s="269"/>
      <c r="DZ18" s="269"/>
      <c r="EA18" s="269"/>
      <c r="EB18" s="269"/>
      <c r="EC18" s="269"/>
      <c r="ED18" s="269"/>
      <c r="EE18" s="269"/>
      <c r="EF18" s="269"/>
      <c r="EG18" s="269"/>
      <c r="EH18" s="269"/>
      <c r="EI18" s="269"/>
      <c r="EJ18" s="269"/>
      <c r="EK18" s="269"/>
      <c r="EL18" s="269"/>
      <c r="EM18" s="269"/>
      <c r="EN18" s="269"/>
      <c r="EO18" s="269"/>
      <c r="EP18" s="269"/>
      <c r="EQ18" s="269"/>
      <c r="ER18" s="269"/>
      <c r="ES18" s="269"/>
      <c r="ET18" s="269"/>
      <c r="EU18" s="269"/>
      <c r="EV18" s="269"/>
      <c r="EW18" s="269"/>
      <c r="EX18" s="269"/>
      <c r="EZ18" s="269"/>
      <c r="FA18" s="269"/>
      <c r="FB18" s="269"/>
      <c r="FC18" s="269"/>
      <c r="FD18" s="269"/>
      <c r="FE18" s="269"/>
      <c r="FF18" s="269"/>
      <c r="FG18" s="269"/>
      <c r="FH18" s="269"/>
      <c r="FI18" s="269"/>
      <c r="FJ18" s="269"/>
      <c r="FK18" s="269"/>
      <c r="FL18" s="269"/>
      <c r="FM18" s="269"/>
      <c r="FN18" s="269"/>
      <c r="FO18" s="269"/>
      <c r="FP18" s="269"/>
      <c r="FQ18" s="269"/>
      <c r="FR18" s="269"/>
      <c r="FS18" s="269"/>
      <c r="FT18" s="269"/>
      <c r="FU18" s="269"/>
      <c r="FV18" s="269"/>
      <c r="FW18" s="269"/>
      <c r="FX18" s="269"/>
      <c r="FY18" s="269"/>
      <c r="FZ18" s="269"/>
      <c r="GA18" s="269"/>
      <c r="GB18" s="269"/>
      <c r="GC18" s="269"/>
      <c r="GD18" s="269"/>
      <c r="GE18" s="269"/>
      <c r="GF18" s="269"/>
      <c r="GG18" s="269"/>
      <c r="GH18" s="269"/>
      <c r="GJ18" s="269"/>
      <c r="GK18" s="269"/>
      <c r="GL18" s="269"/>
      <c r="GM18" s="269"/>
      <c r="GO18" s="269"/>
      <c r="GP18" s="269"/>
      <c r="GQ18" s="269"/>
      <c r="GS18" s="269"/>
      <c r="GT18" s="269"/>
      <c r="GU18" s="269"/>
    </row>
  </sheetData>
  <autoFilter ref="C14:GH17" xr:uid="{39A2E391-B500-47CA-B120-7935AC8955A4}"/>
  <conditionalFormatting sqref="F15:G17">
    <cfRule type="cellIs" dxfId="93" priority="5" operator="equal">
      <formula>0</formula>
    </cfRule>
    <cfRule type="cellIs" dxfId="92" priority="6" operator="equal">
      <formula>1</formula>
    </cfRule>
  </conditionalFormatting>
  <conditionalFormatting sqref="EB9">
    <cfRule type="cellIs" dxfId="91" priority="1" operator="equal">
      <formula>FALSE</formula>
    </cfRule>
    <cfRule type="cellIs" dxfId="90" priority="2" operator="equal">
      <formula>TRUE</formula>
    </cfRule>
  </conditionalFormatting>
  <dataValidations disablePrompts="1" count="1">
    <dataValidation type="list" allowBlank="1" showInputMessage="1" showErrorMessage="1" sqref="BP15:BP17" xr:uid="{B475759F-7A5C-425B-9FF1-98B63E14EE16}">
      <formula1>$BP$9:$BP$11</formula1>
    </dataValidation>
  </dataValidations>
  <pageMargins left="0.7" right="0.7" top="0.75" bottom="0.75" header="0.3" footer="0.3"/>
  <pageSetup paperSize="9" orientation="portrait" r:id="rId1"/>
  <ignoredErrors>
    <ignoredError sqref="GS15:GU17"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9C03-7467-4457-B1A4-3DDDF9D8AD38}">
  <sheetPr codeName="Sheet12">
    <tabColor rgb="FFC00000"/>
  </sheetPr>
  <dimension ref="A1:BN202"/>
  <sheetViews>
    <sheetView topLeftCell="C153" zoomScale="98" zoomScaleNormal="98" workbookViewId="0">
      <selection activeCell="T178" sqref="T178:BG178"/>
    </sheetView>
  </sheetViews>
  <sheetFormatPr baseColWidth="10" defaultColWidth="8.7109375" defaultRowHeight="15" outlineLevelRow="1"/>
  <cols>
    <col min="1" max="1" width="1.7109375" customWidth="1"/>
    <col min="2" max="2" width="5.42578125" bestFit="1" customWidth="1"/>
    <col min="3" max="3" width="10.42578125" customWidth="1"/>
    <col min="4" max="4" width="1.5703125" customWidth="1"/>
    <col min="5" max="5" width="23.28515625" bestFit="1" customWidth="1"/>
    <col min="6" max="6" width="1.5703125" customWidth="1"/>
    <col min="8" max="8" width="1.5703125" customWidth="1"/>
    <col min="9" max="9" width="26.42578125" bestFit="1" customWidth="1"/>
    <col min="10" max="10" width="1.5703125" customWidth="1"/>
    <col min="11" max="15" width="23.7109375" bestFit="1" customWidth="1"/>
    <col min="16" max="16" width="16.42578125" customWidth="1"/>
    <col min="17" max="17" width="9.42578125" bestFit="1" customWidth="1"/>
    <col min="19" max="19" width="16" bestFit="1" customWidth="1"/>
    <col min="20" max="21" width="15.42578125" bestFit="1" customWidth="1"/>
    <col min="22" max="22" width="14.42578125" bestFit="1" customWidth="1"/>
    <col min="23" max="23" width="15.42578125" bestFit="1" customWidth="1"/>
    <col min="24" max="24" width="14.7109375" bestFit="1" customWidth="1"/>
    <col min="25" max="25" width="15" bestFit="1" customWidth="1"/>
    <col min="26" max="26" width="14" bestFit="1" customWidth="1"/>
    <col min="27" max="27" width="14.7109375" bestFit="1" customWidth="1"/>
    <col min="28" max="29" width="15.42578125" bestFit="1" customWidth="1"/>
    <col min="30" max="30" width="14.42578125" bestFit="1" customWidth="1"/>
    <col min="31" max="33" width="15.42578125" bestFit="1" customWidth="1"/>
    <col min="34" max="34" width="14.42578125" bestFit="1" customWidth="1"/>
    <col min="35" max="37" width="15.42578125" bestFit="1" customWidth="1"/>
    <col min="38" max="38" width="14.42578125" bestFit="1" customWidth="1"/>
    <col min="39" max="41" width="15.42578125" bestFit="1" customWidth="1"/>
    <col min="42" max="42" width="14.42578125" bestFit="1" customWidth="1"/>
    <col min="43" max="45" width="15.42578125" bestFit="1" customWidth="1"/>
    <col min="46" max="46" width="14.42578125" bestFit="1" customWidth="1"/>
    <col min="47" max="49" width="15.42578125" bestFit="1" customWidth="1"/>
    <col min="50" max="50" width="14.42578125" bestFit="1" customWidth="1"/>
    <col min="51" max="53" width="15.42578125" bestFit="1" customWidth="1"/>
    <col min="54" max="54" width="14.42578125" bestFit="1" customWidth="1"/>
    <col min="55" max="57" width="15.42578125" bestFit="1" customWidth="1"/>
    <col min="58" max="58" width="14.42578125" bestFit="1" customWidth="1"/>
    <col min="59" max="59" width="15.42578125" bestFit="1" customWidth="1"/>
    <col min="60" max="60" width="3.5703125" customWidth="1"/>
    <col min="61" max="61" width="16.42578125" customWidth="1"/>
    <col min="62" max="62" width="3.42578125" customWidth="1"/>
    <col min="63" max="63" width="26" customWidth="1"/>
    <col min="64" max="64" width="3.42578125" customWidth="1"/>
    <col min="65" max="66" width="15.5703125" customWidth="1"/>
    <col min="67" max="67" width="16.42578125" bestFit="1" customWidth="1"/>
  </cols>
  <sheetData>
    <row r="1" spans="1:61" s="1" customFormat="1">
      <c r="A1" s="1" t="str">
        <f ca="1">UPPER(MID(CELL("filename",A1),FIND("[",CELL("filename",A1))+1,FIND("]",CELL("filename",A1))-FIND("[",CELL("filename",A1))-5))</f>
        <v>VORLAGE.</v>
      </c>
    </row>
    <row r="2" spans="1:61" s="1" customFormat="1">
      <c r="A2" s="1" t="s">
        <v>538</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203</v>
      </c>
      <c r="K14" s="318">
        <f>GA!$F$146</f>
        <v>4.9629315732038215E-3</v>
      </c>
      <c r="S14" s="207">
        <v>1</v>
      </c>
      <c r="T14" s="319">
        <f>S14*(1+$K14)</f>
        <v>1.0049629315732038</v>
      </c>
      <c r="U14" s="319">
        <f t="shared" ref="U14:BG14" si="0">T14*(1+$K14)</f>
        <v>1.0099504938362081</v>
      </c>
      <c r="V14" s="319">
        <f t="shared" si="0"/>
        <v>1.0149628090294405</v>
      </c>
      <c r="W14" s="319">
        <f t="shared" si="0"/>
        <v>1.0200000000000002</v>
      </c>
      <c r="X14" s="319">
        <f t="shared" si="0"/>
        <v>1.0250621902046682</v>
      </c>
      <c r="Y14" s="319">
        <f t="shared" si="0"/>
        <v>1.0301495037129325</v>
      </c>
      <c r="Z14" s="319">
        <f t="shared" si="0"/>
        <v>1.0352620652100297</v>
      </c>
      <c r="AA14" s="319">
        <f t="shared" si="0"/>
        <v>1.0404000000000009</v>
      </c>
      <c r="AB14" s="319">
        <f t="shared" si="0"/>
        <v>1.0455634340087621</v>
      </c>
      <c r="AC14" s="319">
        <f t="shared" si="0"/>
        <v>1.0507524937871915</v>
      </c>
      <c r="AD14" s="319">
        <f t="shared" si="0"/>
        <v>1.0559673065142305</v>
      </c>
      <c r="AE14" s="319">
        <f t="shared" si="0"/>
        <v>1.061208000000001</v>
      </c>
      <c r="AF14" s="319">
        <f t="shared" si="0"/>
        <v>1.0664747026889376</v>
      </c>
      <c r="AG14" s="319">
        <f t="shared" si="0"/>
        <v>1.0717675436629357</v>
      </c>
      <c r="AH14" s="319">
        <f t="shared" si="0"/>
        <v>1.0770866526445155</v>
      </c>
      <c r="AI14" s="319">
        <f t="shared" si="0"/>
        <v>1.0824321600000013</v>
      </c>
      <c r="AJ14" s="319">
        <f t="shared" si="0"/>
        <v>1.0878041967427166</v>
      </c>
      <c r="AK14" s="319">
        <f t="shared" si="0"/>
        <v>1.0932028945361947</v>
      </c>
      <c r="AL14" s="319">
        <f t="shared" si="0"/>
        <v>1.0986283856974062</v>
      </c>
      <c r="AM14" s="319">
        <f t="shared" si="0"/>
        <v>1.1040808032000018</v>
      </c>
      <c r="AN14" s="319">
        <f t="shared" si="0"/>
        <v>1.1095602806775713</v>
      </c>
      <c r="AO14" s="319">
        <f t="shared" si="0"/>
        <v>1.115066952426919</v>
      </c>
      <c r="AP14" s="319">
        <f t="shared" si="0"/>
        <v>1.1206009534113548</v>
      </c>
      <c r="AQ14" s="319">
        <f t="shared" si="0"/>
        <v>1.1261624192640023</v>
      </c>
      <c r="AR14" s="319">
        <f t="shared" si="0"/>
        <v>1.1317514862911231</v>
      </c>
      <c r="AS14" s="319">
        <f t="shared" si="0"/>
        <v>1.1373682914754577</v>
      </c>
      <c r="AT14" s="319">
        <f t="shared" si="0"/>
        <v>1.1430129724795821</v>
      </c>
      <c r="AU14" s="319">
        <f t="shared" si="0"/>
        <v>1.1486856676492825</v>
      </c>
      <c r="AV14" s="319">
        <f t="shared" si="0"/>
        <v>1.1543865160169458</v>
      </c>
      <c r="AW14" s="319">
        <f t="shared" si="0"/>
        <v>1.1601156573049669</v>
      </c>
      <c r="AX14" s="319">
        <f t="shared" si="0"/>
        <v>1.1658732319291738</v>
      </c>
      <c r="AY14" s="319">
        <f t="shared" si="0"/>
        <v>1.1716593810022682</v>
      </c>
      <c r="AZ14" s="319">
        <f t="shared" si="0"/>
        <v>1.1774742463372847</v>
      </c>
      <c r="BA14" s="319">
        <f t="shared" si="0"/>
        <v>1.1833179704510663</v>
      </c>
      <c r="BB14" s="319">
        <f t="shared" si="0"/>
        <v>1.1891906965677574</v>
      </c>
      <c r="BC14" s="319">
        <f t="shared" si="0"/>
        <v>1.1950925686223137</v>
      </c>
      <c r="BD14" s="319">
        <f t="shared" si="0"/>
        <v>1.2010237312640306</v>
      </c>
      <c r="BE14" s="319">
        <f t="shared" si="0"/>
        <v>1.206984329860088</v>
      </c>
      <c r="BF14" s="319">
        <f t="shared" si="0"/>
        <v>1.2129745104991128</v>
      </c>
      <c r="BG14" s="319">
        <f t="shared" si="0"/>
        <v>1.2189944199947602</v>
      </c>
    </row>
    <row r="16" spans="1:61" s="90" customFormat="1">
      <c r="B16" s="91">
        <f ca="1">MAX(A$1:$B15)+1</f>
        <v>2</v>
      </c>
      <c r="C16" s="92" t="s">
        <v>147</v>
      </c>
    </row>
    <row r="18" spans="2:63" ht="30">
      <c r="C18" s="97" t="s">
        <v>4</v>
      </c>
      <c r="E18" s="97" t="s">
        <v>6</v>
      </c>
      <c r="G18" s="101" t="s">
        <v>272</v>
      </c>
      <c r="I18" s="101" t="s">
        <v>150</v>
      </c>
      <c r="K18" s="101" t="s">
        <v>151</v>
      </c>
      <c r="L18" s="101" t="s">
        <v>1749</v>
      </c>
      <c r="M18" s="101" t="s">
        <v>266</v>
      </c>
      <c r="BI18" s="327" t="s">
        <v>152</v>
      </c>
      <c r="BK18" s="372"/>
    </row>
    <row r="19" spans="2:63">
      <c r="C19" s="99">
        <f>AA!C13</f>
        <v>1</v>
      </c>
      <c r="E19" s="93" t="str">
        <f>INDEX(AA!$AC$13:$AC$15,MATCH($C19,AA!$C$13:$C$15,0))</f>
        <v>backup</v>
      </c>
      <c r="G19" s="1324">
        <f>INDEX(AA!$E$13:$E$15,MATCH($C19,AA!$C$13:$C$15,0))</f>
        <v>1</v>
      </c>
      <c r="I19" s="72" t="s">
        <v>147</v>
      </c>
      <c r="K19" s="1324">
        <f>INDEX(AA!$AA$13:$AA$15,MATCH($C19,AA!$C$13:$C$15,0))</f>
        <v>12</v>
      </c>
      <c r="L19" s="1324">
        <f>INDEX(AA!$T$13:$T$47,MATCH($C19,AA!$C$13:$C$47,0))</f>
        <v>1</v>
      </c>
      <c r="M19" s="1324">
        <f>INDEX(AA!$ES$13:$ES$15,MATCH($C19,AA!$C$13:$C$15,0))</f>
        <v>0</v>
      </c>
      <c r="T19" s="230">
        <f>$G19*(T$5&lt;=$K19)*(T$5&gt;=$L19)</f>
        <v>1</v>
      </c>
      <c r="U19" s="230">
        <f t="shared" ref="U19:AJ21" si="1">$G19*(U$5&lt;=$K19)*(U$5&gt;=$L19)</f>
        <v>1</v>
      </c>
      <c r="V19" s="230">
        <f t="shared" si="1"/>
        <v>1</v>
      </c>
      <c r="W19" s="230">
        <f t="shared" si="1"/>
        <v>1</v>
      </c>
      <c r="X19" s="230">
        <f t="shared" si="1"/>
        <v>1</v>
      </c>
      <c r="Y19" s="230">
        <f t="shared" si="1"/>
        <v>1</v>
      </c>
      <c r="Z19" s="230">
        <f t="shared" si="1"/>
        <v>1</v>
      </c>
      <c r="AA19" s="230">
        <f t="shared" si="1"/>
        <v>1</v>
      </c>
      <c r="AB19" s="230">
        <f t="shared" si="1"/>
        <v>1</v>
      </c>
      <c r="AC19" s="230">
        <f t="shared" si="1"/>
        <v>1</v>
      </c>
      <c r="AD19" s="230">
        <f t="shared" si="1"/>
        <v>1</v>
      </c>
      <c r="AE19" s="230">
        <f t="shared" si="1"/>
        <v>1</v>
      </c>
      <c r="AF19" s="230">
        <f t="shared" si="1"/>
        <v>0</v>
      </c>
      <c r="AG19" s="230">
        <f t="shared" si="1"/>
        <v>0</v>
      </c>
      <c r="AH19" s="230">
        <f t="shared" si="1"/>
        <v>0</v>
      </c>
      <c r="AI19" s="230">
        <f t="shared" si="1"/>
        <v>0</v>
      </c>
      <c r="AJ19" s="230">
        <f t="shared" si="1"/>
        <v>0</v>
      </c>
      <c r="AK19" s="230">
        <f t="shared" ref="AK19:AZ21" si="2">$G19*(AK$5&lt;=$K19)*(AK$5&gt;=$L19)</f>
        <v>0</v>
      </c>
      <c r="AL19" s="230">
        <f t="shared" si="2"/>
        <v>0</v>
      </c>
      <c r="AM19" s="230">
        <f t="shared" si="2"/>
        <v>0</v>
      </c>
      <c r="AN19" s="230">
        <f t="shared" si="2"/>
        <v>0</v>
      </c>
      <c r="AO19" s="230">
        <f t="shared" si="2"/>
        <v>0</v>
      </c>
      <c r="AP19" s="230">
        <f t="shared" si="2"/>
        <v>0</v>
      </c>
      <c r="AQ19" s="230">
        <f t="shared" si="2"/>
        <v>0</v>
      </c>
      <c r="AR19" s="230">
        <f t="shared" si="2"/>
        <v>0</v>
      </c>
      <c r="AS19" s="230">
        <f t="shared" si="2"/>
        <v>0</v>
      </c>
      <c r="AT19" s="230">
        <f t="shared" si="2"/>
        <v>0</v>
      </c>
      <c r="AU19" s="230">
        <f t="shared" si="2"/>
        <v>0</v>
      </c>
      <c r="AV19" s="230">
        <f t="shared" si="2"/>
        <v>0</v>
      </c>
      <c r="AW19" s="230">
        <f t="shared" si="2"/>
        <v>0</v>
      </c>
      <c r="AX19" s="230">
        <f t="shared" si="2"/>
        <v>0</v>
      </c>
      <c r="AY19" s="230">
        <f t="shared" si="2"/>
        <v>0</v>
      </c>
      <c r="AZ19" s="230">
        <f t="shared" si="2"/>
        <v>0</v>
      </c>
      <c r="BA19" s="230">
        <f t="shared" ref="BA19:BG21" si="3">$G19*(BA$5&lt;=$K19)*(BA$5&gt;=$L19)</f>
        <v>0</v>
      </c>
      <c r="BB19" s="230">
        <f t="shared" si="3"/>
        <v>0</v>
      </c>
      <c r="BC19" s="230">
        <f t="shared" si="3"/>
        <v>0</v>
      </c>
      <c r="BD19" s="230">
        <f t="shared" si="3"/>
        <v>0</v>
      </c>
      <c r="BE19" s="230">
        <f t="shared" si="3"/>
        <v>0</v>
      </c>
      <c r="BF19" s="230">
        <f t="shared" si="3"/>
        <v>0</v>
      </c>
      <c r="BG19" s="230">
        <f t="shared" si="3"/>
        <v>0</v>
      </c>
      <c r="BI19" s="105" t="s">
        <v>153</v>
      </c>
      <c r="BK19" s="103"/>
    </row>
    <row r="20" spans="2:63">
      <c r="C20" s="99">
        <f>AA!C14</f>
        <v>2</v>
      </c>
      <c r="E20" s="94" t="str">
        <f>INDEX(AA!$AC$13:$AC$15,MATCH($C20,AA!$C$13:$C$15,0))</f>
        <v>backup</v>
      </c>
      <c r="G20" s="1325">
        <f>INDEX(AA!$E$13:$E$15,MATCH($C20,AA!$C$13:$C$15,0))</f>
        <v>1</v>
      </c>
      <c r="I20" s="73" t="s">
        <v>147</v>
      </c>
      <c r="K20" s="1325">
        <f>INDEX(AA!$AA$13:$AA$15,MATCH($C20,AA!$C$13:$C$15,0))</f>
        <v>12</v>
      </c>
      <c r="L20" s="1325">
        <f>INDEX(AA!$T$13:$T$47,MATCH($C20,AA!$C$13:$C$47,0))</f>
        <v>2</v>
      </c>
      <c r="M20" s="1325">
        <f>INDEX(AA!$ES$13:$ES$15,MATCH($C20,AA!$C$13:$C$15,0))</f>
        <v>0</v>
      </c>
      <c r="T20" s="230">
        <f t="shared" ref="T20:T21" si="4">$G20*(T$5&lt;=$K20)*(T$5&gt;=$L20)</f>
        <v>0</v>
      </c>
      <c r="U20" s="230">
        <f t="shared" si="1"/>
        <v>1</v>
      </c>
      <c r="V20" s="230">
        <f t="shared" si="1"/>
        <v>1</v>
      </c>
      <c r="W20" s="230">
        <f t="shared" si="1"/>
        <v>1</v>
      </c>
      <c r="X20" s="230">
        <f t="shared" si="1"/>
        <v>1</v>
      </c>
      <c r="Y20" s="230">
        <f t="shared" si="1"/>
        <v>1</v>
      </c>
      <c r="Z20" s="230">
        <f t="shared" si="1"/>
        <v>1</v>
      </c>
      <c r="AA20" s="230">
        <f t="shared" si="1"/>
        <v>1</v>
      </c>
      <c r="AB20" s="230">
        <f t="shared" si="1"/>
        <v>1</v>
      </c>
      <c r="AC20" s="230">
        <f t="shared" si="1"/>
        <v>1</v>
      </c>
      <c r="AD20" s="230">
        <f t="shared" si="1"/>
        <v>1</v>
      </c>
      <c r="AE20" s="230">
        <f t="shared" si="1"/>
        <v>1</v>
      </c>
      <c r="AF20" s="230">
        <f t="shared" si="1"/>
        <v>0</v>
      </c>
      <c r="AG20" s="230">
        <f t="shared" si="1"/>
        <v>0</v>
      </c>
      <c r="AH20" s="230">
        <f t="shared" si="1"/>
        <v>0</v>
      </c>
      <c r="AI20" s="230">
        <f t="shared" si="1"/>
        <v>0</v>
      </c>
      <c r="AJ20" s="230">
        <f t="shared" si="1"/>
        <v>0</v>
      </c>
      <c r="AK20" s="230">
        <f t="shared" si="2"/>
        <v>0</v>
      </c>
      <c r="AL20" s="230">
        <f t="shared" si="2"/>
        <v>0</v>
      </c>
      <c r="AM20" s="230">
        <f t="shared" si="2"/>
        <v>0</v>
      </c>
      <c r="AN20" s="230">
        <f t="shared" si="2"/>
        <v>0</v>
      </c>
      <c r="AO20" s="230">
        <f t="shared" si="2"/>
        <v>0</v>
      </c>
      <c r="AP20" s="230">
        <f t="shared" si="2"/>
        <v>0</v>
      </c>
      <c r="AQ20" s="230">
        <f t="shared" si="2"/>
        <v>0</v>
      </c>
      <c r="AR20" s="230">
        <f t="shared" si="2"/>
        <v>0</v>
      </c>
      <c r="AS20" s="230">
        <f t="shared" si="2"/>
        <v>0</v>
      </c>
      <c r="AT20" s="230">
        <f t="shared" si="2"/>
        <v>0</v>
      </c>
      <c r="AU20" s="230">
        <f t="shared" si="2"/>
        <v>0</v>
      </c>
      <c r="AV20" s="230">
        <f t="shared" si="2"/>
        <v>0</v>
      </c>
      <c r="AW20" s="230">
        <f t="shared" si="2"/>
        <v>0</v>
      </c>
      <c r="AX20" s="230">
        <f t="shared" si="2"/>
        <v>0</v>
      </c>
      <c r="AY20" s="230">
        <f t="shared" si="2"/>
        <v>0</v>
      </c>
      <c r="AZ20" s="230">
        <f t="shared" si="2"/>
        <v>0</v>
      </c>
      <c r="BA20" s="230">
        <f t="shared" si="3"/>
        <v>0</v>
      </c>
      <c r="BB20" s="230">
        <f t="shared" si="3"/>
        <v>0</v>
      </c>
      <c r="BC20" s="230">
        <f t="shared" si="3"/>
        <v>0</v>
      </c>
      <c r="BD20" s="230">
        <f t="shared" si="3"/>
        <v>0</v>
      </c>
      <c r="BE20" s="230">
        <f t="shared" si="3"/>
        <v>0</v>
      </c>
      <c r="BF20" s="230">
        <f t="shared" si="3"/>
        <v>0</v>
      </c>
      <c r="BG20" s="230">
        <f t="shared" si="3"/>
        <v>0</v>
      </c>
      <c r="BI20" s="106" t="s">
        <v>153</v>
      </c>
      <c r="BK20" s="103"/>
    </row>
    <row r="21" spans="2:63">
      <c r="C21" s="99">
        <f>AA!C15</f>
        <v>3</v>
      </c>
      <c r="E21" s="94" t="str">
        <f>INDEX(AA!$AC$13:$AC$15,MATCH($C21,AA!$C$13:$C$15,0))</f>
        <v>backup</v>
      </c>
      <c r="G21" s="1325">
        <f>INDEX(AA!$E$13:$E$15,MATCH($C21,AA!$C$13:$C$15,0))</f>
        <v>1</v>
      </c>
      <c r="I21" s="73" t="s">
        <v>147</v>
      </c>
      <c r="K21" s="1325">
        <f>INDEX(AA!$AA$13:$AA$15,MATCH($C21,AA!$C$13:$C$15,0))</f>
        <v>12</v>
      </c>
      <c r="L21" s="1325">
        <f>INDEX(AA!$T$13:$T$47,MATCH($C21,AA!$C$13:$C$47,0))</f>
        <v>3</v>
      </c>
      <c r="M21" s="1325">
        <f>INDEX(AA!$ES$13:$ES$15,MATCH($C21,AA!$C$13:$C$15,0))</f>
        <v>0</v>
      </c>
      <c r="T21" s="230">
        <f t="shared" si="4"/>
        <v>0</v>
      </c>
      <c r="U21" s="230">
        <f t="shared" si="1"/>
        <v>0</v>
      </c>
      <c r="V21" s="230">
        <f t="shared" si="1"/>
        <v>1</v>
      </c>
      <c r="W21" s="230">
        <f t="shared" si="1"/>
        <v>1</v>
      </c>
      <c r="X21" s="230">
        <f t="shared" si="1"/>
        <v>1</v>
      </c>
      <c r="Y21" s="230">
        <f t="shared" si="1"/>
        <v>1</v>
      </c>
      <c r="Z21" s="230">
        <f t="shared" si="1"/>
        <v>1</v>
      </c>
      <c r="AA21" s="230">
        <f t="shared" si="1"/>
        <v>1</v>
      </c>
      <c r="AB21" s="230">
        <f t="shared" si="1"/>
        <v>1</v>
      </c>
      <c r="AC21" s="230">
        <f t="shared" si="1"/>
        <v>1</v>
      </c>
      <c r="AD21" s="230">
        <f t="shared" si="1"/>
        <v>1</v>
      </c>
      <c r="AE21" s="230">
        <f t="shared" si="1"/>
        <v>1</v>
      </c>
      <c r="AF21" s="230">
        <f t="shared" si="1"/>
        <v>0</v>
      </c>
      <c r="AG21" s="230">
        <f t="shared" si="1"/>
        <v>0</v>
      </c>
      <c r="AH21" s="230">
        <f t="shared" si="1"/>
        <v>0</v>
      </c>
      <c r="AI21" s="230">
        <f t="shared" si="1"/>
        <v>0</v>
      </c>
      <c r="AJ21" s="230">
        <f t="shared" si="1"/>
        <v>0</v>
      </c>
      <c r="AK21" s="230">
        <f t="shared" si="2"/>
        <v>0</v>
      </c>
      <c r="AL21" s="230">
        <f t="shared" si="2"/>
        <v>0</v>
      </c>
      <c r="AM21" s="230">
        <f t="shared" si="2"/>
        <v>0</v>
      </c>
      <c r="AN21" s="230">
        <f t="shared" si="2"/>
        <v>0</v>
      </c>
      <c r="AO21" s="230">
        <f t="shared" si="2"/>
        <v>0</v>
      </c>
      <c r="AP21" s="230">
        <f t="shared" si="2"/>
        <v>0</v>
      </c>
      <c r="AQ21" s="230">
        <f t="shared" si="2"/>
        <v>0</v>
      </c>
      <c r="AR21" s="230">
        <f t="shared" si="2"/>
        <v>0</v>
      </c>
      <c r="AS21" s="230">
        <f t="shared" si="2"/>
        <v>0</v>
      </c>
      <c r="AT21" s="230">
        <f t="shared" si="2"/>
        <v>0</v>
      </c>
      <c r="AU21" s="230">
        <f t="shared" si="2"/>
        <v>0</v>
      </c>
      <c r="AV21" s="230">
        <f t="shared" si="2"/>
        <v>0</v>
      </c>
      <c r="AW21" s="230">
        <f t="shared" si="2"/>
        <v>0</v>
      </c>
      <c r="AX21" s="230">
        <f t="shared" si="2"/>
        <v>0</v>
      </c>
      <c r="AY21" s="230">
        <f t="shared" si="2"/>
        <v>0</v>
      </c>
      <c r="AZ21" s="230">
        <f t="shared" si="2"/>
        <v>0</v>
      </c>
      <c r="BA21" s="230">
        <f t="shared" si="3"/>
        <v>0</v>
      </c>
      <c r="BB21" s="230">
        <f t="shared" si="3"/>
        <v>0</v>
      </c>
      <c r="BC21" s="230">
        <f t="shared" si="3"/>
        <v>0</v>
      </c>
      <c r="BD21" s="230">
        <f t="shared" si="3"/>
        <v>0</v>
      </c>
      <c r="BE21" s="230">
        <f t="shared" si="3"/>
        <v>0</v>
      </c>
      <c r="BF21" s="230">
        <f t="shared" si="3"/>
        <v>0</v>
      </c>
      <c r="BG21" s="230">
        <f t="shared" si="3"/>
        <v>0</v>
      </c>
      <c r="BI21" s="106" t="s">
        <v>153</v>
      </c>
      <c r="BK21" s="103"/>
    </row>
    <row r="22" spans="2:63">
      <c r="C22" s="269"/>
      <c r="E22" s="269"/>
      <c r="G22" s="269"/>
      <c r="I22" s="269"/>
      <c r="K22" s="269"/>
      <c r="L22" s="269"/>
      <c r="M22" s="269"/>
      <c r="BI22" s="269"/>
      <c r="BK22" s="269"/>
    </row>
    <row r="24" spans="2:63" s="90" customFormat="1">
      <c r="B24" s="91">
        <f ca="1">MAX(A$1:$B15)+1</f>
        <v>2</v>
      </c>
      <c r="C24" s="92" t="s">
        <v>1751</v>
      </c>
    </row>
    <row r="26" spans="2:63" ht="30">
      <c r="C26" s="97" t="s">
        <v>4</v>
      </c>
      <c r="E26" s="97" t="s">
        <v>6</v>
      </c>
      <c r="G26" s="101" t="s">
        <v>272</v>
      </c>
      <c r="I26" s="101" t="s">
        <v>150</v>
      </c>
      <c r="BI26" s="327" t="s">
        <v>152</v>
      </c>
      <c r="BK26" s="372"/>
    </row>
    <row r="27" spans="2:63">
      <c r="C27" s="99">
        <f>AA!C13</f>
        <v>1</v>
      </c>
      <c r="E27" s="93" t="str">
        <f>INDEX(AA!$AC$13:$AC$15,MATCH($C27,AA!$C$13:$C$15,0))</f>
        <v>backup</v>
      </c>
      <c r="G27" s="1324">
        <f>INDEX(AA!$E$13:$E$15,MATCH($C27,AA!$C$13:$C$15,0))</f>
        <v>1</v>
      </c>
      <c r="I27" s="72" t="s">
        <v>1752</v>
      </c>
      <c r="T27" s="230">
        <f>MAX(T19-S19,0)</f>
        <v>1</v>
      </c>
      <c r="U27" s="230">
        <f t="shared" ref="U27:BG27" si="5">MAX(U19-T19,0)</f>
        <v>0</v>
      </c>
      <c r="V27" s="230">
        <f t="shared" si="5"/>
        <v>0</v>
      </c>
      <c r="W27" s="230">
        <f t="shared" si="5"/>
        <v>0</v>
      </c>
      <c r="X27" s="230">
        <f t="shared" si="5"/>
        <v>0</v>
      </c>
      <c r="Y27" s="230">
        <f t="shared" si="5"/>
        <v>0</v>
      </c>
      <c r="Z27" s="230">
        <f t="shared" si="5"/>
        <v>0</v>
      </c>
      <c r="AA27" s="230">
        <f t="shared" si="5"/>
        <v>0</v>
      </c>
      <c r="AB27" s="230">
        <f t="shared" si="5"/>
        <v>0</v>
      </c>
      <c r="AC27" s="230">
        <f t="shared" si="5"/>
        <v>0</v>
      </c>
      <c r="AD27" s="230">
        <f t="shared" si="5"/>
        <v>0</v>
      </c>
      <c r="AE27" s="230">
        <f t="shared" si="5"/>
        <v>0</v>
      </c>
      <c r="AF27" s="230">
        <f t="shared" si="5"/>
        <v>0</v>
      </c>
      <c r="AG27" s="230">
        <f t="shared" si="5"/>
        <v>0</v>
      </c>
      <c r="AH27" s="230">
        <f t="shared" si="5"/>
        <v>0</v>
      </c>
      <c r="AI27" s="230">
        <f t="shared" si="5"/>
        <v>0</v>
      </c>
      <c r="AJ27" s="230">
        <f t="shared" si="5"/>
        <v>0</v>
      </c>
      <c r="AK27" s="230">
        <f t="shared" si="5"/>
        <v>0</v>
      </c>
      <c r="AL27" s="230">
        <f t="shared" si="5"/>
        <v>0</v>
      </c>
      <c r="AM27" s="230">
        <f t="shared" si="5"/>
        <v>0</v>
      </c>
      <c r="AN27" s="230">
        <f t="shared" si="5"/>
        <v>0</v>
      </c>
      <c r="AO27" s="230">
        <f t="shared" si="5"/>
        <v>0</v>
      </c>
      <c r="AP27" s="230">
        <f t="shared" si="5"/>
        <v>0</v>
      </c>
      <c r="AQ27" s="230">
        <f t="shared" si="5"/>
        <v>0</v>
      </c>
      <c r="AR27" s="230">
        <f t="shared" si="5"/>
        <v>0</v>
      </c>
      <c r="AS27" s="230">
        <f t="shared" si="5"/>
        <v>0</v>
      </c>
      <c r="AT27" s="230">
        <f t="shared" si="5"/>
        <v>0</v>
      </c>
      <c r="AU27" s="230">
        <f t="shared" si="5"/>
        <v>0</v>
      </c>
      <c r="AV27" s="230">
        <f t="shared" si="5"/>
        <v>0</v>
      </c>
      <c r="AW27" s="230">
        <f t="shared" si="5"/>
        <v>0</v>
      </c>
      <c r="AX27" s="230">
        <f t="shared" si="5"/>
        <v>0</v>
      </c>
      <c r="AY27" s="230">
        <f t="shared" si="5"/>
        <v>0</v>
      </c>
      <c r="AZ27" s="230">
        <f t="shared" si="5"/>
        <v>0</v>
      </c>
      <c r="BA27" s="230">
        <f t="shared" si="5"/>
        <v>0</v>
      </c>
      <c r="BB27" s="230">
        <f t="shared" si="5"/>
        <v>0</v>
      </c>
      <c r="BC27" s="230">
        <f t="shared" si="5"/>
        <v>0</v>
      </c>
      <c r="BD27" s="230">
        <f t="shared" si="5"/>
        <v>0</v>
      </c>
      <c r="BE27" s="230">
        <f t="shared" si="5"/>
        <v>0</v>
      </c>
      <c r="BF27" s="230">
        <f t="shared" si="5"/>
        <v>0</v>
      </c>
      <c r="BG27" s="230">
        <f t="shared" si="5"/>
        <v>0</v>
      </c>
      <c r="BI27" s="105" t="s">
        <v>153</v>
      </c>
      <c r="BK27" s="103"/>
    </row>
    <row r="28" spans="2:63">
      <c r="C28" s="99">
        <f>AA!C14</f>
        <v>2</v>
      </c>
      <c r="E28" s="94" t="str">
        <f>INDEX(AA!$AC$13:$AC$15,MATCH($C28,AA!$C$13:$C$15,0))</f>
        <v>backup</v>
      </c>
      <c r="G28" s="1325">
        <f>INDEX(AA!$E$13:$E$15,MATCH($C28,AA!$C$13:$C$15,0))</f>
        <v>1</v>
      </c>
      <c r="I28" s="73" t="s">
        <v>1752</v>
      </c>
      <c r="T28" s="230">
        <f t="shared" ref="T28:BG28" si="6">MAX(T20-S20,0)</f>
        <v>0</v>
      </c>
      <c r="U28" s="230">
        <f t="shared" si="6"/>
        <v>1</v>
      </c>
      <c r="V28" s="230">
        <f t="shared" si="6"/>
        <v>0</v>
      </c>
      <c r="W28" s="230">
        <f t="shared" si="6"/>
        <v>0</v>
      </c>
      <c r="X28" s="230">
        <f t="shared" si="6"/>
        <v>0</v>
      </c>
      <c r="Y28" s="230">
        <f t="shared" si="6"/>
        <v>0</v>
      </c>
      <c r="Z28" s="230">
        <f t="shared" si="6"/>
        <v>0</v>
      </c>
      <c r="AA28" s="230">
        <f t="shared" si="6"/>
        <v>0</v>
      </c>
      <c r="AB28" s="230">
        <f t="shared" si="6"/>
        <v>0</v>
      </c>
      <c r="AC28" s="230">
        <f t="shared" si="6"/>
        <v>0</v>
      </c>
      <c r="AD28" s="230">
        <f t="shared" si="6"/>
        <v>0</v>
      </c>
      <c r="AE28" s="230">
        <f t="shared" si="6"/>
        <v>0</v>
      </c>
      <c r="AF28" s="230">
        <f t="shared" si="6"/>
        <v>0</v>
      </c>
      <c r="AG28" s="230">
        <f t="shared" si="6"/>
        <v>0</v>
      </c>
      <c r="AH28" s="230">
        <f t="shared" si="6"/>
        <v>0</v>
      </c>
      <c r="AI28" s="230">
        <f t="shared" si="6"/>
        <v>0</v>
      </c>
      <c r="AJ28" s="230">
        <f t="shared" si="6"/>
        <v>0</v>
      </c>
      <c r="AK28" s="230">
        <f t="shared" si="6"/>
        <v>0</v>
      </c>
      <c r="AL28" s="230">
        <f t="shared" si="6"/>
        <v>0</v>
      </c>
      <c r="AM28" s="230">
        <f t="shared" si="6"/>
        <v>0</v>
      </c>
      <c r="AN28" s="230">
        <f t="shared" si="6"/>
        <v>0</v>
      </c>
      <c r="AO28" s="230">
        <f t="shared" si="6"/>
        <v>0</v>
      </c>
      <c r="AP28" s="230">
        <f t="shared" si="6"/>
        <v>0</v>
      </c>
      <c r="AQ28" s="230">
        <f t="shared" si="6"/>
        <v>0</v>
      </c>
      <c r="AR28" s="230">
        <f t="shared" si="6"/>
        <v>0</v>
      </c>
      <c r="AS28" s="230">
        <f t="shared" si="6"/>
        <v>0</v>
      </c>
      <c r="AT28" s="230">
        <f t="shared" si="6"/>
        <v>0</v>
      </c>
      <c r="AU28" s="230">
        <f t="shared" si="6"/>
        <v>0</v>
      </c>
      <c r="AV28" s="230">
        <f t="shared" si="6"/>
        <v>0</v>
      </c>
      <c r="AW28" s="230">
        <f t="shared" si="6"/>
        <v>0</v>
      </c>
      <c r="AX28" s="230">
        <f t="shared" si="6"/>
        <v>0</v>
      </c>
      <c r="AY28" s="230">
        <f t="shared" si="6"/>
        <v>0</v>
      </c>
      <c r="AZ28" s="230">
        <f t="shared" si="6"/>
        <v>0</v>
      </c>
      <c r="BA28" s="230">
        <f t="shared" si="6"/>
        <v>0</v>
      </c>
      <c r="BB28" s="230">
        <f t="shared" si="6"/>
        <v>0</v>
      </c>
      <c r="BC28" s="230">
        <f t="shared" si="6"/>
        <v>0</v>
      </c>
      <c r="BD28" s="230">
        <f t="shared" si="6"/>
        <v>0</v>
      </c>
      <c r="BE28" s="230">
        <f t="shared" si="6"/>
        <v>0</v>
      </c>
      <c r="BF28" s="230">
        <f t="shared" si="6"/>
        <v>0</v>
      </c>
      <c r="BG28" s="230">
        <f t="shared" si="6"/>
        <v>0</v>
      </c>
      <c r="BI28" s="106" t="s">
        <v>153</v>
      </c>
      <c r="BK28" s="103"/>
    </row>
    <row r="29" spans="2:63">
      <c r="C29" s="99">
        <f>AA!C15</f>
        <v>3</v>
      </c>
      <c r="E29" s="94" t="str">
        <f>INDEX(AA!$AC$13:$AC$15,MATCH($C29,AA!$C$13:$C$15,0))</f>
        <v>backup</v>
      </c>
      <c r="G29" s="1325">
        <f>INDEX(AA!$E$13:$E$15,MATCH($C29,AA!$C$13:$C$15,0))</f>
        <v>1</v>
      </c>
      <c r="I29" s="73" t="s">
        <v>1752</v>
      </c>
      <c r="T29" s="230">
        <f t="shared" ref="T29:BG29" si="7">MAX(T21-S21,0)</f>
        <v>0</v>
      </c>
      <c r="U29" s="230">
        <f t="shared" si="7"/>
        <v>0</v>
      </c>
      <c r="V29" s="230">
        <f t="shared" si="7"/>
        <v>1</v>
      </c>
      <c r="W29" s="230">
        <f t="shared" si="7"/>
        <v>0</v>
      </c>
      <c r="X29" s="230">
        <f t="shared" si="7"/>
        <v>0</v>
      </c>
      <c r="Y29" s="230">
        <f t="shared" si="7"/>
        <v>0</v>
      </c>
      <c r="Z29" s="230">
        <f t="shared" si="7"/>
        <v>0</v>
      </c>
      <c r="AA29" s="230">
        <f t="shared" si="7"/>
        <v>0</v>
      </c>
      <c r="AB29" s="230">
        <f t="shared" si="7"/>
        <v>0</v>
      </c>
      <c r="AC29" s="230">
        <f t="shared" si="7"/>
        <v>0</v>
      </c>
      <c r="AD29" s="230">
        <f t="shared" si="7"/>
        <v>0</v>
      </c>
      <c r="AE29" s="230">
        <f t="shared" si="7"/>
        <v>0</v>
      </c>
      <c r="AF29" s="230">
        <f t="shared" si="7"/>
        <v>0</v>
      </c>
      <c r="AG29" s="230">
        <f t="shared" si="7"/>
        <v>0</v>
      </c>
      <c r="AH29" s="230">
        <f t="shared" si="7"/>
        <v>0</v>
      </c>
      <c r="AI29" s="230">
        <f t="shared" si="7"/>
        <v>0</v>
      </c>
      <c r="AJ29" s="230">
        <f t="shared" si="7"/>
        <v>0</v>
      </c>
      <c r="AK29" s="230">
        <f t="shared" si="7"/>
        <v>0</v>
      </c>
      <c r="AL29" s="230">
        <f t="shared" si="7"/>
        <v>0</v>
      </c>
      <c r="AM29" s="230">
        <f t="shared" si="7"/>
        <v>0</v>
      </c>
      <c r="AN29" s="230">
        <f t="shared" si="7"/>
        <v>0</v>
      </c>
      <c r="AO29" s="230">
        <f t="shared" si="7"/>
        <v>0</v>
      </c>
      <c r="AP29" s="230">
        <f t="shared" si="7"/>
        <v>0</v>
      </c>
      <c r="AQ29" s="230">
        <f t="shared" si="7"/>
        <v>0</v>
      </c>
      <c r="AR29" s="230">
        <f t="shared" si="7"/>
        <v>0</v>
      </c>
      <c r="AS29" s="230">
        <f t="shared" si="7"/>
        <v>0</v>
      </c>
      <c r="AT29" s="230">
        <f t="shared" si="7"/>
        <v>0</v>
      </c>
      <c r="AU29" s="230">
        <f t="shared" si="7"/>
        <v>0</v>
      </c>
      <c r="AV29" s="230">
        <f t="shared" si="7"/>
        <v>0</v>
      </c>
      <c r="AW29" s="230">
        <f t="shared" si="7"/>
        <v>0</v>
      </c>
      <c r="AX29" s="230">
        <f t="shared" si="7"/>
        <v>0</v>
      </c>
      <c r="AY29" s="230">
        <f t="shared" si="7"/>
        <v>0</v>
      </c>
      <c r="AZ29" s="230">
        <f t="shared" si="7"/>
        <v>0</v>
      </c>
      <c r="BA29" s="230">
        <f t="shared" si="7"/>
        <v>0</v>
      </c>
      <c r="BB29" s="230">
        <f t="shared" si="7"/>
        <v>0</v>
      </c>
      <c r="BC29" s="230">
        <f t="shared" si="7"/>
        <v>0</v>
      </c>
      <c r="BD29" s="230">
        <f t="shared" si="7"/>
        <v>0</v>
      </c>
      <c r="BE29" s="230">
        <f t="shared" si="7"/>
        <v>0</v>
      </c>
      <c r="BF29" s="230">
        <f t="shared" si="7"/>
        <v>0</v>
      </c>
      <c r="BG29" s="230">
        <f t="shared" si="7"/>
        <v>0</v>
      </c>
      <c r="BI29" s="106" t="s">
        <v>153</v>
      </c>
      <c r="BK29" s="103"/>
    </row>
    <row r="30" spans="2:63">
      <c r="C30" s="269"/>
      <c r="E30" s="269"/>
      <c r="G30" s="269"/>
      <c r="I30" s="269"/>
      <c r="K30" s="269"/>
      <c r="BI30" s="269"/>
      <c r="BK30" s="269"/>
    </row>
    <row r="32" spans="2:63" s="90" customFormat="1">
      <c r="B32" s="91">
        <f ca="1">MAX(A$1:$B23)+1</f>
        <v>3</v>
      </c>
      <c r="C32" s="92" t="s">
        <v>403</v>
      </c>
    </row>
    <row r="34" spans="2:63" ht="30">
      <c r="C34" s="97" t="s">
        <v>4</v>
      </c>
      <c r="E34" s="97" t="s">
        <v>6</v>
      </c>
      <c r="G34" s="101" t="s">
        <v>272</v>
      </c>
      <c r="I34" s="101" t="s">
        <v>150</v>
      </c>
      <c r="K34" s="101" t="s">
        <v>151</v>
      </c>
      <c r="BI34" s="327" t="s">
        <v>152</v>
      </c>
      <c r="BK34" s="372"/>
    </row>
    <row r="35" spans="2:63">
      <c r="C35" s="99">
        <f>AA!C13</f>
        <v>1</v>
      </c>
      <c r="E35" s="93" t="str">
        <f>INDEX(AA!$AC$13:$AC$15,MATCH($C35,AA!$C$13:$C$15,0))</f>
        <v>backup</v>
      </c>
      <c r="G35" s="1324">
        <f>INDEX(AA!$E$13:$E$15,MATCH($C35,AA!$C$13:$C$15,0))</f>
        <v>1</v>
      </c>
      <c r="I35" s="72" t="s">
        <v>403</v>
      </c>
      <c r="K35" s="1324">
        <f>INDEX(AA!$AA$13:$AA$15,MATCH($C35,AA!$C$13:$C$15,0))</f>
        <v>12</v>
      </c>
      <c r="T35" s="230">
        <f>$G35*(T$5=$K35)</f>
        <v>0</v>
      </c>
      <c r="U35" s="230">
        <f t="shared" ref="U35:BG37" si="8">$G35*(U$5=$K35)</f>
        <v>0</v>
      </c>
      <c r="V35" s="230">
        <f t="shared" si="8"/>
        <v>0</v>
      </c>
      <c r="W35" s="230">
        <f t="shared" si="8"/>
        <v>0</v>
      </c>
      <c r="X35" s="230">
        <f t="shared" si="8"/>
        <v>0</v>
      </c>
      <c r="Y35" s="230">
        <f t="shared" si="8"/>
        <v>0</v>
      </c>
      <c r="Z35" s="230">
        <f t="shared" si="8"/>
        <v>0</v>
      </c>
      <c r="AA35" s="230">
        <f t="shared" si="8"/>
        <v>0</v>
      </c>
      <c r="AB35" s="230">
        <f t="shared" si="8"/>
        <v>0</v>
      </c>
      <c r="AC35" s="230">
        <f t="shared" si="8"/>
        <v>0</v>
      </c>
      <c r="AD35" s="230">
        <f t="shared" si="8"/>
        <v>0</v>
      </c>
      <c r="AE35" s="230">
        <f t="shared" si="8"/>
        <v>1</v>
      </c>
      <c r="AF35" s="230">
        <f t="shared" si="8"/>
        <v>0</v>
      </c>
      <c r="AG35" s="230">
        <f t="shared" si="8"/>
        <v>0</v>
      </c>
      <c r="AH35" s="230">
        <f t="shared" si="8"/>
        <v>0</v>
      </c>
      <c r="AI35" s="230">
        <f t="shared" si="8"/>
        <v>0</v>
      </c>
      <c r="AJ35" s="230">
        <f t="shared" si="8"/>
        <v>0</v>
      </c>
      <c r="AK35" s="230">
        <f t="shared" si="8"/>
        <v>0</v>
      </c>
      <c r="AL35" s="230">
        <f t="shared" si="8"/>
        <v>0</v>
      </c>
      <c r="AM35" s="230">
        <f t="shared" si="8"/>
        <v>0</v>
      </c>
      <c r="AN35" s="230">
        <f t="shared" si="8"/>
        <v>0</v>
      </c>
      <c r="AO35" s="230">
        <f t="shared" si="8"/>
        <v>0</v>
      </c>
      <c r="AP35" s="230">
        <f t="shared" si="8"/>
        <v>0</v>
      </c>
      <c r="AQ35" s="230">
        <f t="shared" si="8"/>
        <v>0</v>
      </c>
      <c r="AR35" s="230">
        <f t="shared" si="8"/>
        <v>0</v>
      </c>
      <c r="AS35" s="230">
        <f t="shared" si="8"/>
        <v>0</v>
      </c>
      <c r="AT35" s="230">
        <f t="shared" si="8"/>
        <v>0</v>
      </c>
      <c r="AU35" s="230">
        <f t="shared" si="8"/>
        <v>0</v>
      </c>
      <c r="AV35" s="230">
        <f t="shared" si="8"/>
        <v>0</v>
      </c>
      <c r="AW35" s="230">
        <f t="shared" si="8"/>
        <v>0</v>
      </c>
      <c r="AX35" s="230">
        <f t="shared" si="8"/>
        <v>0</v>
      </c>
      <c r="AY35" s="230">
        <f t="shared" si="8"/>
        <v>0</v>
      </c>
      <c r="AZ35" s="230">
        <f t="shared" si="8"/>
        <v>0</v>
      </c>
      <c r="BA35" s="230">
        <f t="shared" si="8"/>
        <v>0</v>
      </c>
      <c r="BB35" s="230">
        <f t="shared" si="8"/>
        <v>0</v>
      </c>
      <c r="BC35" s="230">
        <f t="shared" si="8"/>
        <v>0</v>
      </c>
      <c r="BD35" s="230">
        <f t="shared" si="8"/>
        <v>0</v>
      </c>
      <c r="BE35" s="230">
        <f t="shared" si="8"/>
        <v>0</v>
      </c>
      <c r="BF35" s="230">
        <f t="shared" si="8"/>
        <v>0</v>
      </c>
      <c r="BG35" s="230">
        <f t="shared" si="8"/>
        <v>0</v>
      </c>
      <c r="BI35" s="105" t="s">
        <v>153</v>
      </c>
      <c r="BK35" s="103"/>
    </row>
    <row r="36" spans="2:63">
      <c r="C36" s="99">
        <f>AA!C14</f>
        <v>2</v>
      </c>
      <c r="E36" s="94" t="str">
        <f>INDEX(AA!$AC$13:$AC$15,MATCH($C36,AA!$C$13:$C$15,0))</f>
        <v>backup</v>
      </c>
      <c r="G36" s="1325">
        <f>INDEX(AA!$E$13:$E$15,MATCH($C36,AA!$C$13:$C$15,0))</f>
        <v>1</v>
      </c>
      <c r="I36" s="73" t="s">
        <v>403</v>
      </c>
      <c r="K36" s="1325">
        <f>INDEX(AA!$AA$13:$AA$15,MATCH($C36,AA!$C$13:$C$15,0))</f>
        <v>12</v>
      </c>
      <c r="T36" s="230">
        <f t="shared" ref="T36" si="9">$G36*(T$5=$K36)</f>
        <v>0</v>
      </c>
      <c r="U36" s="230">
        <f t="shared" si="8"/>
        <v>0</v>
      </c>
      <c r="V36" s="230">
        <f t="shared" si="8"/>
        <v>0</v>
      </c>
      <c r="W36" s="230">
        <f t="shared" si="8"/>
        <v>0</v>
      </c>
      <c r="X36" s="230">
        <f t="shared" si="8"/>
        <v>0</v>
      </c>
      <c r="Y36" s="230">
        <f t="shared" si="8"/>
        <v>0</v>
      </c>
      <c r="Z36" s="230">
        <f t="shared" si="8"/>
        <v>0</v>
      </c>
      <c r="AA36" s="230">
        <f t="shared" si="8"/>
        <v>0</v>
      </c>
      <c r="AB36" s="230">
        <f t="shared" si="8"/>
        <v>0</v>
      </c>
      <c r="AC36" s="230">
        <f t="shared" si="8"/>
        <v>0</v>
      </c>
      <c r="AD36" s="230">
        <f t="shared" si="8"/>
        <v>0</v>
      </c>
      <c r="AE36" s="230">
        <f t="shared" si="8"/>
        <v>1</v>
      </c>
      <c r="AF36" s="230">
        <f t="shared" si="8"/>
        <v>0</v>
      </c>
      <c r="AG36" s="230">
        <f t="shared" si="8"/>
        <v>0</v>
      </c>
      <c r="AH36" s="230">
        <f t="shared" si="8"/>
        <v>0</v>
      </c>
      <c r="AI36" s="230">
        <f t="shared" si="8"/>
        <v>0</v>
      </c>
      <c r="AJ36" s="230">
        <f t="shared" si="8"/>
        <v>0</v>
      </c>
      <c r="AK36" s="230">
        <f t="shared" si="8"/>
        <v>0</v>
      </c>
      <c r="AL36" s="230">
        <f t="shared" si="8"/>
        <v>0</v>
      </c>
      <c r="AM36" s="230">
        <f t="shared" si="8"/>
        <v>0</v>
      </c>
      <c r="AN36" s="230">
        <f t="shared" si="8"/>
        <v>0</v>
      </c>
      <c r="AO36" s="230">
        <f t="shared" si="8"/>
        <v>0</v>
      </c>
      <c r="AP36" s="230">
        <f t="shared" si="8"/>
        <v>0</v>
      </c>
      <c r="AQ36" s="230">
        <f t="shared" si="8"/>
        <v>0</v>
      </c>
      <c r="AR36" s="230">
        <f t="shared" si="8"/>
        <v>0</v>
      </c>
      <c r="AS36" s="230">
        <f t="shared" si="8"/>
        <v>0</v>
      </c>
      <c r="AT36" s="230">
        <f t="shared" si="8"/>
        <v>0</v>
      </c>
      <c r="AU36" s="230">
        <f t="shared" si="8"/>
        <v>0</v>
      </c>
      <c r="AV36" s="230">
        <f t="shared" si="8"/>
        <v>0</v>
      </c>
      <c r="AW36" s="230">
        <f t="shared" si="8"/>
        <v>0</v>
      </c>
      <c r="AX36" s="230">
        <f t="shared" si="8"/>
        <v>0</v>
      </c>
      <c r="AY36" s="230">
        <f t="shared" si="8"/>
        <v>0</v>
      </c>
      <c r="AZ36" s="230">
        <f t="shared" si="8"/>
        <v>0</v>
      </c>
      <c r="BA36" s="230">
        <f t="shared" si="8"/>
        <v>0</v>
      </c>
      <c r="BB36" s="230">
        <f t="shared" si="8"/>
        <v>0</v>
      </c>
      <c r="BC36" s="230">
        <f t="shared" si="8"/>
        <v>0</v>
      </c>
      <c r="BD36" s="230">
        <f t="shared" si="8"/>
        <v>0</v>
      </c>
      <c r="BE36" s="230">
        <f t="shared" si="8"/>
        <v>0</v>
      </c>
      <c r="BF36" s="230">
        <f t="shared" si="8"/>
        <v>0</v>
      </c>
      <c r="BG36" s="230">
        <f t="shared" si="8"/>
        <v>0</v>
      </c>
      <c r="BI36" s="106" t="s">
        <v>153</v>
      </c>
      <c r="BK36" s="103"/>
    </row>
    <row r="37" spans="2:63">
      <c r="C37" s="99">
        <f>AA!C15</f>
        <v>3</v>
      </c>
      <c r="E37" s="94" t="str">
        <f>INDEX(AA!$AC$13:$AC$15,MATCH($C37,AA!$C$13:$C$15,0))</f>
        <v>backup</v>
      </c>
      <c r="G37" s="1325">
        <f>INDEX(AA!$E$13:$E$15,MATCH($C37,AA!$C$13:$C$15,0))</f>
        <v>1</v>
      </c>
      <c r="I37" s="73" t="s">
        <v>403</v>
      </c>
      <c r="K37" s="1325">
        <f>INDEX(AA!$AA$13:$AA$15,MATCH($C37,AA!$C$13:$C$15,0))</f>
        <v>12</v>
      </c>
      <c r="T37" s="230">
        <f t="shared" ref="T37" si="10">$G37*(T$5=$K37)</f>
        <v>0</v>
      </c>
      <c r="U37" s="230">
        <f t="shared" si="8"/>
        <v>0</v>
      </c>
      <c r="V37" s="230">
        <f t="shared" ref="V37:AK37" si="11">$G37*(V$5=$K37)</f>
        <v>0</v>
      </c>
      <c r="W37" s="230">
        <f t="shared" si="11"/>
        <v>0</v>
      </c>
      <c r="X37" s="230">
        <f t="shared" si="11"/>
        <v>0</v>
      </c>
      <c r="Y37" s="230">
        <f t="shared" si="11"/>
        <v>0</v>
      </c>
      <c r="Z37" s="230">
        <f t="shared" si="11"/>
        <v>0</v>
      </c>
      <c r="AA37" s="230">
        <f t="shared" si="11"/>
        <v>0</v>
      </c>
      <c r="AB37" s="230">
        <f t="shared" si="11"/>
        <v>0</v>
      </c>
      <c r="AC37" s="230">
        <f t="shared" si="11"/>
        <v>0</v>
      </c>
      <c r="AD37" s="230">
        <f t="shared" si="11"/>
        <v>0</v>
      </c>
      <c r="AE37" s="230">
        <f t="shared" si="11"/>
        <v>1</v>
      </c>
      <c r="AF37" s="230">
        <f t="shared" si="11"/>
        <v>0</v>
      </c>
      <c r="AG37" s="230">
        <f t="shared" si="11"/>
        <v>0</v>
      </c>
      <c r="AH37" s="230">
        <f t="shared" si="11"/>
        <v>0</v>
      </c>
      <c r="AI37" s="230">
        <f t="shared" si="11"/>
        <v>0</v>
      </c>
      <c r="AJ37" s="230">
        <f t="shared" si="11"/>
        <v>0</v>
      </c>
      <c r="AK37" s="230">
        <f t="shared" si="11"/>
        <v>0</v>
      </c>
      <c r="AL37" s="230">
        <f t="shared" ref="AL37:BA37" si="12">$G37*(AL$5=$K37)</f>
        <v>0</v>
      </c>
      <c r="AM37" s="230">
        <f t="shared" si="12"/>
        <v>0</v>
      </c>
      <c r="AN37" s="230">
        <f t="shared" si="12"/>
        <v>0</v>
      </c>
      <c r="AO37" s="230">
        <f t="shared" si="12"/>
        <v>0</v>
      </c>
      <c r="AP37" s="230">
        <f t="shared" si="12"/>
        <v>0</v>
      </c>
      <c r="AQ37" s="230">
        <f t="shared" si="12"/>
        <v>0</v>
      </c>
      <c r="AR37" s="230">
        <f t="shared" si="12"/>
        <v>0</v>
      </c>
      <c r="AS37" s="230">
        <f t="shared" si="12"/>
        <v>0</v>
      </c>
      <c r="AT37" s="230">
        <f t="shared" si="12"/>
        <v>0</v>
      </c>
      <c r="AU37" s="230">
        <f t="shared" si="12"/>
        <v>0</v>
      </c>
      <c r="AV37" s="230">
        <f t="shared" si="12"/>
        <v>0</v>
      </c>
      <c r="AW37" s="230">
        <f t="shared" si="12"/>
        <v>0</v>
      </c>
      <c r="AX37" s="230">
        <f t="shared" si="12"/>
        <v>0</v>
      </c>
      <c r="AY37" s="230">
        <f t="shared" si="12"/>
        <v>0</v>
      </c>
      <c r="AZ37" s="230">
        <f t="shared" si="12"/>
        <v>0</v>
      </c>
      <c r="BA37" s="230">
        <f t="shared" si="12"/>
        <v>0</v>
      </c>
      <c r="BB37" s="230">
        <f t="shared" ref="BB37:BG37" si="13">$G37*(BB$5=$K37)</f>
        <v>0</v>
      </c>
      <c r="BC37" s="230">
        <f t="shared" si="13"/>
        <v>0</v>
      </c>
      <c r="BD37" s="230">
        <f t="shared" si="13"/>
        <v>0</v>
      </c>
      <c r="BE37" s="230">
        <f t="shared" si="13"/>
        <v>0</v>
      </c>
      <c r="BF37" s="230">
        <f t="shared" si="13"/>
        <v>0</v>
      </c>
      <c r="BG37" s="230">
        <f t="shared" si="13"/>
        <v>0</v>
      </c>
      <c r="BI37" s="106" t="s">
        <v>153</v>
      </c>
      <c r="BK37" s="103"/>
    </row>
    <row r="38" spans="2:63">
      <c r="C38" s="269"/>
      <c r="E38" s="269"/>
      <c r="G38" s="269"/>
      <c r="I38" s="269"/>
      <c r="K38" s="269"/>
      <c r="BI38" s="269"/>
      <c r="BK38" s="269"/>
    </row>
    <row r="40" spans="2:63" s="90" customFormat="1">
      <c r="B40" s="91">
        <f ca="1">MAX(A$1:$B39)+1</f>
        <v>4</v>
      </c>
      <c r="C40" s="92" t="s">
        <v>539</v>
      </c>
    </row>
    <row r="42" spans="2:63">
      <c r="K42" s="226" t="s">
        <v>541</v>
      </c>
      <c r="L42" s="225"/>
      <c r="N42" s="226" t="s">
        <v>540</v>
      </c>
      <c r="O42" s="225"/>
    </row>
    <row r="43" spans="2:63" ht="30">
      <c r="C43" s="97" t="s">
        <v>4</v>
      </c>
      <c r="E43" s="97" t="s">
        <v>6</v>
      </c>
      <c r="G43" s="101" t="s">
        <v>272</v>
      </c>
      <c r="I43" s="101" t="s">
        <v>150</v>
      </c>
      <c r="K43" s="97" t="s">
        <v>542</v>
      </c>
      <c r="L43" s="97" t="s">
        <v>543</v>
      </c>
      <c r="M43" s="371"/>
      <c r="N43" s="97" t="s">
        <v>544</v>
      </c>
      <c r="O43" s="97" t="s">
        <v>545</v>
      </c>
      <c r="BI43" s="327" t="s">
        <v>152</v>
      </c>
      <c r="BK43" s="372"/>
    </row>
    <row r="44" spans="2:63">
      <c r="C44" s="99">
        <f>AA!C13</f>
        <v>1</v>
      </c>
      <c r="E44" s="93" t="str">
        <f>INDEX(AA!$AC$13:$AC$15,MATCH($C44,AA!$C$13:$C$15,0))</f>
        <v>backup</v>
      </c>
      <c r="G44" s="1324">
        <f>INDEX(AA!$E$13:$E$15,MATCH($C44,AA!$C$13:$C$15,0))</f>
        <v>1</v>
      </c>
      <c r="I44" s="72" t="s">
        <v>540</v>
      </c>
      <c r="K44" s="1324">
        <f>PCF!K269</f>
        <v>1925462.7034918049</v>
      </c>
      <c r="L44" s="1324">
        <f>K44*GA!$G$432</f>
        <v>1540370.162793444</v>
      </c>
      <c r="N44" s="338">
        <f>INDEX(AA!$CC$13:$CC$15,MATCH($C44,AA!$C$13:$C$15,0))</f>
        <v>0.03</v>
      </c>
      <c r="O44" s="1324">
        <f>N44*L44</f>
        <v>46211.104883803317</v>
      </c>
      <c r="T44" s="231">
        <f t="shared" ref="T44:BG44" si="14">-$O44/4*T19</f>
        <v>-11552.776220950829</v>
      </c>
      <c r="U44" s="231">
        <f t="shared" si="14"/>
        <v>-11552.776220950829</v>
      </c>
      <c r="V44" s="231">
        <f t="shared" si="14"/>
        <v>-11552.776220950829</v>
      </c>
      <c r="W44" s="231">
        <f t="shared" si="14"/>
        <v>-11552.776220950829</v>
      </c>
      <c r="X44" s="231">
        <f t="shared" si="14"/>
        <v>-11552.776220950829</v>
      </c>
      <c r="Y44" s="231">
        <f t="shared" si="14"/>
        <v>-11552.776220950829</v>
      </c>
      <c r="Z44" s="231">
        <f t="shared" si="14"/>
        <v>-11552.776220950829</v>
      </c>
      <c r="AA44" s="231">
        <f t="shared" si="14"/>
        <v>-11552.776220950829</v>
      </c>
      <c r="AB44" s="231">
        <f t="shared" si="14"/>
        <v>-11552.776220950829</v>
      </c>
      <c r="AC44" s="231">
        <f t="shared" si="14"/>
        <v>-11552.776220950829</v>
      </c>
      <c r="AD44" s="231">
        <f t="shared" si="14"/>
        <v>-11552.776220950829</v>
      </c>
      <c r="AE44" s="231">
        <f t="shared" si="14"/>
        <v>-11552.776220950829</v>
      </c>
      <c r="AF44" s="231">
        <f t="shared" si="14"/>
        <v>0</v>
      </c>
      <c r="AG44" s="231">
        <f t="shared" si="14"/>
        <v>0</v>
      </c>
      <c r="AH44" s="231">
        <f t="shared" si="14"/>
        <v>0</v>
      </c>
      <c r="AI44" s="231">
        <f t="shared" si="14"/>
        <v>0</v>
      </c>
      <c r="AJ44" s="231">
        <f t="shared" si="14"/>
        <v>0</v>
      </c>
      <c r="AK44" s="231">
        <f t="shared" si="14"/>
        <v>0</v>
      </c>
      <c r="AL44" s="231">
        <f t="shared" si="14"/>
        <v>0</v>
      </c>
      <c r="AM44" s="231">
        <f t="shared" si="14"/>
        <v>0</v>
      </c>
      <c r="AN44" s="231">
        <f t="shared" si="14"/>
        <v>0</v>
      </c>
      <c r="AO44" s="231">
        <f t="shared" si="14"/>
        <v>0</v>
      </c>
      <c r="AP44" s="231">
        <f t="shared" si="14"/>
        <v>0</v>
      </c>
      <c r="AQ44" s="231">
        <f t="shared" si="14"/>
        <v>0</v>
      </c>
      <c r="AR44" s="231">
        <f t="shared" si="14"/>
        <v>0</v>
      </c>
      <c r="AS44" s="231">
        <f t="shared" si="14"/>
        <v>0</v>
      </c>
      <c r="AT44" s="231">
        <f t="shared" si="14"/>
        <v>0</v>
      </c>
      <c r="AU44" s="231">
        <f t="shared" si="14"/>
        <v>0</v>
      </c>
      <c r="AV44" s="231">
        <f t="shared" si="14"/>
        <v>0</v>
      </c>
      <c r="AW44" s="231">
        <f t="shared" si="14"/>
        <v>0</v>
      </c>
      <c r="AX44" s="231">
        <f t="shared" si="14"/>
        <v>0</v>
      </c>
      <c r="AY44" s="231">
        <f t="shared" si="14"/>
        <v>0</v>
      </c>
      <c r="AZ44" s="231">
        <f t="shared" si="14"/>
        <v>0</v>
      </c>
      <c r="BA44" s="231">
        <f t="shared" si="14"/>
        <v>0</v>
      </c>
      <c r="BB44" s="231">
        <f t="shared" si="14"/>
        <v>0</v>
      </c>
      <c r="BC44" s="231">
        <f t="shared" si="14"/>
        <v>0</v>
      </c>
      <c r="BD44" s="231">
        <f t="shared" si="14"/>
        <v>0</v>
      </c>
      <c r="BE44" s="231">
        <f t="shared" si="14"/>
        <v>0</v>
      </c>
      <c r="BF44" s="231">
        <f t="shared" si="14"/>
        <v>0</v>
      </c>
      <c r="BG44" s="231">
        <f t="shared" si="14"/>
        <v>0</v>
      </c>
      <c r="BI44" s="295">
        <f>SUM(T44:BG44)</f>
        <v>-138633.31465140992</v>
      </c>
      <c r="BK44" s="103"/>
    </row>
    <row r="45" spans="2:63">
      <c r="C45" s="99">
        <f>AA!C14</f>
        <v>2</v>
      </c>
      <c r="E45" s="94" t="str">
        <f>INDEX(AA!$AC$13:$AC$15,MATCH($C45,AA!$C$13:$C$15,0))</f>
        <v>backup</v>
      </c>
      <c r="G45" s="1325">
        <f>INDEX(AA!$E$13:$E$15,MATCH($C45,AA!$C$13:$C$15,0))</f>
        <v>1</v>
      </c>
      <c r="I45" s="73" t="s">
        <v>540</v>
      </c>
      <c r="K45" s="1325">
        <f>PCF!K270</f>
        <v>1879436.3987825688</v>
      </c>
      <c r="L45" s="1325">
        <f>K45*GA!$G$432</f>
        <v>1503549.1190260551</v>
      </c>
      <c r="N45" s="339">
        <f>INDEX(AA!$CC$13:$CC$15,MATCH($C45,AA!$C$13:$C$15,0))</f>
        <v>0.03</v>
      </c>
      <c r="O45" s="1325">
        <f t="shared" ref="O45" si="15">N45*L45</f>
        <v>45106.473570781651</v>
      </c>
      <c r="T45" s="231">
        <f t="shared" ref="T45:BG45" si="16">-$O45/4*T20</f>
        <v>0</v>
      </c>
      <c r="U45" s="231">
        <f t="shared" si="16"/>
        <v>-11276.618392695413</v>
      </c>
      <c r="V45" s="231">
        <f t="shared" si="16"/>
        <v>-11276.618392695413</v>
      </c>
      <c r="W45" s="231">
        <f t="shared" si="16"/>
        <v>-11276.618392695413</v>
      </c>
      <c r="X45" s="231">
        <f t="shared" si="16"/>
        <v>-11276.618392695413</v>
      </c>
      <c r="Y45" s="231">
        <f t="shared" si="16"/>
        <v>-11276.618392695413</v>
      </c>
      <c r="Z45" s="231">
        <f t="shared" si="16"/>
        <v>-11276.618392695413</v>
      </c>
      <c r="AA45" s="231">
        <f t="shared" si="16"/>
        <v>-11276.618392695413</v>
      </c>
      <c r="AB45" s="231">
        <f t="shared" si="16"/>
        <v>-11276.618392695413</v>
      </c>
      <c r="AC45" s="231">
        <f t="shared" si="16"/>
        <v>-11276.618392695413</v>
      </c>
      <c r="AD45" s="231">
        <f t="shared" si="16"/>
        <v>-11276.618392695413</v>
      </c>
      <c r="AE45" s="231">
        <f t="shared" si="16"/>
        <v>-11276.618392695413</v>
      </c>
      <c r="AF45" s="231">
        <f t="shared" si="16"/>
        <v>0</v>
      </c>
      <c r="AG45" s="231">
        <f t="shared" si="16"/>
        <v>0</v>
      </c>
      <c r="AH45" s="231">
        <f t="shared" si="16"/>
        <v>0</v>
      </c>
      <c r="AI45" s="231">
        <f t="shared" si="16"/>
        <v>0</v>
      </c>
      <c r="AJ45" s="231">
        <f t="shared" si="16"/>
        <v>0</v>
      </c>
      <c r="AK45" s="231">
        <f t="shared" si="16"/>
        <v>0</v>
      </c>
      <c r="AL45" s="231">
        <f t="shared" si="16"/>
        <v>0</v>
      </c>
      <c r="AM45" s="231">
        <f t="shared" si="16"/>
        <v>0</v>
      </c>
      <c r="AN45" s="231">
        <f t="shared" si="16"/>
        <v>0</v>
      </c>
      <c r="AO45" s="231">
        <f t="shared" si="16"/>
        <v>0</v>
      </c>
      <c r="AP45" s="231">
        <f t="shared" si="16"/>
        <v>0</v>
      </c>
      <c r="AQ45" s="231">
        <f t="shared" si="16"/>
        <v>0</v>
      </c>
      <c r="AR45" s="231">
        <f t="shared" si="16"/>
        <v>0</v>
      </c>
      <c r="AS45" s="231">
        <f t="shared" si="16"/>
        <v>0</v>
      </c>
      <c r="AT45" s="231">
        <f t="shared" si="16"/>
        <v>0</v>
      </c>
      <c r="AU45" s="231">
        <f t="shared" si="16"/>
        <v>0</v>
      </c>
      <c r="AV45" s="231">
        <f t="shared" si="16"/>
        <v>0</v>
      </c>
      <c r="AW45" s="231">
        <f t="shared" si="16"/>
        <v>0</v>
      </c>
      <c r="AX45" s="231">
        <f t="shared" si="16"/>
        <v>0</v>
      </c>
      <c r="AY45" s="231">
        <f t="shared" si="16"/>
        <v>0</v>
      </c>
      <c r="AZ45" s="231">
        <f t="shared" si="16"/>
        <v>0</v>
      </c>
      <c r="BA45" s="231">
        <f t="shared" si="16"/>
        <v>0</v>
      </c>
      <c r="BB45" s="231">
        <f t="shared" si="16"/>
        <v>0</v>
      </c>
      <c r="BC45" s="231">
        <f t="shared" si="16"/>
        <v>0</v>
      </c>
      <c r="BD45" s="231">
        <f t="shared" si="16"/>
        <v>0</v>
      </c>
      <c r="BE45" s="231">
        <f t="shared" si="16"/>
        <v>0</v>
      </c>
      <c r="BF45" s="231">
        <f t="shared" si="16"/>
        <v>0</v>
      </c>
      <c r="BG45" s="231">
        <f t="shared" si="16"/>
        <v>0</v>
      </c>
      <c r="BI45" s="296">
        <f t="shared" ref="BI45" si="17">SUM(T45:BG45)</f>
        <v>-124042.80231964953</v>
      </c>
      <c r="BK45" s="103"/>
    </row>
    <row r="46" spans="2:63">
      <c r="C46" s="99">
        <f>AA!C15</f>
        <v>3</v>
      </c>
      <c r="E46" s="94" t="str">
        <f>INDEX(AA!$AC$13:$AC$15,MATCH($C46,AA!$C$13:$C$15,0))</f>
        <v>backup</v>
      </c>
      <c r="G46" s="1325">
        <f>INDEX(AA!$E$13:$E$15,MATCH($C46,AA!$C$13:$C$15,0))</f>
        <v>1</v>
      </c>
      <c r="I46" s="73" t="s">
        <v>540</v>
      </c>
      <c r="K46" s="1325">
        <f>PCF!K271</f>
        <v>1849150.8977256261</v>
      </c>
      <c r="L46" s="1325">
        <f>K46*GA!$G$432</f>
        <v>1479320.7181805009</v>
      </c>
      <c r="N46" s="339">
        <f>INDEX(AA!$CC$13:$CC$15,MATCH($C46,AA!$C$13:$C$15,0))</f>
        <v>0.03</v>
      </c>
      <c r="O46" s="1325">
        <f t="shared" ref="O46" si="18">N46*L46</f>
        <v>44379.621545415022</v>
      </c>
      <c r="T46" s="231">
        <f t="shared" ref="T46:BG46" si="19">-$O46/4*T21</f>
        <v>0</v>
      </c>
      <c r="U46" s="231">
        <f t="shared" si="19"/>
        <v>0</v>
      </c>
      <c r="V46" s="231">
        <f t="shared" si="19"/>
        <v>-11094.905386353756</v>
      </c>
      <c r="W46" s="231">
        <f t="shared" si="19"/>
        <v>-11094.905386353756</v>
      </c>
      <c r="X46" s="231">
        <f t="shared" si="19"/>
        <v>-11094.905386353756</v>
      </c>
      <c r="Y46" s="231">
        <f t="shared" si="19"/>
        <v>-11094.905386353756</v>
      </c>
      <c r="Z46" s="231">
        <f t="shared" si="19"/>
        <v>-11094.905386353756</v>
      </c>
      <c r="AA46" s="231">
        <f t="shared" si="19"/>
        <v>-11094.905386353756</v>
      </c>
      <c r="AB46" s="231">
        <f t="shared" si="19"/>
        <v>-11094.905386353756</v>
      </c>
      <c r="AC46" s="231">
        <f t="shared" si="19"/>
        <v>-11094.905386353756</v>
      </c>
      <c r="AD46" s="231">
        <f t="shared" si="19"/>
        <v>-11094.905386353756</v>
      </c>
      <c r="AE46" s="231">
        <f t="shared" si="19"/>
        <v>-11094.905386353756</v>
      </c>
      <c r="AF46" s="231">
        <f t="shared" si="19"/>
        <v>0</v>
      </c>
      <c r="AG46" s="231">
        <f t="shared" si="19"/>
        <v>0</v>
      </c>
      <c r="AH46" s="231">
        <f t="shared" si="19"/>
        <v>0</v>
      </c>
      <c r="AI46" s="231">
        <f t="shared" si="19"/>
        <v>0</v>
      </c>
      <c r="AJ46" s="231">
        <f t="shared" si="19"/>
        <v>0</v>
      </c>
      <c r="AK46" s="231">
        <f t="shared" si="19"/>
        <v>0</v>
      </c>
      <c r="AL46" s="231">
        <f t="shared" si="19"/>
        <v>0</v>
      </c>
      <c r="AM46" s="231">
        <f t="shared" si="19"/>
        <v>0</v>
      </c>
      <c r="AN46" s="231">
        <f t="shared" si="19"/>
        <v>0</v>
      </c>
      <c r="AO46" s="231">
        <f t="shared" si="19"/>
        <v>0</v>
      </c>
      <c r="AP46" s="231">
        <f t="shared" si="19"/>
        <v>0</v>
      </c>
      <c r="AQ46" s="231">
        <f t="shared" si="19"/>
        <v>0</v>
      </c>
      <c r="AR46" s="231">
        <f t="shared" si="19"/>
        <v>0</v>
      </c>
      <c r="AS46" s="231">
        <f t="shared" si="19"/>
        <v>0</v>
      </c>
      <c r="AT46" s="231">
        <f t="shared" si="19"/>
        <v>0</v>
      </c>
      <c r="AU46" s="231">
        <f t="shared" si="19"/>
        <v>0</v>
      </c>
      <c r="AV46" s="231">
        <f t="shared" si="19"/>
        <v>0</v>
      </c>
      <c r="AW46" s="231">
        <f t="shared" si="19"/>
        <v>0</v>
      </c>
      <c r="AX46" s="231">
        <f t="shared" si="19"/>
        <v>0</v>
      </c>
      <c r="AY46" s="231">
        <f t="shared" si="19"/>
        <v>0</v>
      </c>
      <c r="AZ46" s="231">
        <f t="shared" si="19"/>
        <v>0</v>
      </c>
      <c r="BA46" s="231">
        <f t="shared" si="19"/>
        <v>0</v>
      </c>
      <c r="BB46" s="231">
        <f t="shared" si="19"/>
        <v>0</v>
      </c>
      <c r="BC46" s="231">
        <f t="shared" si="19"/>
        <v>0</v>
      </c>
      <c r="BD46" s="231">
        <f t="shared" si="19"/>
        <v>0</v>
      </c>
      <c r="BE46" s="231">
        <f t="shared" si="19"/>
        <v>0</v>
      </c>
      <c r="BF46" s="231">
        <f t="shared" si="19"/>
        <v>0</v>
      </c>
      <c r="BG46" s="231">
        <f t="shared" si="19"/>
        <v>0</v>
      </c>
      <c r="BI46" s="296">
        <f t="shared" ref="BI46" si="20">SUM(T46:BG46)</f>
        <v>-110949.05386353756</v>
      </c>
      <c r="BK46" s="103"/>
    </row>
    <row r="47" spans="2:63">
      <c r="C47" s="269"/>
      <c r="E47" s="269"/>
      <c r="G47" s="269"/>
      <c r="I47" s="269"/>
      <c r="K47" s="269"/>
      <c r="L47" s="269"/>
      <c r="N47" s="269"/>
      <c r="O47" s="269"/>
      <c r="BI47" s="269"/>
      <c r="BK47" s="269"/>
    </row>
    <row r="49" spans="2:63" s="90" customFormat="1">
      <c r="B49" s="91">
        <f ca="1">MAX(A$1:$B41)+1</f>
        <v>5</v>
      </c>
      <c r="C49" s="92" t="s">
        <v>1397</v>
      </c>
    </row>
    <row r="51" spans="2:63" ht="30">
      <c r="C51" s="97" t="s">
        <v>4</v>
      </c>
      <c r="E51" s="97" t="s">
        <v>6</v>
      </c>
      <c r="G51" s="101" t="s">
        <v>272</v>
      </c>
      <c r="I51" s="101" t="s">
        <v>150</v>
      </c>
      <c r="K51" s="255" t="s">
        <v>546</v>
      </c>
      <c r="BI51" s="327" t="s">
        <v>152</v>
      </c>
      <c r="BK51" s="372"/>
    </row>
    <row r="52" spans="2:63">
      <c r="C52" s="99">
        <f>AA!C13</f>
        <v>1</v>
      </c>
      <c r="E52" s="93" t="str">
        <f>INDEX(AA!$AC$13:$AC$15,MATCH($C52,AA!$C$13:$C$15,0))</f>
        <v>backup</v>
      </c>
      <c r="G52" s="1324">
        <f>INDEX(AA!$E$13:$E$15,MATCH($C52,AA!$C$13:$C$15,0))</f>
        <v>1</v>
      </c>
      <c r="I52" s="347"/>
      <c r="T52" s="373">
        <f>-SUM(PCF!$T217:T217)*T19*GA!$G$439</f>
        <v>0</v>
      </c>
      <c r="U52" s="373">
        <f>-SUM(PCF!$T217:U217)*U19*GA!$G$439</f>
        <v>0</v>
      </c>
      <c r="V52" s="373">
        <f>-SUM(PCF!$T217:V217)*V19*GA!$G$439</f>
        <v>0</v>
      </c>
      <c r="W52" s="373">
        <f>-SUM(PCF!$T217:W217)*W19*GA!$G$439</f>
        <v>0</v>
      </c>
      <c r="X52" s="373">
        <f>-SUM(PCF!$T217:X217)*X19*GA!$G$439</f>
        <v>0</v>
      </c>
      <c r="Y52" s="373">
        <f>-SUM(PCF!$T217:Y217)*Y19*GA!$G$439</f>
        <v>0</v>
      </c>
      <c r="Z52" s="373">
        <f>-SUM(PCF!$T217:Z217)*Z19*GA!$G$439</f>
        <v>0</v>
      </c>
      <c r="AA52" s="373">
        <f>-SUM(PCF!$T217:AA217)*AA19*GA!$G$439</f>
        <v>0</v>
      </c>
      <c r="AB52" s="373">
        <f>-SUM(PCF!$T217:AB217)*AB19*GA!$G$439</f>
        <v>0</v>
      </c>
      <c r="AC52" s="373">
        <f>-SUM(PCF!$T217:AC217)*AC19*GA!$G$439</f>
        <v>0</v>
      </c>
      <c r="AD52" s="373">
        <f>-SUM(PCF!$T217:AD217)*AD19*GA!$G$439</f>
        <v>0</v>
      </c>
      <c r="AE52" s="373">
        <f>-SUM(PCF!$T217:AE217)*AE19*GA!$G$439</f>
        <v>0</v>
      </c>
      <c r="AF52" s="373">
        <f>-SUM(PCF!$T217:AF217)*AF19*GA!$G$439</f>
        <v>0</v>
      </c>
      <c r="AG52" s="373">
        <f>-SUM(PCF!$T217:AG217)*AG19*GA!$G$439</f>
        <v>0</v>
      </c>
      <c r="AH52" s="373">
        <f>-SUM(PCF!$T217:AH217)*AH19*GA!$G$439</f>
        <v>0</v>
      </c>
      <c r="AI52" s="373">
        <f>-SUM(PCF!$T217:AI217)*AI19*GA!$G$439</f>
        <v>0</v>
      </c>
      <c r="AJ52" s="373">
        <f>-SUM(PCF!$T217:AJ217)*AJ19*GA!$G$439</f>
        <v>0</v>
      </c>
      <c r="AK52" s="373">
        <f>-SUM(PCF!$T217:AK217)*AK19*GA!$G$439</f>
        <v>0</v>
      </c>
      <c r="AL52" s="373">
        <f>-SUM(PCF!$T217:AL217)*AL19*GA!$G$439</f>
        <v>0</v>
      </c>
      <c r="AM52" s="373">
        <f>-SUM(PCF!$T217:AM217)*AM19*GA!$G$439</f>
        <v>0</v>
      </c>
      <c r="AN52" s="373">
        <f>-SUM(PCF!$T217:AN217)*AN19*GA!$G$439</f>
        <v>0</v>
      </c>
      <c r="AO52" s="373">
        <f>-SUM(PCF!$T217:AO217)*AO19*GA!$G$439</f>
        <v>0</v>
      </c>
      <c r="AP52" s="373">
        <f>-SUM(PCF!$T217:AP217)*AP19*GA!$G$439</f>
        <v>0</v>
      </c>
      <c r="AQ52" s="373">
        <f>-SUM(PCF!$T217:AQ217)*AQ19*GA!$G$439</f>
        <v>0</v>
      </c>
      <c r="AR52" s="373">
        <f>-SUM(PCF!$T217:AR217)*AR19*GA!$G$439</f>
        <v>0</v>
      </c>
      <c r="AS52" s="373">
        <f>-SUM(PCF!$T217:AS217)*AS19*GA!$G$439</f>
        <v>0</v>
      </c>
      <c r="AT52" s="373">
        <f>-SUM(PCF!$T217:AT217)*AT19*GA!$G$439</f>
        <v>0</v>
      </c>
      <c r="AU52" s="373">
        <f>-SUM(PCF!$T217:AU217)*AU19*GA!$G$439</f>
        <v>0</v>
      </c>
      <c r="AV52" s="373">
        <f>-SUM(PCF!$T217:AV217)*AV19*GA!$G$439</f>
        <v>0</v>
      </c>
      <c r="AW52" s="373">
        <f>-SUM(PCF!$T217:AW217)*AW19*GA!$G$439</f>
        <v>0</v>
      </c>
      <c r="AX52" s="373">
        <f>-SUM(PCF!$T217:AX217)*AX19*GA!$G$439</f>
        <v>0</v>
      </c>
      <c r="AY52" s="373">
        <f>-SUM(PCF!$T217:AY217)*AY19*GA!$G$439</f>
        <v>0</v>
      </c>
      <c r="AZ52" s="373">
        <f>-SUM(PCF!$T217:AZ217)*AZ19*GA!$G$439</f>
        <v>0</v>
      </c>
      <c r="BA52" s="373">
        <f>-SUM(PCF!$T217:BA217)*BA19*GA!$G$439</f>
        <v>0</v>
      </c>
      <c r="BB52" s="373">
        <f>-SUM(PCF!$T217:BB217)*BB19*GA!$G$439</f>
        <v>0</v>
      </c>
      <c r="BC52" s="373">
        <f>-SUM(PCF!$T217:BC217)*BC19*GA!$G$439</f>
        <v>0</v>
      </c>
      <c r="BD52" s="373">
        <f>-SUM(PCF!$T217:BD217)*BD19*GA!$G$439</f>
        <v>0</v>
      </c>
      <c r="BE52" s="373">
        <f>-SUM(PCF!$T217:BE217)*BE19*GA!$G$439</f>
        <v>0</v>
      </c>
      <c r="BF52" s="373">
        <f>-SUM(PCF!$T217:BF217)*BF19*GA!$G$439</f>
        <v>0</v>
      </c>
      <c r="BG52" s="373">
        <f>-SUM(PCF!$T217:BG217)*BG19*GA!$G$439</f>
        <v>0</v>
      </c>
      <c r="BI52" s="295">
        <f>SUM(T52:BG52)</f>
        <v>0</v>
      </c>
      <c r="BK52" s="103"/>
    </row>
    <row r="53" spans="2:63">
      <c r="C53" s="99">
        <f>AA!C14</f>
        <v>2</v>
      </c>
      <c r="E53" s="94" t="str">
        <f>INDEX(AA!$AC$13:$AC$15,MATCH($C53,AA!$C$13:$C$15,0))</f>
        <v>backup</v>
      </c>
      <c r="G53" s="1325">
        <f>INDEX(AA!$E$13:$E$15,MATCH($C53,AA!$C$13:$C$15,0))</f>
        <v>1</v>
      </c>
      <c r="I53" s="348"/>
      <c r="T53" s="373">
        <f>-SUM(PCF!$T218:T218)*T20*GA!$G$439</f>
        <v>0</v>
      </c>
      <c r="U53" s="373">
        <f>-SUM(PCF!$T218:U218)*U20*GA!$G$439</f>
        <v>0</v>
      </c>
      <c r="V53" s="373">
        <f>-SUM(PCF!$T218:V218)*V20*GA!$G$439</f>
        <v>0</v>
      </c>
      <c r="W53" s="373">
        <f>-SUM(PCF!$T218:W218)*W20*GA!$G$439</f>
        <v>0</v>
      </c>
      <c r="X53" s="373">
        <f>-SUM(PCF!$T218:X218)*X20*GA!$G$439</f>
        <v>0</v>
      </c>
      <c r="Y53" s="373">
        <f>-SUM(PCF!$T218:Y218)*Y20*GA!$G$439</f>
        <v>0</v>
      </c>
      <c r="Z53" s="373">
        <f>-SUM(PCF!$T218:Z218)*Z20*GA!$G$439</f>
        <v>0</v>
      </c>
      <c r="AA53" s="373">
        <f>-SUM(PCF!$T218:AA218)*AA20*GA!$G$439</f>
        <v>0</v>
      </c>
      <c r="AB53" s="373">
        <f>-SUM(PCF!$T218:AB218)*AB20*GA!$G$439</f>
        <v>0</v>
      </c>
      <c r="AC53" s="373">
        <f>-SUM(PCF!$T218:AC218)*AC20*GA!$G$439</f>
        <v>0</v>
      </c>
      <c r="AD53" s="373">
        <f>-SUM(PCF!$T218:AD218)*AD20*GA!$G$439</f>
        <v>0</v>
      </c>
      <c r="AE53" s="373">
        <f>-SUM(PCF!$T218:AE218)*AE20*GA!$G$439</f>
        <v>0</v>
      </c>
      <c r="AF53" s="373">
        <f>-SUM(PCF!$T218:AF218)*AF20*GA!$G$439</f>
        <v>0</v>
      </c>
      <c r="AG53" s="373">
        <f>-SUM(PCF!$T218:AG218)*AG20*GA!$G$439</f>
        <v>0</v>
      </c>
      <c r="AH53" s="373">
        <f>-SUM(PCF!$T218:AH218)*AH20*GA!$G$439</f>
        <v>0</v>
      </c>
      <c r="AI53" s="373">
        <f>-SUM(PCF!$T218:AI218)*AI20*GA!$G$439</f>
        <v>0</v>
      </c>
      <c r="AJ53" s="373">
        <f>-SUM(PCF!$T218:AJ218)*AJ20*GA!$G$439</f>
        <v>0</v>
      </c>
      <c r="AK53" s="373">
        <f>-SUM(PCF!$T218:AK218)*AK20*GA!$G$439</f>
        <v>0</v>
      </c>
      <c r="AL53" s="373">
        <f>-SUM(PCF!$T218:AL218)*AL20*GA!$G$439</f>
        <v>0</v>
      </c>
      <c r="AM53" s="373">
        <f>-SUM(PCF!$T218:AM218)*AM20*GA!$G$439</f>
        <v>0</v>
      </c>
      <c r="AN53" s="373">
        <f>-SUM(PCF!$T218:AN218)*AN20*GA!$G$439</f>
        <v>0</v>
      </c>
      <c r="AO53" s="373">
        <f>-SUM(PCF!$T218:AO218)*AO20*GA!$G$439</f>
        <v>0</v>
      </c>
      <c r="AP53" s="373">
        <f>-SUM(PCF!$T218:AP218)*AP20*GA!$G$439</f>
        <v>0</v>
      </c>
      <c r="AQ53" s="373">
        <f>-SUM(PCF!$T218:AQ218)*AQ20*GA!$G$439</f>
        <v>0</v>
      </c>
      <c r="AR53" s="373">
        <f>-SUM(PCF!$T218:AR218)*AR20*GA!$G$439</f>
        <v>0</v>
      </c>
      <c r="AS53" s="373">
        <f>-SUM(PCF!$T218:AS218)*AS20*GA!$G$439</f>
        <v>0</v>
      </c>
      <c r="AT53" s="373">
        <f>-SUM(PCF!$T218:AT218)*AT20*GA!$G$439</f>
        <v>0</v>
      </c>
      <c r="AU53" s="373">
        <f>-SUM(PCF!$T218:AU218)*AU20*GA!$G$439</f>
        <v>0</v>
      </c>
      <c r="AV53" s="373">
        <f>-SUM(PCF!$T218:AV218)*AV20*GA!$G$439</f>
        <v>0</v>
      </c>
      <c r="AW53" s="373">
        <f>-SUM(PCF!$T218:AW218)*AW20*GA!$G$439</f>
        <v>0</v>
      </c>
      <c r="AX53" s="373">
        <f>-SUM(PCF!$T218:AX218)*AX20*GA!$G$439</f>
        <v>0</v>
      </c>
      <c r="AY53" s="373">
        <f>-SUM(PCF!$T218:AY218)*AY20*GA!$G$439</f>
        <v>0</v>
      </c>
      <c r="AZ53" s="373">
        <f>-SUM(PCF!$T218:AZ218)*AZ20*GA!$G$439</f>
        <v>0</v>
      </c>
      <c r="BA53" s="373">
        <f>-SUM(PCF!$T218:BA218)*BA20*GA!$G$439</f>
        <v>0</v>
      </c>
      <c r="BB53" s="373">
        <f>-SUM(PCF!$T218:BB218)*BB20*GA!$G$439</f>
        <v>0</v>
      </c>
      <c r="BC53" s="373">
        <f>-SUM(PCF!$T218:BC218)*BC20*GA!$G$439</f>
        <v>0</v>
      </c>
      <c r="BD53" s="373">
        <f>-SUM(PCF!$T218:BD218)*BD20*GA!$G$439</f>
        <v>0</v>
      </c>
      <c r="BE53" s="373">
        <f>-SUM(PCF!$T218:BE218)*BE20*GA!$G$439</f>
        <v>0</v>
      </c>
      <c r="BF53" s="373">
        <f>-SUM(PCF!$T218:BF218)*BF20*GA!$G$439</f>
        <v>0</v>
      </c>
      <c r="BG53" s="373">
        <f>-SUM(PCF!$T218:BG218)*BG20*GA!$G$439</f>
        <v>0</v>
      </c>
      <c r="BI53" s="296">
        <f t="shared" ref="BI53" si="21">SUM(T53:BG53)</f>
        <v>0</v>
      </c>
      <c r="BK53" s="103"/>
    </row>
    <row r="54" spans="2:63">
      <c r="C54" s="99">
        <f>AA!C15</f>
        <v>3</v>
      </c>
      <c r="E54" s="94" t="str">
        <f>INDEX(AA!$AC$13:$AC$15,MATCH($C54,AA!$C$13:$C$15,0))</f>
        <v>backup</v>
      </c>
      <c r="G54" s="1325">
        <f>INDEX(AA!$E$13:$E$15,MATCH($C54,AA!$C$13:$C$15,0))</f>
        <v>1</v>
      </c>
      <c r="I54" s="348"/>
      <c r="T54" s="373">
        <f>-SUM(PCF!$T219:T219)*T21*GA!$G$439</f>
        <v>0</v>
      </c>
      <c r="U54" s="373">
        <f>-SUM(PCF!$T219:U219)*U21*GA!$G$439</f>
        <v>0</v>
      </c>
      <c r="V54" s="373">
        <f>-SUM(PCF!$T219:V219)*V21*GA!$G$439</f>
        <v>0</v>
      </c>
      <c r="W54" s="373">
        <f>-SUM(PCF!$T219:W219)*W21*GA!$G$439</f>
        <v>0</v>
      </c>
      <c r="X54" s="373">
        <f>-SUM(PCF!$T219:X219)*X21*GA!$G$439</f>
        <v>0</v>
      </c>
      <c r="Y54" s="373">
        <f>-SUM(PCF!$T219:Y219)*Y21*GA!$G$439</f>
        <v>0</v>
      </c>
      <c r="Z54" s="373">
        <f>-SUM(PCF!$T219:Z219)*Z21*GA!$G$439</f>
        <v>0</v>
      </c>
      <c r="AA54" s="373">
        <f>-SUM(PCF!$T219:AA219)*AA21*GA!$G$439</f>
        <v>0</v>
      </c>
      <c r="AB54" s="373">
        <f>-SUM(PCF!$T219:AB219)*AB21*GA!$G$439</f>
        <v>0</v>
      </c>
      <c r="AC54" s="373">
        <f>-SUM(PCF!$T219:AC219)*AC21*GA!$G$439</f>
        <v>0</v>
      </c>
      <c r="AD54" s="373">
        <f>-SUM(PCF!$T219:AD219)*AD21*GA!$G$439</f>
        <v>0</v>
      </c>
      <c r="AE54" s="373">
        <f>-SUM(PCF!$T219:AE219)*AE21*GA!$G$439</f>
        <v>0</v>
      </c>
      <c r="AF54" s="373">
        <f>-SUM(PCF!$T219:AF219)*AF21*GA!$G$439</f>
        <v>0</v>
      </c>
      <c r="AG54" s="373">
        <f>-SUM(PCF!$T219:AG219)*AG21*GA!$G$439</f>
        <v>0</v>
      </c>
      <c r="AH54" s="373">
        <f>-SUM(PCF!$T219:AH219)*AH21*GA!$G$439</f>
        <v>0</v>
      </c>
      <c r="AI54" s="373">
        <f>-SUM(PCF!$T219:AI219)*AI21*GA!$G$439</f>
        <v>0</v>
      </c>
      <c r="AJ54" s="373">
        <f>-SUM(PCF!$T219:AJ219)*AJ21*GA!$G$439</f>
        <v>0</v>
      </c>
      <c r="AK54" s="373">
        <f>-SUM(PCF!$T219:AK219)*AK21*GA!$G$439</f>
        <v>0</v>
      </c>
      <c r="AL54" s="373">
        <f>-SUM(PCF!$T219:AL219)*AL21*GA!$G$439</f>
        <v>0</v>
      </c>
      <c r="AM54" s="373">
        <f>-SUM(PCF!$T219:AM219)*AM21*GA!$G$439</f>
        <v>0</v>
      </c>
      <c r="AN54" s="373">
        <f>-SUM(PCF!$T219:AN219)*AN21*GA!$G$439</f>
        <v>0</v>
      </c>
      <c r="AO54" s="373">
        <f>-SUM(PCF!$T219:AO219)*AO21*GA!$G$439</f>
        <v>0</v>
      </c>
      <c r="AP54" s="373">
        <f>-SUM(PCF!$T219:AP219)*AP21*GA!$G$439</f>
        <v>0</v>
      </c>
      <c r="AQ54" s="373">
        <f>-SUM(PCF!$T219:AQ219)*AQ21*GA!$G$439</f>
        <v>0</v>
      </c>
      <c r="AR54" s="373">
        <f>-SUM(PCF!$T219:AR219)*AR21*GA!$G$439</f>
        <v>0</v>
      </c>
      <c r="AS54" s="373">
        <f>-SUM(PCF!$T219:AS219)*AS21*GA!$G$439</f>
        <v>0</v>
      </c>
      <c r="AT54" s="373">
        <f>-SUM(PCF!$T219:AT219)*AT21*GA!$G$439</f>
        <v>0</v>
      </c>
      <c r="AU54" s="373">
        <f>-SUM(PCF!$T219:AU219)*AU21*GA!$G$439</f>
        <v>0</v>
      </c>
      <c r="AV54" s="373">
        <f>-SUM(PCF!$T219:AV219)*AV21*GA!$G$439</f>
        <v>0</v>
      </c>
      <c r="AW54" s="373">
        <f>-SUM(PCF!$T219:AW219)*AW21*GA!$G$439</f>
        <v>0</v>
      </c>
      <c r="AX54" s="373">
        <f>-SUM(PCF!$T219:AX219)*AX21*GA!$G$439</f>
        <v>0</v>
      </c>
      <c r="AY54" s="373">
        <f>-SUM(PCF!$T219:AY219)*AY21*GA!$G$439</f>
        <v>0</v>
      </c>
      <c r="AZ54" s="373">
        <f>-SUM(PCF!$T219:AZ219)*AZ21*GA!$G$439</f>
        <v>0</v>
      </c>
      <c r="BA54" s="373">
        <f>-SUM(PCF!$T219:BA219)*BA21*GA!$G$439</f>
        <v>0</v>
      </c>
      <c r="BB54" s="373">
        <f>-SUM(PCF!$T219:BB219)*BB21*GA!$G$439</f>
        <v>0</v>
      </c>
      <c r="BC54" s="373">
        <f>-SUM(PCF!$T219:BC219)*BC21*GA!$G$439</f>
        <v>0</v>
      </c>
      <c r="BD54" s="373">
        <f>-SUM(PCF!$T219:BD219)*BD21*GA!$G$439</f>
        <v>0</v>
      </c>
      <c r="BE54" s="373">
        <f>-SUM(PCF!$T219:BE219)*BE21*GA!$G$439</f>
        <v>0</v>
      </c>
      <c r="BF54" s="373">
        <f>-SUM(PCF!$T219:BF219)*BF21*GA!$G$439</f>
        <v>0</v>
      </c>
      <c r="BG54" s="373">
        <f>-SUM(PCF!$T219:BG219)*BG21*GA!$G$439</f>
        <v>0</v>
      </c>
      <c r="BI54" s="296">
        <f t="shared" ref="BI54" si="22">SUM(T54:BG54)</f>
        <v>0</v>
      </c>
      <c r="BK54" s="103"/>
    </row>
    <row r="55" spans="2:63">
      <c r="C55" s="268"/>
      <c r="E55" s="268"/>
      <c r="G55" s="268"/>
      <c r="I55" s="268"/>
      <c r="BI55" s="268"/>
      <c r="BK55" s="268"/>
    </row>
    <row r="56" spans="2:63" s="90" customFormat="1">
      <c r="B56" s="91">
        <f ca="1">MAX(A$1:$B55)+1</f>
        <v>6</v>
      </c>
      <c r="C56" s="92" t="s">
        <v>1396</v>
      </c>
    </row>
    <row r="58" spans="2:63" ht="30">
      <c r="C58" s="97" t="s">
        <v>4</v>
      </c>
      <c r="E58" s="97" t="s">
        <v>6</v>
      </c>
      <c r="G58" s="101" t="s">
        <v>272</v>
      </c>
      <c r="I58" s="101" t="s">
        <v>150</v>
      </c>
      <c r="K58" s="255" t="s">
        <v>546</v>
      </c>
      <c r="BI58" s="327" t="s">
        <v>152</v>
      </c>
      <c r="BK58" s="372"/>
    </row>
    <row r="59" spans="2:63">
      <c r="C59" s="99">
        <f>AA!C13</f>
        <v>1</v>
      </c>
      <c r="E59" s="93" t="str">
        <f>INDEX(AA!$AC$13:$AC$15,MATCH($C59,AA!$C$13:$C$15,0))</f>
        <v>backup</v>
      </c>
      <c r="G59" s="1324">
        <f>INDEX(AA!$E$13:$E$15,MATCH($C59,AA!$C$13:$C$15,0))</f>
        <v>1</v>
      </c>
      <c r="I59" s="347"/>
      <c r="T59" s="373">
        <f>-SUM(PCF!$T184:'PCF'!T184)*T19*GA!$G$440</f>
        <v>0</v>
      </c>
      <c r="U59" s="373">
        <f>-SUM(PCF!$T184:'PCF'!U184)*U19*GA!$G$440</f>
        <v>0</v>
      </c>
      <c r="V59" s="373">
        <f>-SUM(PCF!$T184:'PCF'!V184)*V19*GA!$G$440</f>
        <v>0</v>
      </c>
      <c r="W59" s="373">
        <f>-SUM(PCF!$T184:'PCF'!W184)*W19*GA!$G$440</f>
        <v>0</v>
      </c>
      <c r="X59" s="373">
        <f>-SUM(PCF!$T184:'PCF'!X184)*X19*GA!$G$440</f>
        <v>0</v>
      </c>
      <c r="Y59" s="373">
        <f>-SUM(PCF!$T184:'PCF'!Y184)*Y19*GA!$G$440</f>
        <v>0</v>
      </c>
      <c r="Z59" s="373">
        <f>-SUM(PCF!$T184:'PCF'!Z184)*Z19*GA!$G$440</f>
        <v>0</v>
      </c>
      <c r="AA59" s="373">
        <f>-SUM(PCF!$T184:'PCF'!AA184)*AA19*GA!$G$440</f>
        <v>0</v>
      </c>
      <c r="AB59" s="373">
        <f>-SUM(PCF!$T184:'PCF'!AB184)*AB19*GA!$G$440</f>
        <v>0</v>
      </c>
      <c r="AC59" s="373">
        <f>-SUM(PCF!$T184:'PCF'!AC184)*AC19*GA!$G$440</f>
        <v>0</v>
      </c>
      <c r="AD59" s="373">
        <f>-SUM(PCF!$T184:'PCF'!AD184)*AD19*GA!$G$440</f>
        <v>0</v>
      </c>
      <c r="AE59" s="373">
        <f>-SUM(PCF!$T184:'PCF'!AE184)*AE19*GA!$G$440</f>
        <v>0</v>
      </c>
      <c r="AF59" s="373">
        <f>-SUM(PCF!$T184:'PCF'!AF184)*AF19*GA!$G$440</f>
        <v>0</v>
      </c>
      <c r="AG59" s="373">
        <f>-SUM(PCF!$T184:'PCF'!AG184)*AG19*GA!$G$440</f>
        <v>0</v>
      </c>
      <c r="AH59" s="373">
        <f>-SUM(PCF!$T184:'PCF'!AH184)*AH19*GA!$G$440</f>
        <v>0</v>
      </c>
      <c r="AI59" s="373">
        <f>-SUM(PCF!$T184:'PCF'!AI184)*AI19*GA!$G$440</f>
        <v>0</v>
      </c>
      <c r="AJ59" s="373">
        <f>-SUM(PCF!$T184:'PCF'!AJ184)*AJ19*GA!$G$440</f>
        <v>0</v>
      </c>
      <c r="AK59" s="373">
        <f>-SUM(PCF!$T184:'PCF'!AK184)*AK19*GA!$G$440</f>
        <v>0</v>
      </c>
      <c r="AL59" s="373">
        <f>-SUM(PCF!$T184:'PCF'!AL184)*AL19*GA!$G$440</f>
        <v>0</v>
      </c>
      <c r="AM59" s="373">
        <f>-SUM(PCF!$T184:'PCF'!AM184)*AM19*GA!$G$440</f>
        <v>0</v>
      </c>
      <c r="AN59" s="373">
        <f>-SUM(PCF!$T184:'PCF'!AN184)*AN19*GA!$G$440</f>
        <v>0</v>
      </c>
      <c r="AO59" s="373">
        <f>-SUM(PCF!$T184:'PCF'!AO184)*AO19*GA!$G$440</f>
        <v>0</v>
      </c>
      <c r="AP59" s="373">
        <f>-SUM(PCF!$T184:'PCF'!AP184)*AP19*GA!$G$440</f>
        <v>0</v>
      </c>
      <c r="AQ59" s="373">
        <f>-SUM(PCF!$T184:'PCF'!AQ184)*AQ19*GA!$G$440</f>
        <v>0</v>
      </c>
      <c r="AR59" s="373">
        <f>-SUM(PCF!$T184:'PCF'!AR184)*AR19*GA!$G$440</f>
        <v>0</v>
      </c>
      <c r="AS59" s="373">
        <f>-SUM(PCF!$T184:'PCF'!AS184)*AS19*GA!$G$440</f>
        <v>0</v>
      </c>
      <c r="AT59" s="373">
        <f>-SUM(PCF!$T184:'PCF'!AT184)*AT19*GA!$G$440</f>
        <v>0</v>
      </c>
      <c r="AU59" s="373">
        <f>-SUM(PCF!$T184:'PCF'!AU184)*AU19*GA!$G$440</f>
        <v>0</v>
      </c>
      <c r="AV59" s="373">
        <f>-SUM(PCF!$T184:'PCF'!AV184)*AV19*GA!$G$440</f>
        <v>0</v>
      </c>
      <c r="AW59" s="373">
        <f>-SUM(PCF!$T184:'PCF'!AW184)*AW19*GA!$G$440</f>
        <v>0</v>
      </c>
      <c r="AX59" s="373">
        <f>-SUM(PCF!$T184:'PCF'!AX184)*AX19*GA!$G$440</f>
        <v>0</v>
      </c>
      <c r="AY59" s="373">
        <f>-SUM(PCF!$T184:'PCF'!AY184)*AY19*GA!$G$440</f>
        <v>0</v>
      </c>
      <c r="AZ59" s="373">
        <f>-SUM(PCF!$T184:'PCF'!AZ184)*AZ19*GA!$G$440</f>
        <v>0</v>
      </c>
      <c r="BA59" s="373">
        <f>-SUM(PCF!$T184:'PCF'!BA184)*BA19*GA!$G$440</f>
        <v>0</v>
      </c>
      <c r="BB59" s="373">
        <f>-SUM(PCF!$T184:'PCF'!BB184)*BB19*GA!$G$440</f>
        <v>0</v>
      </c>
      <c r="BC59" s="373">
        <f>-SUM(PCF!$T184:'PCF'!BC184)*BC19*GA!$G$440</f>
        <v>0</v>
      </c>
      <c r="BD59" s="373">
        <f>-SUM(PCF!$T184:'PCF'!BD184)*BD19*GA!$G$440</f>
        <v>0</v>
      </c>
      <c r="BE59" s="373">
        <f>-SUM(PCF!$T184:'PCF'!BE184)*BE19*GA!$G$440</f>
        <v>0</v>
      </c>
      <c r="BF59" s="373">
        <f>-SUM(PCF!$T184:'PCF'!BF184)*BF19*GA!$G$440</f>
        <v>0</v>
      </c>
      <c r="BG59" s="373">
        <f>-SUM(PCF!$T184:'PCF'!BG184)*BG19*GA!$G$440</f>
        <v>0</v>
      </c>
      <c r="BI59" s="295">
        <f>SUM(T59:BG59)</f>
        <v>0</v>
      </c>
      <c r="BK59" s="103"/>
    </row>
    <row r="60" spans="2:63">
      <c r="C60" s="99">
        <f>AA!C14</f>
        <v>2</v>
      </c>
      <c r="E60" s="94" t="str">
        <f>INDEX(AA!$AC$13:$AC$15,MATCH($C60,AA!$C$13:$C$15,0))</f>
        <v>backup</v>
      </c>
      <c r="G60" s="1325">
        <f>INDEX(AA!$E$13:$E$15,MATCH($C60,AA!$C$13:$C$15,0))</f>
        <v>1</v>
      </c>
      <c r="I60" s="348"/>
      <c r="T60" s="373">
        <f>-SUM(PCF!$T185:'PCF'!T185)*T20*GA!$G$440</f>
        <v>0</v>
      </c>
      <c r="U60" s="373">
        <f>-SUM(PCF!$T185:'PCF'!U185)*U20*GA!$G$440</f>
        <v>0</v>
      </c>
      <c r="V60" s="373">
        <f>-SUM(PCF!$T185:'PCF'!V185)*V20*GA!$G$440</f>
        <v>0</v>
      </c>
      <c r="W60" s="373">
        <f>-SUM(PCF!$T185:'PCF'!W185)*W20*GA!$G$440</f>
        <v>0</v>
      </c>
      <c r="X60" s="373">
        <f>-SUM(PCF!$T185:'PCF'!X185)*X20*GA!$G$440</f>
        <v>0</v>
      </c>
      <c r="Y60" s="373">
        <f>-SUM(PCF!$T185:'PCF'!Y185)*Y20*GA!$G$440</f>
        <v>0</v>
      </c>
      <c r="Z60" s="373">
        <f>-SUM(PCF!$T185:'PCF'!Z185)*Z20*GA!$G$440</f>
        <v>0</v>
      </c>
      <c r="AA60" s="373">
        <f>-SUM(PCF!$T185:'PCF'!AA185)*AA20*GA!$G$440</f>
        <v>0</v>
      </c>
      <c r="AB60" s="373">
        <f>-SUM(PCF!$T185:'PCF'!AB185)*AB20*GA!$G$440</f>
        <v>0</v>
      </c>
      <c r="AC60" s="373">
        <f>-SUM(PCF!$T185:'PCF'!AC185)*AC20*GA!$G$440</f>
        <v>0</v>
      </c>
      <c r="AD60" s="373">
        <f>-SUM(PCF!$T185:'PCF'!AD185)*AD20*GA!$G$440</f>
        <v>0</v>
      </c>
      <c r="AE60" s="373">
        <f>-SUM(PCF!$T185:'PCF'!AE185)*AE20*GA!$G$440</f>
        <v>0</v>
      </c>
      <c r="AF60" s="373">
        <f>-SUM(PCF!$T185:'PCF'!AF185)*AF20*GA!$G$440</f>
        <v>0</v>
      </c>
      <c r="AG60" s="373">
        <f>-SUM(PCF!$T185:'PCF'!AG185)*AG20*GA!$G$440</f>
        <v>0</v>
      </c>
      <c r="AH60" s="373">
        <f>-SUM(PCF!$T185:'PCF'!AH185)*AH20*GA!$G$440</f>
        <v>0</v>
      </c>
      <c r="AI60" s="373">
        <f>-SUM(PCF!$T185:'PCF'!AI185)*AI20*GA!$G$440</f>
        <v>0</v>
      </c>
      <c r="AJ60" s="373">
        <f>-SUM(PCF!$T185:'PCF'!AJ185)*AJ20*GA!$G$440</f>
        <v>0</v>
      </c>
      <c r="AK60" s="373">
        <f>-SUM(PCF!$T185:'PCF'!AK185)*AK20*GA!$G$440</f>
        <v>0</v>
      </c>
      <c r="AL60" s="373">
        <f>-SUM(PCF!$T185:'PCF'!AL185)*AL20*GA!$G$440</f>
        <v>0</v>
      </c>
      <c r="AM60" s="373">
        <f>-SUM(PCF!$T185:'PCF'!AM185)*AM20*GA!$G$440</f>
        <v>0</v>
      </c>
      <c r="AN60" s="373">
        <f>-SUM(PCF!$T185:'PCF'!AN185)*AN20*GA!$G$440</f>
        <v>0</v>
      </c>
      <c r="AO60" s="373">
        <f>-SUM(PCF!$T185:'PCF'!AO185)*AO20*GA!$G$440</f>
        <v>0</v>
      </c>
      <c r="AP60" s="373">
        <f>-SUM(PCF!$T185:'PCF'!AP185)*AP20*GA!$G$440</f>
        <v>0</v>
      </c>
      <c r="AQ60" s="373">
        <f>-SUM(PCF!$T185:'PCF'!AQ185)*AQ20*GA!$G$440</f>
        <v>0</v>
      </c>
      <c r="AR60" s="373">
        <f>-SUM(PCF!$T185:'PCF'!AR185)*AR20*GA!$G$440</f>
        <v>0</v>
      </c>
      <c r="AS60" s="373">
        <f>-SUM(PCF!$T185:'PCF'!AS185)*AS20*GA!$G$440</f>
        <v>0</v>
      </c>
      <c r="AT60" s="373">
        <f>-SUM(PCF!$T185:'PCF'!AT185)*AT20*GA!$G$440</f>
        <v>0</v>
      </c>
      <c r="AU60" s="373">
        <f>-SUM(PCF!$T185:'PCF'!AU185)*AU20*GA!$G$440</f>
        <v>0</v>
      </c>
      <c r="AV60" s="373">
        <f>-SUM(PCF!$T185:'PCF'!AV185)*AV20*GA!$G$440</f>
        <v>0</v>
      </c>
      <c r="AW60" s="373">
        <f>-SUM(PCF!$T185:'PCF'!AW185)*AW20*GA!$G$440</f>
        <v>0</v>
      </c>
      <c r="AX60" s="373">
        <f>-SUM(PCF!$T185:'PCF'!AX185)*AX20*GA!$G$440</f>
        <v>0</v>
      </c>
      <c r="AY60" s="373">
        <f>-SUM(PCF!$T185:'PCF'!AY185)*AY20*GA!$G$440</f>
        <v>0</v>
      </c>
      <c r="AZ60" s="373">
        <f>-SUM(PCF!$T185:'PCF'!AZ185)*AZ20*GA!$G$440</f>
        <v>0</v>
      </c>
      <c r="BA60" s="373">
        <f>-SUM(PCF!$T185:'PCF'!BA185)*BA20*GA!$G$440</f>
        <v>0</v>
      </c>
      <c r="BB60" s="373">
        <f>-SUM(PCF!$T185:'PCF'!BB185)*BB20*GA!$G$440</f>
        <v>0</v>
      </c>
      <c r="BC60" s="373">
        <f>-SUM(PCF!$T185:'PCF'!BC185)*BC20*GA!$G$440</f>
        <v>0</v>
      </c>
      <c r="BD60" s="373">
        <f>-SUM(PCF!$T185:'PCF'!BD185)*BD20*GA!$G$440</f>
        <v>0</v>
      </c>
      <c r="BE60" s="373">
        <f>-SUM(PCF!$T185:'PCF'!BE185)*BE20*GA!$G$440</f>
        <v>0</v>
      </c>
      <c r="BF60" s="373">
        <f>-SUM(PCF!$T185:'PCF'!BF185)*BF20*GA!$G$440</f>
        <v>0</v>
      </c>
      <c r="BG60" s="373">
        <f>-SUM(PCF!$T185:'PCF'!BG185)*BG20*GA!$G$440</f>
        <v>0</v>
      </c>
      <c r="BI60" s="296">
        <f t="shared" ref="BI60" si="23">SUM(T60:BG60)</f>
        <v>0</v>
      </c>
      <c r="BK60" s="103"/>
    </row>
    <row r="61" spans="2:63">
      <c r="C61" s="99">
        <f>AA!C15</f>
        <v>3</v>
      </c>
      <c r="E61" s="94" t="str">
        <f>INDEX(AA!$AC$13:$AC$15,MATCH($C61,AA!$C$13:$C$15,0))</f>
        <v>backup</v>
      </c>
      <c r="G61" s="1325">
        <f>INDEX(AA!$E$13:$E$15,MATCH($C61,AA!$C$13:$C$15,0))</f>
        <v>1</v>
      </c>
      <c r="I61" s="348"/>
      <c r="T61" s="373">
        <f>-SUM(PCF!$T186:'PCF'!T186)*T21*GA!$G$440</f>
        <v>0</v>
      </c>
      <c r="U61" s="373">
        <f>-SUM(PCF!$T186:'PCF'!U186)*U21*GA!$G$440</f>
        <v>0</v>
      </c>
      <c r="V61" s="373">
        <f>-SUM(PCF!$T186:'PCF'!V186)*V21*GA!$G$440</f>
        <v>0</v>
      </c>
      <c r="W61" s="373">
        <f>-SUM(PCF!$T186:'PCF'!W186)*W21*GA!$G$440</f>
        <v>0</v>
      </c>
      <c r="X61" s="373">
        <f>-SUM(PCF!$T186:'PCF'!X186)*X21*GA!$G$440</f>
        <v>0</v>
      </c>
      <c r="Y61" s="373">
        <f>-SUM(PCF!$T186:'PCF'!Y186)*Y21*GA!$G$440</f>
        <v>0</v>
      </c>
      <c r="Z61" s="373">
        <f>-SUM(PCF!$T186:'PCF'!Z186)*Z21*GA!$G$440</f>
        <v>0</v>
      </c>
      <c r="AA61" s="373">
        <f>-SUM(PCF!$T186:'PCF'!AA186)*AA21*GA!$G$440</f>
        <v>0</v>
      </c>
      <c r="AB61" s="373">
        <f>-SUM(PCF!$T186:'PCF'!AB186)*AB21*GA!$G$440</f>
        <v>0</v>
      </c>
      <c r="AC61" s="373">
        <f>-SUM(PCF!$T186:'PCF'!AC186)*AC21*GA!$G$440</f>
        <v>0</v>
      </c>
      <c r="AD61" s="373">
        <f>-SUM(PCF!$T186:'PCF'!AD186)*AD21*GA!$G$440</f>
        <v>0</v>
      </c>
      <c r="AE61" s="373">
        <f>-SUM(PCF!$T186:'PCF'!AE186)*AE21*GA!$G$440</f>
        <v>0</v>
      </c>
      <c r="AF61" s="373">
        <f>-SUM(PCF!$T186:'PCF'!AF186)*AF21*GA!$G$440</f>
        <v>0</v>
      </c>
      <c r="AG61" s="373">
        <f>-SUM(PCF!$T186:'PCF'!AG186)*AG21*GA!$G$440</f>
        <v>0</v>
      </c>
      <c r="AH61" s="373">
        <f>-SUM(PCF!$T186:'PCF'!AH186)*AH21*GA!$G$440</f>
        <v>0</v>
      </c>
      <c r="AI61" s="373">
        <f>-SUM(PCF!$T186:'PCF'!AI186)*AI21*GA!$G$440</f>
        <v>0</v>
      </c>
      <c r="AJ61" s="373">
        <f>-SUM(PCF!$T186:'PCF'!AJ186)*AJ21*GA!$G$440</f>
        <v>0</v>
      </c>
      <c r="AK61" s="373">
        <f>-SUM(PCF!$T186:'PCF'!AK186)*AK21*GA!$G$440</f>
        <v>0</v>
      </c>
      <c r="AL61" s="373">
        <f>-SUM(PCF!$T186:'PCF'!AL186)*AL21*GA!$G$440</f>
        <v>0</v>
      </c>
      <c r="AM61" s="373">
        <f>-SUM(PCF!$T186:'PCF'!AM186)*AM21*GA!$G$440</f>
        <v>0</v>
      </c>
      <c r="AN61" s="373">
        <f>-SUM(PCF!$T186:'PCF'!AN186)*AN21*GA!$G$440</f>
        <v>0</v>
      </c>
      <c r="AO61" s="373">
        <f>-SUM(PCF!$T186:'PCF'!AO186)*AO21*GA!$G$440</f>
        <v>0</v>
      </c>
      <c r="AP61" s="373">
        <f>-SUM(PCF!$T186:'PCF'!AP186)*AP21*GA!$G$440</f>
        <v>0</v>
      </c>
      <c r="AQ61" s="373">
        <f>-SUM(PCF!$T186:'PCF'!AQ186)*AQ21*GA!$G$440</f>
        <v>0</v>
      </c>
      <c r="AR61" s="373">
        <f>-SUM(PCF!$T186:'PCF'!AR186)*AR21*GA!$G$440</f>
        <v>0</v>
      </c>
      <c r="AS61" s="373">
        <f>-SUM(PCF!$T186:'PCF'!AS186)*AS21*GA!$G$440</f>
        <v>0</v>
      </c>
      <c r="AT61" s="373">
        <f>-SUM(PCF!$T186:'PCF'!AT186)*AT21*GA!$G$440</f>
        <v>0</v>
      </c>
      <c r="AU61" s="373">
        <f>-SUM(PCF!$T186:'PCF'!AU186)*AU21*GA!$G$440</f>
        <v>0</v>
      </c>
      <c r="AV61" s="373">
        <f>-SUM(PCF!$T186:'PCF'!AV186)*AV21*GA!$G$440</f>
        <v>0</v>
      </c>
      <c r="AW61" s="373">
        <f>-SUM(PCF!$T186:'PCF'!AW186)*AW21*GA!$G$440</f>
        <v>0</v>
      </c>
      <c r="AX61" s="373">
        <f>-SUM(PCF!$T186:'PCF'!AX186)*AX21*GA!$G$440</f>
        <v>0</v>
      </c>
      <c r="AY61" s="373">
        <f>-SUM(PCF!$T186:'PCF'!AY186)*AY21*GA!$G$440</f>
        <v>0</v>
      </c>
      <c r="AZ61" s="373">
        <f>-SUM(PCF!$T186:'PCF'!AZ186)*AZ21*GA!$G$440</f>
        <v>0</v>
      </c>
      <c r="BA61" s="373">
        <f>-SUM(PCF!$T186:'PCF'!BA186)*BA21*GA!$G$440</f>
        <v>0</v>
      </c>
      <c r="BB61" s="373">
        <f>-SUM(PCF!$T186:'PCF'!BB186)*BB21*GA!$G$440</f>
        <v>0</v>
      </c>
      <c r="BC61" s="373">
        <f>-SUM(PCF!$T186:'PCF'!BC186)*BC21*GA!$G$440</f>
        <v>0</v>
      </c>
      <c r="BD61" s="373">
        <f>-SUM(PCF!$T186:'PCF'!BD186)*BD21*GA!$G$440</f>
        <v>0</v>
      </c>
      <c r="BE61" s="373">
        <f>-SUM(PCF!$T186:'PCF'!BE186)*BE21*GA!$G$440</f>
        <v>0</v>
      </c>
      <c r="BF61" s="373">
        <f>-SUM(PCF!$T186:'PCF'!BF186)*BF21*GA!$G$440</f>
        <v>0</v>
      </c>
      <c r="BG61" s="373">
        <f>-SUM(PCF!$T186:'PCF'!BG186)*BG21*GA!$G$440</f>
        <v>0</v>
      </c>
      <c r="BI61" s="296">
        <f t="shared" ref="BI61" si="24">SUM(T61:BG61)</f>
        <v>0</v>
      </c>
      <c r="BK61" s="103"/>
    </row>
    <row r="62" spans="2:63">
      <c r="C62" s="268"/>
      <c r="E62" s="268"/>
      <c r="G62" s="268"/>
      <c r="I62" s="268"/>
      <c r="BI62" s="268"/>
      <c r="BK62" s="268"/>
    </row>
    <row r="63" spans="2:63" s="90" customFormat="1">
      <c r="B63" s="91">
        <f ca="1">MAX(A$1:$B62)+1</f>
        <v>7</v>
      </c>
      <c r="C63" s="92" t="s">
        <v>550</v>
      </c>
    </row>
    <row r="65" spans="2:66" ht="30">
      <c r="C65" s="97" t="s">
        <v>4</v>
      </c>
      <c r="E65" s="97" t="s">
        <v>6</v>
      </c>
      <c r="G65" s="101" t="s">
        <v>272</v>
      </c>
      <c r="I65" s="101" t="s">
        <v>150</v>
      </c>
      <c r="K65" s="255" t="s">
        <v>546</v>
      </c>
      <c r="BI65" s="327" t="s">
        <v>152</v>
      </c>
      <c r="BK65" s="372"/>
      <c r="BM65" s="374"/>
    </row>
    <row r="66" spans="2:66">
      <c r="C66" s="99">
        <f>AA!C13</f>
        <v>1</v>
      </c>
      <c r="E66" s="93" t="str">
        <f>INDEX(AA!$AC$13:$AC$15,MATCH($C66,AA!$C$13:$C$15,0))</f>
        <v>backup</v>
      </c>
      <c r="G66" s="1324">
        <f>INDEX(AA!$E$13:$E$15,MATCH($C66,AA!$C$13:$C$15,0))</f>
        <v>1</v>
      </c>
      <c r="I66" s="347"/>
      <c r="T66" s="373">
        <f>-SUM(PCF!$T177:'PCF'!T177)*T19*GA!$G$438</f>
        <v>0</v>
      </c>
      <c r="U66" s="373">
        <f>-SUM(PCF!$T177:'PCF'!U177)*U19*GA!$G$438</f>
        <v>0</v>
      </c>
      <c r="V66" s="373">
        <f>-SUM(PCF!$T177:'PCF'!V177)*V19*GA!$G$438</f>
        <v>0</v>
      </c>
      <c r="W66" s="373">
        <f>-SUM(PCF!$T177:'PCF'!W177)*W19*GA!$G$438</f>
        <v>0</v>
      </c>
      <c r="X66" s="373">
        <f>-SUM(PCF!$T177:'PCF'!X177)*X19*GA!$G$438</f>
        <v>0</v>
      </c>
      <c r="Y66" s="373">
        <f>-SUM(PCF!$T177:'PCF'!Y177)*Y19*GA!$G$438</f>
        <v>0</v>
      </c>
      <c r="Z66" s="373">
        <f>-SUM(PCF!$T177:'PCF'!Z177)*Z19*GA!$G$438</f>
        <v>0</v>
      </c>
      <c r="AA66" s="373">
        <f>-SUM(PCF!$T177:'PCF'!AA177)*AA19*GA!$G$438</f>
        <v>0</v>
      </c>
      <c r="AB66" s="373">
        <f>-SUM(PCF!$T177:'PCF'!AB177)*AB19*GA!$G$438</f>
        <v>0</v>
      </c>
      <c r="AC66" s="373">
        <f>-SUM(PCF!$T177:'PCF'!AC177)*AC19*GA!$G$438</f>
        <v>0</v>
      </c>
      <c r="AD66" s="373">
        <f>-SUM(PCF!$T177:'PCF'!AD177)*AD19*GA!$G$438</f>
        <v>0</v>
      </c>
      <c r="AE66" s="373">
        <f>-SUM(PCF!$T177:'PCF'!AE177)*AE19*GA!$G$438</f>
        <v>0</v>
      </c>
      <c r="AF66" s="373">
        <f>-SUM(PCF!$T177:'PCF'!AF177)*AF19*GA!$G$438</f>
        <v>0</v>
      </c>
      <c r="AG66" s="373">
        <f>-SUM(PCF!$T177:'PCF'!AG177)*AG19*GA!$G$438</f>
        <v>0</v>
      </c>
      <c r="AH66" s="373">
        <f>-SUM(PCF!$T177:'PCF'!AH177)*AH19*GA!$G$438</f>
        <v>0</v>
      </c>
      <c r="AI66" s="373">
        <f>-SUM(PCF!$T177:'PCF'!AI177)*AI19*GA!$G$438</f>
        <v>0</v>
      </c>
      <c r="AJ66" s="373">
        <f>-SUM(PCF!$T177:'PCF'!AJ177)*AJ19*GA!$G$438</f>
        <v>0</v>
      </c>
      <c r="AK66" s="373">
        <f>-SUM(PCF!$T177:'PCF'!AK177)*AK19*GA!$G$438</f>
        <v>0</v>
      </c>
      <c r="AL66" s="373">
        <f>-SUM(PCF!$T177:'PCF'!AL177)*AL19*GA!$G$438</f>
        <v>0</v>
      </c>
      <c r="AM66" s="373">
        <f>-SUM(PCF!$T177:'PCF'!AM177)*AM19*GA!$G$438</f>
        <v>0</v>
      </c>
      <c r="AN66" s="373">
        <f>-SUM(PCF!$T177:'PCF'!AN177)*AN19*GA!$G$438</f>
        <v>0</v>
      </c>
      <c r="AO66" s="373">
        <f>-SUM(PCF!$T177:'PCF'!AO177)*AO19*GA!$G$438</f>
        <v>0</v>
      </c>
      <c r="AP66" s="373">
        <f>-SUM(PCF!$T177:'PCF'!AP177)*AP19*GA!$G$438</f>
        <v>0</v>
      </c>
      <c r="AQ66" s="373">
        <f>-SUM(PCF!$T177:'PCF'!AQ177)*AQ19*GA!$G$438</f>
        <v>0</v>
      </c>
      <c r="AR66" s="373">
        <f>-SUM(PCF!$T177:'PCF'!AR177)*AR19*GA!$G$438</f>
        <v>0</v>
      </c>
      <c r="AS66" s="373">
        <f>-SUM(PCF!$T177:'PCF'!AS177)*AS19*GA!$G$438</f>
        <v>0</v>
      </c>
      <c r="AT66" s="373">
        <f>-SUM(PCF!$T177:'PCF'!AT177)*AT19*GA!$G$438</f>
        <v>0</v>
      </c>
      <c r="AU66" s="373">
        <f>-SUM(PCF!$T177:'PCF'!AU177)*AU19*GA!$G$438</f>
        <v>0</v>
      </c>
      <c r="AV66" s="373">
        <f>-SUM(PCF!$T177:'PCF'!AV177)*AV19*GA!$G$438</f>
        <v>0</v>
      </c>
      <c r="AW66" s="373">
        <f>-SUM(PCF!$T177:'PCF'!AW177)*AW19*GA!$G$438</f>
        <v>0</v>
      </c>
      <c r="AX66" s="373">
        <f>-SUM(PCF!$T177:'PCF'!AX177)*AX19*GA!$G$438</f>
        <v>0</v>
      </c>
      <c r="AY66" s="373">
        <f>-SUM(PCF!$T177:'PCF'!AY177)*AY19*GA!$G$438</f>
        <v>0</v>
      </c>
      <c r="AZ66" s="373">
        <f>-SUM(PCF!$T177:'PCF'!AZ177)*AZ19*GA!$G$438</f>
        <v>0</v>
      </c>
      <c r="BA66" s="373">
        <f>-SUM(PCF!$T177:'PCF'!BA177)*BA19*GA!$G$438</f>
        <v>0</v>
      </c>
      <c r="BB66" s="373">
        <f>-SUM(PCF!$T177:'PCF'!BB177)*BB19*GA!$G$438</f>
        <v>0</v>
      </c>
      <c r="BC66" s="373">
        <f>-SUM(PCF!$T177:'PCF'!BC177)*BC19*GA!$G$438</f>
        <v>0</v>
      </c>
      <c r="BD66" s="373">
        <f>-SUM(PCF!$T177:'PCF'!BD177)*BD19*GA!$G$438</f>
        <v>0</v>
      </c>
      <c r="BE66" s="373">
        <f>-SUM(PCF!$T177:'PCF'!BE177)*BE19*GA!$G$438</f>
        <v>0</v>
      </c>
      <c r="BF66" s="373">
        <f>-SUM(PCF!$T177:'PCF'!BF177)*BF19*GA!$G$438</f>
        <v>0</v>
      </c>
      <c r="BG66" s="373">
        <f>-SUM(PCF!$T177:'PCF'!BG177)*BG19*GA!$G$438</f>
        <v>0</v>
      </c>
      <c r="BI66" s="295">
        <f>SUM(T66:BG66)</f>
        <v>0</v>
      </c>
      <c r="BK66" s="103"/>
      <c r="BM66" s="344"/>
      <c r="BN66" s="310"/>
    </row>
    <row r="67" spans="2:66">
      <c r="C67" s="99">
        <f>AA!C14</f>
        <v>2</v>
      </c>
      <c r="E67" s="94" t="str">
        <f>INDEX(AA!$AC$13:$AC$15,MATCH($C67,AA!$C$13:$C$15,0))</f>
        <v>backup</v>
      </c>
      <c r="G67" s="1325">
        <f>INDEX(AA!$E$13:$E$15,MATCH($C67,AA!$C$13:$C$15,0))</f>
        <v>1</v>
      </c>
      <c r="I67" s="348"/>
      <c r="T67" s="373">
        <f>-SUM(PCF!$T178:'PCF'!T178)*T20*GA!$G$438</f>
        <v>0</v>
      </c>
      <c r="U67" s="373">
        <f>-SUM(PCF!$T178:'PCF'!U178)*U20*GA!$G$438</f>
        <v>0</v>
      </c>
      <c r="V67" s="373">
        <f>-SUM(PCF!$T178:'PCF'!V178)*V20*GA!$G$438</f>
        <v>0</v>
      </c>
      <c r="W67" s="373">
        <f>-SUM(PCF!$T178:'PCF'!W178)*W20*GA!$G$438</f>
        <v>0</v>
      </c>
      <c r="X67" s="373">
        <f>-SUM(PCF!$T178:'PCF'!X178)*X20*GA!$G$438</f>
        <v>0</v>
      </c>
      <c r="Y67" s="373">
        <f>-SUM(PCF!$T178:'PCF'!Y178)*Y20*GA!$G$438</f>
        <v>0</v>
      </c>
      <c r="Z67" s="373">
        <f>-SUM(PCF!$T178:'PCF'!Z178)*Z20*GA!$G$438</f>
        <v>0</v>
      </c>
      <c r="AA67" s="373">
        <f>-SUM(PCF!$T178:'PCF'!AA178)*AA20*GA!$G$438</f>
        <v>0</v>
      </c>
      <c r="AB67" s="373">
        <f>-SUM(PCF!$T178:'PCF'!AB178)*AB20*GA!$G$438</f>
        <v>0</v>
      </c>
      <c r="AC67" s="373">
        <f>-SUM(PCF!$T178:'PCF'!AC178)*AC20*GA!$G$438</f>
        <v>0</v>
      </c>
      <c r="AD67" s="373">
        <f>-SUM(PCF!$T178:'PCF'!AD178)*AD20*GA!$G$438</f>
        <v>0</v>
      </c>
      <c r="AE67" s="373">
        <f>-SUM(PCF!$T178:'PCF'!AE178)*AE20*GA!$G$438</f>
        <v>0</v>
      </c>
      <c r="AF67" s="373">
        <f>-SUM(PCF!$T178:'PCF'!AF178)*AF20*GA!$G$438</f>
        <v>0</v>
      </c>
      <c r="AG67" s="373">
        <f>-SUM(PCF!$T178:'PCF'!AG178)*AG20*GA!$G$438</f>
        <v>0</v>
      </c>
      <c r="AH67" s="373">
        <f>-SUM(PCF!$T178:'PCF'!AH178)*AH20*GA!$G$438</f>
        <v>0</v>
      </c>
      <c r="AI67" s="373">
        <f>-SUM(PCF!$T178:'PCF'!AI178)*AI20*GA!$G$438</f>
        <v>0</v>
      </c>
      <c r="AJ67" s="373">
        <f>-SUM(PCF!$T178:'PCF'!AJ178)*AJ20*GA!$G$438</f>
        <v>0</v>
      </c>
      <c r="AK67" s="373">
        <f>-SUM(PCF!$T178:'PCF'!AK178)*AK20*GA!$G$438</f>
        <v>0</v>
      </c>
      <c r="AL67" s="373">
        <f>-SUM(PCF!$T178:'PCF'!AL178)*AL20*GA!$G$438</f>
        <v>0</v>
      </c>
      <c r="AM67" s="373">
        <f>-SUM(PCF!$T178:'PCF'!AM178)*AM20*GA!$G$438</f>
        <v>0</v>
      </c>
      <c r="AN67" s="373">
        <f>-SUM(PCF!$T178:'PCF'!AN178)*AN20*GA!$G$438</f>
        <v>0</v>
      </c>
      <c r="AO67" s="373">
        <f>-SUM(PCF!$T178:'PCF'!AO178)*AO20*GA!$G$438</f>
        <v>0</v>
      </c>
      <c r="AP67" s="373">
        <f>-SUM(PCF!$T178:'PCF'!AP178)*AP20*GA!$G$438</f>
        <v>0</v>
      </c>
      <c r="AQ67" s="373">
        <f>-SUM(PCF!$T178:'PCF'!AQ178)*AQ20*GA!$G$438</f>
        <v>0</v>
      </c>
      <c r="AR67" s="373">
        <f>-SUM(PCF!$T178:'PCF'!AR178)*AR20*GA!$G$438</f>
        <v>0</v>
      </c>
      <c r="AS67" s="373">
        <f>-SUM(PCF!$T178:'PCF'!AS178)*AS20*GA!$G$438</f>
        <v>0</v>
      </c>
      <c r="AT67" s="373">
        <f>-SUM(PCF!$T178:'PCF'!AT178)*AT20*GA!$G$438</f>
        <v>0</v>
      </c>
      <c r="AU67" s="373">
        <f>-SUM(PCF!$T178:'PCF'!AU178)*AU20*GA!$G$438</f>
        <v>0</v>
      </c>
      <c r="AV67" s="373">
        <f>-SUM(PCF!$T178:'PCF'!AV178)*AV20*GA!$G$438</f>
        <v>0</v>
      </c>
      <c r="AW67" s="373">
        <f>-SUM(PCF!$T178:'PCF'!AW178)*AW20*GA!$G$438</f>
        <v>0</v>
      </c>
      <c r="AX67" s="373">
        <f>-SUM(PCF!$T178:'PCF'!AX178)*AX20*GA!$G$438</f>
        <v>0</v>
      </c>
      <c r="AY67" s="373">
        <f>-SUM(PCF!$T178:'PCF'!AY178)*AY20*GA!$G$438</f>
        <v>0</v>
      </c>
      <c r="AZ67" s="373">
        <f>-SUM(PCF!$T178:'PCF'!AZ178)*AZ20*GA!$G$438</f>
        <v>0</v>
      </c>
      <c r="BA67" s="373">
        <f>-SUM(PCF!$T178:'PCF'!BA178)*BA20*GA!$G$438</f>
        <v>0</v>
      </c>
      <c r="BB67" s="373">
        <f>-SUM(PCF!$T178:'PCF'!BB178)*BB20*GA!$G$438</f>
        <v>0</v>
      </c>
      <c r="BC67" s="373">
        <f>-SUM(PCF!$T178:'PCF'!BC178)*BC20*GA!$G$438</f>
        <v>0</v>
      </c>
      <c r="BD67" s="373">
        <f>-SUM(PCF!$T178:'PCF'!BD178)*BD20*GA!$G$438</f>
        <v>0</v>
      </c>
      <c r="BE67" s="373">
        <f>-SUM(PCF!$T178:'PCF'!BE178)*BE20*GA!$G$438</f>
        <v>0</v>
      </c>
      <c r="BF67" s="373">
        <f>-SUM(PCF!$T178:'PCF'!BF178)*BF20*GA!$G$438</f>
        <v>0</v>
      </c>
      <c r="BG67" s="373">
        <f>-SUM(PCF!$T178:'PCF'!BG178)*BG20*GA!$G$438</f>
        <v>0</v>
      </c>
      <c r="BI67" s="296">
        <f t="shared" ref="BI67" si="25">SUM(T67:BG67)</f>
        <v>0</v>
      </c>
      <c r="BK67" s="103"/>
      <c r="BM67" s="344"/>
      <c r="BN67" s="310"/>
    </row>
    <row r="68" spans="2:66">
      <c r="C68" s="99">
        <f>AA!C15</f>
        <v>3</v>
      </c>
      <c r="E68" s="94" t="str">
        <f>INDEX(AA!$AC$13:$AC$15,MATCH($C68,AA!$C$13:$C$15,0))</f>
        <v>backup</v>
      </c>
      <c r="G68" s="1325">
        <f>INDEX(AA!$E$13:$E$15,MATCH($C68,AA!$C$13:$C$15,0))</f>
        <v>1</v>
      </c>
      <c r="I68" s="348"/>
      <c r="T68" s="373">
        <f>-SUM(PCF!$T179:'PCF'!T179)*T21*GA!$G$438</f>
        <v>0</v>
      </c>
      <c r="U68" s="373">
        <f>-SUM(PCF!$T179:'PCF'!U179)*U21*GA!$G$438</f>
        <v>0</v>
      </c>
      <c r="V68" s="373">
        <f>-SUM(PCF!$T179:'PCF'!V179)*V21*GA!$G$438</f>
        <v>0</v>
      </c>
      <c r="W68" s="373">
        <f>-SUM(PCF!$T179:'PCF'!W179)*W21*GA!$G$438</f>
        <v>0</v>
      </c>
      <c r="X68" s="373">
        <f>-SUM(PCF!$T179:'PCF'!X179)*X21*GA!$G$438</f>
        <v>0</v>
      </c>
      <c r="Y68" s="373">
        <f>-SUM(PCF!$T179:'PCF'!Y179)*Y21*GA!$G$438</f>
        <v>0</v>
      </c>
      <c r="Z68" s="373">
        <f>-SUM(PCF!$T179:'PCF'!Z179)*Z21*GA!$G$438</f>
        <v>0</v>
      </c>
      <c r="AA68" s="373">
        <f>-SUM(PCF!$T179:'PCF'!AA179)*AA21*GA!$G$438</f>
        <v>0</v>
      </c>
      <c r="AB68" s="373">
        <f>-SUM(PCF!$T179:'PCF'!AB179)*AB21*GA!$G$438</f>
        <v>0</v>
      </c>
      <c r="AC68" s="373">
        <f>-SUM(PCF!$T179:'PCF'!AC179)*AC21*GA!$G$438</f>
        <v>0</v>
      </c>
      <c r="AD68" s="373">
        <f>-SUM(PCF!$T179:'PCF'!AD179)*AD21*GA!$G$438</f>
        <v>0</v>
      </c>
      <c r="AE68" s="373">
        <f>-SUM(PCF!$T179:'PCF'!AE179)*AE21*GA!$G$438</f>
        <v>0</v>
      </c>
      <c r="AF68" s="373">
        <f>-SUM(PCF!$T179:'PCF'!AF179)*AF21*GA!$G$438</f>
        <v>0</v>
      </c>
      <c r="AG68" s="373">
        <f>-SUM(PCF!$T179:'PCF'!AG179)*AG21*GA!$G$438</f>
        <v>0</v>
      </c>
      <c r="AH68" s="373">
        <f>-SUM(PCF!$T179:'PCF'!AH179)*AH21*GA!$G$438</f>
        <v>0</v>
      </c>
      <c r="AI68" s="373">
        <f>-SUM(PCF!$T179:'PCF'!AI179)*AI21*GA!$G$438</f>
        <v>0</v>
      </c>
      <c r="AJ68" s="373">
        <f>-SUM(PCF!$T179:'PCF'!AJ179)*AJ21*GA!$G$438</f>
        <v>0</v>
      </c>
      <c r="AK68" s="373">
        <f>-SUM(PCF!$T179:'PCF'!AK179)*AK21*GA!$G$438</f>
        <v>0</v>
      </c>
      <c r="AL68" s="373">
        <f>-SUM(PCF!$T179:'PCF'!AL179)*AL21*GA!$G$438</f>
        <v>0</v>
      </c>
      <c r="AM68" s="373">
        <f>-SUM(PCF!$T179:'PCF'!AM179)*AM21*GA!$G$438</f>
        <v>0</v>
      </c>
      <c r="AN68" s="373">
        <f>-SUM(PCF!$T179:'PCF'!AN179)*AN21*GA!$G$438</f>
        <v>0</v>
      </c>
      <c r="AO68" s="373">
        <f>-SUM(PCF!$T179:'PCF'!AO179)*AO21*GA!$G$438</f>
        <v>0</v>
      </c>
      <c r="AP68" s="373">
        <f>-SUM(PCF!$T179:'PCF'!AP179)*AP21*GA!$G$438</f>
        <v>0</v>
      </c>
      <c r="AQ68" s="373">
        <f>-SUM(PCF!$T179:'PCF'!AQ179)*AQ21*GA!$G$438</f>
        <v>0</v>
      </c>
      <c r="AR68" s="373">
        <f>-SUM(PCF!$T179:'PCF'!AR179)*AR21*GA!$G$438</f>
        <v>0</v>
      </c>
      <c r="AS68" s="373">
        <f>-SUM(PCF!$T179:'PCF'!AS179)*AS21*GA!$G$438</f>
        <v>0</v>
      </c>
      <c r="AT68" s="373">
        <f>-SUM(PCF!$T179:'PCF'!AT179)*AT21*GA!$G$438</f>
        <v>0</v>
      </c>
      <c r="AU68" s="373">
        <f>-SUM(PCF!$T179:'PCF'!AU179)*AU21*GA!$G$438</f>
        <v>0</v>
      </c>
      <c r="AV68" s="373">
        <f>-SUM(PCF!$T179:'PCF'!AV179)*AV21*GA!$G$438</f>
        <v>0</v>
      </c>
      <c r="AW68" s="373">
        <f>-SUM(PCF!$T179:'PCF'!AW179)*AW21*GA!$G$438</f>
        <v>0</v>
      </c>
      <c r="AX68" s="373">
        <f>-SUM(PCF!$T179:'PCF'!AX179)*AX21*GA!$G$438</f>
        <v>0</v>
      </c>
      <c r="AY68" s="373">
        <f>-SUM(PCF!$T179:'PCF'!AY179)*AY21*GA!$G$438</f>
        <v>0</v>
      </c>
      <c r="AZ68" s="373">
        <f>-SUM(PCF!$T179:'PCF'!AZ179)*AZ21*GA!$G$438</f>
        <v>0</v>
      </c>
      <c r="BA68" s="373">
        <f>-SUM(PCF!$T179:'PCF'!BA179)*BA21*GA!$G$438</f>
        <v>0</v>
      </c>
      <c r="BB68" s="373">
        <f>-SUM(PCF!$T179:'PCF'!BB179)*BB21*GA!$G$438</f>
        <v>0</v>
      </c>
      <c r="BC68" s="373">
        <f>-SUM(PCF!$T179:'PCF'!BC179)*BC21*GA!$G$438</f>
        <v>0</v>
      </c>
      <c r="BD68" s="373">
        <f>-SUM(PCF!$T179:'PCF'!BD179)*BD21*GA!$G$438</f>
        <v>0</v>
      </c>
      <c r="BE68" s="373">
        <f>-SUM(PCF!$T179:'PCF'!BE179)*BE21*GA!$G$438</f>
        <v>0</v>
      </c>
      <c r="BF68" s="373">
        <f>-SUM(PCF!$T179:'PCF'!BF179)*BF21*GA!$G$438</f>
        <v>0</v>
      </c>
      <c r="BG68" s="373">
        <f>-SUM(PCF!$T179:'PCF'!BG179)*BG21*GA!$G$438</f>
        <v>0</v>
      </c>
      <c r="BI68" s="296">
        <f t="shared" ref="BI68" si="26">SUM(T68:BG68)</f>
        <v>0</v>
      </c>
      <c r="BK68" s="103"/>
      <c r="BM68" s="344"/>
      <c r="BN68" s="310"/>
    </row>
    <row r="69" spans="2:66">
      <c r="C69" s="268"/>
      <c r="E69" s="268"/>
      <c r="G69" s="268"/>
      <c r="I69" s="268"/>
      <c r="BI69" s="268"/>
      <c r="BK69" s="268"/>
    </row>
    <row r="70" spans="2:66" s="90" customFormat="1">
      <c r="B70" s="91">
        <f ca="1">MAX(A$1:$B69)+1</f>
        <v>8</v>
      </c>
      <c r="C70" s="92" t="s">
        <v>547</v>
      </c>
    </row>
    <row r="72" spans="2:66" ht="30">
      <c r="C72" s="97" t="s">
        <v>4</v>
      </c>
      <c r="E72" s="97" t="s">
        <v>6</v>
      </c>
      <c r="G72" s="101" t="s">
        <v>272</v>
      </c>
      <c r="I72" s="101" t="s">
        <v>150</v>
      </c>
      <c r="BI72" s="327" t="s">
        <v>152</v>
      </c>
      <c r="BK72" s="372"/>
    </row>
    <row r="73" spans="2:66">
      <c r="C73" s="99">
        <f>AA!C13</f>
        <v>1</v>
      </c>
      <c r="E73" s="93" t="str">
        <f>INDEX(AA!$AC$13:$AC$15,MATCH($C73,AA!$C$13:$C$15,0))</f>
        <v>backup</v>
      </c>
      <c r="G73" s="1324">
        <f>INDEX(AA!$E$13:$E$15,MATCH($C73,AA!$C$13:$C$15,0))</f>
        <v>1</v>
      </c>
      <c r="I73" s="72" t="s">
        <v>447</v>
      </c>
      <c r="T73" s="373">
        <f>-PCF!T177-PCF!T184-PCF!T217</f>
        <v>0</v>
      </c>
      <c r="U73" s="373">
        <f>-PCF!U177-PCF!U184-PCF!U217</f>
        <v>0</v>
      </c>
      <c r="V73" s="373">
        <f>-PCF!V177-PCF!V184-PCF!V217</f>
        <v>0</v>
      </c>
      <c r="W73" s="373">
        <f>-PCF!W177-PCF!W184-PCF!W217</f>
        <v>0</v>
      </c>
      <c r="X73" s="373">
        <f>-PCF!X177-PCF!X184-PCF!X217</f>
        <v>0</v>
      </c>
      <c r="Y73" s="373">
        <f>-PCF!Y177-PCF!Y184-PCF!Y217</f>
        <v>0</v>
      </c>
      <c r="Z73" s="373">
        <f>-PCF!Z177-PCF!Z184-PCF!Z217</f>
        <v>0</v>
      </c>
      <c r="AA73" s="373">
        <f>-PCF!AA177-PCF!AA184-PCF!AA217</f>
        <v>0</v>
      </c>
      <c r="AB73" s="373">
        <f>-PCF!AB177-PCF!AB184-PCF!AB217</f>
        <v>0</v>
      </c>
      <c r="AC73" s="373">
        <f>-PCF!AC177-PCF!AC184-PCF!AC217</f>
        <v>0</v>
      </c>
      <c r="AD73" s="373">
        <f>-PCF!AD177-PCF!AD184-PCF!AD217</f>
        <v>0</v>
      </c>
      <c r="AE73" s="373">
        <f>-PCF!AE177-PCF!AE184-PCF!AE217</f>
        <v>0</v>
      </c>
      <c r="AF73" s="373">
        <f>-PCF!AF177-PCF!AF184-PCF!AF217</f>
        <v>0</v>
      </c>
      <c r="AG73" s="373">
        <f>-PCF!AG177-PCF!AG184-PCF!AG217</f>
        <v>0</v>
      </c>
      <c r="AH73" s="373">
        <f>-PCF!AH177-PCF!AH184-PCF!AH217</f>
        <v>0</v>
      </c>
      <c r="AI73" s="373">
        <f>-PCF!AI177-PCF!AI184-PCF!AI217</f>
        <v>0</v>
      </c>
      <c r="AJ73" s="373">
        <f>-PCF!AJ177-PCF!AJ184-PCF!AJ217</f>
        <v>0</v>
      </c>
      <c r="AK73" s="373">
        <f>-PCF!AK177-PCF!AK184-PCF!AK217</f>
        <v>0</v>
      </c>
      <c r="AL73" s="373">
        <f>-PCF!AL177-PCF!AL184-PCF!AL217</f>
        <v>0</v>
      </c>
      <c r="AM73" s="373">
        <f>-PCF!AM177-PCF!AM184-PCF!AM217</f>
        <v>0</v>
      </c>
      <c r="AN73" s="373">
        <f>-PCF!AN177-PCF!AN184-PCF!AN217</f>
        <v>0</v>
      </c>
      <c r="AO73" s="373">
        <f>-PCF!AO177-PCF!AO184-PCF!AO217</f>
        <v>0</v>
      </c>
      <c r="AP73" s="373">
        <f>-PCF!AP177-PCF!AP184-PCF!AP217</f>
        <v>0</v>
      </c>
      <c r="AQ73" s="373">
        <f>-PCF!AQ177-PCF!AQ184-PCF!AQ217</f>
        <v>0</v>
      </c>
      <c r="AR73" s="373">
        <f>-PCF!AR177-PCF!AR184-PCF!AR217</f>
        <v>0</v>
      </c>
      <c r="AS73" s="373">
        <f>-PCF!AS177-PCF!AS184-PCF!AS217</f>
        <v>0</v>
      </c>
      <c r="AT73" s="373">
        <f>-PCF!AT177-PCF!AT184-PCF!AT217</f>
        <v>0</v>
      </c>
      <c r="AU73" s="373">
        <f>-PCF!AU177-PCF!AU184-PCF!AU217</f>
        <v>0</v>
      </c>
      <c r="AV73" s="373">
        <f>-PCF!AV177-PCF!AV184-PCF!AV217</f>
        <v>0</v>
      </c>
      <c r="AW73" s="373">
        <f>-PCF!AW177-PCF!AW184-PCF!AW217</f>
        <v>0</v>
      </c>
      <c r="AX73" s="373">
        <f>-PCF!AX177-PCF!AX184-PCF!AX217</f>
        <v>0</v>
      </c>
      <c r="AY73" s="373">
        <f>-PCF!AY177-PCF!AY184-PCF!AY217</f>
        <v>0</v>
      </c>
      <c r="AZ73" s="373">
        <f>-PCF!AZ177-PCF!AZ184-PCF!AZ217</f>
        <v>0</v>
      </c>
      <c r="BA73" s="373">
        <f>-PCF!BA177-PCF!BA184-PCF!BA217</f>
        <v>0</v>
      </c>
      <c r="BB73" s="373">
        <f>-PCF!BB177-PCF!BB184-PCF!BB217</f>
        <v>0</v>
      </c>
      <c r="BC73" s="373">
        <f>-PCF!BC177-PCF!BC184-PCF!BC217</f>
        <v>0</v>
      </c>
      <c r="BD73" s="373">
        <f>-PCF!BD177-PCF!BD184-PCF!BD217</f>
        <v>0</v>
      </c>
      <c r="BE73" s="373">
        <f>-PCF!BE177-PCF!BE184-PCF!BE217</f>
        <v>0</v>
      </c>
      <c r="BF73" s="373">
        <f>-PCF!BF177-PCF!BF184-PCF!BF217</f>
        <v>0</v>
      </c>
      <c r="BG73" s="373">
        <f>-PCF!BG177-PCF!BG184-PCF!BG217</f>
        <v>0</v>
      </c>
      <c r="BI73" s="295">
        <f>SUM(T73:BG73)</f>
        <v>0</v>
      </c>
      <c r="BK73" s="103"/>
    </row>
    <row r="74" spans="2:66">
      <c r="C74" s="99">
        <f>AA!C14</f>
        <v>2</v>
      </c>
      <c r="E74" s="94" t="str">
        <f>INDEX(AA!$AC$13:$AC$15,MATCH($C74,AA!$C$13:$C$15,0))</f>
        <v>backup</v>
      </c>
      <c r="G74" s="1325">
        <f>INDEX(AA!$E$13:$E$15,MATCH($C74,AA!$C$13:$C$15,0))</f>
        <v>1</v>
      </c>
      <c r="I74" s="73" t="s">
        <v>447</v>
      </c>
      <c r="T74" s="373">
        <f>-PCF!T178-PCF!T185-PCF!T218</f>
        <v>0</v>
      </c>
      <c r="U74" s="373">
        <f>-PCF!U178-PCF!U185-PCF!U218</f>
        <v>0</v>
      </c>
      <c r="V74" s="373">
        <f>-PCF!V178-PCF!V185-PCF!V218</f>
        <v>0</v>
      </c>
      <c r="W74" s="373">
        <f>-PCF!W178-PCF!W185-PCF!W218</f>
        <v>0</v>
      </c>
      <c r="X74" s="373">
        <f>-PCF!X178-PCF!X185-PCF!X218</f>
        <v>0</v>
      </c>
      <c r="Y74" s="373">
        <f>-PCF!Y178-PCF!Y185-PCF!Y218</f>
        <v>0</v>
      </c>
      <c r="Z74" s="373">
        <f>-PCF!Z178-PCF!Z185-PCF!Z218</f>
        <v>0</v>
      </c>
      <c r="AA74" s="373">
        <f>-PCF!AA178-PCF!AA185-PCF!AA218</f>
        <v>0</v>
      </c>
      <c r="AB74" s="373">
        <f>-PCF!AB178-PCF!AB185-PCF!AB218</f>
        <v>0</v>
      </c>
      <c r="AC74" s="373">
        <f>-PCF!AC178-PCF!AC185-PCF!AC218</f>
        <v>0</v>
      </c>
      <c r="AD74" s="373">
        <f>-PCF!AD178-PCF!AD185-PCF!AD218</f>
        <v>0</v>
      </c>
      <c r="AE74" s="373">
        <f>-PCF!AE178-PCF!AE185-PCF!AE218</f>
        <v>0</v>
      </c>
      <c r="AF74" s="373">
        <f>-PCF!AF178-PCF!AF185-PCF!AF218</f>
        <v>0</v>
      </c>
      <c r="AG74" s="373">
        <f>-PCF!AG178-PCF!AG185-PCF!AG218</f>
        <v>0</v>
      </c>
      <c r="AH74" s="373">
        <f>-PCF!AH178-PCF!AH185-PCF!AH218</f>
        <v>0</v>
      </c>
      <c r="AI74" s="373">
        <f>-PCF!AI178-PCF!AI185-PCF!AI218</f>
        <v>0</v>
      </c>
      <c r="AJ74" s="373">
        <f>-PCF!AJ178-PCF!AJ185-PCF!AJ218</f>
        <v>0</v>
      </c>
      <c r="AK74" s="373">
        <f>-PCF!AK178-PCF!AK185-PCF!AK218</f>
        <v>0</v>
      </c>
      <c r="AL74" s="373">
        <f>-PCF!AL178-PCF!AL185-PCF!AL218</f>
        <v>0</v>
      </c>
      <c r="AM74" s="373">
        <f>-PCF!AM178-PCF!AM185-PCF!AM218</f>
        <v>0</v>
      </c>
      <c r="AN74" s="373">
        <f>-PCF!AN178-PCF!AN185-PCF!AN218</f>
        <v>0</v>
      </c>
      <c r="AO74" s="373">
        <f>-PCF!AO178-PCF!AO185-PCF!AO218</f>
        <v>0</v>
      </c>
      <c r="AP74" s="373">
        <f>-PCF!AP178-PCF!AP185-PCF!AP218</f>
        <v>0</v>
      </c>
      <c r="AQ74" s="373">
        <f>-PCF!AQ178-PCF!AQ185-PCF!AQ218</f>
        <v>0</v>
      </c>
      <c r="AR74" s="373">
        <f>-PCF!AR178-PCF!AR185-PCF!AR218</f>
        <v>0</v>
      </c>
      <c r="AS74" s="373">
        <f>-PCF!AS178-PCF!AS185-PCF!AS218</f>
        <v>0</v>
      </c>
      <c r="AT74" s="373">
        <f>-PCF!AT178-PCF!AT185-PCF!AT218</f>
        <v>0</v>
      </c>
      <c r="AU74" s="373">
        <f>-PCF!AU178-PCF!AU185-PCF!AU218</f>
        <v>0</v>
      </c>
      <c r="AV74" s="373">
        <f>-PCF!AV178-PCF!AV185-PCF!AV218</f>
        <v>0</v>
      </c>
      <c r="AW74" s="373">
        <f>-PCF!AW178-PCF!AW185-PCF!AW218</f>
        <v>0</v>
      </c>
      <c r="AX74" s="373">
        <f>-PCF!AX178-PCF!AX185-PCF!AX218</f>
        <v>0</v>
      </c>
      <c r="AY74" s="373">
        <f>-PCF!AY178-PCF!AY185-PCF!AY218</f>
        <v>0</v>
      </c>
      <c r="AZ74" s="373">
        <f>-PCF!AZ178-PCF!AZ185-PCF!AZ218</f>
        <v>0</v>
      </c>
      <c r="BA74" s="373">
        <f>-PCF!BA178-PCF!BA185-PCF!BA218</f>
        <v>0</v>
      </c>
      <c r="BB74" s="373">
        <f>-PCF!BB178-PCF!BB185-PCF!BB218</f>
        <v>0</v>
      </c>
      <c r="BC74" s="373">
        <f>-PCF!BC178-PCF!BC185-PCF!BC218</f>
        <v>0</v>
      </c>
      <c r="BD74" s="373">
        <f>-PCF!BD178-PCF!BD185-PCF!BD218</f>
        <v>0</v>
      </c>
      <c r="BE74" s="373">
        <f>-PCF!BE178-PCF!BE185-PCF!BE218</f>
        <v>0</v>
      </c>
      <c r="BF74" s="373">
        <f>-PCF!BF178-PCF!BF185-PCF!BF218</f>
        <v>0</v>
      </c>
      <c r="BG74" s="373">
        <f>-PCF!BG178-PCF!BG185-PCF!BG218</f>
        <v>0</v>
      </c>
      <c r="BI74" s="296">
        <f t="shared" ref="BI74" si="27">SUM(T74:BG74)</f>
        <v>0</v>
      </c>
      <c r="BK74" s="103"/>
    </row>
    <row r="75" spans="2:66">
      <c r="C75" s="99">
        <f>AA!C15</f>
        <v>3</v>
      </c>
      <c r="E75" s="94" t="str">
        <f>INDEX(AA!$AC$13:$AC$15,MATCH($C75,AA!$C$13:$C$15,0))</f>
        <v>backup</v>
      </c>
      <c r="G75" s="1325">
        <f>INDEX(AA!$E$13:$E$15,MATCH($C75,AA!$C$13:$C$15,0))</f>
        <v>1</v>
      </c>
      <c r="I75" s="73" t="s">
        <v>447</v>
      </c>
      <c r="T75" s="373">
        <f>-PCF!T179-PCF!T186-PCF!T219</f>
        <v>0</v>
      </c>
      <c r="U75" s="373">
        <f>-PCF!U179-PCF!U186-PCF!U219</f>
        <v>0</v>
      </c>
      <c r="V75" s="373">
        <f>-PCF!V179-PCF!V186-PCF!V219</f>
        <v>0</v>
      </c>
      <c r="W75" s="373">
        <f>-PCF!W179-PCF!W186-PCF!W219</f>
        <v>0</v>
      </c>
      <c r="X75" s="373">
        <f>-PCF!X179-PCF!X186-PCF!X219</f>
        <v>0</v>
      </c>
      <c r="Y75" s="373">
        <f>-PCF!Y179-PCF!Y186-PCF!Y219</f>
        <v>0</v>
      </c>
      <c r="Z75" s="373">
        <f>-PCF!Z179-PCF!Z186-PCF!Z219</f>
        <v>0</v>
      </c>
      <c r="AA75" s="373">
        <f>-PCF!AA179-PCF!AA186-PCF!AA219</f>
        <v>0</v>
      </c>
      <c r="AB75" s="373">
        <f>-PCF!AB179-PCF!AB186-PCF!AB219</f>
        <v>0</v>
      </c>
      <c r="AC75" s="373">
        <f>-PCF!AC179-PCF!AC186-PCF!AC219</f>
        <v>0</v>
      </c>
      <c r="AD75" s="373">
        <f>-PCF!AD179-PCF!AD186-PCF!AD219</f>
        <v>0</v>
      </c>
      <c r="AE75" s="373">
        <f>-PCF!AE179-PCF!AE186-PCF!AE219</f>
        <v>0</v>
      </c>
      <c r="AF75" s="373">
        <f>-PCF!AF179-PCF!AF186-PCF!AF219</f>
        <v>0</v>
      </c>
      <c r="AG75" s="373">
        <f>-PCF!AG179-PCF!AG186-PCF!AG219</f>
        <v>0</v>
      </c>
      <c r="AH75" s="373">
        <f>-PCF!AH179-PCF!AH186-PCF!AH219</f>
        <v>0</v>
      </c>
      <c r="AI75" s="373">
        <f>-PCF!AI179-PCF!AI186-PCF!AI219</f>
        <v>0</v>
      </c>
      <c r="AJ75" s="373">
        <f>-PCF!AJ179-PCF!AJ186-PCF!AJ219</f>
        <v>0</v>
      </c>
      <c r="AK75" s="373">
        <f>-PCF!AK179-PCF!AK186-PCF!AK219</f>
        <v>0</v>
      </c>
      <c r="AL75" s="373">
        <f>-PCF!AL179-PCF!AL186-PCF!AL219</f>
        <v>0</v>
      </c>
      <c r="AM75" s="373">
        <f>-PCF!AM179-PCF!AM186-PCF!AM219</f>
        <v>0</v>
      </c>
      <c r="AN75" s="373">
        <f>-PCF!AN179-PCF!AN186-PCF!AN219</f>
        <v>0</v>
      </c>
      <c r="AO75" s="373">
        <f>-PCF!AO179-PCF!AO186-PCF!AO219</f>
        <v>0</v>
      </c>
      <c r="AP75" s="373">
        <f>-PCF!AP179-PCF!AP186-PCF!AP219</f>
        <v>0</v>
      </c>
      <c r="AQ75" s="373">
        <f>-PCF!AQ179-PCF!AQ186-PCF!AQ219</f>
        <v>0</v>
      </c>
      <c r="AR75" s="373">
        <f>-PCF!AR179-PCF!AR186-PCF!AR219</f>
        <v>0</v>
      </c>
      <c r="AS75" s="373">
        <f>-PCF!AS179-PCF!AS186-PCF!AS219</f>
        <v>0</v>
      </c>
      <c r="AT75" s="373">
        <f>-PCF!AT179-PCF!AT186-PCF!AT219</f>
        <v>0</v>
      </c>
      <c r="AU75" s="373">
        <f>-PCF!AU179-PCF!AU186-PCF!AU219</f>
        <v>0</v>
      </c>
      <c r="AV75" s="373">
        <f>-PCF!AV179-PCF!AV186-PCF!AV219</f>
        <v>0</v>
      </c>
      <c r="AW75" s="373">
        <f>-PCF!AW179-PCF!AW186-PCF!AW219</f>
        <v>0</v>
      </c>
      <c r="AX75" s="373">
        <f>-PCF!AX179-PCF!AX186-PCF!AX219</f>
        <v>0</v>
      </c>
      <c r="AY75" s="373">
        <f>-PCF!AY179-PCF!AY186-PCF!AY219</f>
        <v>0</v>
      </c>
      <c r="AZ75" s="373">
        <f>-PCF!AZ179-PCF!AZ186-PCF!AZ219</f>
        <v>0</v>
      </c>
      <c r="BA75" s="373">
        <f>-PCF!BA179-PCF!BA186-PCF!BA219</f>
        <v>0</v>
      </c>
      <c r="BB75" s="373">
        <f>-PCF!BB179-PCF!BB186-PCF!BB219</f>
        <v>0</v>
      </c>
      <c r="BC75" s="373">
        <f>-PCF!BC179-PCF!BC186-PCF!BC219</f>
        <v>0</v>
      </c>
      <c r="BD75" s="373">
        <f>-PCF!BD179-PCF!BD186-PCF!BD219</f>
        <v>0</v>
      </c>
      <c r="BE75" s="373">
        <f>-PCF!BE179-PCF!BE186-PCF!BE219</f>
        <v>0</v>
      </c>
      <c r="BF75" s="373">
        <f>-PCF!BF179-PCF!BF186-PCF!BF219</f>
        <v>0</v>
      </c>
      <c r="BG75" s="373">
        <f>-PCF!BG179-PCF!BG186-PCF!BG219</f>
        <v>0</v>
      </c>
      <c r="BI75" s="296">
        <f t="shared" ref="BI75" si="28">SUM(T75:BG75)</f>
        <v>0</v>
      </c>
      <c r="BK75" s="103"/>
    </row>
    <row r="76" spans="2:66">
      <c r="C76" s="269"/>
      <c r="E76" s="269"/>
      <c r="G76" s="269"/>
      <c r="I76" s="269"/>
      <c r="BI76" s="269"/>
      <c r="BK76" s="269"/>
    </row>
    <row r="78" spans="2:66" s="90" customFormat="1">
      <c r="B78" s="91">
        <f ca="1">MAX(A$1:$B77)+1</f>
        <v>9</v>
      </c>
      <c r="C78" s="92" t="s">
        <v>548</v>
      </c>
    </row>
    <row r="80" spans="2:66">
      <c r="K80" s="226" t="s">
        <v>541</v>
      </c>
      <c r="L80" s="225"/>
    </row>
    <row r="81" spans="2:63" ht="30">
      <c r="C81" s="97" t="s">
        <v>4</v>
      </c>
      <c r="E81" s="97" t="s">
        <v>6</v>
      </c>
      <c r="G81" s="101" t="s">
        <v>272</v>
      </c>
      <c r="I81" s="101" t="s">
        <v>150</v>
      </c>
      <c r="K81" s="101" t="s">
        <v>549</v>
      </c>
      <c r="L81" s="101" t="s">
        <v>368</v>
      </c>
      <c r="BI81" s="327" t="s">
        <v>152</v>
      </c>
      <c r="BK81" s="372"/>
    </row>
    <row r="82" spans="2:63">
      <c r="C82" s="99">
        <f>AA!C13</f>
        <v>1</v>
      </c>
      <c r="E82" s="93" t="str">
        <f>INDEX(AA!$AC$13:$AC$15,MATCH($C82,AA!$C$13:$C$15,0))</f>
        <v>backup</v>
      </c>
      <c r="G82" s="1324">
        <f>INDEX(AA!$E$13:$E$15,MATCH($C82,AA!$C$13:$C$15,0))</f>
        <v>1</v>
      </c>
      <c r="I82" s="72" t="s">
        <v>540</v>
      </c>
      <c r="K82" s="338">
        <f>INDEX(AA!$CC$13:$CC$15,MATCH($C82,AA!$C$13:$C$15,0))</f>
        <v>0.03</v>
      </c>
      <c r="L82" s="375">
        <f>INDEX(AA!$CF$13:$CF$15,MATCH($C82,AA!$C$13:$C$15,0))</f>
        <v>0.1</v>
      </c>
      <c r="T82" s="373">
        <f t="shared" ref="T82:BG82" si="29">-$K82/4*T59-$L82/4*T66-$K82/4*T52</f>
        <v>0</v>
      </c>
      <c r="U82" s="373">
        <f t="shared" si="29"/>
        <v>0</v>
      </c>
      <c r="V82" s="373">
        <f t="shared" si="29"/>
        <v>0</v>
      </c>
      <c r="W82" s="373">
        <f t="shared" si="29"/>
        <v>0</v>
      </c>
      <c r="X82" s="373">
        <f t="shared" si="29"/>
        <v>0</v>
      </c>
      <c r="Y82" s="373">
        <f t="shared" si="29"/>
        <v>0</v>
      </c>
      <c r="Z82" s="373">
        <f t="shared" si="29"/>
        <v>0</v>
      </c>
      <c r="AA82" s="373">
        <f t="shared" si="29"/>
        <v>0</v>
      </c>
      <c r="AB82" s="373">
        <f t="shared" si="29"/>
        <v>0</v>
      </c>
      <c r="AC82" s="373">
        <f t="shared" si="29"/>
        <v>0</v>
      </c>
      <c r="AD82" s="373">
        <f t="shared" si="29"/>
        <v>0</v>
      </c>
      <c r="AE82" s="373">
        <f t="shared" si="29"/>
        <v>0</v>
      </c>
      <c r="AF82" s="373">
        <f t="shared" si="29"/>
        <v>0</v>
      </c>
      <c r="AG82" s="373">
        <f t="shared" si="29"/>
        <v>0</v>
      </c>
      <c r="AH82" s="373">
        <f t="shared" si="29"/>
        <v>0</v>
      </c>
      <c r="AI82" s="373">
        <f t="shared" si="29"/>
        <v>0</v>
      </c>
      <c r="AJ82" s="373">
        <f t="shared" si="29"/>
        <v>0</v>
      </c>
      <c r="AK82" s="373">
        <f t="shared" si="29"/>
        <v>0</v>
      </c>
      <c r="AL82" s="373">
        <f t="shared" si="29"/>
        <v>0</v>
      </c>
      <c r="AM82" s="373">
        <f t="shared" si="29"/>
        <v>0</v>
      </c>
      <c r="AN82" s="373">
        <f t="shared" si="29"/>
        <v>0</v>
      </c>
      <c r="AO82" s="373">
        <f t="shared" si="29"/>
        <v>0</v>
      </c>
      <c r="AP82" s="373">
        <f t="shared" si="29"/>
        <v>0</v>
      </c>
      <c r="AQ82" s="373">
        <f t="shared" si="29"/>
        <v>0</v>
      </c>
      <c r="AR82" s="373">
        <f t="shared" si="29"/>
        <v>0</v>
      </c>
      <c r="AS82" s="373">
        <f t="shared" si="29"/>
        <v>0</v>
      </c>
      <c r="AT82" s="373">
        <f t="shared" si="29"/>
        <v>0</v>
      </c>
      <c r="AU82" s="373">
        <f t="shared" si="29"/>
        <v>0</v>
      </c>
      <c r="AV82" s="373">
        <f t="shared" si="29"/>
        <v>0</v>
      </c>
      <c r="AW82" s="373">
        <f t="shared" si="29"/>
        <v>0</v>
      </c>
      <c r="AX82" s="373">
        <f t="shared" si="29"/>
        <v>0</v>
      </c>
      <c r="AY82" s="373">
        <f t="shared" si="29"/>
        <v>0</v>
      </c>
      <c r="AZ82" s="373">
        <f t="shared" si="29"/>
        <v>0</v>
      </c>
      <c r="BA82" s="373">
        <f t="shared" si="29"/>
        <v>0</v>
      </c>
      <c r="BB82" s="373">
        <f t="shared" si="29"/>
        <v>0</v>
      </c>
      <c r="BC82" s="373">
        <f t="shared" si="29"/>
        <v>0</v>
      </c>
      <c r="BD82" s="373">
        <f t="shared" si="29"/>
        <v>0</v>
      </c>
      <c r="BE82" s="373">
        <f t="shared" si="29"/>
        <v>0</v>
      </c>
      <c r="BF82" s="373">
        <f t="shared" si="29"/>
        <v>0</v>
      </c>
      <c r="BG82" s="373">
        <f t="shared" si="29"/>
        <v>0</v>
      </c>
      <c r="BI82" s="295">
        <f>SUM(T82:BG82)</f>
        <v>0</v>
      </c>
      <c r="BK82" s="103"/>
    </row>
    <row r="83" spans="2:63">
      <c r="C83" s="99">
        <f>AA!C14</f>
        <v>2</v>
      </c>
      <c r="E83" s="94" t="str">
        <f>INDEX(AA!$AC$13:$AC$15,MATCH($C83,AA!$C$13:$C$15,0))</f>
        <v>backup</v>
      </c>
      <c r="G83" s="1325">
        <f>INDEX(AA!$E$13:$E$15,MATCH($C83,AA!$C$13:$C$15,0))</f>
        <v>1</v>
      </c>
      <c r="I83" s="73" t="s">
        <v>540</v>
      </c>
      <c r="K83" s="339">
        <f>INDEX(AA!$CC$13:$CC$15,MATCH($C83,AA!$C$13:$C$15,0))</f>
        <v>0.03</v>
      </c>
      <c r="L83" s="376">
        <f>INDEX(AA!$CF$13:$CF$15,MATCH($C83,AA!$C$13:$C$15,0))</f>
        <v>0.1</v>
      </c>
      <c r="T83" s="373">
        <f t="shared" ref="T83:BG83" si="30">-$K83/4*T60-$L83/4*T67-$K83/4*T53</f>
        <v>0</v>
      </c>
      <c r="U83" s="373">
        <f t="shared" si="30"/>
        <v>0</v>
      </c>
      <c r="V83" s="373">
        <f t="shared" si="30"/>
        <v>0</v>
      </c>
      <c r="W83" s="373">
        <f t="shared" si="30"/>
        <v>0</v>
      </c>
      <c r="X83" s="373">
        <f t="shared" si="30"/>
        <v>0</v>
      </c>
      <c r="Y83" s="373">
        <f t="shared" si="30"/>
        <v>0</v>
      </c>
      <c r="Z83" s="373">
        <f t="shared" si="30"/>
        <v>0</v>
      </c>
      <c r="AA83" s="373">
        <f t="shared" si="30"/>
        <v>0</v>
      </c>
      <c r="AB83" s="373">
        <f t="shared" si="30"/>
        <v>0</v>
      </c>
      <c r="AC83" s="373">
        <f t="shared" si="30"/>
        <v>0</v>
      </c>
      <c r="AD83" s="373">
        <f t="shared" si="30"/>
        <v>0</v>
      </c>
      <c r="AE83" s="373">
        <f t="shared" si="30"/>
        <v>0</v>
      </c>
      <c r="AF83" s="373">
        <f t="shared" si="30"/>
        <v>0</v>
      </c>
      <c r="AG83" s="373">
        <f t="shared" si="30"/>
        <v>0</v>
      </c>
      <c r="AH83" s="373">
        <f t="shared" si="30"/>
        <v>0</v>
      </c>
      <c r="AI83" s="373">
        <f t="shared" si="30"/>
        <v>0</v>
      </c>
      <c r="AJ83" s="373">
        <f t="shared" si="30"/>
        <v>0</v>
      </c>
      <c r="AK83" s="373">
        <f t="shared" si="30"/>
        <v>0</v>
      </c>
      <c r="AL83" s="373">
        <f t="shared" si="30"/>
        <v>0</v>
      </c>
      <c r="AM83" s="373">
        <f t="shared" si="30"/>
        <v>0</v>
      </c>
      <c r="AN83" s="373">
        <f t="shared" si="30"/>
        <v>0</v>
      </c>
      <c r="AO83" s="373">
        <f t="shared" si="30"/>
        <v>0</v>
      </c>
      <c r="AP83" s="373">
        <f t="shared" si="30"/>
        <v>0</v>
      </c>
      <c r="AQ83" s="373">
        <f t="shared" si="30"/>
        <v>0</v>
      </c>
      <c r="AR83" s="373">
        <f t="shared" si="30"/>
        <v>0</v>
      </c>
      <c r="AS83" s="373">
        <f t="shared" si="30"/>
        <v>0</v>
      </c>
      <c r="AT83" s="373">
        <f t="shared" si="30"/>
        <v>0</v>
      </c>
      <c r="AU83" s="373">
        <f t="shared" si="30"/>
        <v>0</v>
      </c>
      <c r="AV83" s="373">
        <f t="shared" si="30"/>
        <v>0</v>
      </c>
      <c r="AW83" s="373">
        <f t="shared" si="30"/>
        <v>0</v>
      </c>
      <c r="AX83" s="373">
        <f t="shared" si="30"/>
        <v>0</v>
      </c>
      <c r="AY83" s="373">
        <f t="shared" si="30"/>
        <v>0</v>
      </c>
      <c r="AZ83" s="373">
        <f t="shared" si="30"/>
        <v>0</v>
      </c>
      <c r="BA83" s="373">
        <f t="shared" si="30"/>
        <v>0</v>
      </c>
      <c r="BB83" s="373">
        <f t="shared" si="30"/>
        <v>0</v>
      </c>
      <c r="BC83" s="373">
        <f t="shared" si="30"/>
        <v>0</v>
      </c>
      <c r="BD83" s="373">
        <f t="shared" si="30"/>
        <v>0</v>
      </c>
      <c r="BE83" s="373">
        <f t="shared" si="30"/>
        <v>0</v>
      </c>
      <c r="BF83" s="373">
        <f t="shared" si="30"/>
        <v>0</v>
      </c>
      <c r="BG83" s="373">
        <f t="shared" si="30"/>
        <v>0</v>
      </c>
      <c r="BI83" s="296">
        <f t="shared" ref="BI83" si="31">SUM(T83:BG83)</f>
        <v>0</v>
      </c>
      <c r="BK83" s="103"/>
    </row>
    <row r="84" spans="2:63">
      <c r="C84" s="99">
        <f>AA!C15</f>
        <v>3</v>
      </c>
      <c r="E84" s="94" t="str">
        <f>INDEX(AA!$AC$13:$AC$15,MATCH($C84,AA!$C$13:$C$15,0))</f>
        <v>backup</v>
      </c>
      <c r="G84" s="1325">
        <f>INDEX(AA!$E$13:$E$15,MATCH($C84,AA!$C$13:$C$15,0))</f>
        <v>1</v>
      </c>
      <c r="I84" s="73" t="s">
        <v>540</v>
      </c>
      <c r="K84" s="339">
        <f>INDEX(AA!$CC$13:$CC$15,MATCH($C84,AA!$C$13:$C$15,0))</f>
        <v>0.03</v>
      </c>
      <c r="L84" s="376">
        <f>INDEX(AA!$CF$13:$CF$15,MATCH($C84,AA!$C$13:$C$15,0))</f>
        <v>0.1</v>
      </c>
      <c r="T84" s="373">
        <f t="shared" ref="T84:BG84" si="32">-$K84/4*T61-$L84/4*T68-$K84/4*T54</f>
        <v>0</v>
      </c>
      <c r="U84" s="373">
        <f t="shared" si="32"/>
        <v>0</v>
      </c>
      <c r="V84" s="373">
        <f t="shared" si="32"/>
        <v>0</v>
      </c>
      <c r="W84" s="373">
        <f t="shared" si="32"/>
        <v>0</v>
      </c>
      <c r="X84" s="373">
        <f t="shared" si="32"/>
        <v>0</v>
      </c>
      <c r="Y84" s="373">
        <f t="shared" si="32"/>
        <v>0</v>
      </c>
      <c r="Z84" s="373">
        <f t="shared" si="32"/>
        <v>0</v>
      </c>
      <c r="AA84" s="373">
        <f t="shared" si="32"/>
        <v>0</v>
      </c>
      <c r="AB84" s="373">
        <f t="shared" si="32"/>
        <v>0</v>
      </c>
      <c r="AC84" s="373">
        <f t="shared" si="32"/>
        <v>0</v>
      </c>
      <c r="AD84" s="373">
        <f t="shared" si="32"/>
        <v>0</v>
      </c>
      <c r="AE84" s="373">
        <f t="shared" si="32"/>
        <v>0</v>
      </c>
      <c r="AF84" s="373">
        <f t="shared" si="32"/>
        <v>0</v>
      </c>
      <c r="AG84" s="373">
        <f t="shared" si="32"/>
        <v>0</v>
      </c>
      <c r="AH84" s="373">
        <f t="shared" si="32"/>
        <v>0</v>
      </c>
      <c r="AI84" s="373">
        <f t="shared" si="32"/>
        <v>0</v>
      </c>
      <c r="AJ84" s="373">
        <f t="shared" si="32"/>
        <v>0</v>
      </c>
      <c r="AK84" s="373">
        <f t="shared" si="32"/>
        <v>0</v>
      </c>
      <c r="AL84" s="373">
        <f t="shared" si="32"/>
        <v>0</v>
      </c>
      <c r="AM84" s="373">
        <f t="shared" si="32"/>
        <v>0</v>
      </c>
      <c r="AN84" s="373">
        <f t="shared" si="32"/>
        <v>0</v>
      </c>
      <c r="AO84" s="373">
        <f t="shared" si="32"/>
        <v>0</v>
      </c>
      <c r="AP84" s="373">
        <f t="shared" si="32"/>
        <v>0</v>
      </c>
      <c r="AQ84" s="373">
        <f t="shared" si="32"/>
        <v>0</v>
      </c>
      <c r="AR84" s="373">
        <f t="shared" si="32"/>
        <v>0</v>
      </c>
      <c r="AS84" s="373">
        <f t="shared" si="32"/>
        <v>0</v>
      </c>
      <c r="AT84" s="373">
        <f t="shared" si="32"/>
        <v>0</v>
      </c>
      <c r="AU84" s="373">
        <f t="shared" si="32"/>
        <v>0</v>
      </c>
      <c r="AV84" s="373">
        <f t="shared" si="32"/>
        <v>0</v>
      </c>
      <c r="AW84" s="373">
        <f t="shared" si="32"/>
        <v>0</v>
      </c>
      <c r="AX84" s="373">
        <f t="shared" si="32"/>
        <v>0</v>
      </c>
      <c r="AY84" s="373">
        <f t="shared" si="32"/>
        <v>0</v>
      </c>
      <c r="AZ84" s="373">
        <f t="shared" si="32"/>
        <v>0</v>
      </c>
      <c r="BA84" s="373">
        <f t="shared" si="32"/>
        <v>0</v>
      </c>
      <c r="BB84" s="373">
        <f t="shared" si="32"/>
        <v>0</v>
      </c>
      <c r="BC84" s="373">
        <f t="shared" si="32"/>
        <v>0</v>
      </c>
      <c r="BD84" s="373">
        <f t="shared" si="32"/>
        <v>0</v>
      </c>
      <c r="BE84" s="373">
        <f t="shared" si="32"/>
        <v>0</v>
      </c>
      <c r="BF84" s="373">
        <f t="shared" si="32"/>
        <v>0</v>
      </c>
      <c r="BG84" s="373">
        <f t="shared" si="32"/>
        <v>0</v>
      </c>
      <c r="BI84" s="296">
        <f t="shared" ref="BI84" si="33">SUM(T84:BG84)</f>
        <v>0</v>
      </c>
      <c r="BK84" s="103"/>
    </row>
    <row r="85" spans="2:63">
      <c r="C85" s="269"/>
      <c r="E85" s="269"/>
      <c r="G85" s="269"/>
      <c r="I85" s="269"/>
      <c r="K85" s="269"/>
      <c r="L85" s="269"/>
      <c r="BI85" s="269"/>
      <c r="BK85" s="269"/>
    </row>
    <row r="87" spans="2:63" s="90" customFormat="1">
      <c r="B87" s="91">
        <f ca="1">MAX(A$1:$B86)+1</f>
        <v>10</v>
      </c>
      <c r="C87" s="92" t="s">
        <v>551</v>
      </c>
    </row>
    <row r="89" spans="2:63">
      <c r="K89" s="226" t="s">
        <v>541</v>
      </c>
      <c r="L89" s="225"/>
      <c r="M89" s="225"/>
    </row>
    <row r="90" spans="2:63" ht="30">
      <c r="C90" s="97" t="s">
        <v>4</v>
      </c>
      <c r="E90" s="97" t="s">
        <v>6</v>
      </c>
      <c r="G90" s="101" t="s">
        <v>272</v>
      </c>
      <c r="I90" s="101" t="s">
        <v>150</v>
      </c>
      <c r="K90" s="97" t="s">
        <v>152</v>
      </c>
      <c r="L90" s="97" t="s">
        <v>552</v>
      </c>
      <c r="M90" s="97" t="s">
        <v>553</v>
      </c>
      <c r="BI90" s="327" t="s">
        <v>152</v>
      </c>
      <c r="BK90" s="327" t="s">
        <v>554</v>
      </c>
    </row>
    <row r="91" spans="2:63">
      <c r="C91" s="99">
        <f>AA!C13</f>
        <v>1</v>
      </c>
      <c r="E91" s="93" t="str">
        <f>INDEX(AA!$AC$13:$AC$15,MATCH($C91,AA!$C$13:$C$15,0))</f>
        <v>backup</v>
      </c>
      <c r="G91" s="1324">
        <f>INDEX(AA!$E$13:$E$15,MATCH($C91,AA!$C$13:$C$15,0))</f>
        <v>1</v>
      </c>
      <c r="I91" s="72" t="s">
        <v>600</v>
      </c>
      <c r="K91" s="1324">
        <f t="shared" ref="K91:L93" si="34">K44</f>
        <v>1925462.7034918049</v>
      </c>
      <c r="L91" s="1324">
        <f t="shared" si="34"/>
        <v>1540370.162793444</v>
      </c>
      <c r="M91" s="1324">
        <f>K91-L91</f>
        <v>385092.54069836088</v>
      </c>
      <c r="T91" s="377">
        <f>T19*(SUM($T44:T44)+T52+T59+T66+SUM($T82:T82)+$K91)</f>
        <v>1913909.9272708541</v>
      </c>
      <c r="U91" s="377">
        <f>U19*(SUM($T44:U44)+U52+U59+U66+SUM($T82:U82)+$K91)</f>
        <v>1902357.1510499031</v>
      </c>
      <c r="V91" s="377">
        <f>V19*(SUM($T44:V44)+V52+V59+V66+SUM($T82:V82)+$K91)</f>
        <v>1890804.3748289524</v>
      </c>
      <c r="W91" s="377">
        <f>W19*(SUM($T44:W44)+W52+W59+W66+SUM($T82:W82)+$K91)</f>
        <v>1879251.5986080016</v>
      </c>
      <c r="X91" s="377">
        <f>X19*(SUM($T44:X44)+X52+X59+X66+SUM($T82:X82)+$K91)</f>
        <v>1867698.8223870508</v>
      </c>
      <c r="Y91" s="377">
        <f>Y19*(SUM($T44:Y44)+Y52+Y59+Y66+SUM($T82:Y82)+$K91)</f>
        <v>1856146.0461660998</v>
      </c>
      <c r="Z91" s="377">
        <f>Z19*(SUM($T44:Z44)+Z52+Z59+Z66+SUM($T82:Z82)+$K91)</f>
        <v>1844593.2699451491</v>
      </c>
      <c r="AA91" s="377">
        <f>AA19*(SUM($T44:AA44)+AA52+AA59+AA66+SUM($T82:AA82)+$K91)</f>
        <v>1833040.4937241983</v>
      </c>
      <c r="AB91" s="377">
        <f>AB19*(SUM($T44:AB44)+AB52+AB59+AB66+SUM($T82:AB82)+$K91)</f>
        <v>1821487.7175032473</v>
      </c>
      <c r="AC91" s="377">
        <f>AC19*(SUM($T44:AC44)+AC52+AC59+AC66+SUM($T82:AC82)+$K91)</f>
        <v>1809934.9412822966</v>
      </c>
      <c r="AD91" s="377">
        <f>AD19*(SUM($T44:AD44)+AD52+AD59+AD66+SUM($T82:AD82)+$K91)</f>
        <v>1798382.1650613458</v>
      </c>
      <c r="AE91" s="377">
        <f>AE19*(SUM($T44:AE44)+AE52+AE59+AE66+SUM($T82:AE82)+$K91)</f>
        <v>1786829.388840395</v>
      </c>
      <c r="AF91" s="377">
        <f>AF19*(SUM($T44:AF44)+AF52+AF59+AF66+SUM($T82:AF82)+$K91)</f>
        <v>0</v>
      </c>
      <c r="AG91" s="377">
        <f>AG19*(SUM($T44:AG44)+AG52+AG59+AG66+SUM($T82:AG82)+$K91)</f>
        <v>0</v>
      </c>
      <c r="AH91" s="377">
        <f>AH19*(SUM($T44:AH44)+AH52+AH59+AH66+SUM($T82:AH82)+$K91)</f>
        <v>0</v>
      </c>
      <c r="AI91" s="377">
        <f>AI19*(SUM($T44:AI44)+AI52+AI59+AI66+SUM($T82:AI82)+$K91)</f>
        <v>0</v>
      </c>
      <c r="AJ91" s="377">
        <f>AJ19*(SUM($T44:AJ44)+AJ52+AJ59+AJ66+SUM($T82:AJ82)+$K91)</f>
        <v>0</v>
      </c>
      <c r="AK91" s="377">
        <f>AK19*(SUM($T44:AK44)+AK52+AK59+AK66+SUM($T82:AK82)+$K91)</f>
        <v>0</v>
      </c>
      <c r="AL91" s="377">
        <f>AL19*(SUM($T44:AL44)+AL52+AL59+AL66+SUM($T82:AL82)+$K91)</f>
        <v>0</v>
      </c>
      <c r="AM91" s="377">
        <f>AM19*(SUM($T44:AM44)+AM52+AM59+AM66+SUM($T82:AM82)+$K91)</f>
        <v>0</v>
      </c>
      <c r="AN91" s="377">
        <f>AN19*(SUM($T44:AN44)+AN52+AN59+AN66+SUM($T82:AN82)+$K91)</f>
        <v>0</v>
      </c>
      <c r="AO91" s="377">
        <f>AO19*(SUM($T44:AO44)+AO52+AO59+AO66+SUM($T82:AO82)+$K91)</f>
        <v>0</v>
      </c>
      <c r="AP91" s="377">
        <f>AP19*(SUM($T44:AP44)+AP52+AP59+AP66+SUM($T82:AP82)+$K91)</f>
        <v>0</v>
      </c>
      <c r="AQ91" s="377">
        <f>AQ19*(SUM($T44:AQ44)+AQ52+AQ59+AQ66+SUM($T82:AQ82)+$K91)</f>
        <v>0</v>
      </c>
      <c r="AR91" s="377">
        <f>AR19*(SUM($T44:AR44)+AR52+AR59+AR66+SUM($T82:AR82)+$K91)</f>
        <v>0</v>
      </c>
      <c r="AS91" s="377">
        <f>AS19*(SUM($T44:AS44)+AS52+AS59+AS66+SUM($T82:AS82)+$K91)</f>
        <v>0</v>
      </c>
      <c r="AT91" s="377">
        <f>AT19*(SUM($T44:AT44)+AT52+AT59+AT66+SUM($T82:AT82)+$K91)</f>
        <v>0</v>
      </c>
      <c r="AU91" s="377">
        <f>AU19*(SUM($T44:AU44)+AU52+AU59+AU66+SUM($T82:AU82)+$K91)</f>
        <v>0</v>
      </c>
      <c r="AV91" s="377">
        <f>AV19*(SUM($T44:AV44)+AV52+AV59+AV66+SUM($T82:AV82)+$K91)</f>
        <v>0</v>
      </c>
      <c r="AW91" s="377">
        <f>AW19*(SUM($T44:AW44)+AW52+AW59+AW66+SUM($T82:AW82)+$K91)</f>
        <v>0</v>
      </c>
      <c r="AX91" s="377">
        <f>AX19*(SUM($T44:AX44)+AX52+AX59+AX66+SUM($T82:AX82)+$K91)</f>
        <v>0</v>
      </c>
      <c r="AY91" s="377">
        <f>AY19*(SUM($T44:AY44)+AY52+AY59+AY66+SUM($T82:AY82)+$K91)</f>
        <v>0</v>
      </c>
      <c r="AZ91" s="377">
        <f>AZ19*(SUM($T44:AZ44)+AZ52+AZ59+AZ66+SUM($T82:AZ82)+$K91)</f>
        <v>0</v>
      </c>
      <c r="BA91" s="377">
        <f>BA19*(SUM($T44:BA44)+BA52+BA59+BA66+SUM($T82:BA82)+$K91)</f>
        <v>0</v>
      </c>
      <c r="BB91" s="377">
        <f>BB19*(SUM($T44:BB44)+BB52+BB59+BB66+SUM($T82:BB82)+$K91)</f>
        <v>0</v>
      </c>
      <c r="BC91" s="377">
        <f>BC19*(SUM($T44:BC44)+BC52+BC59+BC66+SUM($T82:BC82)+$K91)</f>
        <v>0</v>
      </c>
      <c r="BD91" s="377">
        <f>BD19*(SUM($T44:BD44)+BD52+BD59+BD66+SUM($T82:BD82)+$K91)</f>
        <v>0</v>
      </c>
      <c r="BE91" s="377">
        <f>BE19*(SUM($T44:BE44)+BE52+BE59+BE66+SUM($T82:BE82)+$K91)</f>
        <v>0</v>
      </c>
      <c r="BF91" s="377">
        <f>BF19*(SUM($T44:BF44)+BF52+BF59+BF66+SUM($T82:BF82)+$K91)</f>
        <v>0</v>
      </c>
      <c r="BG91" s="377">
        <f>BG19*(SUM($T44:BG44)+BG52+BG59+BG66+SUM($T82:BG82)+$K91)</f>
        <v>0</v>
      </c>
      <c r="BI91" s="295">
        <f>SUM(T91:BG91)</f>
        <v>22204435.896667499</v>
      </c>
      <c r="BK91" s="295">
        <f>SUMPRODUCT(T91:BG91,T35:BG35)</f>
        <v>1786829.388840395</v>
      </c>
    </row>
    <row r="92" spans="2:63">
      <c r="C92" s="99">
        <f>AA!C14</f>
        <v>2</v>
      </c>
      <c r="E92" s="94" t="str">
        <f>INDEX(AA!$AC$13:$AC$15,MATCH($C92,AA!$C$13:$C$15,0))</f>
        <v>backup</v>
      </c>
      <c r="G92" s="1325">
        <f>INDEX(AA!$E$13:$E$15,MATCH($C92,AA!$C$13:$C$15,0))</f>
        <v>1</v>
      </c>
      <c r="I92" s="73" t="s">
        <v>600</v>
      </c>
      <c r="K92" s="1325">
        <f t="shared" si="34"/>
        <v>1879436.3987825688</v>
      </c>
      <c r="L92" s="1325">
        <f t="shared" si="34"/>
        <v>1503549.1190260551</v>
      </c>
      <c r="M92" s="1325">
        <f t="shared" ref="M92" si="35">K92-L92</f>
        <v>375887.27975651366</v>
      </c>
      <c r="T92" s="377">
        <f>T20*(SUM($T45:T45)+T53+T60+T67+SUM($T83:T83)+$K92)</f>
        <v>0</v>
      </c>
      <c r="U92" s="377">
        <f>U20*(SUM($T45:U45)+U53+U60+U67+SUM($T83:U83)+$K92)</f>
        <v>1868159.7803898733</v>
      </c>
      <c r="V92" s="377">
        <f>V20*(SUM($T45:V45)+V53+V60+V67+SUM($T83:V83)+$K92)</f>
        <v>1856883.1619971779</v>
      </c>
      <c r="W92" s="377">
        <f>W20*(SUM($T45:W45)+W53+W60+W67+SUM($T83:W83)+$K92)</f>
        <v>1845606.5436044824</v>
      </c>
      <c r="X92" s="377">
        <f>X20*(SUM($T45:X45)+X53+X60+X67+SUM($T83:X83)+$K92)</f>
        <v>1834329.925211787</v>
      </c>
      <c r="Y92" s="377">
        <f>Y20*(SUM($T45:Y45)+Y53+Y60+Y67+SUM($T83:Y83)+$K92)</f>
        <v>1823053.3068190918</v>
      </c>
      <c r="Z92" s="377">
        <f>Z20*(SUM($T45:Z45)+Z53+Z60+Z67+SUM($T83:Z83)+$K92)</f>
        <v>1811776.6884263963</v>
      </c>
      <c r="AA92" s="377">
        <f>AA20*(SUM($T45:AA45)+AA53+AA60+AA67+SUM($T83:AA83)+$K92)</f>
        <v>1800500.0700337009</v>
      </c>
      <c r="AB92" s="377">
        <f>AB20*(SUM($T45:AB45)+AB53+AB60+AB67+SUM($T83:AB83)+$K92)</f>
        <v>1789223.4516410055</v>
      </c>
      <c r="AC92" s="377">
        <f>AC20*(SUM($T45:AC45)+AC53+AC60+AC67+SUM($T83:AC83)+$K92)</f>
        <v>1777946.83324831</v>
      </c>
      <c r="AD92" s="377">
        <f>AD20*(SUM($T45:AD45)+AD53+AD60+AD67+SUM($T83:AD83)+$K92)</f>
        <v>1766670.2148556146</v>
      </c>
      <c r="AE92" s="377">
        <f>AE20*(SUM($T45:AE45)+AE53+AE60+AE67+SUM($T83:AE83)+$K92)</f>
        <v>1755393.5964629191</v>
      </c>
      <c r="AF92" s="377">
        <f>AF20*(SUM($T45:AF45)+AF53+AF60+AF67+SUM($T83:AF83)+$K92)</f>
        <v>0</v>
      </c>
      <c r="AG92" s="377">
        <f>AG20*(SUM($T45:AG45)+AG53+AG60+AG67+SUM($T83:AG83)+$K92)</f>
        <v>0</v>
      </c>
      <c r="AH92" s="377">
        <f>AH20*(SUM($T45:AH45)+AH53+AH60+AH67+SUM($T83:AH83)+$K92)</f>
        <v>0</v>
      </c>
      <c r="AI92" s="377">
        <f>AI20*(SUM($T45:AI45)+AI53+AI60+AI67+SUM($T83:AI83)+$K92)</f>
        <v>0</v>
      </c>
      <c r="AJ92" s="377">
        <f>AJ20*(SUM($T45:AJ45)+AJ53+AJ60+AJ67+SUM($T83:AJ83)+$K92)</f>
        <v>0</v>
      </c>
      <c r="AK92" s="377">
        <f>AK20*(SUM($T45:AK45)+AK53+AK60+AK67+SUM($T83:AK83)+$K92)</f>
        <v>0</v>
      </c>
      <c r="AL92" s="377">
        <f>AL20*(SUM($T45:AL45)+AL53+AL60+AL67+SUM($T83:AL83)+$K92)</f>
        <v>0</v>
      </c>
      <c r="AM92" s="377">
        <f>AM20*(SUM($T45:AM45)+AM53+AM60+AM67+SUM($T83:AM83)+$K92)</f>
        <v>0</v>
      </c>
      <c r="AN92" s="377">
        <f>AN20*(SUM($T45:AN45)+AN53+AN60+AN67+SUM($T83:AN83)+$K92)</f>
        <v>0</v>
      </c>
      <c r="AO92" s="377">
        <f>AO20*(SUM($T45:AO45)+AO53+AO60+AO67+SUM($T83:AO83)+$K92)</f>
        <v>0</v>
      </c>
      <c r="AP92" s="377">
        <f>AP20*(SUM($T45:AP45)+AP53+AP60+AP67+SUM($T83:AP83)+$K92)</f>
        <v>0</v>
      </c>
      <c r="AQ92" s="377">
        <f>AQ20*(SUM($T45:AQ45)+AQ53+AQ60+AQ67+SUM($T83:AQ83)+$K92)</f>
        <v>0</v>
      </c>
      <c r="AR92" s="377">
        <f>AR20*(SUM($T45:AR45)+AR53+AR60+AR67+SUM($T83:AR83)+$K92)</f>
        <v>0</v>
      </c>
      <c r="AS92" s="377">
        <f>AS20*(SUM($T45:AS45)+AS53+AS60+AS67+SUM($T83:AS83)+$K92)</f>
        <v>0</v>
      </c>
      <c r="AT92" s="377">
        <f>AT20*(SUM($T45:AT45)+AT53+AT60+AT67+SUM($T83:AT83)+$K92)</f>
        <v>0</v>
      </c>
      <c r="AU92" s="377">
        <f>AU20*(SUM($T45:AU45)+AU53+AU60+AU67+SUM($T83:AU83)+$K92)</f>
        <v>0</v>
      </c>
      <c r="AV92" s="377">
        <f>AV20*(SUM($T45:AV45)+AV53+AV60+AV67+SUM($T83:AV83)+$K92)</f>
        <v>0</v>
      </c>
      <c r="AW92" s="377">
        <f>AW20*(SUM($T45:AW45)+AW53+AW60+AW67+SUM($T83:AW83)+$K92)</f>
        <v>0</v>
      </c>
      <c r="AX92" s="377">
        <f>AX20*(SUM($T45:AX45)+AX53+AX60+AX67+SUM($T83:AX83)+$K92)</f>
        <v>0</v>
      </c>
      <c r="AY92" s="377">
        <f>AY20*(SUM($T45:AY45)+AY53+AY60+AY67+SUM($T83:AY83)+$K92)</f>
        <v>0</v>
      </c>
      <c r="AZ92" s="377">
        <f>AZ20*(SUM($T45:AZ45)+AZ53+AZ60+AZ67+SUM($T83:AZ83)+$K92)</f>
        <v>0</v>
      </c>
      <c r="BA92" s="377">
        <f>BA20*(SUM($T45:BA45)+BA53+BA60+BA67+SUM($T83:BA83)+$K92)</f>
        <v>0</v>
      </c>
      <c r="BB92" s="377">
        <f>BB20*(SUM($T45:BB45)+BB53+BB60+BB67+SUM($T83:BB83)+$K92)</f>
        <v>0</v>
      </c>
      <c r="BC92" s="377">
        <f>BC20*(SUM($T45:BC45)+BC53+BC60+BC67+SUM($T83:BC83)+$K92)</f>
        <v>0</v>
      </c>
      <c r="BD92" s="377">
        <f>BD20*(SUM($T45:BD45)+BD53+BD60+BD67+SUM($T83:BD83)+$K92)</f>
        <v>0</v>
      </c>
      <c r="BE92" s="377">
        <f>BE20*(SUM($T45:BE45)+BE53+BE60+BE67+SUM($T83:BE83)+$K92)</f>
        <v>0</v>
      </c>
      <c r="BF92" s="377">
        <f>BF20*(SUM($T45:BF45)+BF53+BF60+BF67+SUM($T83:BF83)+$K92)</f>
        <v>0</v>
      </c>
      <c r="BG92" s="377">
        <f>BG20*(SUM($T45:BG45)+BG53+BG60+BG67+SUM($T83:BG83)+$K92)</f>
        <v>0</v>
      </c>
      <c r="BI92" s="296">
        <f t="shared" ref="BI92" si="36">SUM(T92:BG92)</f>
        <v>19929543.57269036</v>
      </c>
      <c r="BK92" s="296">
        <f>SUMPRODUCT(T92:BG92,T36:BG36)</f>
        <v>1755393.5964629191</v>
      </c>
    </row>
    <row r="93" spans="2:63">
      <c r="C93" s="99">
        <f>AA!C15</f>
        <v>3</v>
      </c>
      <c r="E93" s="94" t="str">
        <f>INDEX(AA!$AC$13:$AC$15,MATCH($C93,AA!$C$13:$C$15,0))</f>
        <v>backup</v>
      </c>
      <c r="G93" s="1325">
        <f>INDEX(AA!$E$13:$E$15,MATCH($C93,AA!$C$13:$C$15,0))</f>
        <v>1</v>
      </c>
      <c r="I93" s="73" t="s">
        <v>600</v>
      </c>
      <c r="K93" s="1325">
        <f t="shared" si="34"/>
        <v>1849150.8977256261</v>
      </c>
      <c r="L93" s="1325">
        <f t="shared" si="34"/>
        <v>1479320.7181805009</v>
      </c>
      <c r="M93" s="1325">
        <f t="shared" ref="M93" si="37">K93-L93</f>
        <v>369830.17954512523</v>
      </c>
      <c r="T93" s="377">
        <f>T21*(SUM($T46:T46)+T54+T61+T68+SUM($T84:T84)+$K93)</f>
        <v>0</v>
      </c>
      <c r="U93" s="377">
        <f>U21*(SUM($T46:U46)+U54+U61+U68+SUM($T84:U84)+$K93)</f>
        <v>0</v>
      </c>
      <c r="V93" s="377">
        <f>V21*(SUM($T46:V46)+V54+V61+V68+SUM($T84:V84)+$K93)</f>
        <v>1838055.9923392723</v>
      </c>
      <c r="W93" s="377">
        <f>W21*(SUM($T46:W46)+W54+W61+W68+SUM($T84:W84)+$K93)</f>
        <v>1826961.0869529187</v>
      </c>
      <c r="X93" s="377">
        <f>X21*(SUM($T46:X46)+X54+X61+X68+SUM($T84:X84)+$K93)</f>
        <v>1815866.1815665648</v>
      </c>
      <c r="Y93" s="377">
        <f>Y21*(SUM($T46:Y46)+Y54+Y61+Y68+SUM($T84:Y84)+$K93)</f>
        <v>1804771.276180211</v>
      </c>
      <c r="Z93" s="377">
        <f>Z21*(SUM($T46:Z46)+Z54+Z61+Z68+SUM($T84:Z84)+$K93)</f>
        <v>1793676.3707938574</v>
      </c>
      <c r="AA93" s="377">
        <f>AA21*(SUM($T46:AA46)+AA54+AA61+AA68+SUM($T84:AA84)+$K93)</f>
        <v>1782581.4654075035</v>
      </c>
      <c r="AB93" s="377">
        <f>AB21*(SUM($T46:AB46)+AB54+AB61+AB68+SUM($T84:AB84)+$K93)</f>
        <v>1771486.5600211499</v>
      </c>
      <c r="AC93" s="377">
        <f>AC21*(SUM($T46:AC46)+AC54+AC61+AC68+SUM($T84:AC84)+$K93)</f>
        <v>1760391.6546347961</v>
      </c>
      <c r="AD93" s="377">
        <f>AD21*(SUM($T46:AD46)+AD54+AD61+AD68+SUM($T84:AD84)+$K93)</f>
        <v>1749296.7492484422</v>
      </c>
      <c r="AE93" s="377">
        <f>AE21*(SUM($T46:AE46)+AE54+AE61+AE68+SUM($T84:AE84)+$K93)</f>
        <v>1738201.8438620886</v>
      </c>
      <c r="AF93" s="377">
        <f>AF21*(SUM($T46:AF46)+AF54+AF61+AF68+SUM($T84:AF84)+$K93)</f>
        <v>0</v>
      </c>
      <c r="AG93" s="377">
        <f>AG21*(SUM($T46:AG46)+AG54+AG61+AG68+SUM($T84:AG84)+$K93)</f>
        <v>0</v>
      </c>
      <c r="AH93" s="377">
        <f>AH21*(SUM($T46:AH46)+AH54+AH61+AH68+SUM($T84:AH84)+$K93)</f>
        <v>0</v>
      </c>
      <c r="AI93" s="377">
        <f>AI21*(SUM($T46:AI46)+AI54+AI61+AI68+SUM($T84:AI84)+$K93)</f>
        <v>0</v>
      </c>
      <c r="AJ93" s="377">
        <f>AJ21*(SUM($T46:AJ46)+AJ54+AJ61+AJ68+SUM($T84:AJ84)+$K93)</f>
        <v>0</v>
      </c>
      <c r="AK93" s="377">
        <f>AK21*(SUM($T46:AK46)+AK54+AK61+AK68+SUM($T84:AK84)+$K93)</f>
        <v>0</v>
      </c>
      <c r="AL93" s="377">
        <f>AL21*(SUM($T46:AL46)+AL54+AL61+AL68+SUM($T84:AL84)+$K93)</f>
        <v>0</v>
      </c>
      <c r="AM93" s="377">
        <f>AM21*(SUM($T46:AM46)+AM54+AM61+AM68+SUM($T84:AM84)+$K93)</f>
        <v>0</v>
      </c>
      <c r="AN93" s="377">
        <f>AN21*(SUM($T46:AN46)+AN54+AN61+AN68+SUM($T84:AN84)+$K93)</f>
        <v>0</v>
      </c>
      <c r="AO93" s="377">
        <f>AO21*(SUM($T46:AO46)+AO54+AO61+AO68+SUM($T84:AO84)+$K93)</f>
        <v>0</v>
      </c>
      <c r="AP93" s="377">
        <f>AP21*(SUM($T46:AP46)+AP54+AP61+AP68+SUM($T84:AP84)+$K93)</f>
        <v>0</v>
      </c>
      <c r="AQ93" s="377">
        <f>AQ21*(SUM($T46:AQ46)+AQ54+AQ61+AQ68+SUM($T84:AQ84)+$K93)</f>
        <v>0</v>
      </c>
      <c r="AR93" s="377">
        <f>AR21*(SUM($T46:AR46)+AR54+AR61+AR68+SUM($T84:AR84)+$K93)</f>
        <v>0</v>
      </c>
      <c r="AS93" s="377">
        <f>AS21*(SUM($T46:AS46)+AS54+AS61+AS68+SUM($T84:AS84)+$K93)</f>
        <v>0</v>
      </c>
      <c r="AT93" s="377">
        <f>AT21*(SUM($T46:AT46)+AT54+AT61+AT68+SUM($T84:AT84)+$K93)</f>
        <v>0</v>
      </c>
      <c r="AU93" s="377">
        <f>AU21*(SUM($T46:AU46)+AU54+AU61+AU68+SUM($T84:AU84)+$K93)</f>
        <v>0</v>
      </c>
      <c r="AV93" s="377">
        <f>AV21*(SUM($T46:AV46)+AV54+AV61+AV68+SUM($T84:AV84)+$K93)</f>
        <v>0</v>
      </c>
      <c r="AW93" s="377">
        <f>AW21*(SUM($T46:AW46)+AW54+AW61+AW68+SUM($T84:AW84)+$K93)</f>
        <v>0</v>
      </c>
      <c r="AX93" s="377">
        <f>AX21*(SUM($T46:AX46)+AX54+AX61+AX68+SUM($T84:AX84)+$K93)</f>
        <v>0</v>
      </c>
      <c r="AY93" s="377">
        <f>AY21*(SUM($T46:AY46)+AY54+AY61+AY68+SUM($T84:AY84)+$K93)</f>
        <v>0</v>
      </c>
      <c r="AZ93" s="377">
        <f>AZ21*(SUM($T46:AZ46)+AZ54+AZ61+AZ68+SUM($T84:AZ84)+$K93)</f>
        <v>0</v>
      </c>
      <c r="BA93" s="377">
        <f>BA21*(SUM($T46:BA46)+BA54+BA61+BA68+SUM($T84:BA84)+$K93)</f>
        <v>0</v>
      </c>
      <c r="BB93" s="377">
        <f>BB21*(SUM($T46:BB46)+BB54+BB61+BB68+SUM($T84:BB84)+$K93)</f>
        <v>0</v>
      </c>
      <c r="BC93" s="377">
        <f>BC21*(SUM($T46:BC46)+BC54+BC61+BC68+SUM($T84:BC84)+$K93)</f>
        <v>0</v>
      </c>
      <c r="BD93" s="377">
        <f>BD21*(SUM($T46:BD46)+BD54+BD61+BD68+SUM($T84:BD84)+$K93)</f>
        <v>0</v>
      </c>
      <c r="BE93" s="377">
        <f>BE21*(SUM($T46:BE46)+BE54+BE61+BE68+SUM($T84:BE84)+$K93)</f>
        <v>0</v>
      </c>
      <c r="BF93" s="377">
        <f>BF21*(SUM($T46:BF46)+BF54+BF61+BF68+SUM($T84:BF84)+$K93)</f>
        <v>0</v>
      </c>
      <c r="BG93" s="377">
        <f>BG21*(SUM($T46:BG46)+BG54+BG61+BG68+SUM($T84:BG84)+$K93)</f>
        <v>0</v>
      </c>
      <c r="BI93" s="296">
        <f t="shared" ref="BI93" si="38">SUM(T93:BG93)</f>
        <v>17881289.181006804</v>
      </c>
      <c r="BK93" s="296">
        <f>SUMPRODUCT(T93:BG93,T37:BG37)</f>
        <v>1738201.8438620886</v>
      </c>
    </row>
    <row r="94" spans="2:63">
      <c r="C94" s="269"/>
      <c r="E94" s="269"/>
      <c r="G94" s="269"/>
      <c r="I94" s="269"/>
      <c r="K94" s="269"/>
      <c r="L94" s="269"/>
      <c r="M94" s="269"/>
      <c r="BI94" s="269"/>
      <c r="BK94" s="269"/>
    </row>
    <row r="96" spans="2:63" s="90" customFormat="1">
      <c r="B96" s="91">
        <f ca="1">MAX(A$1:$B95)+1</f>
        <v>11</v>
      </c>
      <c r="C96" s="92" t="s">
        <v>555</v>
      </c>
    </row>
    <row r="97" spans="2:63">
      <c r="B97" s="228"/>
      <c r="C97" s="229"/>
    </row>
    <row r="98" spans="2:63">
      <c r="K98" s="226" t="s">
        <v>541</v>
      </c>
      <c r="L98" s="225"/>
      <c r="M98" s="225"/>
    </row>
    <row r="99" spans="2:63" ht="30">
      <c r="C99" s="97" t="s">
        <v>4</v>
      </c>
      <c r="E99" s="97" t="s">
        <v>6</v>
      </c>
      <c r="G99" s="101" t="s">
        <v>272</v>
      </c>
      <c r="I99" s="101" t="s">
        <v>150</v>
      </c>
      <c r="K99" s="97" t="s">
        <v>534</v>
      </c>
      <c r="L99" s="97" t="s">
        <v>556</v>
      </c>
      <c r="M99" s="97" t="s">
        <v>555</v>
      </c>
      <c r="BI99" s="327" t="s">
        <v>152</v>
      </c>
      <c r="BK99" s="372"/>
    </row>
    <row r="100" spans="2:63">
      <c r="C100" s="99">
        <f>AA!C13</f>
        <v>1</v>
      </c>
      <c r="E100" s="93" t="str">
        <f>INDEX(AA!$AC$13:$AC$15,MATCH($C100,AA!$C$13:$C$15,0))</f>
        <v>backup</v>
      </c>
      <c r="G100" s="1324">
        <f>INDEX(AA!$E$13:$E$15,MATCH($C100,AA!$C$13:$C$15,0))</f>
        <v>1</v>
      </c>
      <c r="I100" s="72" t="s">
        <v>555</v>
      </c>
      <c r="K100" s="1324">
        <f>(PCF!P233+PCF!BI243+PCF!BI253)*(1-GA!$G$484-GA!$G$485)</f>
        <v>1225607.6423418741</v>
      </c>
      <c r="L100" s="1324">
        <f>BK91</f>
        <v>1786829.388840395</v>
      </c>
      <c r="M100" s="1324">
        <f>K100-L100</f>
        <v>-561221.74649852095</v>
      </c>
      <c r="T100" s="377">
        <f t="shared" ref="T100:BG100" si="39">$M100*T35</f>
        <v>0</v>
      </c>
      <c r="U100" s="377">
        <f t="shared" si="39"/>
        <v>0</v>
      </c>
      <c r="V100" s="377">
        <f t="shared" si="39"/>
        <v>0</v>
      </c>
      <c r="W100" s="377">
        <f t="shared" si="39"/>
        <v>0</v>
      </c>
      <c r="X100" s="377">
        <f t="shared" si="39"/>
        <v>0</v>
      </c>
      <c r="Y100" s="377">
        <f t="shared" si="39"/>
        <v>0</v>
      </c>
      <c r="Z100" s="377">
        <f t="shared" si="39"/>
        <v>0</v>
      </c>
      <c r="AA100" s="377">
        <f t="shared" si="39"/>
        <v>0</v>
      </c>
      <c r="AB100" s="377">
        <f t="shared" si="39"/>
        <v>0</v>
      </c>
      <c r="AC100" s="377">
        <f t="shared" si="39"/>
        <v>0</v>
      </c>
      <c r="AD100" s="377">
        <f t="shared" si="39"/>
        <v>0</v>
      </c>
      <c r="AE100" s="377">
        <f t="shared" si="39"/>
        <v>-561221.74649852095</v>
      </c>
      <c r="AF100" s="377">
        <f t="shared" si="39"/>
        <v>0</v>
      </c>
      <c r="AG100" s="377">
        <f t="shared" si="39"/>
        <v>0</v>
      </c>
      <c r="AH100" s="377">
        <f t="shared" si="39"/>
        <v>0</v>
      </c>
      <c r="AI100" s="377">
        <f t="shared" si="39"/>
        <v>0</v>
      </c>
      <c r="AJ100" s="377">
        <f t="shared" si="39"/>
        <v>0</v>
      </c>
      <c r="AK100" s="377">
        <f t="shared" si="39"/>
        <v>0</v>
      </c>
      <c r="AL100" s="377">
        <f t="shared" si="39"/>
        <v>0</v>
      </c>
      <c r="AM100" s="377">
        <f t="shared" si="39"/>
        <v>0</v>
      </c>
      <c r="AN100" s="377">
        <f t="shared" si="39"/>
        <v>0</v>
      </c>
      <c r="AO100" s="377">
        <f t="shared" si="39"/>
        <v>0</v>
      </c>
      <c r="AP100" s="377">
        <f t="shared" si="39"/>
        <v>0</v>
      </c>
      <c r="AQ100" s="377">
        <f t="shared" si="39"/>
        <v>0</v>
      </c>
      <c r="AR100" s="377">
        <f t="shared" si="39"/>
        <v>0</v>
      </c>
      <c r="AS100" s="377">
        <f t="shared" si="39"/>
        <v>0</v>
      </c>
      <c r="AT100" s="377">
        <f t="shared" si="39"/>
        <v>0</v>
      </c>
      <c r="AU100" s="377">
        <f t="shared" si="39"/>
        <v>0</v>
      </c>
      <c r="AV100" s="377">
        <f t="shared" si="39"/>
        <v>0</v>
      </c>
      <c r="AW100" s="377">
        <f t="shared" si="39"/>
        <v>0</v>
      </c>
      <c r="AX100" s="377">
        <f t="shared" si="39"/>
        <v>0</v>
      </c>
      <c r="AY100" s="377">
        <f t="shared" si="39"/>
        <v>0</v>
      </c>
      <c r="AZ100" s="377">
        <f t="shared" si="39"/>
        <v>0</v>
      </c>
      <c r="BA100" s="377">
        <f t="shared" si="39"/>
        <v>0</v>
      </c>
      <c r="BB100" s="377">
        <f t="shared" si="39"/>
        <v>0</v>
      </c>
      <c r="BC100" s="377">
        <f t="shared" si="39"/>
        <v>0</v>
      </c>
      <c r="BD100" s="377">
        <f t="shared" si="39"/>
        <v>0</v>
      </c>
      <c r="BE100" s="377">
        <f t="shared" si="39"/>
        <v>0</v>
      </c>
      <c r="BF100" s="377">
        <f t="shared" si="39"/>
        <v>0</v>
      </c>
      <c r="BG100" s="377">
        <f t="shared" si="39"/>
        <v>0</v>
      </c>
      <c r="BI100" s="295">
        <f>SUM(T100:BG100)</f>
        <v>-561221.74649852095</v>
      </c>
      <c r="BK100" s="103"/>
    </row>
    <row r="101" spans="2:63">
      <c r="C101" s="99">
        <f>AA!C14</f>
        <v>2</v>
      </c>
      <c r="E101" s="94" t="str">
        <f>INDEX(AA!$AC$13:$AC$15,MATCH($C101,AA!$C$13:$C$15,0))</f>
        <v>backup</v>
      </c>
      <c r="G101" s="1325">
        <f>INDEX(AA!$E$13:$E$15,MATCH($C101,AA!$C$13:$C$15,0))</f>
        <v>1</v>
      </c>
      <c r="I101" s="73" t="s">
        <v>555</v>
      </c>
      <c r="K101" s="1325">
        <f>(PCF!P234+PCF!BI244+PCF!BI254)*(1-GA!$G$484-GA!$G$485)</f>
        <v>1225607.6423418741</v>
      </c>
      <c r="L101" s="1325">
        <f>BK92</f>
        <v>1755393.5964629191</v>
      </c>
      <c r="M101" s="1325">
        <f t="shared" ref="M101" si="40">K101-L101</f>
        <v>-529785.95412104507</v>
      </c>
      <c r="T101" s="377">
        <f t="shared" ref="T101:BG101" si="41">$M101*T36</f>
        <v>0</v>
      </c>
      <c r="U101" s="377">
        <f t="shared" si="41"/>
        <v>0</v>
      </c>
      <c r="V101" s="377">
        <f t="shared" si="41"/>
        <v>0</v>
      </c>
      <c r="W101" s="377">
        <f t="shared" si="41"/>
        <v>0</v>
      </c>
      <c r="X101" s="377">
        <f t="shared" si="41"/>
        <v>0</v>
      </c>
      <c r="Y101" s="377">
        <f t="shared" si="41"/>
        <v>0</v>
      </c>
      <c r="Z101" s="377">
        <f t="shared" si="41"/>
        <v>0</v>
      </c>
      <c r="AA101" s="377">
        <f t="shared" si="41"/>
        <v>0</v>
      </c>
      <c r="AB101" s="377">
        <f t="shared" si="41"/>
        <v>0</v>
      </c>
      <c r="AC101" s="377">
        <f t="shared" si="41"/>
        <v>0</v>
      </c>
      <c r="AD101" s="377">
        <f t="shared" si="41"/>
        <v>0</v>
      </c>
      <c r="AE101" s="377">
        <f t="shared" si="41"/>
        <v>-529785.95412104507</v>
      </c>
      <c r="AF101" s="377">
        <f t="shared" si="41"/>
        <v>0</v>
      </c>
      <c r="AG101" s="377">
        <f t="shared" si="41"/>
        <v>0</v>
      </c>
      <c r="AH101" s="377">
        <f t="shared" si="41"/>
        <v>0</v>
      </c>
      <c r="AI101" s="377">
        <f t="shared" si="41"/>
        <v>0</v>
      </c>
      <c r="AJ101" s="377">
        <f t="shared" si="41"/>
        <v>0</v>
      </c>
      <c r="AK101" s="377">
        <f t="shared" si="41"/>
        <v>0</v>
      </c>
      <c r="AL101" s="377">
        <f t="shared" si="41"/>
        <v>0</v>
      </c>
      <c r="AM101" s="377">
        <f t="shared" si="41"/>
        <v>0</v>
      </c>
      <c r="AN101" s="377">
        <f t="shared" si="41"/>
        <v>0</v>
      </c>
      <c r="AO101" s="377">
        <f t="shared" si="41"/>
        <v>0</v>
      </c>
      <c r="AP101" s="377">
        <f t="shared" si="41"/>
        <v>0</v>
      </c>
      <c r="AQ101" s="377">
        <f t="shared" si="41"/>
        <v>0</v>
      </c>
      <c r="AR101" s="377">
        <f t="shared" si="41"/>
        <v>0</v>
      </c>
      <c r="AS101" s="377">
        <f t="shared" si="41"/>
        <v>0</v>
      </c>
      <c r="AT101" s="377">
        <f t="shared" si="41"/>
        <v>0</v>
      </c>
      <c r="AU101" s="377">
        <f t="shared" si="41"/>
        <v>0</v>
      </c>
      <c r="AV101" s="377">
        <f t="shared" si="41"/>
        <v>0</v>
      </c>
      <c r="AW101" s="377">
        <f t="shared" si="41"/>
        <v>0</v>
      </c>
      <c r="AX101" s="377">
        <f t="shared" si="41"/>
        <v>0</v>
      </c>
      <c r="AY101" s="377">
        <f t="shared" si="41"/>
        <v>0</v>
      </c>
      <c r="AZ101" s="377">
        <f t="shared" si="41"/>
        <v>0</v>
      </c>
      <c r="BA101" s="377">
        <f t="shared" si="41"/>
        <v>0</v>
      </c>
      <c r="BB101" s="377">
        <f t="shared" si="41"/>
        <v>0</v>
      </c>
      <c r="BC101" s="377">
        <f t="shared" si="41"/>
        <v>0</v>
      </c>
      <c r="BD101" s="377">
        <f t="shared" si="41"/>
        <v>0</v>
      </c>
      <c r="BE101" s="377">
        <f t="shared" si="41"/>
        <v>0</v>
      </c>
      <c r="BF101" s="377">
        <f t="shared" si="41"/>
        <v>0</v>
      </c>
      <c r="BG101" s="377">
        <f t="shared" si="41"/>
        <v>0</v>
      </c>
      <c r="BI101" s="296">
        <f t="shared" ref="BI101" si="42">SUM(T101:BG101)</f>
        <v>-529785.95412104507</v>
      </c>
      <c r="BK101" s="103"/>
    </row>
    <row r="102" spans="2:63">
      <c r="C102" s="99">
        <f>AA!C15</f>
        <v>3</v>
      </c>
      <c r="E102" s="94" t="str">
        <f>INDEX(AA!$AC$13:$AC$15,MATCH($C102,AA!$C$13:$C$15,0))</f>
        <v>backup</v>
      </c>
      <c r="G102" s="1325">
        <f>INDEX(AA!$E$13:$E$15,MATCH($C102,AA!$C$13:$C$15,0))</f>
        <v>1</v>
      </c>
      <c r="I102" s="73" t="s">
        <v>555</v>
      </c>
      <c r="K102" s="1325">
        <f>(PCF!P235+PCF!BI245+PCF!BI255)*(1-GA!$G$484-GA!$G$485)</f>
        <v>1225607.6423418741</v>
      </c>
      <c r="L102" s="1325">
        <f>BK93</f>
        <v>1738201.8438620886</v>
      </c>
      <c r="M102" s="1325">
        <f t="shared" ref="M102" si="43">K102-L102</f>
        <v>-512594.20152021456</v>
      </c>
      <c r="T102" s="377">
        <f t="shared" ref="T102:BG102" si="44">$M102*T37</f>
        <v>0</v>
      </c>
      <c r="U102" s="377">
        <f t="shared" si="44"/>
        <v>0</v>
      </c>
      <c r="V102" s="377">
        <f t="shared" si="44"/>
        <v>0</v>
      </c>
      <c r="W102" s="377">
        <f t="shared" si="44"/>
        <v>0</v>
      </c>
      <c r="X102" s="377">
        <f t="shared" si="44"/>
        <v>0</v>
      </c>
      <c r="Y102" s="377">
        <f t="shared" si="44"/>
        <v>0</v>
      </c>
      <c r="Z102" s="377">
        <f t="shared" si="44"/>
        <v>0</v>
      </c>
      <c r="AA102" s="377">
        <f t="shared" si="44"/>
        <v>0</v>
      </c>
      <c r="AB102" s="377">
        <f t="shared" si="44"/>
        <v>0</v>
      </c>
      <c r="AC102" s="377">
        <f t="shared" si="44"/>
        <v>0</v>
      </c>
      <c r="AD102" s="377">
        <f t="shared" si="44"/>
        <v>0</v>
      </c>
      <c r="AE102" s="377">
        <f t="shared" si="44"/>
        <v>-512594.20152021456</v>
      </c>
      <c r="AF102" s="377">
        <f t="shared" si="44"/>
        <v>0</v>
      </c>
      <c r="AG102" s="377">
        <f t="shared" si="44"/>
        <v>0</v>
      </c>
      <c r="AH102" s="377">
        <f t="shared" si="44"/>
        <v>0</v>
      </c>
      <c r="AI102" s="377">
        <f t="shared" si="44"/>
        <v>0</v>
      </c>
      <c r="AJ102" s="377">
        <f t="shared" si="44"/>
        <v>0</v>
      </c>
      <c r="AK102" s="377">
        <f t="shared" si="44"/>
        <v>0</v>
      </c>
      <c r="AL102" s="377">
        <f t="shared" si="44"/>
        <v>0</v>
      </c>
      <c r="AM102" s="377">
        <f t="shared" si="44"/>
        <v>0</v>
      </c>
      <c r="AN102" s="377">
        <f t="shared" si="44"/>
        <v>0</v>
      </c>
      <c r="AO102" s="377">
        <f t="shared" si="44"/>
        <v>0</v>
      </c>
      <c r="AP102" s="377">
        <f t="shared" si="44"/>
        <v>0</v>
      </c>
      <c r="AQ102" s="377">
        <f t="shared" si="44"/>
        <v>0</v>
      </c>
      <c r="AR102" s="377">
        <f t="shared" si="44"/>
        <v>0</v>
      </c>
      <c r="AS102" s="377">
        <f t="shared" si="44"/>
        <v>0</v>
      </c>
      <c r="AT102" s="377">
        <f t="shared" si="44"/>
        <v>0</v>
      </c>
      <c r="AU102" s="377">
        <f t="shared" si="44"/>
        <v>0</v>
      </c>
      <c r="AV102" s="377">
        <f t="shared" si="44"/>
        <v>0</v>
      </c>
      <c r="AW102" s="377">
        <f t="shared" si="44"/>
        <v>0</v>
      </c>
      <c r="AX102" s="377">
        <f t="shared" si="44"/>
        <v>0</v>
      </c>
      <c r="AY102" s="377">
        <f t="shared" si="44"/>
        <v>0</v>
      </c>
      <c r="AZ102" s="377">
        <f t="shared" si="44"/>
        <v>0</v>
      </c>
      <c r="BA102" s="377">
        <f t="shared" si="44"/>
        <v>0</v>
      </c>
      <c r="BB102" s="377">
        <f t="shared" si="44"/>
        <v>0</v>
      </c>
      <c r="BC102" s="377">
        <f t="shared" si="44"/>
        <v>0</v>
      </c>
      <c r="BD102" s="377">
        <f t="shared" si="44"/>
        <v>0</v>
      </c>
      <c r="BE102" s="377">
        <f t="shared" si="44"/>
        <v>0</v>
      </c>
      <c r="BF102" s="377">
        <f t="shared" si="44"/>
        <v>0</v>
      </c>
      <c r="BG102" s="377">
        <f t="shared" si="44"/>
        <v>0</v>
      </c>
      <c r="BI102" s="296">
        <f t="shared" ref="BI102" si="45">SUM(T102:BG102)</f>
        <v>-512594.20152021456</v>
      </c>
      <c r="BK102" s="103"/>
    </row>
    <row r="103" spans="2:63">
      <c r="C103" s="269"/>
      <c r="E103" s="269"/>
      <c r="G103" s="269"/>
      <c r="I103" s="269"/>
      <c r="K103" s="269"/>
      <c r="L103" s="269"/>
      <c r="M103" s="269"/>
      <c r="BI103" s="269"/>
      <c r="BK103" s="269"/>
    </row>
    <row r="105" spans="2:63" s="90" customFormat="1">
      <c r="B105" s="91">
        <f ca="1">MAX(A$1:$B104)+1</f>
        <v>12</v>
      </c>
      <c r="C105" s="92" t="s">
        <v>522</v>
      </c>
    </row>
    <row r="107" spans="2:63" ht="30">
      <c r="C107" s="97" t="s">
        <v>4</v>
      </c>
      <c r="E107" s="97" t="s">
        <v>6</v>
      </c>
      <c r="G107" s="101" t="s">
        <v>272</v>
      </c>
      <c r="I107" s="101" t="s">
        <v>150</v>
      </c>
      <c r="K107" s="255" t="s">
        <v>557</v>
      </c>
      <c r="BI107" s="327" t="s">
        <v>152</v>
      </c>
      <c r="BK107" s="327" t="s">
        <v>558</v>
      </c>
    </row>
    <row r="108" spans="2:63">
      <c r="C108" s="99">
        <f>AA!C13</f>
        <v>1</v>
      </c>
      <c r="E108" s="93" t="str">
        <f>INDEX(AA!$AC$13:$AC$15,MATCH($C108,AA!$C$13:$C$15,0))</f>
        <v>backup</v>
      </c>
      <c r="G108" s="1324">
        <f>INDEX(AA!$E$13:$E$15,MATCH($C108,AA!$C$13:$C$15,0))</f>
        <v>1</v>
      </c>
      <c r="I108" s="72" t="s">
        <v>522</v>
      </c>
      <c r="T108" s="403">
        <f>PCF!T132+PCF!T139+PCF!T146+PCF!T225+T100</f>
        <v>21695.073049514012</v>
      </c>
      <c r="U108" s="403">
        <f>PCF!U132+PCF!U139+PCF!U146+PCF!U225+U100</f>
        <v>21734.296408253449</v>
      </c>
      <c r="V108" s="403">
        <f>PCF!V132+PCF!V139+PCF!V146+PCF!V225+V100</f>
        <v>21773.573049179355</v>
      </c>
      <c r="W108" s="403">
        <f>PCF!W132+PCF!W139+PCF!W146+PCF!W225+W100</f>
        <v>21812.902972381144</v>
      </c>
      <c r="X108" s="403">
        <f>PCF!X132+PCF!X139+PCF!X146+PCF!X225+X100</f>
        <v>21852.28617745444</v>
      </c>
      <c r="Y108" s="403">
        <f>PCF!Y132+PCF!Y139+PCF!Y146+PCF!Y225+Y100</f>
        <v>21891.722663497643</v>
      </c>
      <c r="Z108" s="403">
        <f>PCF!Z132+PCF!Z139+PCF!Z146+PCF!Z225+Z100</f>
        <v>21931.212429108597</v>
      </c>
      <c r="AA108" s="403">
        <f>PCF!AA132+PCF!AA139+PCF!AA146+PCF!AA225+AA100</f>
        <v>21970.755472381134</v>
      </c>
      <c r="AB108" s="403">
        <f>PCF!AB132+PCF!AB139+PCF!AB146+PCF!AB225+AB100</f>
        <v>22010.351790901655</v>
      </c>
      <c r="AC108" s="403">
        <f>PCF!AC132+PCF!AC139+PCF!AC146+PCF!AC225+AC100</f>
        <v>22050.001381745675</v>
      </c>
      <c r="AD108" s="403">
        <f>PCF!AD132+PCF!AD139+PCF!AD146+PCF!AD225+AD100</f>
        <v>22089.704241474385</v>
      </c>
      <c r="AE108" s="403">
        <f>PCF!AE132+PCF!AE139+PCF!AE146+PCF!AE225+AE100</f>
        <v>-539092.2861323898</v>
      </c>
      <c r="AF108" s="403">
        <f>PCF!AF132+PCF!AF139+PCF!AF146+PCF!AF225+AF100</f>
        <v>0</v>
      </c>
      <c r="AG108" s="403">
        <f>PCF!AG132+PCF!AG139+PCF!AG146+PCF!AG225+AG100</f>
        <v>0</v>
      </c>
      <c r="AH108" s="403">
        <f>PCF!AH132+PCF!AH139+PCF!AH146+PCF!AH225+AH100</f>
        <v>0</v>
      </c>
      <c r="AI108" s="403">
        <f>PCF!AI132+PCF!AI139+PCF!AI146+PCF!AI225+AI100</f>
        <v>0</v>
      </c>
      <c r="AJ108" s="403">
        <f>PCF!AJ132+PCF!AJ139+PCF!AJ146+PCF!AJ225+AJ100</f>
        <v>0</v>
      </c>
      <c r="AK108" s="403">
        <f>PCF!AK132+PCF!AK139+PCF!AK146+PCF!AK225+AK100</f>
        <v>0</v>
      </c>
      <c r="AL108" s="403">
        <f>PCF!AL132+PCF!AL139+PCF!AL146+PCF!AL225+AL100</f>
        <v>0</v>
      </c>
      <c r="AM108" s="403">
        <f>PCF!AM132+PCF!AM139+PCF!AM146+PCF!AM225+AM100</f>
        <v>0</v>
      </c>
      <c r="AN108" s="403">
        <f>PCF!AN132+PCF!AN139+PCF!AN146+PCF!AN225+AN100</f>
        <v>0</v>
      </c>
      <c r="AO108" s="403">
        <f>PCF!AO132+PCF!AO139+PCF!AO146+PCF!AO225+AO100</f>
        <v>0</v>
      </c>
      <c r="AP108" s="403">
        <f>PCF!AP132+PCF!AP139+PCF!AP146+PCF!AP225+AP100</f>
        <v>0</v>
      </c>
      <c r="AQ108" s="403">
        <f>PCF!AQ132+PCF!AQ139+PCF!AQ146+PCF!AQ225+AQ100</f>
        <v>0</v>
      </c>
      <c r="AR108" s="403">
        <f>PCF!AR132+PCF!AR139+PCF!AR146+PCF!AR225+AR100</f>
        <v>0</v>
      </c>
      <c r="AS108" s="403">
        <f>PCF!AS132+PCF!AS139+PCF!AS146+PCF!AS225+AS100</f>
        <v>0</v>
      </c>
      <c r="AT108" s="403">
        <f>PCF!AT132+PCF!AT139+PCF!AT146+PCF!AT225+AT100</f>
        <v>0</v>
      </c>
      <c r="AU108" s="403">
        <f>PCF!AU132+PCF!AU139+PCF!AU146+PCF!AU225+AU100</f>
        <v>0</v>
      </c>
      <c r="AV108" s="403">
        <f>PCF!AV132+PCF!AV139+PCF!AV146+PCF!AV225+AV100</f>
        <v>0</v>
      </c>
      <c r="AW108" s="403">
        <f>PCF!AW132+PCF!AW139+PCF!AW146+PCF!AW225+AW100</f>
        <v>0</v>
      </c>
      <c r="AX108" s="403">
        <f>PCF!AX132+PCF!AX139+PCF!AX146+PCF!AX225+AX100</f>
        <v>0</v>
      </c>
      <c r="AY108" s="403">
        <f>PCF!AY132+PCF!AY139+PCF!AY146+PCF!AY225+AY100</f>
        <v>0</v>
      </c>
      <c r="AZ108" s="403">
        <f>PCF!AZ132+PCF!AZ139+PCF!AZ146+PCF!AZ225+AZ100</f>
        <v>0</v>
      </c>
      <c r="BA108" s="403">
        <f>PCF!BA132+PCF!BA139+PCF!BA146+PCF!BA225+BA100</f>
        <v>0</v>
      </c>
      <c r="BB108" s="403">
        <f>PCF!BB132+PCF!BB139+PCF!BB146+PCF!BB225+BB100</f>
        <v>0</v>
      </c>
      <c r="BC108" s="403">
        <f>PCF!BC132+PCF!BC139+PCF!BC146+PCF!BC225+BC100</f>
        <v>0</v>
      </c>
      <c r="BD108" s="403">
        <f>PCF!BD132+PCF!BD139+PCF!BD146+PCF!BD225+BD100</f>
        <v>0</v>
      </c>
      <c r="BE108" s="403">
        <f>PCF!BE132+PCF!BE139+PCF!BE146+PCF!BE225+BE100</f>
        <v>0</v>
      </c>
      <c r="BF108" s="403">
        <f>PCF!BF132+PCF!BF139+PCF!BF146+PCF!BF225+BF100</f>
        <v>0</v>
      </c>
      <c r="BG108" s="403">
        <f>PCF!BG132+PCF!BG139+PCF!BG146+PCF!BG225+BG100</f>
        <v>0</v>
      </c>
      <c r="BI108" s="295">
        <f>SUM(T108:BG108)</f>
        <v>-298280.40649649827</v>
      </c>
      <c r="BK108" s="295">
        <f>SUMPRODUCT(T108:BG108,T35:BG35)</f>
        <v>-539092.2861323898</v>
      </c>
    </row>
    <row r="109" spans="2:63">
      <c r="C109" s="99">
        <f>AA!C14</f>
        <v>2</v>
      </c>
      <c r="E109" s="94" t="str">
        <f>INDEX(AA!$AC$13:$AC$15,MATCH($C109,AA!$C$13:$C$15,0))</f>
        <v>backup</v>
      </c>
      <c r="G109" s="1325">
        <f>INDEX(AA!$E$13:$E$15,MATCH($C109,AA!$C$13:$C$15,0))</f>
        <v>1</v>
      </c>
      <c r="I109" s="73" t="s">
        <v>522</v>
      </c>
      <c r="T109" s="403">
        <f>PCF!T133+PCF!T140+PCF!T147+PCF!T226+T101</f>
        <v>0</v>
      </c>
      <c r="U109" s="403">
        <f>PCF!U133+PCF!U140+PCF!U147+PCF!U226+U101</f>
        <v>21217.688614364841</v>
      </c>
      <c r="V109" s="403">
        <f>PCF!V133+PCF!V140+PCF!V147+PCF!V226+V101</f>
        <v>21256.403378984731</v>
      </c>
      <c r="W109" s="403">
        <f>PCF!W133+PCF!W140+PCF!W147+PCF!W226+W101</f>
        <v>21295.17270091307</v>
      </c>
      <c r="X109" s="403">
        <f>PCF!X133+PCF!X140+PCF!X147+PCF!X226+X101</f>
        <v>21333.996593671265</v>
      </c>
      <c r="Y109" s="403">
        <f>PCF!Y133+PCF!Y140+PCF!Y147+PCF!Y226+Y101</f>
        <v>21372.875070366827</v>
      </c>
      <c r="Z109" s="403">
        <f>PCF!Z133+PCF!Z140+PCF!Z147+PCF!Z226+Z101</f>
        <v>21411.808143690458</v>
      </c>
      <c r="AA109" s="403">
        <f>PCF!AA133+PCF!AA140+PCF!AA147+PCF!AA226+AA101</f>
        <v>21450.795825913065</v>
      </c>
      <c r="AB109" s="403">
        <f>PCF!AB133+PCF!AB140+PCF!AB147+PCF!AB226+AB101</f>
        <v>21489.838128882748</v>
      </c>
      <c r="AC109" s="403">
        <f>PCF!AC133+PCF!AC140+PCF!AC147+PCF!AC226+AC101</f>
        <v>21528.935064021847</v>
      </c>
      <c r="AD109" s="403">
        <f>PCF!AD133+PCF!AD140+PCF!AD147+PCF!AD226+AD101</f>
        <v>21568.086642323888</v>
      </c>
      <c r="AE109" s="403">
        <f>PCF!AE133+PCF!AE140+PCF!AE147+PCF!AE226+AE101</f>
        <v>-508178.66124669451</v>
      </c>
      <c r="AF109" s="403">
        <f>PCF!AF133+PCF!AF140+PCF!AF147+PCF!AF226+AF101</f>
        <v>0</v>
      </c>
      <c r="AG109" s="403">
        <f>PCF!AG133+PCF!AG140+PCF!AG147+PCF!AG226+AG101</f>
        <v>0</v>
      </c>
      <c r="AH109" s="403">
        <f>PCF!AH133+PCF!AH140+PCF!AH147+PCF!AH226+AH101</f>
        <v>0</v>
      </c>
      <c r="AI109" s="403">
        <f>PCF!AI133+PCF!AI140+PCF!AI147+PCF!AI226+AI101</f>
        <v>0</v>
      </c>
      <c r="AJ109" s="403">
        <f>PCF!AJ133+PCF!AJ140+PCF!AJ147+PCF!AJ226+AJ101</f>
        <v>0</v>
      </c>
      <c r="AK109" s="403">
        <f>PCF!AK133+PCF!AK140+PCF!AK147+PCF!AK226+AK101</f>
        <v>0</v>
      </c>
      <c r="AL109" s="403">
        <f>PCF!AL133+PCF!AL140+PCF!AL147+PCF!AL226+AL101</f>
        <v>0</v>
      </c>
      <c r="AM109" s="403">
        <f>PCF!AM133+PCF!AM140+PCF!AM147+PCF!AM226+AM101</f>
        <v>0</v>
      </c>
      <c r="AN109" s="403">
        <f>PCF!AN133+PCF!AN140+PCF!AN147+PCF!AN226+AN101</f>
        <v>0</v>
      </c>
      <c r="AO109" s="403">
        <f>PCF!AO133+PCF!AO140+PCF!AO147+PCF!AO226+AO101</f>
        <v>0</v>
      </c>
      <c r="AP109" s="403">
        <f>PCF!AP133+PCF!AP140+PCF!AP147+PCF!AP226+AP101</f>
        <v>0</v>
      </c>
      <c r="AQ109" s="403">
        <f>PCF!AQ133+PCF!AQ140+PCF!AQ147+PCF!AQ226+AQ101</f>
        <v>0</v>
      </c>
      <c r="AR109" s="403">
        <f>PCF!AR133+PCF!AR140+PCF!AR147+PCF!AR226+AR101</f>
        <v>0</v>
      </c>
      <c r="AS109" s="403">
        <f>PCF!AS133+PCF!AS140+PCF!AS147+PCF!AS226+AS101</f>
        <v>0</v>
      </c>
      <c r="AT109" s="403">
        <f>PCF!AT133+PCF!AT140+PCF!AT147+PCF!AT226+AT101</f>
        <v>0</v>
      </c>
      <c r="AU109" s="403">
        <f>PCF!AU133+PCF!AU140+PCF!AU147+PCF!AU226+AU101</f>
        <v>0</v>
      </c>
      <c r="AV109" s="403">
        <f>PCF!AV133+PCF!AV140+PCF!AV147+PCF!AV226+AV101</f>
        <v>0</v>
      </c>
      <c r="AW109" s="403">
        <f>PCF!AW133+PCF!AW140+PCF!AW147+PCF!AW226+AW101</f>
        <v>0</v>
      </c>
      <c r="AX109" s="403">
        <f>PCF!AX133+PCF!AX140+PCF!AX147+PCF!AX226+AX101</f>
        <v>0</v>
      </c>
      <c r="AY109" s="403">
        <f>PCF!AY133+PCF!AY140+PCF!AY147+PCF!AY226+AY101</f>
        <v>0</v>
      </c>
      <c r="AZ109" s="403">
        <f>PCF!AZ133+PCF!AZ140+PCF!AZ147+PCF!AZ226+AZ101</f>
        <v>0</v>
      </c>
      <c r="BA109" s="403">
        <f>PCF!BA133+PCF!BA140+PCF!BA147+PCF!BA226+BA101</f>
        <v>0</v>
      </c>
      <c r="BB109" s="403">
        <f>PCF!BB133+PCF!BB140+PCF!BB147+PCF!BB226+BB101</f>
        <v>0</v>
      </c>
      <c r="BC109" s="403">
        <f>PCF!BC133+PCF!BC140+PCF!BC147+PCF!BC226+BC101</f>
        <v>0</v>
      </c>
      <c r="BD109" s="403">
        <f>PCF!BD133+PCF!BD140+PCF!BD147+PCF!BD226+BD101</f>
        <v>0</v>
      </c>
      <c r="BE109" s="403">
        <f>PCF!BE133+PCF!BE140+PCF!BE147+PCF!BE226+BE101</f>
        <v>0</v>
      </c>
      <c r="BF109" s="403">
        <f>PCF!BF133+PCF!BF140+PCF!BF147+PCF!BF226+BF101</f>
        <v>0</v>
      </c>
      <c r="BG109" s="403">
        <f>PCF!BG133+PCF!BG140+PCF!BG147+PCF!BG226+BG101</f>
        <v>0</v>
      </c>
      <c r="BI109" s="296">
        <f t="shared" ref="BI109" si="46">SUM(T109:BG109)</f>
        <v>-294253.06108356174</v>
      </c>
      <c r="BK109" s="296">
        <f>SUMPRODUCT(T109:BG109,T36:BG36)</f>
        <v>-508178.66124669451</v>
      </c>
    </row>
    <row r="110" spans="2:63">
      <c r="C110" s="99">
        <f>AA!C15</f>
        <v>3</v>
      </c>
      <c r="E110" s="94" t="str">
        <f>INDEX(AA!$AC$13:$AC$15,MATCH($C110,AA!$C$13:$C$15,0))</f>
        <v>backup</v>
      </c>
      <c r="G110" s="1325">
        <f>INDEX(AA!$E$13:$E$15,MATCH($C110,AA!$C$13:$C$15,0))</f>
        <v>1</v>
      </c>
      <c r="I110" s="73" t="s">
        <v>522</v>
      </c>
      <c r="T110" s="403">
        <f>PCF!T134+PCF!T141+PCF!T148+PCF!T227+T102</f>
        <v>0</v>
      </c>
      <c r="U110" s="403">
        <f>PCF!U134+PCF!U141+PCF!U148+PCF!U227+U102</f>
        <v>0</v>
      </c>
      <c r="V110" s="403">
        <f>PCF!V134+PCF!V141+PCF!V148+PCF!V227+V102</f>
        <v>21661.713959700508</v>
      </c>
      <c r="W110" s="403">
        <f>PCF!W134+PCF!W141+PCF!W148+PCF!W227+W102</f>
        <v>21703.043076705777</v>
      </c>
      <c r="X110" s="403">
        <f>PCF!X134+PCF!X141+PCF!X148+PCF!X227+X102</f>
        <v>21744.440704523877</v>
      </c>
      <c r="Y110" s="403">
        <f>PCF!Y134+PCF!Y141+PCF!Y148+PCF!Y227+Y102</f>
        <v>21785.906927756336</v>
      </c>
      <c r="Z110" s="403">
        <f>PCF!Z134+PCF!Z141+PCF!Z148+PCF!Z227+Z102</f>
        <v>21827.441830946973</v>
      </c>
      <c r="AA110" s="403">
        <f>PCF!AA134+PCF!AA141+PCF!AA148+PCF!AA227+AA102</f>
        <v>21869.04549858077</v>
      </c>
      <c r="AB110" s="403">
        <f>PCF!AB134+PCF!AB141+PCF!AB148+PCF!AB227+AB102</f>
        <v>21910.718015082632</v>
      </c>
      <c r="AC110" s="403">
        <f>PCF!AC134+PCF!AC141+PCF!AC148+PCF!AC227+AC102</f>
        <v>21952.45946481622</v>
      </c>
      <c r="AD110" s="403">
        <f>PCF!AD134+PCF!AD141+PCF!AD148+PCF!AD227+AD102</f>
        <v>21994.269932082767</v>
      </c>
      <c r="AE110" s="403">
        <f>PCF!AE134+PCF!AE141+PCF!AE148+PCF!AE227+AE102</f>
        <v>-490558.05201909476</v>
      </c>
      <c r="AF110" s="403">
        <f>PCF!AF134+PCF!AF141+PCF!AF148+PCF!AF227+AF102</f>
        <v>0</v>
      </c>
      <c r="AG110" s="403">
        <f>PCF!AG134+PCF!AG141+PCF!AG148+PCF!AG227+AG102</f>
        <v>0</v>
      </c>
      <c r="AH110" s="403">
        <f>PCF!AH134+PCF!AH141+PCF!AH148+PCF!AH227+AH102</f>
        <v>0</v>
      </c>
      <c r="AI110" s="403">
        <f>PCF!AI134+PCF!AI141+PCF!AI148+PCF!AI227+AI102</f>
        <v>0</v>
      </c>
      <c r="AJ110" s="403">
        <f>PCF!AJ134+PCF!AJ141+PCF!AJ148+PCF!AJ227+AJ102</f>
        <v>0</v>
      </c>
      <c r="AK110" s="403">
        <f>PCF!AK134+PCF!AK141+PCF!AK148+PCF!AK227+AK102</f>
        <v>0</v>
      </c>
      <c r="AL110" s="403">
        <f>PCF!AL134+PCF!AL141+PCF!AL148+PCF!AL227+AL102</f>
        <v>0</v>
      </c>
      <c r="AM110" s="403">
        <f>PCF!AM134+PCF!AM141+PCF!AM148+PCF!AM227+AM102</f>
        <v>0</v>
      </c>
      <c r="AN110" s="403">
        <f>PCF!AN134+PCF!AN141+PCF!AN148+PCF!AN227+AN102</f>
        <v>0</v>
      </c>
      <c r="AO110" s="403">
        <f>PCF!AO134+PCF!AO141+PCF!AO148+PCF!AO227+AO102</f>
        <v>0</v>
      </c>
      <c r="AP110" s="403">
        <f>PCF!AP134+PCF!AP141+PCF!AP148+PCF!AP227+AP102</f>
        <v>0</v>
      </c>
      <c r="AQ110" s="403">
        <f>PCF!AQ134+PCF!AQ141+PCF!AQ148+PCF!AQ227+AQ102</f>
        <v>0</v>
      </c>
      <c r="AR110" s="403">
        <f>PCF!AR134+PCF!AR141+PCF!AR148+PCF!AR227+AR102</f>
        <v>0</v>
      </c>
      <c r="AS110" s="403">
        <f>PCF!AS134+PCF!AS141+PCF!AS148+PCF!AS227+AS102</f>
        <v>0</v>
      </c>
      <c r="AT110" s="403">
        <f>PCF!AT134+PCF!AT141+PCF!AT148+PCF!AT227+AT102</f>
        <v>0</v>
      </c>
      <c r="AU110" s="403">
        <f>PCF!AU134+PCF!AU141+PCF!AU148+PCF!AU227+AU102</f>
        <v>0</v>
      </c>
      <c r="AV110" s="403">
        <f>PCF!AV134+PCF!AV141+PCF!AV148+PCF!AV227+AV102</f>
        <v>0</v>
      </c>
      <c r="AW110" s="403">
        <f>PCF!AW134+PCF!AW141+PCF!AW148+PCF!AW227+AW102</f>
        <v>0</v>
      </c>
      <c r="AX110" s="403">
        <f>PCF!AX134+PCF!AX141+PCF!AX148+PCF!AX227+AX102</f>
        <v>0</v>
      </c>
      <c r="AY110" s="403">
        <f>PCF!AY134+PCF!AY141+PCF!AY148+PCF!AY227+AY102</f>
        <v>0</v>
      </c>
      <c r="AZ110" s="403">
        <f>PCF!AZ134+PCF!AZ141+PCF!AZ148+PCF!AZ227+AZ102</f>
        <v>0</v>
      </c>
      <c r="BA110" s="403">
        <f>PCF!BA134+PCF!BA141+PCF!BA148+PCF!BA227+BA102</f>
        <v>0</v>
      </c>
      <c r="BB110" s="403">
        <f>PCF!BB134+PCF!BB141+PCF!BB148+PCF!BB227+BB102</f>
        <v>0</v>
      </c>
      <c r="BC110" s="403">
        <f>PCF!BC134+PCF!BC141+PCF!BC148+PCF!BC227+BC102</f>
        <v>0</v>
      </c>
      <c r="BD110" s="403">
        <f>PCF!BD134+PCF!BD141+PCF!BD148+PCF!BD227+BD102</f>
        <v>0</v>
      </c>
      <c r="BE110" s="403">
        <f>PCF!BE134+PCF!BE141+PCF!BE148+PCF!BE227+BE102</f>
        <v>0</v>
      </c>
      <c r="BF110" s="403">
        <f>PCF!BF134+PCF!BF141+PCF!BF148+PCF!BF227+BF102</f>
        <v>0</v>
      </c>
      <c r="BG110" s="403">
        <f>PCF!BG134+PCF!BG141+PCF!BG148+PCF!BG227+BG102</f>
        <v>0</v>
      </c>
      <c r="BI110" s="296">
        <f t="shared" ref="BI110" si="47">SUM(T110:BG110)</f>
        <v>-294109.01260889886</v>
      </c>
      <c r="BK110" s="296">
        <f>SUMPRODUCT(T110:BG110,T37:BG37)</f>
        <v>-490558.05201909476</v>
      </c>
    </row>
    <row r="111" spans="2:63">
      <c r="C111" s="269"/>
      <c r="E111" s="269"/>
      <c r="G111" s="269"/>
      <c r="I111" s="269"/>
      <c r="BI111" s="269"/>
      <c r="BK111" s="269"/>
    </row>
    <row r="113" spans="2:66" s="90" customFormat="1">
      <c r="B113" s="91">
        <f ca="1">MAX(A$1:$B112)+1</f>
        <v>13</v>
      </c>
      <c r="C113" s="92" t="s">
        <v>559</v>
      </c>
    </row>
    <row r="115" spans="2:66" ht="30">
      <c r="C115" s="97" t="s">
        <v>4</v>
      </c>
      <c r="E115" s="97" t="s">
        <v>6</v>
      </c>
      <c r="G115" s="101" t="s">
        <v>272</v>
      </c>
      <c r="I115" s="101" t="s">
        <v>150</v>
      </c>
      <c r="K115" s="255" t="s">
        <v>557</v>
      </c>
      <c r="BI115" s="327" t="s">
        <v>152</v>
      </c>
      <c r="BK115" s="327" t="s">
        <v>560</v>
      </c>
    </row>
    <row r="116" spans="2:66">
      <c r="C116" s="99">
        <f>AA!C13</f>
        <v>1</v>
      </c>
      <c r="E116" s="93" t="str">
        <f>INDEX(AA!$AC$13:$AC$15,MATCH($C116,AA!$C$13:$C$15,0))</f>
        <v>backup</v>
      </c>
      <c r="G116" s="1324">
        <f>INDEX(AA!$E$13:$E$15,MATCH($C116,AA!$C$13:$C$15,0))</f>
        <v>1</v>
      </c>
      <c r="I116" s="72" t="s">
        <v>559</v>
      </c>
      <c r="T116" s="310">
        <f t="shared" ref="T116:BG116" si="48">T108+T44+T82</f>
        <v>10142.296828563183</v>
      </c>
      <c r="U116" s="310">
        <f t="shared" si="48"/>
        <v>10181.52018730262</v>
      </c>
      <c r="V116" s="310">
        <f t="shared" si="48"/>
        <v>10220.796828228526</v>
      </c>
      <c r="W116" s="310">
        <f t="shared" si="48"/>
        <v>10260.126751430314</v>
      </c>
      <c r="X116" s="310">
        <f t="shared" si="48"/>
        <v>10299.509956503611</v>
      </c>
      <c r="Y116" s="310">
        <f t="shared" si="48"/>
        <v>10338.946442546814</v>
      </c>
      <c r="Z116" s="310">
        <f t="shared" si="48"/>
        <v>10378.436208157767</v>
      </c>
      <c r="AA116" s="310">
        <f t="shared" si="48"/>
        <v>10417.979251430304</v>
      </c>
      <c r="AB116" s="310">
        <f t="shared" si="48"/>
        <v>10457.575569950826</v>
      </c>
      <c r="AC116" s="310">
        <f t="shared" si="48"/>
        <v>10497.225160794846</v>
      </c>
      <c r="AD116" s="310">
        <f t="shared" si="48"/>
        <v>10536.928020523555</v>
      </c>
      <c r="AE116" s="310">
        <f t="shared" si="48"/>
        <v>-550645.06235334068</v>
      </c>
      <c r="AF116" s="310">
        <f t="shared" si="48"/>
        <v>0</v>
      </c>
      <c r="AG116" s="310">
        <f t="shared" si="48"/>
        <v>0</v>
      </c>
      <c r="AH116" s="310">
        <f t="shared" si="48"/>
        <v>0</v>
      </c>
      <c r="AI116" s="310">
        <f t="shared" si="48"/>
        <v>0</v>
      </c>
      <c r="AJ116" s="310">
        <f t="shared" si="48"/>
        <v>0</v>
      </c>
      <c r="AK116" s="310">
        <f t="shared" si="48"/>
        <v>0</v>
      </c>
      <c r="AL116" s="310">
        <f t="shared" si="48"/>
        <v>0</v>
      </c>
      <c r="AM116" s="310">
        <f t="shared" si="48"/>
        <v>0</v>
      </c>
      <c r="AN116" s="310">
        <f t="shared" si="48"/>
        <v>0</v>
      </c>
      <c r="AO116" s="310">
        <f t="shared" si="48"/>
        <v>0</v>
      </c>
      <c r="AP116" s="310">
        <f t="shared" si="48"/>
        <v>0</v>
      </c>
      <c r="AQ116" s="310">
        <f t="shared" si="48"/>
        <v>0</v>
      </c>
      <c r="AR116" s="310">
        <f t="shared" si="48"/>
        <v>0</v>
      </c>
      <c r="AS116" s="310">
        <f t="shared" si="48"/>
        <v>0</v>
      </c>
      <c r="AT116" s="310">
        <f t="shared" si="48"/>
        <v>0</v>
      </c>
      <c r="AU116" s="310">
        <f t="shared" si="48"/>
        <v>0</v>
      </c>
      <c r="AV116" s="310">
        <f t="shared" si="48"/>
        <v>0</v>
      </c>
      <c r="AW116" s="310">
        <f t="shared" si="48"/>
        <v>0</v>
      </c>
      <c r="AX116" s="310">
        <f t="shared" si="48"/>
        <v>0</v>
      </c>
      <c r="AY116" s="310">
        <f t="shared" si="48"/>
        <v>0</v>
      </c>
      <c r="AZ116" s="310">
        <f t="shared" si="48"/>
        <v>0</v>
      </c>
      <c r="BA116" s="310">
        <f t="shared" si="48"/>
        <v>0</v>
      </c>
      <c r="BB116" s="310">
        <f t="shared" si="48"/>
        <v>0</v>
      </c>
      <c r="BC116" s="310">
        <f t="shared" si="48"/>
        <v>0</v>
      </c>
      <c r="BD116" s="310">
        <f t="shared" si="48"/>
        <v>0</v>
      </c>
      <c r="BE116" s="310">
        <f t="shared" si="48"/>
        <v>0</v>
      </c>
      <c r="BF116" s="310">
        <f t="shared" si="48"/>
        <v>0</v>
      </c>
      <c r="BG116" s="310">
        <f t="shared" si="48"/>
        <v>0</v>
      </c>
      <c r="BI116" s="295">
        <f>SUM(T116:BG116)</f>
        <v>-436913.72114790831</v>
      </c>
      <c r="BK116" s="295">
        <f>SUMPRODUCT(T116:BG116,T35:BG35)</f>
        <v>-550645.06235334068</v>
      </c>
      <c r="BM116" s="344"/>
      <c r="BN116" s="310"/>
    </row>
    <row r="117" spans="2:66">
      <c r="C117" s="99">
        <f>AA!C14</f>
        <v>2</v>
      </c>
      <c r="E117" s="94" t="str">
        <f>INDEX(AA!$AC$13:$AC$15,MATCH($C117,AA!$C$13:$C$15,0))</f>
        <v>backup</v>
      </c>
      <c r="G117" s="1325">
        <f>INDEX(AA!$E$13:$E$15,MATCH($C117,AA!$C$13:$C$15,0))</f>
        <v>1</v>
      </c>
      <c r="I117" s="73" t="s">
        <v>559</v>
      </c>
      <c r="T117" s="310">
        <f t="shared" ref="T117:BG117" si="49">T109+T45+T83</f>
        <v>0</v>
      </c>
      <c r="U117" s="310">
        <f t="shared" si="49"/>
        <v>9941.0702216694281</v>
      </c>
      <c r="V117" s="310">
        <f t="shared" si="49"/>
        <v>9979.7849862893181</v>
      </c>
      <c r="W117" s="310">
        <f t="shared" si="49"/>
        <v>10018.554308217657</v>
      </c>
      <c r="X117" s="310">
        <f t="shared" si="49"/>
        <v>10057.378200975852</v>
      </c>
      <c r="Y117" s="310">
        <f t="shared" si="49"/>
        <v>10096.256677671414</v>
      </c>
      <c r="Z117" s="310">
        <f t="shared" si="49"/>
        <v>10135.189750995045</v>
      </c>
      <c r="AA117" s="310">
        <f t="shared" si="49"/>
        <v>10174.177433217652</v>
      </c>
      <c r="AB117" s="310">
        <f t="shared" si="49"/>
        <v>10213.219736187335</v>
      </c>
      <c r="AC117" s="310">
        <f t="shared" si="49"/>
        <v>10252.316671326435</v>
      </c>
      <c r="AD117" s="310">
        <f t="shared" si="49"/>
        <v>10291.468249628475</v>
      </c>
      <c r="AE117" s="310">
        <f t="shared" si="49"/>
        <v>-519455.27963938995</v>
      </c>
      <c r="AF117" s="310">
        <f t="shared" si="49"/>
        <v>0</v>
      </c>
      <c r="AG117" s="310">
        <f t="shared" si="49"/>
        <v>0</v>
      </c>
      <c r="AH117" s="310">
        <f t="shared" si="49"/>
        <v>0</v>
      </c>
      <c r="AI117" s="310">
        <f t="shared" si="49"/>
        <v>0</v>
      </c>
      <c r="AJ117" s="310">
        <f t="shared" si="49"/>
        <v>0</v>
      </c>
      <c r="AK117" s="310">
        <f t="shared" si="49"/>
        <v>0</v>
      </c>
      <c r="AL117" s="310">
        <f t="shared" si="49"/>
        <v>0</v>
      </c>
      <c r="AM117" s="310">
        <f t="shared" si="49"/>
        <v>0</v>
      </c>
      <c r="AN117" s="310">
        <f t="shared" si="49"/>
        <v>0</v>
      </c>
      <c r="AO117" s="310">
        <f t="shared" si="49"/>
        <v>0</v>
      </c>
      <c r="AP117" s="310">
        <f t="shared" si="49"/>
        <v>0</v>
      </c>
      <c r="AQ117" s="310">
        <f t="shared" si="49"/>
        <v>0</v>
      </c>
      <c r="AR117" s="310">
        <f t="shared" si="49"/>
        <v>0</v>
      </c>
      <c r="AS117" s="310">
        <f t="shared" si="49"/>
        <v>0</v>
      </c>
      <c r="AT117" s="310">
        <f t="shared" si="49"/>
        <v>0</v>
      </c>
      <c r="AU117" s="310">
        <f t="shared" si="49"/>
        <v>0</v>
      </c>
      <c r="AV117" s="310">
        <f t="shared" si="49"/>
        <v>0</v>
      </c>
      <c r="AW117" s="310">
        <f t="shared" si="49"/>
        <v>0</v>
      </c>
      <c r="AX117" s="310">
        <f t="shared" si="49"/>
        <v>0</v>
      </c>
      <c r="AY117" s="310">
        <f t="shared" si="49"/>
        <v>0</v>
      </c>
      <c r="AZ117" s="310">
        <f t="shared" si="49"/>
        <v>0</v>
      </c>
      <c r="BA117" s="310">
        <f t="shared" si="49"/>
        <v>0</v>
      </c>
      <c r="BB117" s="310">
        <f t="shared" si="49"/>
        <v>0</v>
      </c>
      <c r="BC117" s="310">
        <f t="shared" si="49"/>
        <v>0</v>
      </c>
      <c r="BD117" s="310">
        <f t="shared" si="49"/>
        <v>0</v>
      </c>
      <c r="BE117" s="310">
        <f t="shared" si="49"/>
        <v>0</v>
      </c>
      <c r="BF117" s="310">
        <f t="shared" si="49"/>
        <v>0</v>
      </c>
      <c r="BG117" s="310">
        <f t="shared" si="49"/>
        <v>0</v>
      </c>
      <c r="BI117" s="296">
        <f t="shared" ref="BI117" si="50">SUM(T117:BG117)</f>
        <v>-418295.86340321135</v>
      </c>
      <c r="BK117" s="296">
        <f>SUMPRODUCT(T117:BG117,T36:BG36)</f>
        <v>-519455.27963938995</v>
      </c>
      <c r="BM117" s="344"/>
      <c r="BN117" s="310"/>
    </row>
    <row r="118" spans="2:66">
      <c r="C118" s="99">
        <f>AA!C15</f>
        <v>3</v>
      </c>
      <c r="E118" s="94" t="str">
        <f>INDEX(AA!$AC$13:$AC$15,MATCH($C118,AA!$C$13:$C$15,0))</f>
        <v>backup</v>
      </c>
      <c r="G118" s="1325">
        <f>INDEX(AA!$E$13:$E$15,MATCH($C118,AA!$C$13:$C$15,0))</f>
        <v>1</v>
      </c>
      <c r="I118" s="73" t="s">
        <v>559</v>
      </c>
      <c r="T118" s="310">
        <f t="shared" ref="T118:BG118" si="51">T110+T46+T84</f>
        <v>0</v>
      </c>
      <c r="U118" s="310">
        <f t="shared" si="51"/>
        <v>0</v>
      </c>
      <c r="V118" s="310">
        <f t="shared" si="51"/>
        <v>10566.808573346752</v>
      </c>
      <c r="W118" s="310">
        <f t="shared" si="51"/>
        <v>10608.137690352021</v>
      </c>
      <c r="X118" s="310">
        <f t="shared" si="51"/>
        <v>10649.535318170121</v>
      </c>
      <c r="Y118" s="310">
        <f t="shared" si="51"/>
        <v>10691.00154140258</v>
      </c>
      <c r="Z118" s="310">
        <f t="shared" si="51"/>
        <v>10732.536444593217</v>
      </c>
      <c r="AA118" s="310">
        <f t="shared" si="51"/>
        <v>10774.140112227014</v>
      </c>
      <c r="AB118" s="310">
        <f t="shared" si="51"/>
        <v>10815.812628728876</v>
      </c>
      <c r="AC118" s="310">
        <f t="shared" si="51"/>
        <v>10857.554078462465</v>
      </c>
      <c r="AD118" s="310">
        <f t="shared" si="51"/>
        <v>10899.364545729011</v>
      </c>
      <c r="AE118" s="310">
        <f t="shared" si="51"/>
        <v>-501652.95740544854</v>
      </c>
      <c r="AF118" s="310">
        <f t="shared" si="51"/>
        <v>0</v>
      </c>
      <c r="AG118" s="310">
        <f t="shared" si="51"/>
        <v>0</v>
      </c>
      <c r="AH118" s="310">
        <f t="shared" si="51"/>
        <v>0</v>
      </c>
      <c r="AI118" s="310">
        <f t="shared" si="51"/>
        <v>0</v>
      </c>
      <c r="AJ118" s="310">
        <f t="shared" si="51"/>
        <v>0</v>
      </c>
      <c r="AK118" s="310">
        <f t="shared" si="51"/>
        <v>0</v>
      </c>
      <c r="AL118" s="310">
        <f t="shared" si="51"/>
        <v>0</v>
      </c>
      <c r="AM118" s="310">
        <f t="shared" si="51"/>
        <v>0</v>
      </c>
      <c r="AN118" s="310">
        <f t="shared" si="51"/>
        <v>0</v>
      </c>
      <c r="AO118" s="310">
        <f t="shared" si="51"/>
        <v>0</v>
      </c>
      <c r="AP118" s="310">
        <f t="shared" si="51"/>
        <v>0</v>
      </c>
      <c r="AQ118" s="310">
        <f t="shared" si="51"/>
        <v>0</v>
      </c>
      <c r="AR118" s="310">
        <f t="shared" si="51"/>
        <v>0</v>
      </c>
      <c r="AS118" s="310">
        <f t="shared" si="51"/>
        <v>0</v>
      </c>
      <c r="AT118" s="310">
        <f t="shared" si="51"/>
        <v>0</v>
      </c>
      <c r="AU118" s="310">
        <f t="shared" si="51"/>
        <v>0</v>
      </c>
      <c r="AV118" s="310">
        <f t="shared" si="51"/>
        <v>0</v>
      </c>
      <c r="AW118" s="310">
        <f t="shared" si="51"/>
        <v>0</v>
      </c>
      <c r="AX118" s="310">
        <f t="shared" si="51"/>
        <v>0</v>
      </c>
      <c r="AY118" s="310">
        <f t="shared" si="51"/>
        <v>0</v>
      </c>
      <c r="AZ118" s="310">
        <f t="shared" si="51"/>
        <v>0</v>
      </c>
      <c r="BA118" s="310">
        <f t="shared" si="51"/>
        <v>0</v>
      </c>
      <c r="BB118" s="310">
        <f t="shared" si="51"/>
        <v>0</v>
      </c>
      <c r="BC118" s="310">
        <f t="shared" si="51"/>
        <v>0</v>
      </c>
      <c r="BD118" s="310">
        <f t="shared" si="51"/>
        <v>0</v>
      </c>
      <c r="BE118" s="310">
        <f t="shared" si="51"/>
        <v>0</v>
      </c>
      <c r="BF118" s="310">
        <f t="shared" si="51"/>
        <v>0</v>
      </c>
      <c r="BG118" s="310">
        <f t="shared" si="51"/>
        <v>0</v>
      </c>
      <c r="BI118" s="296">
        <f t="shared" ref="BI118" si="52">SUM(T118:BG118)</f>
        <v>-405058.06647243648</v>
      </c>
      <c r="BK118" s="296">
        <f>SUMPRODUCT(T118:BG118,T37:BG37)</f>
        <v>-501652.95740544854</v>
      </c>
      <c r="BM118" s="344"/>
      <c r="BN118" s="310"/>
    </row>
    <row r="119" spans="2:66">
      <c r="C119" s="269"/>
      <c r="E119" s="269"/>
      <c r="G119" s="269"/>
      <c r="I119" s="269"/>
      <c r="BI119" s="269"/>
      <c r="BK119" s="269"/>
    </row>
    <row r="121" spans="2:66" s="90" customFormat="1">
      <c r="B121" s="91">
        <f ca="1">MAX(A$1:$B120)+1</f>
        <v>14</v>
      </c>
      <c r="C121" s="92" t="s">
        <v>561</v>
      </c>
    </row>
    <row r="123" spans="2:66" ht="30">
      <c r="C123" s="97" t="s">
        <v>4</v>
      </c>
      <c r="E123" s="97" t="s">
        <v>6</v>
      </c>
      <c r="G123" s="101" t="s">
        <v>272</v>
      </c>
      <c r="I123" s="101" t="s">
        <v>150</v>
      </c>
      <c r="K123" s="97" t="s">
        <v>589</v>
      </c>
      <c r="BI123" s="327" t="s">
        <v>152</v>
      </c>
      <c r="BK123" s="372"/>
    </row>
    <row r="124" spans="2:66">
      <c r="C124" s="99">
        <f>AA!C13</f>
        <v>1</v>
      </c>
      <c r="E124" s="93" t="str">
        <f>INDEX(AA!$AC$13:$AC$15,MATCH($C124,AA!$C$13:$C$15,0))</f>
        <v>backup</v>
      </c>
      <c r="G124" s="1324">
        <f>INDEX(AA!$E$13:$E$15,MATCH($C124,AA!$C$13:$C$15,0))</f>
        <v>1</v>
      </c>
      <c r="I124" s="72" t="s">
        <v>589</v>
      </c>
      <c r="K124" s="1324">
        <f>INDEX(AA!$GE$13:$GE$15,MATCH($C124,AA!$C$13:$C$15,0))</f>
        <v>833333.33333333326</v>
      </c>
      <c r="T124" s="310">
        <f t="shared" ref="T124:BG124" si="53">$K124*T19</f>
        <v>833333.33333333326</v>
      </c>
      <c r="U124" s="310">
        <f t="shared" si="53"/>
        <v>833333.33333333326</v>
      </c>
      <c r="V124" s="310">
        <f t="shared" si="53"/>
        <v>833333.33333333326</v>
      </c>
      <c r="W124" s="310">
        <f t="shared" si="53"/>
        <v>833333.33333333326</v>
      </c>
      <c r="X124" s="310">
        <f t="shared" si="53"/>
        <v>833333.33333333326</v>
      </c>
      <c r="Y124" s="310">
        <f t="shared" si="53"/>
        <v>833333.33333333326</v>
      </c>
      <c r="Z124" s="310">
        <f t="shared" si="53"/>
        <v>833333.33333333326</v>
      </c>
      <c r="AA124" s="310">
        <f t="shared" si="53"/>
        <v>833333.33333333326</v>
      </c>
      <c r="AB124" s="310">
        <f t="shared" si="53"/>
        <v>833333.33333333326</v>
      </c>
      <c r="AC124" s="310">
        <f t="shared" si="53"/>
        <v>833333.33333333326</v>
      </c>
      <c r="AD124" s="310">
        <f t="shared" si="53"/>
        <v>833333.33333333326</v>
      </c>
      <c r="AE124" s="310">
        <f t="shared" si="53"/>
        <v>833333.33333333326</v>
      </c>
      <c r="AF124" s="310">
        <f t="shared" si="53"/>
        <v>0</v>
      </c>
      <c r="AG124" s="310">
        <f t="shared" si="53"/>
        <v>0</v>
      </c>
      <c r="AH124" s="310">
        <f t="shared" si="53"/>
        <v>0</v>
      </c>
      <c r="AI124" s="310">
        <f t="shared" si="53"/>
        <v>0</v>
      </c>
      <c r="AJ124" s="310">
        <f t="shared" si="53"/>
        <v>0</v>
      </c>
      <c r="AK124" s="310">
        <f t="shared" si="53"/>
        <v>0</v>
      </c>
      <c r="AL124" s="310">
        <f t="shared" si="53"/>
        <v>0</v>
      </c>
      <c r="AM124" s="310">
        <f t="shared" si="53"/>
        <v>0</v>
      </c>
      <c r="AN124" s="310">
        <f t="shared" si="53"/>
        <v>0</v>
      </c>
      <c r="AO124" s="310">
        <f t="shared" si="53"/>
        <v>0</v>
      </c>
      <c r="AP124" s="310">
        <f t="shared" si="53"/>
        <v>0</v>
      </c>
      <c r="AQ124" s="310">
        <f t="shared" si="53"/>
        <v>0</v>
      </c>
      <c r="AR124" s="310">
        <f t="shared" si="53"/>
        <v>0</v>
      </c>
      <c r="AS124" s="310">
        <f t="shared" si="53"/>
        <v>0</v>
      </c>
      <c r="AT124" s="310">
        <f t="shared" si="53"/>
        <v>0</v>
      </c>
      <c r="AU124" s="310">
        <f t="shared" si="53"/>
        <v>0</v>
      </c>
      <c r="AV124" s="310">
        <f t="shared" si="53"/>
        <v>0</v>
      </c>
      <c r="AW124" s="310">
        <f t="shared" si="53"/>
        <v>0</v>
      </c>
      <c r="AX124" s="310">
        <f t="shared" si="53"/>
        <v>0</v>
      </c>
      <c r="AY124" s="310">
        <f t="shared" si="53"/>
        <v>0</v>
      </c>
      <c r="AZ124" s="310">
        <f t="shared" si="53"/>
        <v>0</v>
      </c>
      <c r="BA124" s="310">
        <f t="shared" si="53"/>
        <v>0</v>
      </c>
      <c r="BB124" s="310">
        <f t="shared" si="53"/>
        <v>0</v>
      </c>
      <c r="BC124" s="310">
        <f t="shared" si="53"/>
        <v>0</v>
      </c>
      <c r="BD124" s="310">
        <f t="shared" si="53"/>
        <v>0</v>
      </c>
      <c r="BE124" s="310">
        <f t="shared" si="53"/>
        <v>0</v>
      </c>
      <c r="BF124" s="310">
        <f t="shared" si="53"/>
        <v>0</v>
      </c>
      <c r="BG124" s="310">
        <f t="shared" si="53"/>
        <v>0</v>
      </c>
      <c r="BI124" s="105" t="s">
        <v>153</v>
      </c>
      <c r="BK124" s="103"/>
    </row>
    <row r="125" spans="2:66">
      <c r="C125" s="99">
        <f>AA!C14</f>
        <v>2</v>
      </c>
      <c r="E125" s="94" t="str">
        <f>INDEX(AA!$AC$13:$AC$15,MATCH($C125,AA!$C$13:$C$15,0))</f>
        <v>backup</v>
      </c>
      <c r="G125" s="1325">
        <f>INDEX(AA!$E$13:$E$15,MATCH($C125,AA!$C$13:$C$15,0))</f>
        <v>1</v>
      </c>
      <c r="I125" s="73" t="s">
        <v>589</v>
      </c>
      <c r="K125" s="1325">
        <f>INDEX(AA!$GE$13:$GE$15,MATCH($C125,AA!$C$13:$C$15,0))</f>
        <v>833333.33333333326</v>
      </c>
      <c r="T125" s="310">
        <f t="shared" ref="T125:BG125" si="54">$K125*T20</f>
        <v>0</v>
      </c>
      <c r="U125" s="310">
        <f t="shared" si="54"/>
        <v>833333.33333333326</v>
      </c>
      <c r="V125" s="310">
        <f t="shared" si="54"/>
        <v>833333.33333333326</v>
      </c>
      <c r="W125" s="310">
        <f t="shared" si="54"/>
        <v>833333.33333333326</v>
      </c>
      <c r="X125" s="310">
        <f t="shared" si="54"/>
        <v>833333.33333333326</v>
      </c>
      <c r="Y125" s="310">
        <f t="shared" si="54"/>
        <v>833333.33333333326</v>
      </c>
      <c r="Z125" s="310">
        <f t="shared" si="54"/>
        <v>833333.33333333326</v>
      </c>
      <c r="AA125" s="310">
        <f t="shared" si="54"/>
        <v>833333.33333333326</v>
      </c>
      <c r="AB125" s="310">
        <f t="shared" si="54"/>
        <v>833333.33333333326</v>
      </c>
      <c r="AC125" s="310">
        <f t="shared" si="54"/>
        <v>833333.33333333326</v>
      </c>
      <c r="AD125" s="310">
        <f t="shared" si="54"/>
        <v>833333.33333333326</v>
      </c>
      <c r="AE125" s="310">
        <f t="shared" si="54"/>
        <v>833333.33333333326</v>
      </c>
      <c r="AF125" s="310">
        <f t="shared" si="54"/>
        <v>0</v>
      </c>
      <c r="AG125" s="310">
        <f t="shared" si="54"/>
        <v>0</v>
      </c>
      <c r="AH125" s="310">
        <f t="shared" si="54"/>
        <v>0</v>
      </c>
      <c r="AI125" s="310">
        <f t="shared" si="54"/>
        <v>0</v>
      </c>
      <c r="AJ125" s="310">
        <f t="shared" si="54"/>
        <v>0</v>
      </c>
      <c r="AK125" s="310">
        <f t="shared" si="54"/>
        <v>0</v>
      </c>
      <c r="AL125" s="310">
        <f t="shared" si="54"/>
        <v>0</v>
      </c>
      <c r="AM125" s="310">
        <f t="shared" si="54"/>
        <v>0</v>
      </c>
      <c r="AN125" s="310">
        <f t="shared" si="54"/>
        <v>0</v>
      </c>
      <c r="AO125" s="310">
        <f t="shared" si="54"/>
        <v>0</v>
      </c>
      <c r="AP125" s="310">
        <f t="shared" si="54"/>
        <v>0</v>
      </c>
      <c r="AQ125" s="310">
        <f t="shared" si="54"/>
        <v>0</v>
      </c>
      <c r="AR125" s="310">
        <f t="shared" si="54"/>
        <v>0</v>
      </c>
      <c r="AS125" s="310">
        <f t="shared" si="54"/>
        <v>0</v>
      </c>
      <c r="AT125" s="310">
        <f t="shared" si="54"/>
        <v>0</v>
      </c>
      <c r="AU125" s="310">
        <f t="shared" si="54"/>
        <v>0</v>
      </c>
      <c r="AV125" s="310">
        <f t="shared" si="54"/>
        <v>0</v>
      </c>
      <c r="AW125" s="310">
        <f t="shared" si="54"/>
        <v>0</v>
      </c>
      <c r="AX125" s="310">
        <f t="shared" si="54"/>
        <v>0</v>
      </c>
      <c r="AY125" s="310">
        <f t="shared" si="54"/>
        <v>0</v>
      </c>
      <c r="AZ125" s="310">
        <f t="shared" si="54"/>
        <v>0</v>
      </c>
      <c r="BA125" s="310">
        <f t="shared" si="54"/>
        <v>0</v>
      </c>
      <c r="BB125" s="310">
        <f t="shared" si="54"/>
        <v>0</v>
      </c>
      <c r="BC125" s="310">
        <f t="shared" si="54"/>
        <v>0</v>
      </c>
      <c r="BD125" s="310">
        <f t="shared" si="54"/>
        <v>0</v>
      </c>
      <c r="BE125" s="310">
        <f t="shared" si="54"/>
        <v>0</v>
      </c>
      <c r="BF125" s="310">
        <f t="shared" si="54"/>
        <v>0</v>
      </c>
      <c r="BG125" s="310">
        <f t="shared" si="54"/>
        <v>0</v>
      </c>
      <c r="BI125" s="106" t="s">
        <v>153</v>
      </c>
      <c r="BK125" s="103"/>
    </row>
    <row r="126" spans="2:66">
      <c r="C126" s="99">
        <f>AA!C15</f>
        <v>3</v>
      </c>
      <c r="E126" s="94" t="str">
        <f>INDEX(AA!$AC$13:$AC$15,MATCH($C126,AA!$C$13:$C$15,0))</f>
        <v>backup</v>
      </c>
      <c r="G126" s="1325">
        <f>INDEX(AA!$E$13:$E$15,MATCH($C126,AA!$C$13:$C$15,0))</f>
        <v>1</v>
      </c>
      <c r="I126" s="73" t="s">
        <v>589</v>
      </c>
      <c r="K126" s="1325">
        <f>INDEX(AA!$GE$13:$GE$15,MATCH($C126,AA!$C$13:$C$15,0))</f>
        <v>833333.33333333326</v>
      </c>
      <c r="T126" s="310">
        <f t="shared" ref="T126:BG126" si="55">$K126*T21</f>
        <v>0</v>
      </c>
      <c r="U126" s="310">
        <f t="shared" si="55"/>
        <v>0</v>
      </c>
      <c r="V126" s="310">
        <f t="shared" si="55"/>
        <v>833333.33333333326</v>
      </c>
      <c r="W126" s="310">
        <f t="shared" si="55"/>
        <v>833333.33333333326</v>
      </c>
      <c r="X126" s="310">
        <f t="shared" si="55"/>
        <v>833333.33333333326</v>
      </c>
      <c r="Y126" s="310">
        <f t="shared" si="55"/>
        <v>833333.33333333326</v>
      </c>
      <c r="Z126" s="310">
        <f t="shared" si="55"/>
        <v>833333.33333333326</v>
      </c>
      <c r="AA126" s="310">
        <f t="shared" si="55"/>
        <v>833333.33333333326</v>
      </c>
      <c r="AB126" s="310">
        <f t="shared" si="55"/>
        <v>833333.33333333326</v>
      </c>
      <c r="AC126" s="310">
        <f t="shared" si="55"/>
        <v>833333.33333333326</v>
      </c>
      <c r="AD126" s="310">
        <f t="shared" si="55"/>
        <v>833333.33333333326</v>
      </c>
      <c r="AE126" s="310">
        <f t="shared" si="55"/>
        <v>833333.33333333326</v>
      </c>
      <c r="AF126" s="310">
        <f t="shared" si="55"/>
        <v>0</v>
      </c>
      <c r="AG126" s="310">
        <f t="shared" si="55"/>
        <v>0</v>
      </c>
      <c r="AH126" s="310">
        <f t="shared" si="55"/>
        <v>0</v>
      </c>
      <c r="AI126" s="310">
        <f t="shared" si="55"/>
        <v>0</v>
      </c>
      <c r="AJ126" s="310">
        <f t="shared" si="55"/>
        <v>0</v>
      </c>
      <c r="AK126" s="310">
        <f t="shared" si="55"/>
        <v>0</v>
      </c>
      <c r="AL126" s="310">
        <f t="shared" si="55"/>
        <v>0</v>
      </c>
      <c r="AM126" s="310">
        <f t="shared" si="55"/>
        <v>0</v>
      </c>
      <c r="AN126" s="310">
        <f t="shared" si="55"/>
        <v>0</v>
      </c>
      <c r="AO126" s="310">
        <f t="shared" si="55"/>
        <v>0</v>
      </c>
      <c r="AP126" s="310">
        <f t="shared" si="55"/>
        <v>0</v>
      </c>
      <c r="AQ126" s="310">
        <f t="shared" si="55"/>
        <v>0</v>
      </c>
      <c r="AR126" s="310">
        <f t="shared" si="55"/>
        <v>0</v>
      </c>
      <c r="AS126" s="310">
        <f t="shared" si="55"/>
        <v>0</v>
      </c>
      <c r="AT126" s="310">
        <f t="shared" si="55"/>
        <v>0</v>
      </c>
      <c r="AU126" s="310">
        <f t="shared" si="55"/>
        <v>0</v>
      </c>
      <c r="AV126" s="310">
        <f t="shared" si="55"/>
        <v>0</v>
      </c>
      <c r="AW126" s="310">
        <f t="shared" si="55"/>
        <v>0</v>
      </c>
      <c r="AX126" s="310">
        <f t="shared" si="55"/>
        <v>0</v>
      </c>
      <c r="AY126" s="310">
        <f t="shared" si="55"/>
        <v>0</v>
      </c>
      <c r="AZ126" s="310">
        <f t="shared" si="55"/>
        <v>0</v>
      </c>
      <c r="BA126" s="310">
        <f t="shared" si="55"/>
        <v>0</v>
      </c>
      <c r="BB126" s="310">
        <f t="shared" si="55"/>
        <v>0</v>
      </c>
      <c r="BC126" s="310">
        <f t="shared" si="55"/>
        <v>0</v>
      </c>
      <c r="BD126" s="310">
        <f t="shared" si="55"/>
        <v>0</v>
      </c>
      <c r="BE126" s="310">
        <f t="shared" si="55"/>
        <v>0</v>
      </c>
      <c r="BF126" s="310">
        <f t="shared" si="55"/>
        <v>0</v>
      </c>
      <c r="BG126" s="310">
        <f t="shared" si="55"/>
        <v>0</v>
      </c>
      <c r="BI126" s="106" t="s">
        <v>153</v>
      </c>
      <c r="BK126" s="103"/>
    </row>
    <row r="127" spans="2:66">
      <c r="C127" s="269"/>
      <c r="E127" s="269"/>
      <c r="G127" s="269"/>
      <c r="I127" s="269"/>
      <c r="K127" s="269"/>
      <c r="BI127" s="269"/>
      <c r="BK127" s="269"/>
    </row>
    <row r="129" spans="2:63" s="90" customFormat="1">
      <c r="B129" s="91">
        <f ca="1">MAX(A$1:$B128)+1</f>
        <v>15</v>
      </c>
      <c r="C129" s="92" t="s">
        <v>590</v>
      </c>
    </row>
    <row r="131" spans="2:63" ht="30">
      <c r="C131" s="97" t="s">
        <v>4</v>
      </c>
      <c r="E131" s="97" t="s">
        <v>6</v>
      </c>
      <c r="G131" s="101" t="s">
        <v>272</v>
      </c>
      <c r="I131" s="101" t="s">
        <v>150</v>
      </c>
      <c r="K131" s="97" t="s">
        <v>589</v>
      </c>
      <c r="L131" s="101" t="s">
        <v>582</v>
      </c>
      <c r="BI131" s="327" t="s">
        <v>152</v>
      </c>
      <c r="BK131" s="372"/>
    </row>
    <row r="132" spans="2:63">
      <c r="C132" s="99">
        <f>AA!C13</f>
        <v>1</v>
      </c>
      <c r="E132" s="93" t="str">
        <f>INDEX(AA!$AC$13:$AC$15,MATCH($C132,AA!$C$13:$C$15,0))</f>
        <v>backup</v>
      </c>
      <c r="G132" s="1324">
        <f>INDEX(AA!$E$13:$E$15,MATCH($C132,AA!$C$13:$C$15,0))</f>
        <v>1</v>
      </c>
      <c r="I132" s="72" t="s">
        <v>591</v>
      </c>
      <c r="K132" s="1324">
        <f>INDEX(AA!$GE$13:$GE$15,MATCH($C132,AA!$C$13:$C$15,0))</f>
        <v>833333.33333333326</v>
      </c>
      <c r="L132" s="387">
        <f>INDEX(AA!$GH$13:$GH$15,MATCH($C132,AA!$C$13:$C$15,0))</f>
        <v>1.2</v>
      </c>
      <c r="T132" s="310">
        <f t="shared" ref="T132:BG132" si="56">$K132*$L132*T35</f>
        <v>0</v>
      </c>
      <c r="U132" s="310">
        <f t="shared" si="56"/>
        <v>0</v>
      </c>
      <c r="V132" s="310">
        <f t="shared" si="56"/>
        <v>0</v>
      </c>
      <c r="W132" s="310">
        <f t="shared" si="56"/>
        <v>0</v>
      </c>
      <c r="X132" s="310">
        <f t="shared" si="56"/>
        <v>0</v>
      </c>
      <c r="Y132" s="310">
        <f t="shared" si="56"/>
        <v>0</v>
      </c>
      <c r="Z132" s="310">
        <f t="shared" si="56"/>
        <v>0</v>
      </c>
      <c r="AA132" s="310">
        <f t="shared" si="56"/>
        <v>0</v>
      </c>
      <c r="AB132" s="310">
        <f t="shared" si="56"/>
        <v>0</v>
      </c>
      <c r="AC132" s="310">
        <f t="shared" si="56"/>
        <v>0</v>
      </c>
      <c r="AD132" s="310">
        <f t="shared" si="56"/>
        <v>0</v>
      </c>
      <c r="AE132" s="310">
        <f t="shared" si="56"/>
        <v>999999.99999999988</v>
      </c>
      <c r="AF132" s="310">
        <f t="shared" si="56"/>
        <v>0</v>
      </c>
      <c r="AG132" s="310">
        <f t="shared" si="56"/>
        <v>0</v>
      </c>
      <c r="AH132" s="310">
        <f t="shared" si="56"/>
        <v>0</v>
      </c>
      <c r="AI132" s="310">
        <f t="shared" si="56"/>
        <v>0</v>
      </c>
      <c r="AJ132" s="310">
        <f t="shared" si="56"/>
        <v>0</v>
      </c>
      <c r="AK132" s="310">
        <f t="shared" si="56"/>
        <v>0</v>
      </c>
      <c r="AL132" s="310">
        <f t="shared" si="56"/>
        <v>0</v>
      </c>
      <c r="AM132" s="310">
        <f t="shared" si="56"/>
        <v>0</v>
      </c>
      <c r="AN132" s="310">
        <f t="shared" si="56"/>
        <v>0</v>
      </c>
      <c r="AO132" s="310">
        <f t="shared" si="56"/>
        <v>0</v>
      </c>
      <c r="AP132" s="310">
        <f t="shared" si="56"/>
        <v>0</v>
      </c>
      <c r="AQ132" s="310">
        <f t="shared" si="56"/>
        <v>0</v>
      </c>
      <c r="AR132" s="310">
        <f t="shared" si="56"/>
        <v>0</v>
      </c>
      <c r="AS132" s="310">
        <f t="shared" si="56"/>
        <v>0</v>
      </c>
      <c r="AT132" s="310">
        <f t="shared" si="56"/>
        <v>0</v>
      </c>
      <c r="AU132" s="310">
        <f t="shared" si="56"/>
        <v>0</v>
      </c>
      <c r="AV132" s="310">
        <f t="shared" si="56"/>
        <v>0</v>
      </c>
      <c r="AW132" s="310">
        <f t="shared" si="56"/>
        <v>0</v>
      </c>
      <c r="AX132" s="310">
        <f t="shared" si="56"/>
        <v>0</v>
      </c>
      <c r="AY132" s="310">
        <f t="shared" si="56"/>
        <v>0</v>
      </c>
      <c r="AZ132" s="310">
        <f t="shared" si="56"/>
        <v>0</v>
      </c>
      <c r="BA132" s="310">
        <f t="shared" si="56"/>
        <v>0</v>
      </c>
      <c r="BB132" s="310">
        <f t="shared" si="56"/>
        <v>0</v>
      </c>
      <c r="BC132" s="310">
        <f t="shared" si="56"/>
        <v>0</v>
      </c>
      <c r="BD132" s="310">
        <f t="shared" si="56"/>
        <v>0</v>
      </c>
      <c r="BE132" s="310">
        <f t="shared" si="56"/>
        <v>0</v>
      </c>
      <c r="BF132" s="310">
        <f t="shared" si="56"/>
        <v>0</v>
      </c>
      <c r="BG132" s="310">
        <f t="shared" si="56"/>
        <v>0</v>
      </c>
      <c r="BI132" s="295">
        <f>SUM(T132:BG132)</f>
        <v>999999.99999999988</v>
      </c>
      <c r="BK132" s="103"/>
    </row>
    <row r="133" spans="2:63">
      <c r="C133" s="99">
        <f>AA!C14</f>
        <v>2</v>
      </c>
      <c r="E133" s="94" t="str">
        <f>INDEX(AA!$AC$13:$AC$15,MATCH($C133,AA!$C$13:$C$15,0))</f>
        <v>backup</v>
      </c>
      <c r="G133" s="1325">
        <f>INDEX(AA!$E$13:$E$15,MATCH($C133,AA!$C$13:$C$15,0))</f>
        <v>1</v>
      </c>
      <c r="I133" s="73" t="s">
        <v>591</v>
      </c>
      <c r="K133" s="1325">
        <f>INDEX(AA!$GE$13:$GE$15,MATCH($C133,AA!$C$13:$C$15,0))</f>
        <v>833333.33333333326</v>
      </c>
      <c r="L133" s="388">
        <f>INDEX(AA!$GH$13:$GH$15,MATCH($C133,AA!$C$13:$C$15,0))</f>
        <v>1.2</v>
      </c>
      <c r="T133" s="310">
        <f t="shared" ref="T133:BG133" si="57">$K133*$L133*T36</f>
        <v>0</v>
      </c>
      <c r="U133" s="310">
        <f t="shared" si="57"/>
        <v>0</v>
      </c>
      <c r="V133" s="310">
        <f t="shared" si="57"/>
        <v>0</v>
      </c>
      <c r="W133" s="310">
        <f t="shared" si="57"/>
        <v>0</v>
      </c>
      <c r="X133" s="310">
        <f t="shared" si="57"/>
        <v>0</v>
      </c>
      <c r="Y133" s="310">
        <f t="shared" si="57"/>
        <v>0</v>
      </c>
      <c r="Z133" s="310">
        <f t="shared" si="57"/>
        <v>0</v>
      </c>
      <c r="AA133" s="310">
        <f t="shared" si="57"/>
        <v>0</v>
      </c>
      <c r="AB133" s="310">
        <f t="shared" si="57"/>
        <v>0</v>
      </c>
      <c r="AC133" s="310">
        <f t="shared" si="57"/>
        <v>0</v>
      </c>
      <c r="AD133" s="310">
        <f t="shared" si="57"/>
        <v>0</v>
      </c>
      <c r="AE133" s="310">
        <f t="shared" si="57"/>
        <v>999999.99999999988</v>
      </c>
      <c r="AF133" s="310">
        <f t="shared" si="57"/>
        <v>0</v>
      </c>
      <c r="AG133" s="310">
        <f t="shared" si="57"/>
        <v>0</v>
      </c>
      <c r="AH133" s="310">
        <f t="shared" si="57"/>
        <v>0</v>
      </c>
      <c r="AI133" s="310">
        <f t="shared" si="57"/>
        <v>0</v>
      </c>
      <c r="AJ133" s="310">
        <f t="shared" si="57"/>
        <v>0</v>
      </c>
      <c r="AK133" s="310">
        <f t="shared" si="57"/>
        <v>0</v>
      </c>
      <c r="AL133" s="310">
        <f t="shared" si="57"/>
        <v>0</v>
      </c>
      <c r="AM133" s="310">
        <f t="shared" si="57"/>
        <v>0</v>
      </c>
      <c r="AN133" s="310">
        <f t="shared" si="57"/>
        <v>0</v>
      </c>
      <c r="AO133" s="310">
        <f t="shared" si="57"/>
        <v>0</v>
      </c>
      <c r="AP133" s="310">
        <f t="shared" si="57"/>
        <v>0</v>
      </c>
      <c r="AQ133" s="310">
        <f t="shared" si="57"/>
        <v>0</v>
      </c>
      <c r="AR133" s="310">
        <f t="shared" si="57"/>
        <v>0</v>
      </c>
      <c r="AS133" s="310">
        <f t="shared" si="57"/>
        <v>0</v>
      </c>
      <c r="AT133" s="310">
        <f t="shared" si="57"/>
        <v>0</v>
      </c>
      <c r="AU133" s="310">
        <f t="shared" si="57"/>
        <v>0</v>
      </c>
      <c r="AV133" s="310">
        <f t="shared" si="57"/>
        <v>0</v>
      </c>
      <c r="AW133" s="310">
        <f t="shared" si="57"/>
        <v>0</v>
      </c>
      <c r="AX133" s="310">
        <f t="shared" si="57"/>
        <v>0</v>
      </c>
      <c r="AY133" s="310">
        <f t="shared" si="57"/>
        <v>0</v>
      </c>
      <c r="AZ133" s="310">
        <f t="shared" si="57"/>
        <v>0</v>
      </c>
      <c r="BA133" s="310">
        <f t="shared" si="57"/>
        <v>0</v>
      </c>
      <c r="BB133" s="310">
        <f t="shared" si="57"/>
        <v>0</v>
      </c>
      <c r="BC133" s="310">
        <f t="shared" si="57"/>
        <v>0</v>
      </c>
      <c r="BD133" s="310">
        <f t="shared" si="57"/>
        <v>0</v>
      </c>
      <c r="BE133" s="310">
        <f t="shared" si="57"/>
        <v>0</v>
      </c>
      <c r="BF133" s="310">
        <f t="shared" si="57"/>
        <v>0</v>
      </c>
      <c r="BG133" s="310">
        <f t="shared" si="57"/>
        <v>0</v>
      </c>
      <c r="BI133" s="296">
        <f t="shared" ref="BI133" si="58">SUM(T133:BG133)</f>
        <v>999999.99999999988</v>
      </c>
      <c r="BK133" s="103"/>
    </row>
    <row r="134" spans="2:63">
      <c r="C134" s="99">
        <f>AA!C15</f>
        <v>3</v>
      </c>
      <c r="E134" s="94" t="str">
        <f>INDEX(AA!$AC$13:$AC$15,MATCH($C134,AA!$C$13:$C$15,0))</f>
        <v>backup</v>
      </c>
      <c r="G134" s="1325">
        <f>INDEX(AA!$E$13:$E$15,MATCH($C134,AA!$C$13:$C$15,0))</f>
        <v>1</v>
      </c>
      <c r="I134" s="73" t="s">
        <v>591</v>
      </c>
      <c r="K134" s="1325">
        <f>INDEX(AA!$GE$13:$GE$15,MATCH($C134,AA!$C$13:$C$15,0))</f>
        <v>833333.33333333326</v>
      </c>
      <c r="L134" s="388">
        <f>INDEX(AA!$GH$13:$GH$15,MATCH($C134,AA!$C$13:$C$15,0))</f>
        <v>1.2</v>
      </c>
      <c r="T134" s="310">
        <f t="shared" ref="T134:BG134" si="59">$K134*$L134*T37</f>
        <v>0</v>
      </c>
      <c r="U134" s="310">
        <f t="shared" si="59"/>
        <v>0</v>
      </c>
      <c r="V134" s="310">
        <f t="shared" si="59"/>
        <v>0</v>
      </c>
      <c r="W134" s="310">
        <f t="shared" si="59"/>
        <v>0</v>
      </c>
      <c r="X134" s="310">
        <f t="shared" si="59"/>
        <v>0</v>
      </c>
      <c r="Y134" s="310">
        <f t="shared" si="59"/>
        <v>0</v>
      </c>
      <c r="Z134" s="310">
        <f t="shared" si="59"/>
        <v>0</v>
      </c>
      <c r="AA134" s="310">
        <f t="shared" si="59"/>
        <v>0</v>
      </c>
      <c r="AB134" s="310">
        <f t="shared" si="59"/>
        <v>0</v>
      </c>
      <c r="AC134" s="310">
        <f t="shared" si="59"/>
        <v>0</v>
      </c>
      <c r="AD134" s="310">
        <f t="shared" si="59"/>
        <v>0</v>
      </c>
      <c r="AE134" s="310">
        <f t="shared" si="59"/>
        <v>999999.99999999988</v>
      </c>
      <c r="AF134" s="310">
        <f t="shared" si="59"/>
        <v>0</v>
      </c>
      <c r="AG134" s="310">
        <f t="shared" si="59"/>
        <v>0</v>
      </c>
      <c r="AH134" s="310">
        <f t="shared" si="59"/>
        <v>0</v>
      </c>
      <c r="AI134" s="310">
        <f t="shared" si="59"/>
        <v>0</v>
      </c>
      <c r="AJ134" s="310">
        <f t="shared" si="59"/>
        <v>0</v>
      </c>
      <c r="AK134" s="310">
        <f t="shared" si="59"/>
        <v>0</v>
      </c>
      <c r="AL134" s="310">
        <f t="shared" si="59"/>
        <v>0</v>
      </c>
      <c r="AM134" s="310">
        <f t="shared" si="59"/>
        <v>0</v>
      </c>
      <c r="AN134" s="310">
        <f t="shared" si="59"/>
        <v>0</v>
      </c>
      <c r="AO134" s="310">
        <f t="shared" si="59"/>
        <v>0</v>
      </c>
      <c r="AP134" s="310">
        <f t="shared" si="59"/>
        <v>0</v>
      </c>
      <c r="AQ134" s="310">
        <f t="shared" si="59"/>
        <v>0</v>
      </c>
      <c r="AR134" s="310">
        <f t="shared" si="59"/>
        <v>0</v>
      </c>
      <c r="AS134" s="310">
        <f t="shared" si="59"/>
        <v>0</v>
      </c>
      <c r="AT134" s="310">
        <f t="shared" si="59"/>
        <v>0</v>
      </c>
      <c r="AU134" s="310">
        <f t="shared" si="59"/>
        <v>0</v>
      </c>
      <c r="AV134" s="310">
        <f t="shared" si="59"/>
        <v>0</v>
      </c>
      <c r="AW134" s="310">
        <f t="shared" si="59"/>
        <v>0</v>
      </c>
      <c r="AX134" s="310">
        <f t="shared" si="59"/>
        <v>0</v>
      </c>
      <c r="AY134" s="310">
        <f t="shared" si="59"/>
        <v>0</v>
      </c>
      <c r="AZ134" s="310">
        <f t="shared" si="59"/>
        <v>0</v>
      </c>
      <c r="BA134" s="310">
        <f t="shared" si="59"/>
        <v>0</v>
      </c>
      <c r="BB134" s="310">
        <f t="shared" si="59"/>
        <v>0</v>
      </c>
      <c r="BC134" s="310">
        <f t="shared" si="59"/>
        <v>0</v>
      </c>
      <c r="BD134" s="310">
        <f t="shared" si="59"/>
        <v>0</v>
      </c>
      <c r="BE134" s="310">
        <f t="shared" si="59"/>
        <v>0</v>
      </c>
      <c r="BF134" s="310">
        <f t="shared" si="59"/>
        <v>0</v>
      </c>
      <c r="BG134" s="310">
        <f t="shared" si="59"/>
        <v>0</v>
      </c>
      <c r="BI134" s="296">
        <f t="shared" ref="BI134" si="60">SUM(T134:BG134)</f>
        <v>999999.99999999988</v>
      </c>
      <c r="BK134" s="103"/>
    </row>
    <row r="135" spans="2:63">
      <c r="C135" s="269"/>
      <c r="E135" s="269"/>
      <c r="G135" s="269"/>
      <c r="I135" s="269"/>
      <c r="K135" s="269"/>
      <c r="L135" s="269"/>
      <c r="BI135" s="269"/>
      <c r="BK135" s="269"/>
    </row>
    <row r="137" spans="2:63" s="90" customFormat="1">
      <c r="B137" s="91">
        <f ca="1">MAX(A$1:$B136)+1</f>
        <v>16</v>
      </c>
      <c r="C137" s="92" t="s">
        <v>592</v>
      </c>
    </row>
    <row r="139" spans="2:63" ht="30">
      <c r="C139" s="97" t="s">
        <v>4</v>
      </c>
      <c r="E139" s="97" t="s">
        <v>6</v>
      </c>
      <c r="G139" s="101" t="s">
        <v>272</v>
      </c>
      <c r="I139" s="101" t="s">
        <v>150</v>
      </c>
      <c r="K139" s="97" t="s">
        <v>1166</v>
      </c>
      <c r="BI139" s="327" t="s">
        <v>152</v>
      </c>
      <c r="BK139" s="372"/>
    </row>
    <row r="140" spans="2:63">
      <c r="C140" s="99">
        <f>AA!C13</f>
        <v>1</v>
      </c>
      <c r="E140" s="93" t="str">
        <f>INDEX(AA!$AC$13:$AC$15,MATCH($C140,AA!$C$13:$C$15,0))</f>
        <v>backup</v>
      </c>
      <c r="G140" s="1324">
        <f>INDEX(AA!$E$13:$E$15,MATCH($C140,AA!$C$13:$C$15,0))</f>
        <v>1</v>
      </c>
      <c r="I140" s="72" t="s">
        <v>593</v>
      </c>
      <c r="K140" s="1113">
        <f>GA!G579</f>
        <v>0</v>
      </c>
      <c r="T140" s="403">
        <f>IFERROR((S140+(-(PCF!T177+PCF!T184)*$K$140))*T19,0)</f>
        <v>0</v>
      </c>
      <c r="U140" s="403">
        <f>IFERROR((T140+(-(PCF!U177+PCF!U184)*$K$140))*U19,0)</f>
        <v>0</v>
      </c>
      <c r="V140" s="403">
        <f>IFERROR((U140+(-(PCF!V177+PCF!V184)*$K$140))*V19,0)</f>
        <v>0</v>
      </c>
      <c r="W140" s="403">
        <f>IFERROR((V140+(-(PCF!W177+PCF!W184)*$K$140))*W19,0)</f>
        <v>0</v>
      </c>
      <c r="X140" s="403">
        <f>IFERROR((W140+(-(PCF!X177+PCF!X184)*$K$140))*X19,0)</f>
        <v>0</v>
      </c>
      <c r="Y140" s="403">
        <f>IFERROR((X140+(-(PCF!Y177+PCF!Y184)*$K$140))*Y19,0)</f>
        <v>0</v>
      </c>
      <c r="Z140" s="403">
        <f>IFERROR((Y140+(-(PCF!Z177+PCF!Z184)*$K$140))*Z19,0)</f>
        <v>0</v>
      </c>
      <c r="AA140" s="403">
        <f>IFERROR((Z140+(-(PCF!AA177+PCF!AA184)*$K$140))*AA19,0)</f>
        <v>0</v>
      </c>
      <c r="AB140" s="403">
        <f>IFERROR((AA140+(-(PCF!AB177+PCF!AB184)*$K$140))*AB19,0)</f>
        <v>0</v>
      </c>
      <c r="AC140" s="403">
        <f>IFERROR((AB140+(-(PCF!AC177+PCF!AC184)*$K$140))*AC19,0)</f>
        <v>0</v>
      </c>
      <c r="AD140" s="403">
        <f>IFERROR((AC140+(-(PCF!AD177+PCF!AD184)*$K$140))*AD19,0)</f>
        <v>0</v>
      </c>
      <c r="AE140" s="403">
        <f>IFERROR((AD140+(-(PCF!AE177+PCF!AE184)*$K$140))*AE19,0)</f>
        <v>0</v>
      </c>
      <c r="AF140" s="403">
        <f>IFERROR((AE140+(-(PCF!AF177+PCF!AF184)*$K$140))*AF19,0)</f>
        <v>0</v>
      </c>
      <c r="AG140" s="403">
        <f>IFERROR((AF140+(-(PCF!AG177+PCF!AG184)*$K$140))*AG19,0)</f>
        <v>0</v>
      </c>
      <c r="AH140" s="403">
        <f>IFERROR((AG140+(-(PCF!AH177+PCF!AH184)*$K$140))*AH19,0)</f>
        <v>0</v>
      </c>
      <c r="AI140" s="403">
        <f>IFERROR((AH140+(-(PCF!AI177+PCF!AI184)*$K$140))*AI19,0)</f>
        <v>0</v>
      </c>
      <c r="AJ140" s="403">
        <f>IFERROR((AI140+(-(PCF!AJ177+PCF!AJ184)*$K$140))*AJ19,0)</f>
        <v>0</v>
      </c>
      <c r="AK140" s="403">
        <f>IFERROR((AJ140+(-(PCF!AK177+PCF!AK184)*$K$140))*AK19,0)</f>
        <v>0</v>
      </c>
      <c r="AL140" s="403">
        <f>IFERROR((AK140+(-(PCF!AL177+PCF!AL184)*$K$140))*AL19,0)</f>
        <v>0</v>
      </c>
      <c r="AM140" s="403">
        <f>IFERROR((AL140+(-(PCF!AM177+PCF!AM184)*$K$140))*AM19,0)</f>
        <v>0</v>
      </c>
      <c r="AN140" s="403">
        <f>IFERROR((AM140+(-(PCF!AN177+PCF!AN184)*$K$140))*AN19,0)</f>
        <v>0</v>
      </c>
      <c r="AO140" s="403">
        <f>IFERROR((AN140+(-(PCF!AO177+PCF!AO184)*$K$140))*AO19,0)</f>
        <v>0</v>
      </c>
      <c r="AP140" s="403">
        <f>IFERROR((AO140+(-(PCF!AP177+PCF!AP184)*$K$140))*AP19,0)</f>
        <v>0</v>
      </c>
      <c r="AQ140" s="403">
        <f>IFERROR((AP140+(-(PCF!AQ177+PCF!AQ184)*$K$140))*AQ19,0)</f>
        <v>0</v>
      </c>
      <c r="AR140" s="403">
        <f>IFERROR((AQ140+(-(PCF!AR177+PCF!AR184)*$K$140))*AR19,0)</f>
        <v>0</v>
      </c>
      <c r="AS140" s="403">
        <f>IFERROR((AR140+(-(PCF!AS177+PCF!AS184)*$K$140))*AS19,0)</f>
        <v>0</v>
      </c>
      <c r="AT140" s="403">
        <f>IFERROR((AS140+(-(PCF!AT177+PCF!AT184)*$K$140))*AT19,0)</f>
        <v>0</v>
      </c>
      <c r="AU140" s="403">
        <f>IFERROR((AT140+(-(PCF!AU177+PCF!AU184)*$K$140))*AU19,0)</f>
        <v>0</v>
      </c>
      <c r="AV140" s="403">
        <f>IFERROR((AU140+(-(PCF!AV177+PCF!AV184)*$K$140))*AV19,0)</f>
        <v>0</v>
      </c>
      <c r="AW140" s="403">
        <f>IFERROR((AV140+(-(PCF!AW177+PCF!AW184)*$K$140))*AW19,0)</f>
        <v>0</v>
      </c>
      <c r="AX140" s="403">
        <f>IFERROR((AW140+(-(PCF!AX177+PCF!AX184)*$K$140))*AX19,0)</f>
        <v>0</v>
      </c>
      <c r="AY140" s="403">
        <f>IFERROR((AX140+(-(PCF!AY177+PCF!AY184)*$K$140))*AY19,0)</f>
        <v>0</v>
      </c>
      <c r="AZ140" s="403">
        <f>IFERROR((AY140+(-(PCF!AZ177+PCF!AZ184)*$K$140))*AZ19,0)</f>
        <v>0</v>
      </c>
      <c r="BA140" s="403">
        <f>IFERROR((AZ140+(-(PCF!BA177+PCF!BA184)*$K$140))*BA19,0)</f>
        <v>0</v>
      </c>
      <c r="BB140" s="403">
        <f>IFERROR((BA140+(-(PCF!BB177+PCF!BB184)*$K$140))*BB19,0)</f>
        <v>0</v>
      </c>
      <c r="BC140" s="403">
        <f>IFERROR((BB140+(-(PCF!BC177+PCF!BC184)*$K$140))*BC19,0)</f>
        <v>0</v>
      </c>
      <c r="BD140" s="403">
        <f>IFERROR((BC140+(-(PCF!BD177+PCF!BD184)*$K$140))*BD19,0)</f>
        <v>0</v>
      </c>
      <c r="BE140" s="403">
        <f>IFERROR((BD140+(-(PCF!BE177+PCF!BE184)*$K$140))*BE19,0)</f>
        <v>0</v>
      </c>
      <c r="BF140" s="403">
        <f>IFERROR((BE140+(-(PCF!BF177+PCF!BF184)*$K$140))*BF19,0)</f>
        <v>0</v>
      </c>
      <c r="BG140" s="403">
        <f>IFERROR((BF140+(-(PCF!BG177+PCF!BG184)*$K$140))*BG19,0)</f>
        <v>0</v>
      </c>
      <c r="BI140" s="105" t="s">
        <v>153</v>
      </c>
      <c r="BK140" s="103"/>
    </row>
    <row r="141" spans="2:63">
      <c r="C141" s="99">
        <f>AA!C14</f>
        <v>2</v>
      </c>
      <c r="E141" s="94" t="str">
        <f>INDEX(AA!$AC$13:$AC$15,MATCH($C141,AA!$C$13:$C$15,0))</f>
        <v>backup</v>
      </c>
      <c r="G141" s="1325">
        <f>INDEX(AA!$E$13:$E$15,MATCH($C141,AA!$C$13:$C$15,0))</f>
        <v>1</v>
      </c>
      <c r="I141" s="73" t="s">
        <v>593</v>
      </c>
      <c r="K141" s="1110"/>
      <c r="T141" s="403">
        <f>IFERROR((S141+(-(PCF!T178+PCF!T185)*$K$140))*T20,0)</f>
        <v>0</v>
      </c>
      <c r="U141" s="403">
        <f>IFERROR((T141+(-(PCF!U178+PCF!U185)*$K$140))*U20,0)</f>
        <v>0</v>
      </c>
      <c r="V141" s="403">
        <f>IFERROR((U141+(-(PCF!V178+PCF!V185)*$K$140))*V20,0)</f>
        <v>0</v>
      </c>
      <c r="W141" s="403">
        <f>IFERROR((V141+(-(PCF!W178+PCF!W185)*$K$140))*W20,0)</f>
        <v>0</v>
      </c>
      <c r="X141" s="403">
        <f>IFERROR((W141+(-(PCF!X178+PCF!X185)*$K$140))*X20,0)</f>
        <v>0</v>
      </c>
      <c r="Y141" s="403">
        <f>IFERROR((X141+(-(PCF!Y178+PCF!Y185)*$K$140))*Y20,0)</f>
        <v>0</v>
      </c>
      <c r="Z141" s="403">
        <f>IFERROR((Y141+(-(PCF!Z178+PCF!Z185)*$K$140))*Z20,0)</f>
        <v>0</v>
      </c>
      <c r="AA141" s="403">
        <f>IFERROR((Z141+(-(PCF!AA178+PCF!AA185)*$K$140))*AA20,0)</f>
        <v>0</v>
      </c>
      <c r="AB141" s="403">
        <f>IFERROR((AA141+(-(PCF!AB178+PCF!AB185)*$K$140))*AB20,0)</f>
        <v>0</v>
      </c>
      <c r="AC141" s="403">
        <f>IFERROR((AB141+(-(PCF!AC178+PCF!AC185)*$K$140))*AC20,0)</f>
        <v>0</v>
      </c>
      <c r="AD141" s="403">
        <f>IFERROR((AC141+(-(PCF!AD178+PCF!AD185)*$K$140))*AD20,0)</f>
        <v>0</v>
      </c>
      <c r="AE141" s="403">
        <f>IFERROR((AD141+(-(PCF!AE178+PCF!AE185)*$K$140))*AE20,0)</f>
        <v>0</v>
      </c>
      <c r="AF141" s="403">
        <f>IFERROR((AE141+(-(PCF!AF178+PCF!AF185)*$K$140))*AF20,0)</f>
        <v>0</v>
      </c>
      <c r="AG141" s="403">
        <f>IFERROR((AF141+(-(PCF!AG178+PCF!AG185)*$K$140))*AG20,0)</f>
        <v>0</v>
      </c>
      <c r="AH141" s="403">
        <f>IFERROR((AG141+(-(PCF!AH178+PCF!AH185)*$K$140))*AH20,0)</f>
        <v>0</v>
      </c>
      <c r="AI141" s="403">
        <f>IFERROR((AH141+(-(PCF!AI178+PCF!AI185)*$K$140))*AI20,0)</f>
        <v>0</v>
      </c>
      <c r="AJ141" s="403">
        <f>IFERROR((AI141+(-(PCF!AJ178+PCF!AJ185)*$K$140))*AJ20,0)</f>
        <v>0</v>
      </c>
      <c r="AK141" s="403">
        <f>IFERROR((AJ141+(-(PCF!AK178+PCF!AK185)*$K$140))*AK20,0)</f>
        <v>0</v>
      </c>
      <c r="AL141" s="403">
        <f>IFERROR((AK141+(-(PCF!AL178+PCF!AL185)*$K$140))*AL20,0)</f>
        <v>0</v>
      </c>
      <c r="AM141" s="403">
        <f>IFERROR((AL141+(-(PCF!AM178+PCF!AM185)*$K$140))*AM20,0)</f>
        <v>0</v>
      </c>
      <c r="AN141" s="403">
        <f>IFERROR((AM141+(-(PCF!AN178+PCF!AN185)*$K$140))*AN20,0)</f>
        <v>0</v>
      </c>
      <c r="AO141" s="403">
        <f>IFERROR((AN141+(-(PCF!AO178+PCF!AO185)*$K$140))*AO20,0)</f>
        <v>0</v>
      </c>
      <c r="AP141" s="403">
        <f>IFERROR((AO141+(-(PCF!AP178+PCF!AP185)*$K$140))*AP20,0)</f>
        <v>0</v>
      </c>
      <c r="AQ141" s="403">
        <f>IFERROR((AP141+(-(PCF!AQ178+PCF!AQ185)*$K$140))*AQ20,0)</f>
        <v>0</v>
      </c>
      <c r="AR141" s="403">
        <f>IFERROR((AQ141+(-(PCF!AR178+PCF!AR185)*$K$140))*AR20,0)</f>
        <v>0</v>
      </c>
      <c r="AS141" s="403">
        <f>IFERROR((AR141+(-(PCF!AS178+PCF!AS185)*$K$140))*AS20,0)</f>
        <v>0</v>
      </c>
      <c r="AT141" s="403">
        <f>IFERROR((AS141+(-(PCF!AT178+PCF!AT185)*$K$140))*AT20,0)</f>
        <v>0</v>
      </c>
      <c r="AU141" s="403">
        <f>IFERROR((AT141+(-(PCF!AU178+PCF!AU185)*$K$140))*AU20,0)</f>
        <v>0</v>
      </c>
      <c r="AV141" s="403">
        <f>IFERROR((AU141+(-(PCF!AV178+PCF!AV185)*$K$140))*AV20,0)</f>
        <v>0</v>
      </c>
      <c r="AW141" s="403">
        <f>IFERROR((AV141+(-(PCF!AW178+PCF!AW185)*$K$140))*AW20,0)</f>
        <v>0</v>
      </c>
      <c r="AX141" s="403">
        <f>IFERROR((AW141+(-(PCF!AX178+PCF!AX185)*$K$140))*AX20,0)</f>
        <v>0</v>
      </c>
      <c r="AY141" s="403">
        <f>IFERROR((AX141+(-(PCF!AY178+PCF!AY185)*$K$140))*AY20,0)</f>
        <v>0</v>
      </c>
      <c r="AZ141" s="403">
        <f>IFERROR((AY141+(-(PCF!AZ178+PCF!AZ185)*$K$140))*AZ20,0)</f>
        <v>0</v>
      </c>
      <c r="BA141" s="403">
        <f>IFERROR((AZ141+(-(PCF!BA178+PCF!BA185)*$K$140))*BA20,0)</f>
        <v>0</v>
      </c>
      <c r="BB141" s="403">
        <f>IFERROR((BA141+(-(PCF!BB178+PCF!BB185)*$K$140))*BB20,0)</f>
        <v>0</v>
      </c>
      <c r="BC141" s="403">
        <f>IFERROR((BB141+(-(PCF!BC178+PCF!BC185)*$K$140))*BC20,0)</f>
        <v>0</v>
      </c>
      <c r="BD141" s="403">
        <f>IFERROR((BC141+(-(PCF!BD178+PCF!BD185)*$K$140))*BD20,0)</f>
        <v>0</v>
      </c>
      <c r="BE141" s="403">
        <f>IFERROR((BD141+(-(PCF!BE178+PCF!BE185)*$K$140))*BE20,0)</f>
        <v>0</v>
      </c>
      <c r="BF141" s="403">
        <f>IFERROR((BE141+(-(PCF!BF178+PCF!BF185)*$K$140))*BF20,0)</f>
        <v>0</v>
      </c>
      <c r="BG141" s="403">
        <f>IFERROR((BF141+(-(PCF!BG178+PCF!BG185)*$K$140))*BG20,0)</f>
        <v>0</v>
      </c>
      <c r="BI141" s="106" t="s">
        <v>153</v>
      </c>
      <c r="BK141" s="103"/>
    </row>
    <row r="142" spans="2:63">
      <c r="C142" s="99">
        <f>AA!C15</f>
        <v>3</v>
      </c>
      <c r="E142" s="94" t="str">
        <f>INDEX(AA!$AC$13:$AC$15,MATCH($C142,AA!$C$13:$C$15,0))</f>
        <v>backup</v>
      </c>
      <c r="G142" s="1325">
        <f>INDEX(AA!$E$13:$E$15,MATCH($C142,AA!$C$13:$C$15,0))</f>
        <v>1</v>
      </c>
      <c r="I142" s="73" t="s">
        <v>593</v>
      </c>
      <c r="K142" s="1110"/>
      <c r="T142" s="403">
        <f>IFERROR((S142+(-(PCF!T179+PCF!T186)*$K$140))*T21,0)</f>
        <v>0</v>
      </c>
      <c r="U142" s="403">
        <f>IFERROR((T142+(-(PCF!U179+PCF!U186)*$K$140))*U21,0)</f>
        <v>0</v>
      </c>
      <c r="V142" s="403">
        <f>IFERROR((U142+(-(PCF!V179+PCF!V186)*$K$140))*V21,0)</f>
        <v>0</v>
      </c>
      <c r="W142" s="403">
        <f>IFERROR((V142+(-(PCF!W179+PCF!W186)*$K$140))*W21,0)</f>
        <v>0</v>
      </c>
      <c r="X142" s="403">
        <f>IFERROR((W142+(-(PCF!X179+PCF!X186)*$K$140))*X21,0)</f>
        <v>0</v>
      </c>
      <c r="Y142" s="403">
        <f>IFERROR((X142+(-(PCF!Y179+PCF!Y186)*$K$140))*Y21,0)</f>
        <v>0</v>
      </c>
      <c r="Z142" s="403">
        <f>IFERROR((Y142+(-(PCF!Z179+PCF!Z186)*$K$140))*Z21,0)</f>
        <v>0</v>
      </c>
      <c r="AA142" s="403">
        <f>IFERROR((Z142+(-(PCF!AA179+PCF!AA186)*$K$140))*AA21,0)</f>
        <v>0</v>
      </c>
      <c r="AB142" s="403">
        <f>IFERROR((AA142+(-(PCF!AB179+PCF!AB186)*$K$140))*AB21,0)</f>
        <v>0</v>
      </c>
      <c r="AC142" s="403">
        <f>IFERROR((AB142+(-(PCF!AC179+PCF!AC186)*$K$140))*AC21,0)</f>
        <v>0</v>
      </c>
      <c r="AD142" s="403">
        <f>IFERROR((AC142+(-(PCF!AD179+PCF!AD186)*$K$140))*AD21,0)</f>
        <v>0</v>
      </c>
      <c r="AE142" s="403">
        <f>IFERROR((AD142+(-(PCF!AE179+PCF!AE186)*$K$140))*AE21,0)</f>
        <v>0</v>
      </c>
      <c r="AF142" s="403">
        <f>IFERROR((AE142+(-(PCF!AF179+PCF!AF186)*$K$140))*AF21,0)</f>
        <v>0</v>
      </c>
      <c r="AG142" s="403">
        <f>IFERROR((AF142+(-(PCF!AG179+PCF!AG186)*$K$140))*AG21,0)</f>
        <v>0</v>
      </c>
      <c r="AH142" s="403">
        <f>IFERROR((AG142+(-(PCF!AH179+PCF!AH186)*$K$140))*AH21,0)</f>
        <v>0</v>
      </c>
      <c r="AI142" s="403">
        <f>IFERROR((AH142+(-(PCF!AI179+PCF!AI186)*$K$140))*AI21,0)</f>
        <v>0</v>
      </c>
      <c r="AJ142" s="403">
        <f>IFERROR((AI142+(-(PCF!AJ179+PCF!AJ186)*$K$140))*AJ21,0)</f>
        <v>0</v>
      </c>
      <c r="AK142" s="403">
        <f>IFERROR((AJ142+(-(PCF!AK179+PCF!AK186)*$K$140))*AK21,0)</f>
        <v>0</v>
      </c>
      <c r="AL142" s="403">
        <f>IFERROR((AK142+(-(PCF!AL179+PCF!AL186)*$K$140))*AL21,0)</f>
        <v>0</v>
      </c>
      <c r="AM142" s="403">
        <f>IFERROR((AL142+(-(PCF!AM179+PCF!AM186)*$K$140))*AM21,0)</f>
        <v>0</v>
      </c>
      <c r="AN142" s="403">
        <f>IFERROR((AM142+(-(PCF!AN179+PCF!AN186)*$K$140))*AN21,0)</f>
        <v>0</v>
      </c>
      <c r="AO142" s="403">
        <f>IFERROR((AN142+(-(PCF!AO179+PCF!AO186)*$K$140))*AO21,0)</f>
        <v>0</v>
      </c>
      <c r="AP142" s="403">
        <f>IFERROR((AO142+(-(PCF!AP179+PCF!AP186)*$K$140))*AP21,0)</f>
        <v>0</v>
      </c>
      <c r="AQ142" s="403">
        <f>IFERROR((AP142+(-(PCF!AQ179+PCF!AQ186)*$K$140))*AQ21,0)</f>
        <v>0</v>
      </c>
      <c r="AR142" s="403">
        <f>IFERROR((AQ142+(-(PCF!AR179+PCF!AR186)*$K$140))*AR21,0)</f>
        <v>0</v>
      </c>
      <c r="AS142" s="403">
        <f>IFERROR((AR142+(-(PCF!AS179+PCF!AS186)*$K$140))*AS21,0)</f>
        <v>0</v>
      </c>
      <c r="AT142" s="403">
        <f>IFERROR((AS142+(-(PCF!AT179+PCF!AT186)*$K$140))*AT21,0)</f>
        <v>0</v>
      </c>
      <c r="AU142" s="403">
        <f>IFERROR((AT142+(-(PCF!AU179+PCF!AU186)*$K$140))*AU21,0)</f>
        <v>0</v>
      </c>
      <c r="AV142" s="403">
        <f>IFERROR((AU142+(-(PCF!AV179+PCF!AV186)*$K$140))*AV21,0)</f>
        <v>0</v>
      </c>
      <c r="AW142" s="403">
        <f>IFERROR((AV142+(-(PCF!AW179+PCF!AW186)*$K$140))*AW21,0)</f>
        <v>0</v>
      </c>
      <c r="AX142" s="403">
        <f>IFERROR((AW142+(-(PCF!AX179+PCF!AX186)*$K$140))*AX21,0)</f>
        <v>0</v>
      </c>
      <c r="AY142" s="403">
        <f>IFERROR((AX142+(-(PCF!AY179+PCF!AY186)*$K$140))*AY21,0)</f>
        <v>0</v>
      </c>
      <c r="AZ142" s="403">
        <f>IFERROR((AY142+(-(PCF!AZ179+PCF!AZ186)*$K$140))*AZ21,0)</f>
        <v>0</v>
      </c>
      <c r="BA142" s="403">
        <f>IFERROR((AZ142+(-(PCF!BA179+PCF!BA186)*$K$140))*BA21,0)</f>
        <v>0</v>
      </c>
      <c r="BB142" s="403">
        <f>IFERROR((BA142+(-(PCF!BB179+PCF!BB186)*$K$140))*BB21,0)</f>
        <v>0</v>
      </c>
      <c r="BC142" s="403">
        <f>IFERROR((BB142+(-(PCF!BC179+PCF!BC186)*$K$140))*BC21,0)</f>
        <v>0</v>
      </c>
      <c r="BD142" s="403">
        <f>IFERROR((BC142+(-(PCF!BD179+PCF!BD186)*$K$140))*BD21,0)</f>
        <v>0</v>
      </c>
      <c r="BE142" s="403">
        <f>IFERROR((BD142+(-(PCF!BE179+PCF!BE186)*$K$140))*BE21,0)</f>
        <v>0</v>
      </c>
      <c r="BF142" s="403">
        <f>IFERROR((BE142+(-(PCF!BF179+PCF!BF186)*$K$140))*BF21,0)</f>
        <v>0</v>
      </c>
      <c r="BG142" s="403">
        <f>IFERROR((BF142+(-(PCF!BG179+PCF!BG186)*$K$140))*BG21,0)</f>
        <v>0</v>
      </c>
      <c r="BI142" s="106" t="s">
        <v>153</v>
      </c>
      <c r="BK142" s="103"/>
    </row>
    <row r="143" spans="2:63">
      <c r="C143" s="269"/>
      <c r="E143" s="269"/>
      <c r="G143" s="269"/>
      <c r="I143" s="269"/>
      <c r="K143" s="269"/>
      <c r="BI143" s="269"/>
      <c r="BK143" s="269"/>
    </row>
    <row r="145" spans="2:63" s="90" customFormat="1">
      <c r="B145" s="91">
        <f ca="1">MAX(A$1:$B144)+1</f>
        <v>17</v>
      </c>
      <c r="C145" s="92" t="s">
        <v>594</v>
      </c>
    </row>
    <row r="147" spans="2:63" ht="30">
      <c r="C147" s="97" t="s">
        <v>4</v>
      </c>
      <c r="E147" s="97" t="s">
        <v>6</v>
      </c>
      <c r="G147" s="101" t="s">
        <v>272</v>
      </c>
      <c r="I147" s="101" t="s">
        <v>150</v>
      </c>
      <c r="K147" s="101" t="s">
        <v>582</v>
      </c>
      <c r="BI147" s="327" t="s">
        <v>152</v>
      </c>
      <c r="BK147" s="372"/>
    </row>
    <row r="148" spans="2:63">
      <c r="C148" s="99">
        <f>AA!C13</f>
        <v>1</v>
      </c>
      <c r="E148" s="93" t="str">
        <f>INDEX(AA!$AC$13:$AC$15,MATCH($C148,AA!$C$13:$C$15,0))</f>
        <v>backup</v>
      </c>
      <c r="G148" s="1324">
        <f>INDEX(AA!$E$13:$E$15,MATCH($C148,AA!$C$13:$C$15,0))</f>
        <v>1</v>
      </c>
      <c r="I148" s="72" t="s">
        <v>595</v>
      </c>
      <c r="K148" s="1326">
        <f>INDEX(AA!$GL$13:$GL$15,MATCH($C148,AA!$C$13:$C$15,0))</f>
        <v>1.2</v>
      </c>
      <c r="T148" s="310">
        <f t="shared" ref="T148:BG148" si="61">T140*T35*$K148</f>
        <v>0</v>
      </c>
      <c r="U148" s="310">
        <f t="shared" si="61"/>
        <v>0</v>
      </c>
      <c r="V148" s="310">
        <f t="shared" si="61"/>
        <v>0</v>
      </c>
      <c r="W148" s="310">
        <f t="shared" si="61"/>
        <v>0</v>
      </c>
      <c r="X148" s="310">
        <f t="shared" si="61"/>
        <v>0</v>
      </c>
      <c r="Y148" s="310">
        <f t="shared" si="61"/>
        <v>0</v>
      </c>
      <c r="Z148" s="310">
        <f t="shared" si="61"/>
        <v>0</v>
      </c>
      <c r="AA148" s="310">
        <f t="shared" si="61"/>
        <v>0</v>
      </c>
      <c r="AB148" s="310">
        <f t="shared" si="61"/>
        <v>0</v>
      </c>
      <c r="AC148" s="310">
        <f t="shared" si="61"/>
        <v>0</v>
      </c>
      <c r="AD148" s="310">
        <f t="shared" si="61"/>
        <v>0</v>
      </c>
      <c r="AE148" s="310">
        <f t="shared" si="61"/>
        <v>0</v>
      </c>
      <c r="AF148" s="310">
        <f t="shared" si="61"/>
        <v>0</v>
      </c>
      <c r="AG148" s="310">
        <f t="shared" si="61"/>
        <v>0</v>
      </c>
      <c r="AH148" s="310">
        <f t="shared" si="61"/>
        <v>0</v>
      </c>
      <c r="AI148" s="310">
        <f t="shared" si="61"/>
        <v>0</v>
      </c>
      <c r="AJ148" s="310">
        <f t="shared" si="61"/>
        <v>0</v>
      </c>
      <c r="AK148" s="310">
        <f t="shared" si="61"/>
        <v>0</v>
      </c>
      <c r="AL148" s="310">
        <f t="shared" si="61"/>
        <v>0</v>
      </c>
      <c r="AM148" s="310">
        <f t="shared" si="61"/>
        <v>0</v>
      </c>
      <c r="AN148" s="310">
        <f t="shared" si="61"/>
        <v>0</v>
      </c>
      <c r="AO148" s="310">
        <f t="shared" si="61"/>
        <v>0</v>
      </c>
      <c r="AP148" s="310">
        <f t="shared" si="61"/>
        <v>0</v>
      </c>
      <c r="AQ148" s="310">
        <f t="shared" si="61"/>
        <v>0</v>
      </c>
      <c r="AR148" s="310">
        <f t="shared" si="61"/>
        <v>0</v>
      </c>
      <c r="AS148" s="310">
        <f t="shared" si="61"/>
        <v>0</v>
      </c>
      <c r="AT148" s="310">
        <f t="shared" si="61"/>
        <v>0</v>
      </c>
      <c r="AU148" s="310">
        <f t="shared" si="61"/>
        <v>0</v>
      </c>
      <c r="AV148" s="310">
        <f t="shared" si="61"/>
        <v>0</v>
      </c>
      <c r="AW148" s="310">
        <f t="shared" si="61"/>
        <v>0</v>
      </c>
      <c r="AX148" s="310">
        <f t="shared" si="61"/>
        <v>0</v>
      </c>
      <c r="AY148" s="310">
        <f t="shared" si="61"/>
        <v>0</v>
      </c>
      <c r="AZ148" s="310">
        <f t="shared" si="61"/>
        <v>0</v>
      </c>
      <c r="BA148" s="310">
        <f t="shared" si="61"/>
        <v>0</v>
      </c>
      <c r="BB148" s="310">
        <f t="shared" si="61"/>
        <v>0</v>
      </c>
      <c r="BC148" s="310">
        <f t="shared" si="61"/>
        <v>0</v>
      </c>
      <c r="BD148" s="310">
        <f t="shared" si="61"/>
        <v>0</v>
      </c>
      <c r="BE148" s="310">
        <f t="shared" si="61"/>
        <v>0</v>
      </c>
      <c r="BF148" s="310">
        <f t="shared" si="61"/>
        <v>0</v>
      </c>
      <c r="BG148" s="310">
        <f t="shared" si="61"/>
        <v>0</v>
      </c>
      <c r="BI148" s="295">
        <f>SUM(T148:BG148)</f>
        <v>0</v>
      </c>
      <c r="BK148" s="103"/>
    </row>
    <row r="149" spans="2:63">
      <c r="C149" s="99">
        <f>AA!C14</f>
        <v>2</v>
      </c>
      <c r="E149" s="94" t="str">
        <f>INDEX(AA!$AC$13:$AC$15,MATCH($C149,AA!$C$13:$C$15,0))</f>
        <v>backup</v>
      </c>
      <c r="G149" s="1325">
        <f>INDEX(AA!$E$13:$E$15,MATCH($C149,AA!$C$13:$C$15,0))</f>
        <v>1</v>
      </c>
      <c r="I149" s="73" t="s">
        <v>595</v>
      </c>
      <c r="K149" s="1327">
        <f>INDEX(AA!$GL$13:$GL$15,MATCH($C149,AA!$C$13:$C$15,0))</f>
        <v>1.2</v>
      </c>
      <c r="T149" s="310">
        <f t="shared" ref="T149:BG149" si="62">T141*T36*$K149</f>
        <v>0</v>
      </c>
      <c r="U149" s="310">
        <f t="shared" si="62"/>
        <v>0</v>
      </c>
      <c r="V149" s="310">
        <f t="shared" si="62"/>
        <v>0</v>
      </c>
      <c r="W149" s="310">
        <f t="shared" si="62"/>
        <v>0</v>
      </c>
      <c r="X149" s="310">
        <f t="shared" si="62"/>
        <v>0</v>
      </c>
      <c r="Y149" s="310">
        <f t="shared" si="62"/>
        <v>0</v>
      </c>
      <c r="Z149" s="310">
        <f t="shared" si="62"/>
        <v>0</v>
      </c>
      <c r="AA149" s="310">
        <f t="shared" si="62"/>
        <v>0</v>
      </c>
      <c r="AB149" s="310">
        <f t="shared" si="62"/>
        <v>0</v>
      </c>
      <c r="AC149" s="310">
        <f t="shared" si="62"/>
        <v>0</v>
      </c>
      <c r="AD149" s="310">
        <f t="shared" si="62"/>
        <v>0</v>
      </c>
      <c r="AE149" s="310">
        <f t="shared" si="62"/>
        <v>0</v>
      </c>
      <c r="AF149" s="310">
        <f t="shared" si="62"/>
        <v>0</v>
      </c>
      <c r="AG149" s="310">
        <f t="shared" si="62"/>
        <v>0</v>
      </c>
      <c r="AH149" s="310">
        <f t="shared" si="62"/>
        <v>0</v>
      </c>
      <c r="AI149" s="310">
        <f t="shared" si="62"/>
        <v>0</v>
      </c>
      <c r="AJ149" s="310">
        <f t="shared" si="62"/>
        <v>0</v>
      </c>
      <c r="AK149" s="310">
        <f t="shared" si="62"/>
        <v>0</v>
      </c>
      <c r="AL149" s="310">
        <f t="shared" si="62"/>
        <v>0</v>
      </c>
      <c r="AM149" s="310">
        <f t="shared" si="62"/>
        <v>0</v>
      </c>
      <c r="AN149" s="310">
        <f t="shared" si="62"/>
        <v>0</v>
      </c>
      <c r="AO149" s="310">
        <f t="shared" si="62"/>
        <v>0</v>
      </c>
      <c r="AP149" s="310">
        <f t="shared" si="62"/>
        <v>0</v>
      </c>
      <c r="AQ149" s="310">
        <f t="shared" si="62"/>
        <v>0</v>
      </c>
      <c r="AR149" s="310">
        <f t="shared" si="62"/>
        <v>0</v>
      </c>
      <c r="AS149" s="310">
        <f t="shared" si="62"/>
        <v>0</v>
      </c>
      <c r="AT149" s="310">
        <f t="shared" si="62"/>
        <v>0</v>
      </c>
      <c r="AU149" s="310">
        <f t="shared" si="62"/>
        <v>0</v>
      </c>
      <c r="AV149" s="310">
        <f t="shared" si="62"/>
        <v>0</v>
      </c>
      <c r="AW149" s="310">
        <f t="shared" si="62"/>
        <v>0</v>
      </c>
      <c r="AX149" s="310">
        <f t="shared" si="62"/>
        <v>0</v>
      </c>
      <c r="AY149" s="310">
        <f t="shared" si="62"/>
        <v>0</v>
      </c>
      <c r="AZ149" s="310">
        <f t="shared" si="62"/>
        <v>0</v>
      </c>
      <c r="BA149" s="310">
        <f t="shared" si="62"/>
        <v>0</v>
      </c>
      <c r="BB149" s="310">
        <f t="shared" si="62"/>
        <v>0</v>
      </c>
      <c r="BC149" s="310">
        <f t="shared" si="62"/>
        <v>0</v>
      </c>
      <c r="BD149" s="310">
        <f t="shared" si="62"/>
        <v>0</v>
      </c>
      <c r="BE149" s="310">
        <f t="shared" si="62"/>
        <v>0</v>
      </c>
      <c r="BF149" s="310">
        <f t="shared" si="62"/>
        <v>0</v>
      </c>
      <c r="BG149" s="310">
        <f t="shared" si="62"/>
        <v>0</v>
      </c>
      <c r="BI149" s="296">
        <f t="shared" ref="BI149" si="63">SUM(T149:BG149)</f>
        <v>0</v>
      </c>
      <c r="BK149" s="103"/>
    </row>
    <row r="150" spans="2:63">
      <c r="C150" s="99">
        <f>AA!C15</f>
        <v>3</v>
      </c>
      <c r="E150" s="94" t="str">
        <f>INDEX(AA!$AC$13:$AC$15,MATCH($C150,AA!$C$13:$C$15,0))</f>
        <v>backup</v>
      </c>
      <c r="G150" s="1325">
        <f>INDEX(AA!$E$13:$E$15,MATCH($C150,AA!$C$13:$C$15,0))</f>
        <v>1</v>
      </c>
      <c r="I150" s="73" t="s">
        <v>595</v>
      </c>
      <c r="K150" s="1327">
        <f>INDEX(AA!$GL$13:$GL$15,MATCH($C150,AA!$C$13:$C$15,0))</f>
        <v>1.2</v>
      </c>
      <c r="T150" s="310">
        <f t="shared" ref="T150:BG150" si="64">T142*T37*$K150</f>
        <v>0</v>
      </c>
      <c r="U150" s="310">
        <f t="shared" si="64"/>
        <v>0</v>
      </c>
      <c r="V150" s="310">
        <f t="shared" si="64"/>
        <v>0</v>
      </c>
      <c r="W150" s="310">
        <f t="shared" si="64"/>
        <v>0</v>
      </c>
      <c r="X150" s="310">
        <f t="shared" si="64"/>
        <v>0</v>
      </c>
      <c r="Y150" s="310">
        <f t="shared" si="64"/>
        <v>0</v>
      </c>
      <c r="Z150" s="310">
        <f t="shared" si="64"/>
        <v>0</v>
      </c>
      <c r="AA150" s="310">
        <f t="shared" si="64"/>
        <v>0</v>
      </c>
      <c r="AB150" s="310">
        <f t="shared" si="64"/>
        <v>0</v>
      </c>
      <c r="AC150" s="310">
        <f t="shared" si="64"/>
        <v>0</v>
      </c>
      <c r="AD150" s="310">
        <f t="shared" si="64"/>
        <v>0</v>
      </c>
      <c r="AE150" s="310">
        <f t="shared" si="64"/>
        <v>0</v>
      </c>
      <c r="AF150" s="310">
        <f t="shared" si="64"/>
        <v>0</v>
      </c>
      <c r="AG150" s="310">
        <f t="shared" si="64"/>
        <v>0</v>
      </c>
      <c r="AH150" s="310">
        <f t="shared" si="64"/>
        <v>0</v>
      </c>
      <c r="AI150" s="310">
        <f t="shared" si="64"/>
        <v>0</v>
      </c>
      <c r="AJ150" s="310">
        <f t="shared" si="64"/>
        <v>0</v>
      </c>
      <c r="AK150" s="310">
        <f t="shared" si="64"/>
        <v>0</v>
      </c>
      <c r="AL150" s="310">
        <f t="shared" si="64"/>
        <v>0</v>
      </c>
      <c r="AM150" s="310">
        <f t="shared" si="64"/>
        <v>0</v>
      </c>
      <c r="AN150" s="310">
        <f t="shared" si="64"/>
        <v>0</v>
      </c>
      <c r="AO150" s="310">
        <f t="shared" si="64"/>
        <v>0</v>
      </c>
      <c r="AP150" s="310">
        <f t="shared" si="64"/>
        <v>0</v>
      </c>
      <c r="AQ150" s="310">
        <f t="shared" si="64"/>
        <v>0</v>
      </c>
      <c r="AR150" s="310">
        <f t="shared" si="64"/>
        <v>0</v>
      </c>
      <c r="AS150" s="310">
        <f t="shared" si="64"/>
        <v>0</v>
      </c>
      <c r="AT150" s="310">
        <f t="shared" si="64"/>
        <v>0</v>
      </c>
      <c r="AU150" s="310">
        <f t="shared" si="64"/>
        <v>0</v>
      </c>
      <c r="AV150" s="310">
        <f t="shared" si="64"/>
        <v>0</v>
      </c>
      <c r="AW150" s="310">
        <f t="shared" si="64"/>
        <v>0</v>
      </c>
      <c r="AX150" s="310">
        <f t="shared" si="64"/>
        <v>0</v>
      </c>
      <c r="AY150" s="310">
        <f t="shared" si="64"/>
        <v>0</v>
      </c>
      <c r="AZ150" s="310">
        <f t="shared" si="64"/>
        <v>0</v>
      </c>
      <c r="BA150" s="310">
        <f t="shared" si="64"/>
        <v>0</v>
      </c>
      <c r="BB150" s="310">
        <f t="shared" si="64"/>
        <v>0</v>
      </c>
      <c r="BC150" s="310">
        <f t="shared" si="64"/>
        <v>0</v>
      </c>
      <c r="BD150" s="310">
        <f t="shared" si="64"/>
        <v>0</v>
      </c>
      <c r="BE150" s="310">
        <f t="shared" si="64"/>
        <v>0</v>
      </c>
      <c r="BF150" s="310">
        <f t="shared" si="64"/>
        <v>0</v>
      </c>
      <c r="BG150" s="310">
        <f t="shared" si="64"/>
        <v>0</v>
      </c>
      <c r="BI150" s="296">
        <f t="shared" ref="BI150" si="65">SUM(T150:BG150)</f>
        <v>0</v>
      </c>
      <c r="BK150" s="103"/>
    </row>
    <row r="151" spans="2:63">
      <c r="C151" s="269"/>
      <c r="E151" s="269"/>
      <c r="G151" s="269"/>
      <c r="I151" s="269"/>
      <c r="K151" s="269"/>
      <c r="BI151" s="269"/>
      <c r="BK151" s="269"/>
    </row>
    <row r="153" spans="2:63" s="90" customFormat="1">
      <c r="B153" s="91">
        <f ca="1">MAX(A$1:$B152)+1</f>
        <v>18</v>
      </c>
      <c r="C153" s="92" t="s">
        <v>596</v>
      </c>
    </row>
    <row r="155" spans="2:63" ht="30">
      <c r="C155" s="97" t="s">
        <v>4</v>
      </c>
      <c r="E155" s="97" t="s">
        <v>6</v>
      </c>
      <c r="G155" s="101" t="s">
        <v>272</v>
      </c>
      <c r="I155" s="101" t="s">
        <v>150</v>
      </c>
      <c r="K155" s="97" t="s">
        <v>597</v>
      </c>
      <c r="BI155" s="327" t="s">
        <v>152</v>
      </c>
      <c r="BK155" s="372"/>
    </row>
    <row r="156" spans="2:63">
      <c r="C156" s="99">
        <f>AA!C13</f>
        <v>1</v>
      </c>
      <c r="E156" s="93" t="str">
        <f>INDEX(AA!$AC$13:$AC$15,MATCH($C156,AA!$C$13:$C$15,0))</f>
        <v>backup</v>
      </c>
      <c r="G156" s="1324">
        <f>INDEX(AA!$E$13:$E$15,MATCH($C156,AA!$C$13:$C$15,0))</f>
        <v>1</v>
      </c>
      <c r="I156" s="72" t="s">
        <v>699</v>
      </c>
      <c r="K156" s="1394">
        <f>INDEX(AA!$GP$13:$GP$15,MATCH($C156,AA!$C$13:$C$15,0))</f>
        <v>0</v>
      </c>
      <c r="T156" s="310">
        <f t="shared" ref="T156:BG156" si="66">IFERROR($K156*T19,0)</f>
        <v>0</v>
      </c>
      <c r="U156" s="310">
        <f t="shared" si="66"/>
        <v>0</v>
      </c>
      <c r="V156" s="310">
        <f t="shared" si="66"/>
        <v>0</v>
      </c>
      <c r="W156" s="310">
        <f t="shared" si="66"/>
        <v>0</v>
      </c>
      <c r="X156" s="310">
        <f t="shared" si="66"/>
        <v>0</v>
      </c>
      <c r="Y156" s="310">
        <f t="shared" si="66"/>
        <v>0</v>
      </c>
      <c r="Z156" s="310">
        <f t="shared" si="66"/>
        <v>0</v>
      </c>
      <c r="AA156" s="310">
        <f t="shared" si="66"/>
        <v>0</v>
      </c>
      <c r="AB156" s="310">
        <f t="shared" si="66"/>
        <v>0</v>
      </c>
      <c r="AC156" s="310">
        <f t="shared" si="66"/>
        <v>0</v>
      </c>
      <c r="AD156" s="310">
        <f t="shared" si="66"/>
        <v>0</v>
      </c>
      <c r="AE156" s="310">
        <f t="shared" si="66"/>
        <v>0</v>
      </c>
      <c r="AF156" s="310">
        <f t="shared" si="66"/>
        <v>0</v>
      </c>
      <c r="AG156" s="310">
        <f t="shared" si="66"/>
        <v>0</v>
      </c>
      <c r="AH156" s="310">
        <f t="shared" si="66"/>
        <v>0</v>
      </c>
      <c r="AI156" s="310">
        <f t="shared" si="66"/>
        <v>0</v>
      </c>
      <c r="AJ156" s="310">
        <f t="shared" si="66"/>
        <v>0</v>
      </c>
      <c r="AK156" s="310">
        <f t="shared" si="66"/>
        <v>0</v>
      </c>
      <c r="AL156" s="310">
        <f t="shared" si="66"/>
        <v>0</v>
      </c>
      <c r="AM156" s="310">
        <f t="shared" si="66"/>
        <v>0</v>
      </c>
      <c r="AN156" s="310">
        <f t="shared" si="66"/>
        <v>0</v>
      </c>
      <c r="AO156" s="310">
        <f t="shared" si="66"/>
        <v>0</v>
      </c>
      <c r="AP156" s="310">
        <f t="shared" si="66"/>
        <v>0</v>
      </c>
      <c r="AQ156" s="310">
        <f t="shared" si="66"/>
        <v>0</v>
      </c>
      <c r="AR156" s="310">
        <f t="shared" si="66"/>
        <v>0</v>
      </c>
      <c r="AS156" s="310">
        <f t="shared" si="66"/>
        <v>0</v>
      </c>
      <c r="AT156" s="310">
        <f t="shared" si="66"/>
        <v>0</v>
      </c>
      <c r="AU156" s="310">
        <f t="shared" si="66"/>
        <v>0</v>
      </c>
      <c r="AV156" s="310">
        <f t="shared" si="66"/>
        <v>0</v>
      </c>
      <c r="AW156" s="310">
        <f t="shared" si="66"/>
        <v>0</v>
      </c>
      <c r="AX156" s="310">
        <f t="shared" si="66"/>
        <v>0</v>
      </c>
      <c r="AY156" s="310">
        <f t="shared" si="66"/>
        <v>0</v>
      </c>
      <c r="AZ156" s="310">
        <f t="shared" si="66"/>
        <v>0</v>
      </c>
      <c r="BA156" s="310">
        <f t="shared" si="66"/>
        <v>0</v>
      </c>
      <c r="BB156" s="310">
        <f t="shared" si="66"/>
        <v>0</v>
      </c>
      <c r="BC156" s="310">
        <f t="shared" si="66"/>
        <v>0</v>
      </c>
      <c r="BD156" s="310">
        <f t="shared" si="66"/>
        <v>0</v>
      </c>
      <c r="BE156" s="310">
        <f t="shared" si="66"/>
        <v>0</v>
      </c>
      <c r="BF156" s="310">
        <f t="shared" si="66"/>
        <v>0</v>
      </c>
      <c r="BG156" s="310">
        <f t="shared" si="66"/>
        <v>0</v>
      </c>
      <c r="BI156" s="105" t="s">
        <v>153</v>
      </c>
      <c r="BK156" s="103"/>
    </row>
    <row r="157" spans="2:63">
      <c r="C157" s="99">
        <f>AA!C14</f>
        <v>2</v>
      </c>
      <c r="E157" s="94" t="str">
        <f>INDEX(AA!$AC$13:$AC$15,MATCH($C157,AA!$C$13:$C$15,0))</f>
        <v>backup</v>
      </c>
      <c r="G157" s="1325">
        <f>INDEX(AA!$E$13:$E$15,MATCH($C157,AA!$C$13:$C$15,0))</f>
        <v>1</v>
      </c>
      <c r="I157" s="73" t="s">
        <v>699</v>
      </c>
      <c r="K157" s="1395">
        <f>INDEX(AA!$GP$13:$GP$15,MATCH($C157,AA!$C$13:$C$15,0))</f>
        <v>0</v>
      </c>
      <c r="T157" s="310">
        <f t="shared" ref="T157:BG157" si="67">IFERROR($K157*T20,0)</f>
        <v>0</v>
      </c>
      <c r="U157" s="310">
        <f t="shared" si="67"/>
        <v>0</v>
      </c>
      <c r="V157" s="310">
        <f t="shared" si="67"/>
        <v>0</v>
      </c>
      <c r="W157" s="310">
        <f t="shared" si="67"/>
        <v>0</v>
      </c>
      <c r="X157" s="310">
        <f t="shared" si="67"/>
        <v>0</v>
      </c>
      <c r="Y157" s="310">
        <f t="shared" si="67"/>
        <v>0</v>
      </c>
      <c r="Z157" s="310">
        <f t="shared" si="67"/>
        <v>0</v>
      </c>
      <c r="AA157" s="310">
        <f t="shared" si="67"/>
        <v>0</v>
      </c>
      <c r="AB157" s="310">
        <f t="shared" si="67"/>
        <v>0</v>
      </c>
      <c r="AC157" s="310">
        <f t="shared" si="67"/>
        <v>0</v>
      </c>
      <c r="AD157" s="310">
        <f t="shared" si="67"/>
        <v>0</v>
      </c>
      <c r="AE157" s="310">
        <f t="shared" si="67"/>
        <v>0</v>
      </c>
      <c r="AF157" s="310">
        <f t="shared" si="67"/>
        <v>0</v>
      </c>
      <c r="AG157" s="310">
        <f t="shared" si="67"/>
        <v>0</v>
      </c>
      <c r="AH157" s="310">
        <f t="shared" si="67"/>
        <v>0</v>
      </c>
      <c r="AI157" s="310">
        <f t="shared" si="67"/>
        <v>0</v>
      </c>
      <c r="AJ157" s="310">
        <f t="shared" si="67"/>
        <v>0</v>
      </c>
      <c r="AK157" s="310">
        <f t="shared" si="67"/>
        <v>0</v>
      </c>
      <c r="AL157" s="310">
        <f t="shared" si="67"/>
        <v>0</v>
      </c>
      <c r="AM157" s="310">
        <f t="shared" si="67"/>
        <v>0</v>
      </c>
      <c r="AN157" s="310">
        <f t="shared" si="67"/>
        <v>0</v>
      </c>
      <c r="AO157" s="310">
        <f t="shared" si="67"/>
        <v>0</v>
      </c>
      <c r="AP157" s="310">
        <f t="shared" si="67"/>
        <v>0</v>
      </c>
      <c r="AQ157" s="310">
        <f t="shared" si="67"/>
        <v>0</v>
      </c>
      <c r="AR157" s="310">
        <f t="shared" si="67"/>
        <v>0</v>
      </c>
      <c r="AS157" s="310">
        <f t="shared" si="67"/>
        <v>0</v>
      </c>
      <c r="AT157" s="310">
        <f t="shared" si="67"/>
        <v>0</v>
      </c>
      <c r="AU157" s="310">
        <f t="shared" si="67"/>
        <v>0</v>
      </c>
      <c r="AV157" s="310">
        <f t="shared" si="67"/>
        <v>0</v>
      </c>
      <c r="AW157" s="310">
        <f t="shared" si="67"/>
        <v>0</v>
      </c>
      <c r="AX157" s="310">
        <f t="shared" si="67"/>
        <v>0</v>
      </c>
      <c r="AY157" s="310">
        <f t="shared" si="67"/>
        <v>0</v>
      </c>
      <c r="AZ157" s="310">
        <f t="shared" si="67"/>
        <v>0</v>
      </c>
      <c r="BA157" s="310">
        <f t="shared" si="67"/>
        <v>0</v>
      </c>
      <c r="BB157" s="310">
        <f t="shared" si="67"/>
        <v>0</v>
      </c>
      <c r="BC157" s="310">
        <f t="shared" si="67"/>
        <v>0</v>
      </c>
      <c r="BD157" s="310">
        <f t="shared" si="67"/>
        <v>0</v>
      </c>
      <c r="BE157" s="310">
        <f t="shared" si="67"/>
        <v>0</v>
      </c>
      <c r="BF157" s="310">
        <f t="shared" si="67"/>
        <v>0</v>
      </c>
      <c r="BG157" s="310">
        <f t="shared" si="67"/>
        <v>0</v>
      </c>
      <c r="BI157" s="106" t="s">
        <v>153</v>
      </c>
      <c r="BK157" s="103"/>
    </row>
    <row r="158" spans="2:63">
      <c r="C158" s="99">
        <f>AA!C15</f>
        <v>3</v>
      </c>
      <c r="E158" s="94" t="str">
        <f>INDEX(AA!$AC$13:$AC$15,MATCH($C158,AA!$C$13:$C$15,0))</f>
        <v>backup</v>
      </c>
      <c r="G158" s="1325">
        <f>INDEX(AA!$E$13:$E$15,MATCH($C158,AA!$C$13:$C$15,0))</f>
        <v>1</v>
      </c>
      <c r="I158" s="73" t="s">
        <v>699</v>
      </c>
      <c r="K158" s="1395">
        <f>INDEX(AA!$GP$13:$GP$15,MATCH($C158,AA!$C$13:$C$15,0))</f>
        <v>0</v>
      </c>
      <c r="T158" s="310">
        <f t="shared" ref="T158:BG158" si="68">IFERROR($K158*T21,0)</f>
        <v>0</v>
      </c>
      <c r="U158" s="310">
        <f t="shared" si="68"/>
        <v>0</v>
      </c>
      <c r="V158" s="310">
        <f t="shared" si="68"/>
        <v>0</v>
      </c>
      <c r="W158" s="310">
        <f t="shared" si="68"/>
        <v>0</v>
      </c>
      <c r="X158" s="310">
        <f t="shared" si="68"/>
        <v>0</v>
      </c>
      <c r="Y158" s="310">
        <f t="shared" si="68"/>
        <v>0</v>
      </c>
      <c r="Z158" s="310">
        <f t="shared" si="68"/>
        <v>0</v>
      </c>
      <c r="AA158" s="310">
        <f t="shared" si="68"/>
        <v>0</v>
      </c>
      <c r="AB158" s="310">
        <f t="shared" si="68"/>
        <v>0</v>
      </c>
      <c r="AC158" s="310">
        <f t="shared" si="68"/>
        <v>0</v>
      </c>
      <c r="AD158" s="310">
        <f t="shared" si="68"/>
        <v>0</v>
      </c>
      <c r="AE158" s="310">
        <f t="shared" si="68"/>
        <v>0</v>
      </c>
      <c r="AF158" s="310">
        <f t="shared" si="68"/>
        <v>0</v>
      </c>
      <c r="AG158" s="310">
        <f t="shared" si="68"/>
        <v>0</v>
      </c>
      <c r="AH158" s="310">
        <f t="shared" si="68"/>
        <v>0</v>
      </c>
      <c r="AI158" s="310">
        <f t="shared" si="68"/>
        <v>0</v>
      </c>
      <c r="AJ158" s="310">
        <f t="shared" si="68"/>
        <v>0</v>
      </c>
      <c r="AK158" s="310">
        <f t="shared" si="68"/>
        <v>0</v>
      </c>
      <c r="AL158" s="310">
        <f t="shared" si="68"/>
        <v>0</v>
      </c>
      <c r="AM158" s="310">
        <f t="shared" si="68"/>
        <v>0</v>
      </c>
      <c r="AN158" s="310">
        <f t="shared" si="68"/>
        <v>0</v>
      </c>
      <c r="AO158" s="310">
        <f t="shared" si="68"/>
        <v>0</v>
      </c>
      <c r="AP158" s="310">
        <f t="shared" si="68"/>
        <v>0</v>
      </c>
      <c r="AQ158" s="310">
        <f t="shared" si="68"/>
        <v>0</v>
      </c>
      <c r="AR158" s="310">
        <f t="shared" si="68"/>
        <v>0</v>
      </c>
      <c r="AS158" s="310">
        <f t="shared" si="68"/>
        <v>0</v>
      </c>
      <c r="AT158" s="310">
        <f t="shared" si="68"/>
        <v>0</v>
      </c>
      <c r="AU158" s="310">
        <f t="shared" si="68"/>
        <v>0</v>
      </c>
      <c r="AV158" s="310">
        <f t="shared" si="68"/>
        <v>0</v>
      </c>
      <c r="AW158" s="310">
        <f t="shared" si="68"/>
        <v>0</v>
      </c>
      <c r="AX158" s="310">
        <f t="shared" si="68"/>
        <v>0</v>
      </c>
      <c r="AY158" s="310">
        <f t="shared" si="68"/>
        <v>0</v>
      </c>
      <c r="AZ158" s="310">
        <f t="shared" si="68"/>
        <v>0</v>
      </c>
      <c r="BA158" s="310">
        <f t="shared" si="68"/>
        <v>0</v>
      </c>
      <c r="BB158" s="310">
        <f t="shared" si="68"/>
        <v>0</v>
      </c>
      <c r="BC158" s="310">
        <f t="shared" si="68"/>
        <v>0</v>
      </c>
      <c r="BD158" s="310">
        <f t="shared" si="68"/>
        <v>0</v>
      </c>
      <c r="BE158" s="310">
        <f t="shared" si="68"/>
        <v>0</v>
      </c>
      <c r="BF158" s="310">
        <f t="shared" si="68"/>
        <v>0</v>
      </c>
      <c r="BG158" s="310">
        <f t="shared" si="68"/>
        <v>0</v>
      </c>
      <c r="BI158" s="106" t="s">
        <v>153</v>
      </c>
      <c r="BK158" s="103"/>
    </row>
    <row r="159" spans="2:63">
      <c r="C159" s="269"/>
      <c r="E159" s="269"/>
      <c r="G159" s="269"/>
      <c r="I159" s="269"/>
      <c r="K159" s="269"/>
      <c r="BI159" s="269"/>
      <c r="BK159" s="269"/>
    </row>
    <row r="161" spans="2:63" s="90" customFormat="1">
      <c r="B161" s="91">
        <f ca="1">MAX(A$1:$B160)+1</f>
        <v>19</v>
      </c>
      <c r="C161" s="92" t="s">
        <v>598</v>
      </c>
    </row>
    <row r="163" spans="2:63" ht="30">
      <c r="C163" s="97" t="s">
        <v>4</v>
      </c>
      <c r="E163" s="97" t="s">
        <v>6</v>
      </c>
      <c r="G163" s="101" t="s">
        <v>272</v>
      </c>
      <c r="I163" s="101" t="s">
        <v>150</v>
      </c>
      <c r="K163" s="97" t="s">
        <v>597</v>
      </c>
      <c r="L163" s="101" t="s">
        <v>582</v>
      </c>
      <c r="BI163" s="327" t="s">
        <v>152</v>
      </c>
      <c r="BK163" s="372"/>
    </row>
    <row r="164" spans="2:63">
      <c r="C164" s="99">
        <f>AA!C13</f>
        <v>1</v>
      </c>
      <c r="E164" s="93" t="str">
        <f>INDEX(AA!$AC$13:$AC$15,MATCH($C164,AA!$C$13:$C$15,0))</f>
        <v>backup</v>
      </c>
      <c r="G164" s="1324">
        <f>INDEX(AA!$E$13:$E$15,MATCH($C164,AA!$C$13:$C$15,0))</f>
        <v>1</v>
      </c>
      <c r="I164" s="72" t="s">
        <v>700</v>
      </c>
      <c r="K164" s="1166">
        <f>INDEX(AA!$GP$13:$GP$15,MATCH($C164,AA!$C$13:$C$15,0))</f>
        <v>0</v>
      </c>
      <c r="L164" s="1326">
        <f>INDEX(AA!$GS$13:$GS$15,MATCH($C164,AA!$C$13:$C$15,0))</f>
        <v>1.2</v>
      </c>
      <c r="T164" s="310">
        <f t="shared" ref="T164:BG164" si="69">$K164*$L164*T35</f>
        <v>0</v>
      </c>
      <c r="U164" s="310">
        <f t="shared" si="69"/>
        <v>0</v>
      </c>
      <c r="V164" s="310">
        <f t="shared" si="69"/>
        <v>0</v>
      </c>
      <c r="W164" s="310">
        <f t="shared" si="69"/>
        <v>0</v>
      </c>
      <c r="X164" s="310">
        <f t="shared" si="69"/>
        <v>0</v>
      </c>
      <c r="Y164" s="310">
        <f t="shared" si="69"/>
        <v>0</v>
      </c>
      <c r="Z164" s="310">
        <f t="shared" si="69"/>
        <v>0</v>
      </c>
      <c r="AA164" s="310">
        <f t="shared" si="69"/>
        <v>0</v>
      </c>
      <c r="AB164" s="310">
        <f t="shared" si="69"/>
        <v>0</v>
      </c>
      <c r="AC164" s="310">
        <f t="shared" si="69"/>
        <v>0</v>
      </c>
      <c r="AD164" s="310">
        <f t="shared" si="69"/>
        <v>0</v>
      </c>
      <c r="AE164" s="310">
        <f t="shared" si="69"/>
        <v>0</v>
      </c>
      <c r="AF164" s="310">
        <f t="shared" si="69"/>
        <v>0</v>
      </c>
      <c r="AG164" s="310">
        <f t="shared" si="69"/>
        <v>0</v>
      </c>
      <c r="AH164" s="310">
        <f t="shared" si="69"/>
        <v>0</v>
      </c>
      <c r="AI164" s="310">
        <f t="shared" si="69"/>
        <v>0</v>
      </c>
      <c r="AJ164" s="310">
        <f t="shared" si="69"/>
        <v>0</v>
      </c>
      <c r="AK164" s="310">
        <f t="shared" si="69"/>
        <v>0</v>
      </c>
      <c r="AL164" s="310">
        <f t="shared" si="69"/>
        <v>0</v>
      </c>
      <c r="AM164" s="310">
        <f t="shared" si="69"/>
        <v>0</v>
      </c>
      <c r="AN164" s="310">
        <f t="shared" si="69"/>
        <v>0</v>
      </c>
      <c r="AO164" s="310">
        <f t="shared" si="69"/>
        <v>0</v>
      </c>
      <c r="AP164" s="310">
        <f t="shared" si="69"/>
        <v>0</v>
      </c>
      <c r="AQ164" s="310">
        <f t="shared" si="69"/>
        <v>0</v>
      </c>
      <c r="AR164" s="310">
        <f t="shared" si="69"/>
        <v>0</v>
      </c>
      <c r="AS164" s="310">
        <f t="shared" si="69"/>
        <v>0</v>
      </c>
      <c r="AT164" s="310">
        <f t="shared" si="69"/>
        <v>0</v>
      </c>
      <c r="AU164" s="310">
        <f t="shared" si="69"/>
        <v>0</v>
      </c>
      <c r="AV164" s="310">
        <f t="shared" si="69"/>
        <v>0</v>
      </c>
      <c r="AW164" s="310">
        <f t="shared" si="69"/>
        <v>0</v>
      </c>
      <c r="AX164" s="310">
        <f t="shared" si="69"/>
        <v>0</v>
      </c>
      <c r="AY164" s="310">
        <f t="shared" si="69"/>
        <v>0</v>
      </c>
      <c r="AZ164" s="310">
        <f t="shared" si="69"/>
        <v>0</v>
      </c>
      <c r="BA164" s="310">
        <f t="shared" si="69"/>
        <v>0</v>
      </c>
      <c r="BB164" s="310">
        <f t="shared" si="69"/>
        <v>0</v>
      </c>
      <c r="BC164" s="310">
        <f t="shared" si="69"/>
        <v>0</v>
      </c>
      <c r="BD164" s="310">
        <f t="shared" si="69"/>
        <v>0</v>
      </c>
      <c r="BE164" s="310">
        <f t="shared" si="69"/>
        <v>0</v>
      </c>
      <c r="BF164" s="310">
        <f t="shared" si="69"/>
        <v>0</v>
      </c>
      <c r="BG164" s="310">
        <f t="shared" si="69"/>
        <v>0</v>
      </c>
      <c r="BI164" s="295">
        <f>SUM(T164:BG164)</f>
        <v>0</v>
      </c>
      <c r="BK164" s="103"/>
    </row>
    <row r="165" spans="2:63">
      <c r="C165" s="99">
        <f>AA!C14</f>
        <v>2</v>
      </c>
      <c r="E165" s="94" t="str">
        <f>INDEX(AA!$AC$13:$AC$15,MATCH($C165,AA!$C$13:$C$15,0))</f>
        <v>backup</v>
      </c>
      <c r="G165" s="1325">
        <f>INDEX(AA!$E$13:$E$15,MATCH($C165,AA!$C$13:$C$15,0))</f>
        <v>1</v>
      </c>
      <c r="I165" s="73" t="s">
        <v>700</v>
      </c>
      <c r="K165" s="1167">
        <f>INDEX(AA!$GP$13:$GP$15,MATCH($C165,AA!$C$13:$C$15,0))</f>
        <v>0</v>
      </c>
      <c r="L165" s="1327">
        <f>INDEX(AA!$GS$13:$GS$15,MATCH($C165,AA!$C$13:$C$15,0))</f>
        <v>1.2</v>
      </c>
      <c r="T165" s="310">
        <f t="shared" ref="T165:BG165" si="70">$K165*$L165*T36</f>
        <v>0</v>
      </c>
      <c r="U165" s="310">
        <f t="shared" si="70"/>
        <v>0</v>
      </c>
      <c r="V165" s="310">
        <f t="shared" si="70"/>
        <v>0</v>
      </c>
      <c r="W165" s="310">
        <f t="shared" si="70"/>
        <v>0</v>
      </c>
      <c r="X165" s="310">
        <f t="shared" si="70"/>
        <v>0</v>
      </c>
      <c r="Y165" s="310">
        <f t="shared" si="70"/>
        <v>0</v>
      </c>
      <c r="Z165" s="310">
        <f t="shared" si="70"/>
        <v>0</v>
      </c>
      <c r="AA165" s="310">
        <f t="shared" si="70"/>
        <v>0</v>
      </c>
      <c r="AB165" s="310">
        <f t="shared" si="70"/>
        <v>0</v>
      </c>
      <c r="AC165" s="310">
        <f t="shared" si="70"/>
        <v>0</v>
      </c>
      <c r="AD165" s="310">
        <f t="shared" si="70"/>
        <v>0</v>
      </c>
      <c r="AE165" s="310">
        <f t="shared" si="70"/>
        <v>0</v>
      </c>
      <c r="AF165" s="310">
        <f t="shared" si="70"/>
        <v>0</v>
      </c>
      <c r="AG165" s="310">
        <f t="shared" si="70"/>
        <v>0</v>
      </c>
      <c r="AH165" s="310">
        <f t="shared" si="70"/>
        <v>0</v>
      </c>
      <c r="AI165" s="310">
        <f t="shared" si="70"/>
        <v>0</v>
      </c>
      <c r="AJ165" s="310">
        <f t="shared" si="70"/>
        <v>0</v>
      </c>
      <c r="AK165" s="310">
        <f t="shared" si="70"/>
        <v>0</v>
      </c>
      <c r="AL165" s="310">
        <f t="shared" si="70"/>
        <v>0</v>
      </c>
      <c r="AM165" s="310">
        <f t="shared" si="70"/>
        <v>0</v>
      </c>
      <c r="AN165" s="310">
        <f t="shared" si="70"/>
        <v>0</v>
      </c>
      <c r="AO165" s="310">
        <f t="shared" si="70"/>
        <v>0</v>
      </c>
      <c r="AP165" s="310">
        <f t="shared" si="70"/>
        <v>0</v>
      </c>
      <c r="AQ165" s="310">
        <f t="shared" si="70"/>
        <v>0</v>
      </c>
      <c r="AR165" s="310">
        <f t="shared" si="70"/>
        <v>0</v>
      </c>
      <c r="AS165" s="310">
        <f t="shared" si="70"/>
        <v>0</v>
      </c>
      <c r="AT165" s="310">
        <f t="shared" si="70"/>
        <v>0</v>
      </c>
      <c r="AU165" s="310">
        <f t="shared" si="70"/>
        <v>0</v>
      </c>
      <c r="AV165" s="310">
        <f t="shared" si="70"/>
        <v>0</v>
      </c>
      <c r="AW165" s="310">
        <f t="shared" si="70"/>
        <v>0</v>
      </c>
      <c r="AX165" s="310">
        <f t="shared" si="70"/>
        <v>0</v>
      </c>
      <c r="AY165" s="310">
        <f t="shared" si="70"/>
        <v>0</v>
      </c>
      <c r="AZ165" s="310">
        <f t="shared" si="70"/>
        <v>0</v>
      </c>
      <c r="BA165" s="310">
        <f t="shared" si="70"/>
        <v>0</v>
      </c>
      <c r="BB165" s="310">
        <f t="shared" si="70"/>
        <v>0</v>
      </c>
      <c r="BC165" s="310">
        <f t="shared" si="70"/>
        <v>0</v>
      </c>
      <c r="BD165" s="310">
        <f t="shared" si="70"/>
        <v>0</v>
      </c>
      <c r="BE165" s="310">
        <f t="shared" si="70"/>
        <v>0</v>
      </c>
      <c r="BF165" s="310">
        <f t="shared" si="70"/>
        <v>0</v>
      </c>
      <c r="BG165" s="310">
        <f t="shared" si="70"/>
        <v>0</v>
      </c>
      <c r="BI165" s="296">
        <f t="shared" ref="BI165" si="71">SUM(T165:BG165)</f>
        <v>0</v>
      </c>
      <c r="BK165" s="103"/>
    </row>
    <row r="166" spans="2:63">
      <c r="C166" s="99">
        <f>AA!C15</f>
        <v>3</v>
      </c>
      <c r="E166" s="94" t="str">
        <f>INDEX(AA!$AC$13:$AC$15,MATCH($C166,AA!$C$13:$C$15,0))</f>
        <v>backup</v>
      </c>
      <c r="G166" s="1325">
        <f>INDEX(AA!$E$13:$E$15,MATCH($C166,AA!$C$13:$C$15,0))</f>
        <v>1</v>
      </c>
      <c r="I166" s="73" t="s">
        <v>700</v>
      </c>
      <c r="K166" s="1167">
        <f>INDEX(AA!$GP$13:$GP$15,MATCH($C166,AA!$C$13:$C$15,0))</f>
        <v>0</v>
      </c>
      <c r="L166" s="1327">
        <f>INDEX(AA!$GS$13:$GS$15,MATCH($C166,AA!$C$13:$C$15,0))</f>
        <v>1.2</v>
      </c>
      <c r="T166" s="310">
        <f t="shared" ref="T166:BG166" si="72">$K166*$L166*T37</f>
        <v>0</v>
      </c>
      <c r="U166" s="310">
        <f t="shared" si="72"/>
        <v>0</v>
      </c>
      <c r="V166" s="310">
        <f t="shared" si="72"/>
        <v>0</v>
      </c>
      <c r="W166" s="310">
        <f t="shared" si="72"/>
        <v>0</v>
      </c>
      <c r="X166" s="310">
        <f t="shared" si="72"/>
        <v>0</v>
      </c>
      <c r="Y166" s="310">
        <f t="shared" si="72"/>
        <v>0</v>
      </c>
      <c r="Z166" s="310">
        <f t="shared" si="72"/>
        <v>0</v>
      </c>
      <c r="AA166" s="310">
        <f t="shared" si="72"/>
        <v>0</v>
      </c>
      <c r="AB166" s="310">
        <f t="shared" si="72"/>
        <v>0</v>
      </c>
      <c r="AC166" s="310">
        <f t="shared" si="72"/>
        <v>0</v>
      </c>
      <c r="AD166" s="310">
        <f t="shared" si="72"/>
        <v>0</v>
      </c>
      <c r="AE166" s="310">
        <f t="shared" si="72"/>
        <v>0</v>
      </c>
      <c r="AF166" s="310">
        <f t="shared" si="72"/>
        <v>0</v>
      </c>
      <c r="AG166" s="310">
        <f t="shared" si="72"/>
        <v>0</v>
      </c>
      <c r="AH166" s="310">
        <f t="shared" si="72"/>
        <v>0</v>
      </c>
      <c r="AI166" s="310">
        <f t="shared" si="72"/>
        <v>0</v>
      </c>
      <c r="AJ166" s="310">
        <f t="shared" si="72"/>
        <v>0</v>
      </c>
      <c r="AK166" s="310">
        <f t="shared" si="72"/>
        <v>0</v>
      </c>
      <c r="AL166" s="310">
        <f t="shared" si="72"/>
        <v>0</v>
      </c>
      <c r="AM166" s="310">
        <f t="shared" si="72"/>
        <v>0</v>
      </c>
      <c r="AN166" s="310">
        <f t="shared" si="72"/>
        <v>0</v>
      </c>
      <c r="AO166" s="310">
        <f t="shared" si="72"/>
        <v>0</v>
      </c>
      <c r="AP166" s="310">
        <f t="shared" si="72"/>
        <v>0</v>
      </c>
      <c r="AQ166" s="310">
        <f t="shared" si="72"/>
        <v>0</v>
      </c>
      <c r="AR166" s="310">
        <f t="shared" si="72"/>
        <v>0</v>
      </c>
      <c r="AS166" s="310">
        <f t="shared" si="72"/>
        <v>0</v>
      </c>
      <c r="AT166" s="310">
        <f t="shared" si="72"/>
        <v>0</v>
      </c>
      <c r="AU166" s="310">
        <f t="shared" si="72"/>
        <v>0</v>
      </c>
      <c r="AV166" s="310">
        <f t="shared" si="72"/>
        <v>0</v>
      </c>
      <c r="AW166" s="310">
        <f t="shared" si="72"/>
        <v>0</v>
      </c>
      <c r="AX166" s="310">
        <f t="shared" si="72"/>
        <v>0</v>
      </c>
      <c r="AY166" s="310">
        <f t="shared" si="72"/>
        <v>0</v>
      </c>
      <c r="AZ166" s="310">
        <f t="shared" si="72"/>
        <v>0</v>
      </c>
      <c r="BA166" s="310">
        <f t="shared" si="72"/>
        <v>0</v>
      </c>
      <c r="BB166" s="310">
        <f t="shared" si="72"/>
        <v>0</v>
      </c>
      <c r="BC166" s="310">
        <f t="shared" si="72"/>
        <v>0</v>
      </c>
      <c r="BD166" s="310">
        <f t="shared" si="72"/>
        <v>0</v>
      </c>
      <c r="BE166" s="310">
        <f t="shared" si="72"/>
        <v>0</v>
      </c>
      <c r="BF166" s="310">
        <f t="shared" si="72"/>
        <v>0</v>
      </c>
      <c r="BG166" s="310">
        <f t="shared" si="72"/>
        <v>0</v>
      </c>
      <c r="BI166" s="296">
        <f t="shared" ref="BI166" si="73">SUM(T166:BG166)</f>
        <v>0</v>
      </c>
      <c r="BK166" s="103"/>
    </row>
    <row r="167" spans="2:63">
      <c r="C167" s="269"/>
      <c r="E167" s="269"/>
      <c r="G167" s="269"/>
      <c r="I167" s="269"/>
      <c r="K167" s="269"/>
      <c r="L167" s="269"/>
      <c r="BI167" s="269"/>
      <c r="BK167" s="269"/>
    </row>
    <row r="169" spans="2:63" s="90" customFormat="1">
      <c r="B169" s="91">
        <f ca="1">MAX(A$1:$B168)+1</f>
        <v>20</v>
      </c>
      <c r="C169" s="92" t="s">
        <v>599</v>
      </c>
    </row>
    <row r="171" spans="2:63">
      <c r="K171" s="39" t="s">
        <v>600</v>
      </c>
    </row>
    <row r="172" spans="2:63">
      <c r="K172" s="268" t="s">
        <v>601</v>
      </c>
      <c r="L172" s="268"/>
      <c r="M172" s="268"/>
      <c r="N172" s="268"/>
      <c r="O172" s="268"/>
      <c r="P172" s="268"/>
      <c r="Q172" s="268"/>
      <c r="R172" s="268"/>
      <c r="S172" s="268"/>
      <c r="T172" s="1685">
        <v>0</v>
      </c>
      <c r="U172" s="367">
        <f>T177</f>
        <v>1913909.9272708541</v>
      </c>
      <c r="V172" s="367">
        <f t="shared" ref="V172:BG172" si="74">U177</f>
        <v>3770516.9314397769</v>
      </c>
      <c r="W172" s="367">
        <f t="shared" si="74"/>
        <v>5585743.529165403</v>
      </c>
      <c r="X172" s="367">
        <f t="shared" si="74"/>
        <v>5551819.2291654032</v>
      </c>
      <c r="Y172" s="367">
        <f t="shared" si="74"/>
        <v>5517894.9291654034</v>
      </c>
      <c r="Z172" s="367">
        <f t="shared" si="74"/>
        <v>5483970.6291654035</v>
      </c>
      <c r="AA172" s="367">
        <f t="shared" si="74"/>
        <v>5450046.3291654037</v>
      </c>
      <c r="AB172" s="367">
        <f t="shared" si="74"/>
        <v>5416122.0291654039</v>
      </c>
      <c r="AC172" s="367">
        <f t="shared" si="74"/>
        <v>5382197.7291654041</v>
      </c>
      <c r="AD172" s="367">
        <f t="shared" si="74"/>
        <v>5348273.4291654043</v>
      </c>
      <c r="AE172" s="367">
        <f t="shared" si="74"/>
        <v>5314349.1291654045</v>
      </c>
      <c r="AF172" s="367">
        <f t="shared" si="74"/>
        <v>1.862645149230957E-9</v>
      </c>
      <c r="AG172" s="367">
        <f t="shared" si="74"/>
        <v>1.862645149230957E-9</v>
      </c>
      <c r="AH172" s="367">
        <f t="shared" si="74"/>
        <v>1.862645149230957E-9</v>
      </c>
      <c r="AI172" s="367">
        <f t="shared" si="74"/>
        <v>1.862645149230957E-9</v>
      </c>
      <c r="AJ172" s="367">
        <f t="shared" si="74"/>
        <v>1.862645149230957E-9</v>
      </c>
      <c r="AK172" s="367">
        <f t="shared" si="74"/>
        <v>1.862645149230957E-9</v>
      </c>
      <c r="AL172" s="367">
        <f t="shared" si="74"/>
        <v>1.862645149230957E-9</v>
      </c>
      <c r="AM172" s="367">
        <f t="shared" si="74"/>
        <v>1.862645149230957E-9</v>
      </c>
      <c r="AN172" s="367">
        <f t="shared" si="74"/>
        <v>1.862645149230957E-9</v>
      </c>
      <c r="AO172" s="367">
        <f t="shared" si="74"/>
        <v>1.862645149230957E-9</v>
      </c>
      <c r="AP172" s="367">
        <f t="shared" si="74"/>
        <v>1.862645149230957E-9</v>
      </c>
      <c r="AQ172" s="367">
        <f t="shared" si="74"/>
        <v>1.862645149230957E-9</v>
      </c>
      <c r="AR172" s="367">
        <f t="shared" si="74"/>
        <v>1.862645149230957E-9</v>
      </c>
      <c r="AS172" s="367">
        <f t="shared" si="74"/>
        <v>1.862645149230957E-9</v>
      </c>
      <c r="AT172" s="367">
        <f t="shared" si="74"/>
        <v>1.862645149230957E-9</v>
      </c>
      <c r="AU172" s="367">
        <f t="shared" si="74"/>
        <v>1.862645149230957E-9</v>
      </c>
      <c r="AV172" s="367">
        <f t="shared" si="74"/>
        <v>1.862645149230957E-9</v>
      </c>
      <c r="AW172" s="367">
        <f t="shared" si="74"/>
        <v>1.862645149230957E-9</v>
      </c>
      <c r="AX172" s="367">
        <f t="shared" si="74"/>
        <v>1.862645149230957E-9</v>
      </c>
      <c r="AY172" s="367">
        <f t="shared" si="74"/>
        <v>1.862645149230957E-9</v>
      </c>
      <c r="AZ172" s="367">
        <f t="shared" si="74"/>
        <v>1.862645149230957E-9</v>
      </c>
      <c r="BA172" s="367">
        <f t="shared" si="74"/>
        <v>1.862645149230957E-9</v>
      </c>
      <c r="BB172" s="367">
        <f t="shared" si="74"/>
        <v>1.862645149230957E-9</v>
      </c>
      <c r="BC172" s="367">
        <f t="shared" si="74"/>
        <v>1.862645149230957E-9</v>
      </c>
      <c r="BD172" s="367">
        <f t="shared" si="74"/>
        <v>1.862645149230957E-9</v>
      </c>
      <c r="BE172" s="367">
        <f t="shared" si="74"/>
        <v>1.862645149230957E-9</v>
      </c>
      <c r="BF172" s="367">
        <f t="shared" si="74"/>
        <v>1.862645149230957E-9</v>
      </c>
      <c r="BG172" s="367">
        <f t="shared" si="74"/>
        <v>1.862645149230957E-9</v>
      </c>
    </row>
    <row r="173" spans="2:63">
      <c r="I173" s="363" t="s">
        <v>540</v>
      </c>
      <c r="K173" t="s">
        <v>540</v>
      </c>
      <c r="T173" s="310">
        <f t="shared" ref="T173:BG173" si="75">SUMIFS(T$19:T$167,$I$19:$I$167,$I173)</f>
        <v>-11552.776220950829</v>
      </c>
      <c r="U173" s="310">
        <f t="shared" si="75"/>
        <v>-22829.39461364624</v>
      </c>
      <c r="V173" s="310">
        <f t="shared" si="75"/>
        <v>-33924.299999999996</v>
      </c>
      <c r="W173" s="310">
        <f t="shared" si="75"/>
        <v>-33924.299999999996</v>
      </c>
      <c r="X173" s="310">
        <f t="shared" si="75"/>
        <v>-33924.299999999996</v>
      </c>
      <c r="Y173" s="310">
        <f t="shared" si="75"/>
        <v>-33924.299999999996</v>
      </c>
      <c r="Z173" s="310">
        <f t="shared" si="75"/>
        <v>-33924.299999999996</v>
      </c>
      <c r="AA173" s="310">
        <f t="shared" si="75"/>
        <v>-33924.299999999996</v>
      </c>
      <c r="AB173" s="310">
        <f t="shared" si="75"/>
        <v>-33924.299999999996</v>
      </c>
      <c r="AC173" s="310">
        <f t="shared" si="75"/>
        <v>-33924.299999999996</v>
      </c>
      <c r="AD173" s="310">
        <f t="shared" si="75"/>
        <v>-33924.299999999996</v>
      </c>
      <c r="AE173" s="310">
        <f t="shared" si="75"/>
        <v>-33924.299999999996</v>
      </c>
      <c r="AF173" s="310">
        <f t="shared" si="75"/>
        <v>0</v>
      </c>
      <c r="AG173" s="310">
        <f t="shared" si="75"/>
        <v>0</v>
      </c>
      <c r="AH173" s="310">
        <f t="shared" si="75"/>
        <v>0</v>
      </c>
      <c r="AI173" s="310">
        <f t="shared" si="75"/>
        <v>0</v>
      </c>
      <c r="AJ173" s="310">
        <f t="shared" si="75"/>
        <v>0</v>
      </c>
      <c r="AK173" s="310">
        <f t="shared" si="75"/>
        <v>0</v>
      </c>
      <c r="AL173" s="310">
        <f t="shared" si="75"/>
        <v>0</v>
      </c>
      <c r="AM173" s="310">
        <f t="shared" si="75"/>
        <v>0</v>
      </c>
      <c r="AN173" s="310">
        <f t="shared" si="75"/>
        <v>0</v>
      </c>
      <c r="AO173" s="310">
        <f t="shared" si="75"/>
        <v>0</v>
      </c>
      <c r="AP173" s="310">
        <f t="shared" si="75"/>
        <v>0</v>
      </c>
      <c r="AQ173" s="310">
        <f t="shared" si="75"/>
        <v>0</v>
      </c>
      <c r="AR173" s="310">
        <f t="shared" si="75"/>
        <v>0</v>
      </c>
      <c r="AS173" s="310">
        <f t="shared" si="75"/>
        <v>0</v>
      </c>
      <c r="AT173" s="310">
        <f t="shared" si="75"/>
        <v>0</v>
      </c>
      <c r="AU173" s="310">
        <f t="shared" si="75"/>
        <v>0</v>
      </c>
      <c r="AV173" s="310">
        <f t="shared" si="75"/>
        <v>0</v>
      </c>
      <c r="AW173" s="310">
        <f t="shared" si="75"/>
        <v>0</v>
      </c>
      <c r="AX173" s="310">
        <f t="shared" si="75"/>
        <v>0</v>
      </c>
      <c r="AY173" s="310">
        <f t="shared" si="75"/>
        <v>0</v>
      </c>
      <c r="AZ173" s="310">
        <f t="shared" si="75"/>
        <v>0</v>
      </c>
      <c r="BA173" s="310">
        <f t="shared" si="75"/>
        <v>0</v>
      </c>
      <c r="BB173" s="310">
        <f t="shared" si="75"/>
        <v>0</v>
      </c>
      <c r="BC173" s="310">
        <f t="shared" si="75"/>
        <v>0</v>
      </c>
      <c r="BD173" s="310">
        <f t="shared" si="75"/>
        <v>0</v>
      </c>
      <c r="BE173" s="310">
        <f t="shared" si="75"/>
        <v>0</v>
      </c>
      <c r="BF173" s="310">
        <f t="shared" si="75"/>
        <v>0</v>
      </c>
      <c r="BG173" s="310">
        <f t="shared" si="75"/>
        <v>0</v>
      </c>
    </row>
    <row r="174" spans="2:63">
      <c r="K174" t="s">
        <v>1750</v>
      </c>
      <c r="T174" s="310">
        <f>SUMPRODUCT($K$91:$K$93,T$27:T$29)</f>
        <v>1925462.7034918049</v>
      </c>
      <c r="U174" s="310">
        <f t="shared" ref="U174:BG174" si="76">SUMPRODUCT($K$91:$K$93,U$27:U$29)</f>
        <v>1879436.3987825688</v>
      </c>
      <c r="V174" s="310">
        <f t="shared" si="76"/>
        <v>1849150.8977256261</v>
      </c>
      <c r="W174" s="310">
        <f t="shared" si="76"/>
        <v>0</v>
      </c>
      <c r="X174" s="310">
        <f t="shared" si="76"/>
        <v>0</v>
      </c>
      <c r="Y174" s="310">
        <f t="shared" si="76"/>
        <v>0</v>
      </c>
      <c r="Z174" s="310">
        <f t="shared" si="76"/>
        <v>0</v>
      </c>
      <c r="AA174" s="310">
        <f t="shared" si="76"/>
        <v>0</v>
      </c>
      <c r="AB174" s="310">
        <f t="shared" si="76"/>
        <v>0</v>
      </c>
      <c r="AC174" s="310">
        <f t="shared" si="76"/>
        <v>0</v>
      </c>
      <c r="AD174" s="310">
        <f t="shared" si="76"/>
        <v>0</v>
      </c>
      <c r="AE174" s="310">
        <f t="shared" si="76"/>
        <v>0</v>
      </c>
      <c r="AF174" s="310">
        <f t="shared" si="76"/>
        <v>0</v>
      </c>
      <c r="AG174" s="310">
        <f t="shared" si="76"/>
        <v>0</v>
      </c>
      <c r="AH174" s="310">
        <f t="shared" si="76"/>
        <v>0</v>
      </c>
      <c r="AI174" s="310">
        <f t="shared" si="76"/>
        <v>0</v>
      </c>
      <c r="AJ174" s="310">
        <f t="shared" si="76"/>
        <v>0</v>
      </c>
      <c r="AK174" s="310">
        <f t="shared" si="76"/>
        <v>0</v>
      </c>
      <c r="AL174" s="310">
        <f t="shared" si="76"/>
        <v>0</v>
      </c>
      <c r="AM174" s="310">
        <f t="shared" si="76"/>
        <v>0</v>
      </c>
      <c r="AN174" s="310">
        <f t="shared" si="76"/>
        <v>0</v>
      </c>
      <c r="AO174" s="310">
        <f t="shared" si="76"/>
        <v>0</v>
      </c>
      <c r="AP174" s="310">
        <f t="shared" si="76"/>
        <v>0</v>
      </c>
      <c r="AQ174" s="310">
        <f t="shared" si="76"/>
        <v>0</v>
      </c>
      <c r="AR174" s="310">
        <f t="shared" si="76"/>
        <v>0</v>
      </c>
      <c r="AS174" s="310">
        <f t="shared" si="76"/>
        <v>0</v>
      </c>
      <c r="AT174" s="310">
        <f t="shared" si="76"/>
        <v>0</v>
      </c>
      <c r="AU174" s="310">
        <f t="shared" si="76"/>
        <v>0</v>
      </c>
      <c r="AV174" s="310">
        <f t="shared" si="76"/>
        <v>0</v>
      </c>
      <c r="AW174" s="310">
        <f t="shared" si="76"/>
        <v>0</v>
      </c>
      <c r="AX174" s="310">
        <f t="shared" si="76"/>
        <v>0</v>
      </c>
      <c r="AY174" s="310">
        <f t="shared" si="76"/>
        <v>0</v>
      </c>
      <c r="AZ174" s="310">
        <f t="shared" si="76"/>
        <v>0</v>
      </c>
      <c r="BA174" s="310">
        <f t="shared" si="76"/>
        <v>0</v>
      </c>
      <c r="BB174" s="310">
        <f t="shared" si="76"/>
        <v>0</v>
      </c>
      <c r="BC174" s="310">
        <f t="shared" si="76"/>
        <v>0</v>
      </c>
      <c r="BD174" s="310">
        <f t="shared" si="76"/>
        <v>0</v>
      </c>
      <c r="BE174" s="310">
        <f t="shared" si="76"/>
        <v>0</v>
      </c>
      <c r="BF174" s="310">
        <f t="shared" si="76"/>
        <v>0</v>
      </c>
      <c r="BG174" s="310">
        <f t="shared" si="76"/>
        <v>0</v>
      </c>
    </row>
    <row r="175" spans="2:63">
      <c r="K175" t="s">
        <v>602</v>
      </c>
      <c r="T175" s="310">
        <f t="shared" ref="T175:BG175" si="77">-SUMPRODUCT(T$35:T$37,T$91:T$93)</f>
        <v>0</v>
      </c>
      <c r="U175" s="310">
        <f t="shared" si="77"/>
        <v>0</v>
      </c>
      <c r="V175" s="310">
        <f t="shared" si="77"/>
        <v>0</v>
      </c>
      <c r="W175" s="310">
        <f t="shared" si="77"/>
        <v>0</v>
      </c>
      <c r="X175" s="310">
        <f t="shared" si="77"/>
        <v>0</v>
      </c>
      <c r="Y175" s="310">
        <f t="shared" si="77"/>
        <v>0</v>
      </c>
      <c r="Z175" s="310">
        <f t="shared" si="77"/>
        <v>0</v>
      </c>
      <c r="AA175" s="310">
        <f t="shared" si="77"/>
        <v>0</v>
      </c>
      <c r="AB175" s="310">
        <f t="shared" si="77"/>
        <v>0</v>
      </c>
      <c r="AC175" s="310">
        <f t="shared" si="77"/>
        <v>0</v>
      </c>
      <c r="AD175" s="310">
        <f t="shared" si="77"/>
        <v>0</v>
      </c>
      <c r="AE175" s="310">
        <f t="shared" si="77"/>
        <v>-5280424.8291654028</v>
      </c>
      <c r="AF175" s="310">
        <f t="shared" si="77"/>
        <v>0</v>
      </c>
      <c r="AG175" s="310">
        <f t="shared" si="77"/>
        <v>0</v>
      </c>
      <c r="AH175" s="310">
        <f t="shared" si="77"/>
        <v>0</v>
      </c>
      <c r="AI175" s="310">
        <f t="shared" si="77"/>
        <v>0</v>
      </c>
      <c r="AJ175" s="310">
        <f t="shared" si="77"/>
        <v>0</v>
      </c>
      <c r="AK175" s="310">
        <f t="shared" si="77"/>
        <v>0</v>
      </c>
      <c r="AL175" s="310">
        <f t="shared" si="77"/>
        <v>0</v>
      </c>
      <c r="AM175" s="310">
        <f t="shared" si="77"/>
        <v>0</v>
      </c>
      <c r="AN175" s="310">
        <f t="shared" si="77"/>
        <v>0</v>
      </c>
      <c r="AO175" s="310">
        <f t="shared" si="77"/>
        <v>0</v>
      </c>
      <c r="AP175" s="310">
        <f t="shared" si="77"/>
        <v>0</v>
      </c>
      <c r="AQ175" s="310">
        <f t="shared" si="77"/>
        <v>0</v>
      </c>
      <c r="AR175" s="310">
        <f t="shared" si="77"/>
        <v>0</v>
      </c>
      <c r="AS175" s="310">
        <f t="shared" si="77"/>
        <v>0</v>
      </c>
      <c r="AT175" s="310">
        <f t="shared" si="77"/>
        <v>0</v>
      </c>
      <c r="AU175" s="310">
        <f t="shared" si="77"/>
        <v>0</v>
      </c>
      <c r="AV175" s="310">
        <f t="shared" si="77"/>
        <v>0</v>
      </c>
      <c r="AW175" s="310">
        <f t="shared" si="77"/>
        <v>0</v>
      </c>
      <c r="AX175" s="310">
        <f t="shared" si="77"/>
        <v>0</v>
      </c>
      <c r="AY175" s="310">
        <f t="shared" si="77"/>
        <v>0</v>
      </c>
      <c r="AZ175" s="310">
        <f t="shared" si="77"/>
        <v>0</v>
      </c>
      <c r="BA175" s="310">
        <f t="shared" si="77"/>
        <v>0</v>
      </c>
      <c r="BB175" s="310">
        <f t="shared" si="77"/>
        <v>0</v>
      </c>
      <c r="BC175" s="310">
        <f t="shared" si="77"/>
        <v>0</v>
      </c>
      <c r="BD175" s="310">
        <f t="shared" si="77"/>
        <v>0</v>
      </c>
      <c r="BE175" s="310">
        <f t="shared" si="77"/>
        <v>0</v>
      </c>
      <c r="BF175" s="310">
        <f t="shared" si="77"/>
        <v>0</v>
      </c>
      <c r="BG175" s="310">
        <f t="shared" si="77"/>
        <v>0</v>
      </c>
    </row>
    <row r="176" spans="2:63">
      <c r="I176" s="363" t="s">
        <v>447</v>
      </c>
      <c r="K176" t="s">
        <v>447</v>
      </c>
      <c r="T176" s="310">
        <f t="shared" ref="T176:BG176" si="78">SUMIFS(T$19:T$167,$I$19:$I$167,$I176)</f>
        <v>0</v>
      </c>
      <c r="U176" s="310">
        <f t="shared" si="78"/>
        <v>0</v>
      </c>
      <c r="V176" s="310">
        <f t="shared" si="78"/>
        <v>0</v>
      </c>
      <c r="W176" s="310">
        <f t="shared" si="78"/>
        <v>0</v>
      </c>
      <c r="X176" s="310">
        <f t="shared" si="78"/>
        <v>0</v>
      </c>
      <c r="Y176" s="310">
        <f t="shared" si="78"/>
        <v>0</v>
      </c>
      <c r="Z176" s="310">
        <f t="shared" si="78"/>
        <v>0</v>
      </c>
      <c r="AA176" s="310">
        <f t="shared" si="78"/>
        <v>0</v>
      </c>
      <c r="AB176" s="310">
        <f t="shared" si="78"/>
        <v>0</v>
      </c>
      <c r="AC176" s="310">
        <f t="shared" si="78"/>
        <v>0</v>
      </c>
      <c r="AD176" s="310">
        <f t="shared" si="78"/>
        <v>0</v>
      </c>
      <c r="AE176" s="310">
        <f t="shared" si="78"/>
        <v>0</v>
      </c>
      <c r="AF176" s="310">
        <f t="shared" si="78"/>
        <v>0</v>
      </c>
      <c r="AG176" s="310">
        <f t="shared" si="78"/>
        <v>0</v>
      </c>
      <c r="AH176" s="310">
        <f t="shared" si="78"/>
        <v>0</v>
      </c>
      <c r="AI176" s="310">
        <f t="shared" si="78"/>
        <v>0</v>
      </c>
      <c r="AJ176" s="310">
        <f t="shared" si="78"/>
        <v>0</v>
      </c>
      <c r="AK176" s="310">
        <f t="shared" si="78"/>
        <v>0</v>
      </c>
      <c r="AL176" s="310">
        <f t="shared" si="78"/>
        <v>0</v>
      </c>
      <c r="AM176" s="310">
        <f t="shared" si="78"/>
        <v>0</v>
      </c>
      <c r="AN176" s="310">
        <f t="shared" si="78"/>
        <v>0</v>
      </c>
      <c r="AO176" s="310">
        <f t="shared" si="78"/>
        <v>0</v>
      </c>
      <c r="AP176" s="310">
        <f t="shared" si="78"/>
        <v>0</v>
      </c>
      <c r="AQ176" s="310">
        <f t="shared" si="78"/>
        <v>0</v>
      </c>
      <c r="AR176" s="310">
        <f t="shared" si="78"/>
        <v>0</v>
      </c>
      <c r="AS176" s="310">
        <f t="shared" si="78"/>
        <v>0</v>
      </c>
      <c r="AT176" s="310">
        <f t="shared" si="78"/>
        <v>0</v>
      </c>
      <c r="AU176" s="310">
        <f t="shared" si="78"/>
        <v>0</v>
      </c>
      <c r="AV176" s="310">
        <f t="shared" si="78"/>
        <v>0</v>
      </c>
      <c r="AW176" s="310">
        <f t="shared" si="78"/>
        <v>0</v>
      </c>
      <c r="AX176" s="310">
        <f t="shared" si="78"/>
        <v>0</v>
      </c>
      <c r="AY176" s="310">
        <f t="shared" si="78"/>
        <v>0</v>
      </c>
      <c r="AZ176" s="310">
        <f t="shared" si="78"/>
        <v>0</v>
      </c>
      <c r="BA176" s="310">
        <f t="shared" si="78"/>
        <v>0</v>
      </c>
      <c r="BB176" s="310">
        <f t="shared" si="78"/>
        <v>0</v>
      </c>
      <c r="BC176" s="310">
        <f t="shared" si="78"/>
        <v>0</v>
      </c>
      <c r="BD176" s="310">
        <f t="shared" si="78"/>
        <v>0</v>
      </c>
      <c r="BE176" s="310">
        <f t="shared" si="78"/>
        <v>0</v>
      </c>
      <c r="BF176" s="310">
        <f t="shared" si="78"/>
        <v>0</v>
      </c>
      <c r="BG176" s="310">
        <f t="shared" si="78"/>
        <v>0</v>
      </c>
    </row>
    <row r="177" spans="2:59">
      <c r="K177" s="268" t="s">
        <v>603</v>
      </c>
      <c r="L177" s="268"/>
      <c r="M177" s="268"/>
      <c r="N177" s="268"/>
      <c r="O177" s="268"/>
      <c r="P177" s="268"/>
      <c r="Q177" s="268"/>
      <c r="R177" s="268"/>
      <c r="S177" s="268"/>
      <c r="T177" s="367">
        <f>SUM(T172:T176)</f>
        <v>1913909.9272708541</v>
      </c>
      <c r="U177" s="367">
        <f>SUM(U172:U176)</f>
        <v>3770516.9314397769</v>
      </c>
      <c r="V177" s="367">
        <f t="shared" ref="V177:BG177" si="79">SUM(V172:V176)</f>
        <v>5585743.529165403</v>
      </c>
      <c r="W177" s="367">
        <f t="shared" si="79"/>
        <v>5551819.2291654032</v>
      </c>
      <c r="X177" s="367">
        <f t="shared" si="79"/>
        <v>5517894.9291654034</v>
      </c>
      <c r="Y177" s="367">
        <f t="shared" si="79"/>
        <v>5483970.6291654035</v>
      </c>
      <c r="Z177" s="367">
        <f t="shared" si="79"/>
        <v>5450046.3291654037</v>
      </c>
      <c r="AA177" s="367">
        <f t="shared" si="79"/>
        <v>5416122.0291654039</v>
      </c>
      <c r="AB177" s="367">
        <f t="shared" si="79"/>
        <v>5382197.7291654041</v>
      </c>
      <c r="AC177" s="367">
        <f t="shared" si="79"/>
        <v>5348273.4291654043</v>
      </c>
      <c r="AD177" s="367">
        <f t="shared" si="79"/>
        <v>5314349.1291654045</v>
      </c>
      <c r="AE177" s="367">
        <f t="shared" si="79"/>
        <v>1.862645149230957E-9</v>
      </c>
      <c r="AF177" s="367">
        <f t="shared" si="79"/>
        <v>1.862645149230957E-9</v>
      </c>
      <c r="AG177" s="367">
        <f t="shared" si="79"/>
        <v>1.862645149230957E-9</v>
      </c>
      <c r="AH177" s="367">
        <f t="shared" si="79"/>
        <v>1.862645149230957E-9</v>
      </c>
      <c r="AI177" s="367">
        <f t="shared" si="79"/>
        <v>1.862645149230957E-9</v>
      </c>
      <c r="AJ177" s="367">
        <f t="shared" si="79"/>
        <v>1.862645149230957E-9</v>
      </c>
      <c r="AK177" s="367">
        <f t="shared" si="79"/>
        <v>1.862645149230957E-9</v>
      </c>
      <c r="AL177" s="367">
        <f t="shared" si="79"/>
        <v>1.862645149230957E-9</v>
      </c>
      <c r="AM177" s="367">
        <f t="shared" si="79"/>
        <v>1.862645149230957E-9</v>
      </c>
      <c r="AN177" s="367">
        <f t="shared" si="79"/>
        <v>1.862645149230957E-9</v>
      </c>
      <c r="AO177" s="367">
        <f t="shared" si="79"/>
        <v>1.862645149230957E-9</v>
      </c>
      <c r="AP177" s="367">
        <f t="shared" si="79"/>
        <v>1.862645149230957E-9</v>
      </c>
      <c r="AQ177" s="367">
        <f t="shared" si="79"/>
        <v>1.862645149230957E-9</v>
      </c>
      <c r="AR177" s="367">
        <f t="shared" si="79"/>
        <v>1.862645149230957E-9</v>
      </c>
      <c r="AS177" s="367">
        <f t="shared" si="79"/>
        <v>1.862645149230957E-9</v>
      </c>
      <c r="AT177" s="367">
        <f t="shared" si="79"/>
        <v>1.862645149230957E-9</v>
      </c>
      <c r="AU177" s="367">
        <f t="shared" si="79"/>
        <v>1.862645149230957E-9</v>
      </c>
      <c r="AV177" s="367">
        <f t="shared" si="79"/>
        <v>1.862645149230957E-9</v>
      </c>
      <c r="AW177" s="367">
        <f t="shared" si="79"/>
        <v>1.862645149230957E-9</v>
      </c>
      <c r="AX177" s="367">
        <f t="shared" si="79"/>
        <v>1.862645149230957E-9</v>
      </c>
      <c r="AY177" s="367">
        <f t="shared" si="79"/>
        <v>1.862645149230957E-9</v>
      </c>
      <c r="AZ177" s="367">
        <f t="shared" si="79"/>
        <v>1.862645149230957E-9</v>
      </c>
      <c r="BA177" s="367">
        <f t="shared" si="79"/>
        <v>1.862645149230957E-9</v>
      </c>
      <c r="BB177" s="367">
        <f t="shared" si="79"/>
        <v>1.862645149230957E-9</v>
      </c>
      <c r="BC177" s="367">
        <f t="shared" si="79"/>
        <v>1.862645149230957E-9</v>
      </c>
      <c r="BD177" s="367">
        <f t="shared" si="79"/>
        <v>1.862645149230957E-9</v>
      </c>
      <c r="BE177" s="367">
        <f t="shared" si="79"/>
        <v>1.862645149230957E-9</v>
      </c>
      <c r="BF177" s="367">
        <f t="shared" si="79"/>
        <v>1.862645149230957E-9</v>
      </c>
      <c r="BG177" s="367">
        <f t="shared" si="79"/>
        <v>1.862645149230957E-9</v>
      </c>
    </row>
    <row r="178" spans="2:59">
      <c r="K178" s="255" t="s">
        <v>329</v>
      </c>
      <c r="M178" s="257" t="b">
        <f>COUNTIFS(T178:BG178,"true")=COUNTA(T178:BG178)</f>
        <v>0</v>
      </c>
      <c r="T178" s="257" t="b">
        <f>ROUND(SUM(T$91:T$93),GA!$G$112)=ROUND(SUM(T172:T174,T176),GA!$G$112)</f>
        <v>1</v>
      </c>
      <c r="U178" s="257" t="b">
        <f>ROUND(SUM(U$91:U$93),GA!$G$112)=ROUND(SUM(U172:U174,U176),GA!$G$112)</f>
        <v>1</v>
      </c>
      <c r="V178" s="257" t="b">
        <f>ROUND(SUM(V$91:V$93),GA!$G$112)=ROUND(SUM(V172:V174,V176),GA!$G$112)</f>
        <v>1</v>
      </c>
      <c r="W178" s="257" t="b">
        <f>ROUND(SUM(W$91:W$93),GA!$G$112)=ROUND(SUM(W172:W174,W176),GA!$G$112)</f>
        <v>1</v>
      </c>
      <c r="X178" s="257" t="b">
        <f>ROUND(SUM(X$91:X$93),GA!$G$112)=ROUND(SUM(X172:X174,X176),GA!$G$112)</f>
        <v>1</v>
      </c>
      <c r="Y178" s="257" t="b">
        <f>ROUND(SUM(Y$91:Y$93),GA!$G$112)=ROUND(SUM(Y172:Y174,Y176),GA!$G$112)</f>
        <v>1</v>
      </c>
      <c r="Z178" s="257" t="b">
        <f>ROUND(SUM(Z$91:Z$93),GA!$G$112)=ROUND(SUM(Z172:Z174,Z176),GA!$G$112)</f>
        <v>1</v>
      </c>
      <c r="AA178" s="257" t="b">
        <f>ROUND(SUM(AA$91:AA$93),GA!$G$112)=ROUND(SUM(AA172:AA174,AA176),GA!$G$112)</f>
        <v>1</v>
      </c>
      <c r="AB178" s="257" t="b">
        <f>ROUND(SUM(AB$91:AB$93),GA!$G$112)=ROUND(SUM(AB172:AB174,AB176),GA!$G$112)</f>
        <v>1</v>
      </c>
      <c r="AC178" s="257" t="b">
        <f>ROUND(SUM(AC$91:AC$93),GA!$G$112)=ROUND(SUM(AC172:AC174,AC176),GA!$G$112)</f>
        <v>1</v>
      </c>
      <c r="AD178" s="257" t="b">
        <f>ROUND(SUM(AD$91:AD$93),GA!$G$112)=ROUND(SUM(AD172:AD174,AD176),GA!$G$112)</f>
        <v>1</v>
      </c>
      <c r="AE178" s="257" t="b">
        <f>ROUND(SUM(AE$91:AE$93),GA!$G$112)=ROUND(SUM(AE172:AE174,AE176),GA!$G$112)</f>
        <v>1</v>
      </c>
      <c r="AF178" s="257" t="b">
        <f>ROUND(SUM(AF$91:AF$93),GA!$G$112)=ROUND(SUM(AF172:AF174,AF176),GA!$G$112)</f>
        <v>1</v>
      </c>
      <c r="AG178" s="257" t="b">
        <f>ROUND(SUM(AG$91:AG$93),GA!$G$112)=ROUND(SUM(AG172:AG174,AG176),GA!$G$112)</f>
        <v>1</v>
      </c>
      <c r="AH178" s="257" t="b">
        <f>ROUND(SUM(AH$91:AH$93),GA!$G$112)=ROUND(SUM(AH172:AH174,AH176),GA!$G$112)</f>
        <v>1</v>
      </c>
      <c r="AI178" s="257" t="b">
        <f>ROUND(SUM(AI$91:AI$93),GA!$G$112)=ROUND(SUM(AI172:AI174,AI176),GA!$G$112)</f>
        <v>1</v>
      </c>
      <c r="AJ178" s="257" t="b">
        <f>ROUND(SUM(AJ$91:AJ$93),GA!$G$112)=ROUND(SUM(AJ172:AJ174,AJ176),GA!$G$112)</f>
        <v>1</v>
      </c>
      <c r="AK178" s="257" t="b">
        <f>ROUND(SUM(AK$91:AK$93),GA!$G$112)=ROUND(SUM(AK172:AK174,AK176),GA!$G$112)</f>
        <v>1</v>
      </c>
      <c r="AL178" s="257" t="b">
        <f>ROUND(SUM(AL$91:AL$93),GA!$G$112)=ROUND(SUM(AL172:AL174,AL176),GA!$G$112)</f>
        <v>1</v>
      </c>
      <c r="AM178" s="257" t="b">
        <f>ROUND(SUM(AM$91:AM$93),GA!$G$112)=ROUND(SUM(AM172:AM174,AM176),GA!$G$112)</f>
        <v>1</v>
      </c>
      <c r="AN178" s="257" t="b">
        <f>ROUND(SUM(AN$91:AN$93),GA!$G$112)=ROUND(SUM(AN172:AN174,AN176),GA!$G$112)</f>
        <v>1</v>
      </c>
      <c r="AO178" s="257" t="b">
        <f>ROUND(SUM(AO$91:AO$93),GA!$G$112)=ROUND(SUM(AO172:AO174,AO176),GA!$G$112)</f>
        <v>1</v>
      </c>
      <c r="AP178" s="257" t="b">
        <f>ROUND(SUM(AP$91:AP$93),GA!$G$112)=ROUND(SUM(AP172:AP174,AP176),GA!$G$112)</f>
        <v>1</v>
      </c>
      <c r="AQ178" s="257" t="b">
        <f>ROUND(SUM(AQ$91:AQ$93),GA!$G$112)=ROUND(SUM(AQ172:AQ174,AQ176),GA!$G$112)</f>
        <v>1</v>
      </c>
      <c r="AR178" s="257" t="b">
        <f>ROUND(SUM(AR$91:AR$93),GA!$G$112)=ROUND(SUM(AR172:AR174,AR176),GA!$G$112)</f>
        <v>1</v>
      </c>
      <c r="AS178" s="257" t="b">
        <f>ROUND(SUM(AS$91:AS$93),GA!$G$112)=ROUND(SUM(AS172:AS174,AS176),GA!$G$112)</f>
        <v>1</v>
      </c>
      <c r="AT178" s="257" t="b">
        <f>ROUND(SUM(AT$91:AT$93),GA!$G$112)=ROUND(SUM(AT172:AT174,AT176),GA!$G$112)</f>
        <v>1</v>
      </c>
      <c r="AU178" s="257" t="b">
        <f>ROUND(SUM(AU$91:AU$93),GA!$G$112)=ROUND(SUM(AU172:AU174,AU176),GA!$G$112)</f>
        <v>1</v>
      </c>
      <c r="AV178" s="257" t="b">
        <f>ROUND(SUM(AV$91:AV$93),GA!$G$112)=ROUND(SUM(AV172:AV174,AV176),GA!$G$112)</f>
        <v>1</v>
      </c>
      <c r="AW178" s="257" t="b">
        <f>ROUND(SUM(AW$91:AW$93),GA!$G$112)=ROUND(SUM(AW172:AW174,AW176),GA!$G$112)</f>
        <v>1</v>
      </c>
      <c r="AX178" s="257" t="b">
        <f>ROUND(SUM(AX$91:AX$93),GA!$G$112)=ROUND(SUM(AX172:AX174,AX176),GA!$G$112)</f>
        <v>1</v>
      </c>
      <c r="AY178" s="257" t="b">
        <f>ROUND(SUM(AY$91:AY$93),GA!$G$112)=ROUND(SUM(AY172:AY174,AY176),GA!$G$112)</f>
        <v>1</v>
      </c>
      <c r="AZ178" s="257" t="b">
        <f>ROUND(SUM(AZ$91:AZ$93),GA!$G$112)=ROUND(SUM(AZ172:AZ174,AZ176),GA!$G$112)</f>
        <v>1</v>
      </c>
      <c r="BA178" s="257" t="b">
        <f>ROUND(SUM(BA$91:BA$93),GA!$G$112)=ROUND(SUM(BA172:BA174,BA176),GA!$G$112)</f>
        <v>1</v>
      </c>
      <c r="BB178" s="257" t="b">
        <f>ROUND(SUM(BB$91:BB$93),GA!$G$112)=ROUND(SUM(BB172:BB174,BB176),GA!$G$112)</f>
        <v>1</v>
      </c>
      <c r="BC178" s="257" t="b">
        <f>ROUND(SUM(BC$91:BC$93),GA!$G$112)=ROUND(SUM(BC172:BC174,BC176),GA!$G$112)</f>
        <v>1</v>
      </c>
      <c r="BD178" s="257" t="b">
        <f>ROUND(SUM(BD$91:BD$93),GA!$G$112)=ROUND(SUM(BD172:BD174,BD176),GA!$G$112)</f>
        <v>1</v>
      </c>
      <c r="BE178" s="257" t="b">
        <f>ROUND(SUM(BE$91:BE$93),GA!$G$112)=ROUND(SUM(BE172:BE174,BE176),GA!$G$112)</f>
        <v>1</v>
      </c>
      <c r="BF178" s="257" t="b">
        <f>ROUND(SUM(BF$91:BF$93),GA!$G$112)=ROUND(SUM(BF172:BF174,BF176),GA!$G$112)</f>
        <v>1</v>
      </c>
      <c r="BG178" s="257" t="b">
        <f>ROUND(SUM(BG$91:BG$93),GA!$G$112)=ROUND(SUM(BG172:BG174,BG176),GA!$G$112)</f>
        <v>1</v>
      </c>
    </row>
    <row r="180" spans="2:59">
      <c r="K180" t="s">
        <v>604</v>
      </c>
      <c r="T180" s="310">
        <f t="shared" ref="T180:BG180" si="80">SUMPRODUCT(T$35:T$37,T$91:T$93)</f>
        <v>0</v>
      </c>
      <c r="U180" s="310">
        <f t="shared" si="80"/>
        <v>0</v>
      </c>
      <c r="V180" s="310">
        <f t="shared" si="80"/>
        <v>0</v>
      </c>
      <c r="W180" s="310">
        <f t="shared" si="80"/>
        <v>0</v>
      </c>
      <c r="X180" s="310">
        <f t="shared" si="80"/>
        <v>0</v>
      </c>
      <c r="Y180" s="310">
        <f t="shared" si="80"/>
        <v>0</v>
      </c>
      <c r="Z180" s="310">
        <f t="shared" si="80"/>
        <v>0</v>
      </c>
      <c r="AA180" s="310">
        <f t="shared" si="80"/>
        <v>0</v>
      </c>
      <c r="AB180" s="310">
        <f t="shared" si="80"/>
        <v>0</v>
      </c>
      <c r="AC180" s="310">
        <f t="shared" si="80"/>
        <v>0</v>
      </c>
      <c r="AD180" s="310">
        <f t="shared" si="80"/>
        <v>0</v>
      </c>
      <c r="AE180" s="310">
        <f t="shared" si="80"/>
        <v>5280424.8291654028</v>
      </c>
      <c r="AF180" s="310">
        <f t="shared" si="80"/>
        <v>0</v>
      </c>
      <c r="AG180" s="310">
        <f t="shared" si="80"/>
        <v>0</v>
      </c>
      <c r="AH180" s="310">
        <f t="shared" si="80"/>
        <v>0</v>
      </c>
      <c r="AI180" s="310">
        <f t="shared" si="80"/>
        <v>0</v>
      </c>
      <c r="AJ180" s="310">
        <f t="shared" si="80"/>
        <v>0</v>
      </c>
      <c r="AK180" s="310">
        <f t="shared" si="80"/>
        <v>0</v>
      </c>
      <c r="AL180" s="310">
        <f t="shared" si="80"/>
        <v>0</v>
      </c>
      <c r="AM180" s="310">
        <f t="shared" si="80"/>
        <v>0</v>
      </c>
      <c r="AN180" s="310">
        <f t="shared" si="80"/>
        <v>0</v>
      </c>
      <c r="AO180" s="310">
        <f t="shared" si="80"/>
        <v>0</v>
      </c>
      <c r="AP180" s="310">
        <f t="shared" si="80"/>
        <v>0</v>
      </c>
      <c r="AQ180" s="310">
        <f t="shared" si="80"/>
        <v>0</v>
      </c>
      <c r="AR180" s="310">
        <f t="shared" si="80"/>
        <v>0</v>
      </c>
      <c r="AS180" s="310">
        <f t="shared" si="80"/>
        <v>0</v>
      </c>
      <c r="AT180" s="310">
        <f t="shared" si="80"/>
        <v>0</v>
      </c>
      <c r="AU180" s="310">
        <f t="shared" si="80"/>
        <v>0</v>
      </c>
      <c r="AV180" s="310">
        <f t="shared" si="80"/>
        <v>0</v>
      </c>
      <c r="AW180" s="310">
        <f t="shared" si="80"/>
        <v>0</v>
      </c>
      <c r="AX180" s="310">
        <f t="shared" si="80"/>
        <v>0</v>
      </c>
      <c r="AY180" s="310">
        <f t="shared" si="80"/>
        <v>0</v>
      </c>
      <c r="AZ180" s="310">
        <f t="shared" si="80"/>
        <v>0</v>
      </c>
      <c r="BA180" s="310">
        <f t="shared" si="80"/>
        <v>0</v>
      </c>
      <c r="BB180" s="310">
        <f t="shared" si="80"/>
        <v>0</v>
      </c>
      <c r="BC180" s="310">
        <f t="shared" si="80"/>
        <v>0</v>
      </c>
      <c r="BD180" s="310">
        <f t="shared" si="80"/>
        <v>0</v>
      </c>
      <c r="BE180" s="310">
        <f t="shared" si="80"/>
        <v>0</v>
      </c>
      <c r="BF180" s="310">
        <f t="shared" si="80"/>
        <v>0</v>
      </c>
      <c r="BG180" s="310">
        <f t="shared" si="80"/>
        <v>0</v>
      </c>
    </row>
    <row r="182" spans="2:59">
      <c r="I182" s="363" t="s">
        <v>522</v>
      </c>
      <c r="K182" t="s">
        <v>522</v>
      </c>
      <c r="T182" s="310">
        <f t="shared" ref="T182:AC184" si="81">SUMIFS(T$19:T$167,$I$19:$I$167,$I182)</f>
        <v>21695.073049514012</v>
      </c>
      <c r="U182" s="310">
        <f t="shared" si="81"/>
        <v>42951.98502261829</v>
      </c>
      <c r="V182" s="310">
        <f t="shared" si="81"/>
        <v>64691.69038786459</v>
      </c>
      <c r="W182" s="310">
        <f t="shared" si="81"/>
        <v>64811.118749999987</v>
      </c>
      <c r="X182" s="310">
        <f t="shared" si="81"/>
        <v>64930.723475649582</v>
      </c>
      <c r="Y182" s="310">
        <f t="shared" si="81"/>
        <v>65050.504661620813</v>
      </c>
      <c r="Z182" s="310">
        <f t="shared" si="81"/>
        <v>65170.462403746031</v>
      </c>
      <c r="AA182" s="310">
        <f t="shared" si="81"/>
        <v>65290.596796874976</v>
      </c>
      <c r="AB182" s="310">
        <f t="shared" si="81"/>
        <v>65410.907934867035</v>
      </c>
      <c r="AC182" s="310">
        <f t="shared" si="81"/>
        <v>65531.395910583742</v>
      </c>
      <c r="AD182" s="310">
        <f t="shared" ref="AD182:AM184" si="82">SUMIFS(AD$19:AD$167,$I$19:$I$167,$I182)</f>
        <v>65652.060815881036</v>
      </c>
      <c r="AE182" s="310">
        <f t="shared" si="82"/>
        <v>-1537828.9993981791</v>
      </c>
      <c r="AF182" s="310">
        <f t="shared" si="82"/>
        <v>0</v>
      </c>
      <c r="AG182" s="310">
        <f t="shared" si="82"/>
        <v>0</v>
      </c>
      <c r="AH182" s="310">
        <f t="shared" si="82"/>
        <v>0</v>
      </c>
      <c r="AI182" s="310">
        <f t="shared" si="82"/>
        <v>0</v>
      </c>
      <c r="AJ182" s="310">
        <f t="shared" si="82"/>
        <v>0</v>
      </c>
      <c r="AK182" s="310">
        <f t="shared" si="82"/>
        <v>0</v>
      </c>
      <c r="AL182" s="310">
        <f t="shared" si="82"/>
        <v>0</v>
      </c>
      <c r="AM182" s="310">
        <f t="shared" si="82"/>
        <v>0</v>
      </c>
      <c r="AN182" s="310">
        <f t="shared" ref="AN182:AW184" si="83">SUMIFS(AN$19:AN$167,$I$19:$I$167,$I182)</f>
        <v>0</v>
      </c>
      <c r="AO182" s="310">
        <f t="shared" si="83"/>
        <v>0</v>
      </c>
      <c r="AP182" s="310">
        <f t="shared" si="83"/>
        <v>0</v>
      </c>
      <c r="AQ182" s="310">
        <f t="shared" si="83"/>
        <v>0</v>
      </c>
      <c r="AR182" s="310">
        <f t="shared" si="83"/>
        <v>0</v>
      </c>
      <c r="AS182" s="310">
        <f t="shared" si="83"/>
        <v>0</v>
      </c>
      <c r="AT182" s="310">
        <f t="shared" si="83"/>
        <v>0</v>
      </c>
      <c r="AU182" s="310">
        <f t="shared" si="83"/>
        <v>0</v>
      </c>
      <c r="AV182" s="310">
        <f t="shared" si="83"/>
        <v>0</v>
      </c>
      <c r="AW182" s="310">
        <f t="shared" si="83"/>
        <v>0</v>
      </c>
      <c r="AX182" s="310">
        <f t="shared" ref="AX182:BG184" si="84">SUMIFS(AX$19:AX$167,$I$19:$I$167,$I182)</f>
        <v>0</v>
      </c>
      <c r="AY182" s="310">
        <f t="shared" si="84"/>
        <v>0</v>
      </c>
      <c r="AZ182" s="310">
        <f t="shared" si="84"/>
        <v>0</v>
      </c>
      <c r="BA182" s="310">
        <f t="shared" si="84"/>
        <v>0</v>
      </c>
      <c r="BB182" s="310">
        <f t="shared" si="84"/>
        <v>0</v>
      </c>
      <c r="BC182" s="310">
        <f t="shared" si="84"/>
        <v>0</v>
      </c>
      <c r="BD182" s="310">
        <f t="shared" si="84"/>
        <v>0</v>
      </c>
      <c r="BE182" s="310">
        <f t="shared" si="84"/>
        <v>0</v>
      </c>
      <c r="BF182" s="310">
        <f t="shared" si="84"/>
        <v>0</v>
      </c>
      <c r="BG182" s="310">
        <f t="shared" si="84"/>
        <v>0</v>
      </c>
    </row>
    <row r="183" spans="2:59">
      <c r="I183" s="363" t="s">
        <v>540</v>
      </c>
      <c r="K183" t="s">
        <v>540</v>
      </c>
      <c r="T183" s="310">
        <f t="shared" si="81"/>
        <v>-11552.776220950829</v>
      </c>
      <c r="U183" s="310">
        <f t="shared" si="81"/>
        <v>-22829.39461364624</v>
      </c>
      <c r="V183" s="310">
        <f t="shared" si="81"/>
        <v>-33924.299999999996</v>
      </c>
      <c r="W183" s="310">
        <f t="shared" si="81"/>
        <v>-33924.299999999996</v>
      </c>
      <c r="X183" s="310">
        <f t="shared" si="81"/>
        <v>-33924.299999999996</v>
      </c>
      <c r="Y183" s="310">
        <f t="shared" si="81"/>
        <v>-33924.299999999996</v>
      </c>
      <c r="Z183" s="310">
        <f t="shared" si="81"/>
        <v>-33924.299999999996</v>
      </c>
      <c r="AA183" s="310">
        <f t="shared" si="81"/>
        <v>-33924.299999999996</v>
      </c>
      <c r="AB183" s="310">
        <f t="shared" si="81"/>
        <v>-33924.299999999996</v>
      </c>
      <c r="AC183" s="310">
        <f t="shared" si="81"/>
        <v>-33924.299999999996</v>
      </c>
      <c r="AD183" s="310">
        <f t="shared" si="82"/>
        <v>-33924.299999999996</v>
      </c>
      <c r="AE183" s="310">
        <f t="shared" si="82"/>
        <v>-33924.299999999996</v>
      </c>
      <c r="AF183" s="310">
        <f t="shared" si="82"/>
        <v>0</v>
      </c>
      <c r="AG183" s="310">
        <f t="shared" si="82"/>
        <v>0</v>
      </c>
      <c r="AH183" s="310">
        <f t="shared" si="82"/>
        <v>0</v>
      </c>
      <c r="AI183" s="310">
        <f t="shared" si="82"/>
        <v>0</v>
      </c>
      <c r="AJ183" s="310">
        <f t="shared" si="82"/>
        <v>0</v>
      </c>
      <c r="AK183" s="310">
        <f t="shared" si="82"/>
        <v>0</v>
      </c>
      <c r="AL183" s="310">
        <f t="shared" si="82"/>
        <v>0</v>
      </c>
      <c r="AM183" s="310">
        <f t="shared" si="82"/>
        <v>0</v>
      </c>
      <c r="AN183" s="310">
        <f t="shared" si="83"/>
        <v>0</v>
      </c>
      <c r="AO183" s="310">
        <f t="shared" si="83"/>
        <v>0</v>
      </c>
      <c r="AP183" s="310">
        <f t="shared" si="83"/>
        <v>0</v>
      </c>
      <c r="AQ183" s="310">
        <f t="shared" si="83"/>
        <v>0</v>
      </c>
      <c r="AR183" s="310">
        <f t="shared" si="83"/>
        <v>0</v>
      </c>
      <c r="AS183" s="310">
        <f t="shared" si="83"/>
        <v>0</v>
      </c>
      <c r="AT183" s="310">
        <f t="shared" si="83"/>
        <v>0</v>
      </c>
      <c r="AU183" s="310">
        <f t="shared" si="83"/>
        <v>0</v>
      </c>
      <c r="AV183" s="310">
        <f t="shared" si="83"/>
        <v>0</v>
      </c>
      <c r="AW183" s="310">
        <f t="shared" si="83"/>
        <v>0</v>
      </c>
      <c r="AX183" s="310">
        <f t="shared" si="84"/>
        <v>0</v>
      </c>
      <c r="AY183" s="310">
        <f t="shared" si="84"/>
        <v>0</v>
      </c>
      <c r="AZ183" s="310">
        <f t="shared" si="84"/>
        <v>0</v>
      </c>
      <c r="BA183" s="310">
        <f t="shared" si="84"/>
        <v>0</v>
      </c>
      <c r="BB183" s="310">
        <f t="shared" si="84"/>
        <v>0</v>
      </c>
      <c r="BC183" s="310">
        <f t="shared" si="84"/>
        <v>0</v>
      </c>
      <c r="BD183" s="310">
        <f t="shared" si="84"/>
        <v>0</v>
      </c>
      <c r="BE183" s="310">
        <f t="shared" si="84"/>
        <v>0</v>
      </c>
      <c r="BF183" s="310">
        <f t="shared" si="84"/>
        <v>0</v>
      </c>
      <c r="BG183" s="310">
        <f t="shared" si="84"/>
        <v>0</v>
      </c>
    </row>
    <row r="184" spans="2:59">
      <c r="I184" s="363" t="s">
        <v>559</v>
      </c>
      <c r="K184" t="s">
        <v>559</v>
      </c>
      <c r="T184" s="310">
        <f t="shared" si="81"/>
        <v>10142.296828563183</v>
      </c>
      <c r="U184" s="310">
        <f t="shared" si="81"/>
        <v>20122.59040897205</v>
      </c>
      <c r="V184" s="310">
        <f t="shared" si="81"/>
        <v>30767.390387864594</v>
      </c>
      <c r="W184" s="310">
        <f t="shared" si="81"/>
        <v>30886.818749999991</v>
      </c>
      <c r="X184" s="310">
        <f t="shared" si="81"/>
        <v>31006.423475649586</v>
      </c>
      <c r="Y184" s="310">
        <f t="shared" si="81"/>
        <v>31126.204661620806</v>
      </c>
      <c r="Z184" s="310">
        <f t="shared" si="81"/>
        <v>31246.162403746031</v>
      </c>
      <c r="AA184" s="310">
        <f t="shared" si="81"/>
        <v>31366.296796874969</v>
      </c>
      <c r="AB184" s="310">
        <f t="shared" si="81"/>
        <v>31486.607934867039</v>
      </c>
      <c r="AC184" s="310">
        <f t="shared" si="81"/>
        <v>31607.095910583743</v>
      </c>
      <c r="AD184" s="310">
        <f t="shared" si="82"/>
        <v>31727.76081588104</v>
      </c>
      <c r="AE184" s="310">
        <f t="shared" si="82"/>
        <v>-1571753.2993981792</v>
      </c>
      <c r="AF184" s="310">
        <f t="shared" si="82"/>
        <v>0</v>
      </c>
      <c r="AG184" s="310">
        <f t="shared" si="82"/>
        <v>0</v>
      </c>
      <c r="AH184" s="310">
        <f t="shared" si="82"/>
        <v>0</v>
      </c>
      <c r="AI184" s="310">
        <f t="shared" si="82"/>
        <v>0</v>
      </c>
      <c r="AJ184" s="310">
        <f t="shared" si="82"/>
        <v>0</v>
      </c>
      <c r="AK184" s="310">
        <f t="shared" si="82"/>
        <v>0</v>
      </c>
      <c r="AL184" s="310">
        <f t="shared" si="82"/>
        <v>0</v>
      </c>
      <c r="AM184" s="310">
        <f t="shared" si="82"/>
        <v>0</v>
      </c>
      <c r="AN184" s="310">
        <f t="shared" si="83"/>
        <v>0</v>
      </c>
      <c r="AO184" s="310">
        <f t="shared" si="83"/>
        <v>0</v>
      </c>
      <c r="AP184" s="310">
        <f t="shared" si="83"/>
        <v>0</v>
      </c>
      <c r="AQ184" s="310">
        <f t="shared" si="83"/>
        <v>0</v>
      </c>
      <c r="AR184" s="310">
        <f t="shared" si="83"/>
        <v>0</v>
      </c>
      <c r="AS184" s="310">
        <f t="shared" si="83"/>
        <v>0</v>
      </c>
      <c r="AT184" s="310">
        <f t="shared" si="83"/>
        <v>0</v>
      </c>
      <c r="AU184" s="310">
        <f t="shared" si="83"/>
        <v>0</v>
      </c>
      <c r="AV184" s="310">
        <f t="shared" si="83"/>
        <v>0</v>
      </c>
      <c r="AW184" s="310">
        <f t="shared" si="83"/>
        <v>0</v>
      </c>
      <c r="AX184" s="310">
        <f t="shared" si="84"/>
        <v>0</v>
      </c>
      <c r="AY184" s="310">
        <f t="shared" si="84"/>
        <v>0</v>
      </c>
      <c r="AZ184" s="310">
        <f t="shared" si="84"/>
        <v>0</v>
      </c>
      <c r="BA184" s="310">
        <f t="shared" si="84"/>
        <v>0</v>
      </c>
      <c r="BB184" s="310">
        <f t="shared" si="84"/>
        <v>0</v>
      </c>
      <c r="BC184" s="310">
        <f t="shared" si="84"/>
        <v>0</v>
      </c>
      <c r="BD184" s="310">
        <f t="shared" si="84"/>
        <v>0</v>
      </c>
      <c r="BE184" s="310">
        <f t="shared" si="84"/>
        <v>0</v>
      </c>
      <c r="BF184" s="310">
        <f t="shared" si="84"/>
        <v>0</v>
      </c>
      <c r="BG184" s="310">
        <f t="shared" si="84"/>
        <v>0</v>
      </c>
    </row>
    <row r="185" spans="2:59">
      <c r="K185" s="255" t="s">
        <v>329</v>
      </c>
      <c r="M185" s="257" t="b">
        <f>COUNTIFS(T185:BG185,"true")=COUNTA(T185:BG185)</f>
        <v>0</v>
      </c>
      <c r="T185" s="257" t="b">
        <f>ROUND(SUM(T182:T183),GA!$G$112)=ROUND(T184,GA!$G$112)</f>
        <v>1</v>
      </c>
      <c r="U185" s="257" t="b">
        <f>ROUND(SUM(U182:U183),GA!$G$112)=ROUND(U184,GA!$G$112)</f>
        <v>1</v>
      </c>
      <c r="V185" s="257" t="b">
        <f>ROUND(SUM(V182:V183),GA!$G$112)=ROUND(V184,GA!$G$112)</f>
        <v>1</v>
      </c>
      <c r="W185" s="257" t="b">
        <f>ROUND(SUM(W182:W183),GA!$G$112)=ROUND(W184,GA!$G$112)</f>
        <v>1</v>
      </c>
      <c r="X185" s="257" t="b">
        <f>ROUND(SUM(X182:X183),GA!$G$112)=ROUND(X184,GA!$G$112)</f>
        <v>1</v>
      </c>
      <c r="Y185" s="257" t="b">
        <f>ROUND(SUM(Y182:Y183),GA!$G$112)=ROUND(Y184,GA!$G$112)</f>
        <v>1</v>
      </c>
      <c r="Z185" s="257" t="b">
        <f>ROUND(SUM(Z182:Z183),GA!$G$112)=ROUND(Z184,GA!$G$112)</f>
        <v>1</v>
      </c>
      <c r="AA185" s="257" t="b">
        <f>ROUND(SUM(AA182:AA183),GA!$G$112)=ROUND(AA184,GA!$G$112)</f>
        <v>1</v>
      </c>
      <c r="AB185" s="257" t="b">
        <f>ROUND(SUM(AB182:AB183),GA!$G$112)=ROUND(AB184,GA!$G$112)</f>
        <v>1</v>
      </c>
      <c r="AC185" s="257" t="b">
        <f>ROUND(SUM(AC182:AC183),GA!$G$112)=ROUND(AC184,GA!$G$112)</f>
        <v>1</v>
      </c>
      <c r="AD185" s="257" t="b">
        <f>ROUND(SUM(AD182:AD183),GA!$G$112)=ROUND(AD184,GA!$G$112)</f>
        <v>1</v>
      </c>
      <c r="AE185" s="257" t="b">
        <f>ROUND(SUM(AE182:AE183),GA!$G$112)=ROUND(AE184,GA!$G$112)</f>
        <v>1</v>
      </c>
      <c r="AF185" s="257" t="b">
        <f>ROUND(SUM(AF182:AF183),GA!$G$112)=ROUND(AF184,GA!$G$112)</f>
        <v>1</v>
      </c>
      <c r="AG185" s="257" t="b">
        <f>ROUND(SUM(AG182:AG183),GA!$G$112)=ROUND(AG184,GA!$G$112)</f>
        <v>1</v>
      </c>
      <c r="AH185" s="257" t="b">
        <f>ROUND(SUM(AH182:AH183),GA!$G$112)=ROUND(AH184,GA!$G$112)</f>
        <v>1</v>
      </c>
      <c r="AI185" s="257" t="b">
        <f>ROUND(SUM(AI182:AI183),GA!$G$112)=ROUND(AI184,GA!$G$112)</f>
        <v>1</v>
      </c>
      <c r="AJ185" s="257" t="b">
        <f>ROUND(SUM(AJ182:AJ183),GA!$G$112)=ROUND(AJ184,GA!$G$112)</f>
        <v>1</v>
      </c>
      <c r="AK185" s="257" t="b">
        <f>ROUND(SUM(AK182:AK183),GA!$G$112)=ROUND(AK184,GA!$G$112)</f>
        <v>1</v>
      </c>
      <c r="AL185" s="257" t="b">
        <f>ROUND(SUM(AL182:AL183),GA!$G$112)=ROUND(AL184,GA!$G$112)</f>
        <v>1</v>
      </c>
      <c r="AM185" s="257" t="b">
        <f>ROUND(SUM(AM182:AM183),GA!$G$112)=ROUND(AM184,GA!$G$112)</f>
        <v>1</v>
      </c>
      <c r="AN185" s="257" t="b">
        <f>ROUND(SUM(AN182:AN183),GA!$G$112)=ROUND(AN184,GA!$G$112)</f>
        <v>1</v>
      </c>
      <c r="AO185" s="257" t="b">
        <f>ROUND(SUM(AO182:AO183),GA!$G$112)=ROUND(AO184,GA!$G$112)</f>
        <v>1</v>
      </c>
      <c r="AP185" s="257" t="b">
        <f>ROUND(SUM(AP182:AP183),GA!$G$112)=ROUND(AP184,GA!$G$112)</f>
        <v>1</v>
      </c>
      <c r="AQ185" s="257" t="b">
        <f>ROUND(SUM(AQ182:AQ183),GA!$G$112)=ROUND(AQ184,GA!$G$112)</f>
        <v>1</v>
      </c>
      <c r="AR185" s="257" t="b">
        <f>ROUND(SUM(AR182:AR183),GA!$G$112)=ROUND(AR184,GA!$G$112)</f>
        <v>1</v>
      </c>
      <c r="AS185" s="257" t="b">
        <f>ROUND(SUM(AS182:AS183),GA!$G$112)=ROUND(AS184,GA!$G$112)</f>
        <v>1</v>
      </c>
      <c r="AT185" s="257" t="b">
        <f>ROUND(SUM(AT182:AT183),GA!$G$112)=ROUND(AT184,GA!$G$112)</f>
        <v>1</v>
      </c>
      <c r="AU185" s="257" t="b">
        <f>ROUND(SUM(AU182:AU183),GA!$G$112)=ROUND(AU184,GA!$G$112)</f>
        <v>1</v>
      </c>
      <c r="AV185" s="257" t="b">
        <f>ROUND(SUM(AV182:AV183),GA!$G$112)=ROUND(AV184,GA!$G$112)</f>
        <v>1</v>
      </c>
      <c r="AW185" s="257" t="b">
        <f>ROUND(SUM(AW182:AW183),GA!$G$112)=ROUND(AW184,GA!$G$112)</f>
        <v>1</v>
      </c>
      <c r="AX185" s="257" t="b">
        <f>ROUND(SUM(AX182:AX183),GA!$G$112)=ROUND(AX184,GA!$G$112)</f>
        <v>1</v>
      </c>
      <c r="AY185" s="257" t="b">
        <f>ROUND(SUM(AY182:AY183),GA!$G$112)=ROUND(AY184,GA!$G$112)</f>
        <v>1</v>
      </c>
      <c r="AZ185" s="257" t="b">
        <f>ROUND(SUM(AZ182:AZ183),GA!$G$112)=ROUND(AZ184,GA!$G$112)</f>
        <v>1</v>
      </c>
      <c r="BA185" s="257" t="b">
        <f>ROUND(SUM(BA182:BA183),GA!$G$112)=ROUND(BA184,GA!$G$112)</f>
        <v>1</v>
      </c>
      <c r="BB185" s="257" t="b">
        <f>ROUND(SUM(BB182:BB183),GA!$G$112)=ROUND(BB184,GA!$G$112)</f>
        <v>1</v>
      </c>
      <c r="BC185" s="257" t="b">
        <f>ROUND(SUM(BC182:BC183),GA!$G$112)=ROUND(BC184,GA!$G$112)</f>
        <v>1</v>
      </c>
      <c r="BD185" s="257" t="b">
        <f>ROUND(SUM(BD182:BD183),GA!$G$112)=ROUND(BD184,GA!$G$112)</f>
        <v>1</v>
      </c>
      <c r="BE185" s="257" t="b">
        <f>ROUND(SUM(BE182:BE183),GA!$G$112)=ROUND(BE184,GA!$G$112)</f>
        <v>1</v>
      </c>
      <c r="BF185" s="257" t="b">
        <f>ROUND(SUM(BF182:BF183),GA!$G$112)=ROUND(BF184,GA!$G$112)</f>
        <v>1</v>
      </c>
      <c r="BG185" s="257" t="b">
        <f>ROUND(SUM(BG182:BG183),GA!$G$112)=ROUND(BG184,GA!$G$112)</f>
        <v>1</v>
      </c>
    </row>
    <row r="188" spans="2:59" s="90" customFormat="1">
      <c r="B188" s="91">
        <f ca="1">MAX(A$1:$B187)+1</f>
        <v>21</v>
      </c>
      <c r="C188" s="92" t="s">
        <v>694</v>
      </c>
    </row>
    <row r="190" spans="2:59">
      <c r="K190" s="39" t="s">
        <v>564</v>
      </c>
    </row>
    <row r="191" spans="2:59">
      <c r="I191" s="363" t="s">
        <v>589</v>
      </c>
      <c r="K191" s="269" t="s">
        <v>695</v>
      </c>
      <c r="L191" s="269"/>
      <c r="M191" s="269"/>
      <c r="N191" s="269"/>
      <c r="O191" s="269"/>
      <c r="P191" s="269"/>
      <c r="Q191" s="269"/>
      <c r="R191" s="269"/>
      <c r="S191" s="269"/>
      <c r="T191" s="368">
        <f t="shared" ref="T191:AC192" si="85">SUMIFS(T$19:T$167,$I$19:$I$167,$I191)</f>
        <v>833333.33333333326</v>
      </c>
      <c r="U191" s="368">
        <f t="shared" si="85"/>
        <v>1666666.6666666665</v>
      </c>
      <c r="V191" s="368">
        <f t="shared" si="85"/>
        <v>2500000</v>
      </c>
      <c r="W191" s="368">
        <f t="shared" si="85"/>
        <v>2500000</v>
      </c>
      <c r="X191" s="368">
        <f t="shared" si="85"/>
        <v>2500000</v>
      </c>
      <c r="Y191" s="368">
        <f t="shared" si="85"/>
        <v>2500000</v>
      </c>
      <c r="Z191" s="368">
        <f t="shared" si="85"/>
        <v>2500000</v>
      </c>
      <c r="AA191" s="368">
        <f t="shared" si="85"/>
        <v>2500000</v>
      </c>
      <c r="AB191" s="368">
        <f t="shared" si="85"/>
        <v>2500000</v>
      </c>
      <c r="AC191" s="368">
        <f t="shared" si="85"/>
        <v>2500000</v>
      </c>
      <c r="AD191" s="368">
        <f t="shared" ref="AD191:AM192" si="86">SUMIFS(AD$19:AD$167,$I$19:$I$167,$I191)</f>
        <v>2500000</v>
      </c>
      <c r="AE191" s="368">
        <f t="shared" si="86"/>
        <v>2500000</v>
      </c>
      <c r="AF191" s="368">
        <f t="shared" si="86"/>
        <v>0</v>
      </c>
      <c r="AG191" s="368">
        <f t="shared" si="86"/>
        <v>0</v>
      </c>
      <c r="AH191" s="368">
        <f t="shared" si="86"/>
        <v>0</v>
      </c>
      <c r="AI191" s="368">
        <f t="shared" si="86"/>
        <v>0</v>
      </c>
      <c r="AJ191" s="368">
        <f t="shared" si="86"/>
        <v>0</v>
      </c>
      <c r="AK191" s="368">
        <f t="shared" si="86"/>
        <v>0</v>
      </c>
      <c r="AL191" s="368">
        <f t="shared" si="86"/>
        <v>0</v>
      </c>
      <c r="AM191" s="368">
        <f t="shared" si="86"/>
        <v>0</v>
      </c>
      <c r="AN191" s="368">
        <f t="shared" ref="AN191:AW192" si="87">SUMIFS(AN$19:AN$167,$I$19:$I$167,$I191)</f>
        <v>0</v>
      </c>
      <c r="AO191" s="368">
        <f t="shared" si="87"/>
        <v>0</v>
      </c>
      <c r="AP191" s="368">
        <f t="shared" si="87"/>
        <v>0</v>
      </c>
      <c r="AQ191" s="368">
        <f t="shared" si="87"/>
        <v>0</v>
      </c>
      <c r="AR191" s="368">
        <f t="shared" si="87"/>
        <v>0</v>
      </c>
      <c r="AS191" s="368">
        <f t="shared" si="87"/>
        <v>0</v>
      </c>
      <c r="AT191" s="368">
        <f t="shared" si="87"/>
        <v>0</v>
      </c>
      <c r="AU191" s="368">
        <f t="shared" si="87"/>
        <v>0</v>
      </c>
      <c r="AV191" s="368">
        <f t="shared" si="87"/>
        <v>0</v>
      </c>
      <c r="AW191" s="368">
        <f t="shared" si="87"/>
        <v>0</v>
      </c>
      <c r="AX191" s="368">
        <f t="shared" ref="AX191:BG192" si="88">SUMIFS(AX$19:AX$167,$I$19:$I$167,$I191)</f>
        <v>0</v>
      </c>
      <c r="AY191" s="368">
        <f t="shared" si="88"/>
        <v>0</v>
      </c>
      <c r="AZ191" s="368">
        <f t="shared" si="88"/>
        <v>0</v>
      </c>
      <c r="BA191" s="368">
        <f t="shared" si="88"/>
        <v>0</v>
      </c>
      <c r="BB191" s="368">
        <f t="shared" si="88"/>
        <v>0</v>
      </c>
      <c r="BC191" s="368">
        <f t="shared" si="88"/>
        <v>0</v>
      </c>
      <c r="BD191" s="368">
        <f t="shared" si="88"/>
        <v>0</v>
      </c>
      <c r="BE191" s="368">
        <f t="shared" si="88"/>
        <v>0</v>
      </c>
      <c r="BF191" s="368">
        <f t="shared" si="88"/>
        <v>0</v>
      </c>
      <c r="BG191" s="368">
        <f t="shared" si="88"/>
        <v>0</v>
      </c>
    </row>
    <row r="192" spans="2:59">
      <c r="I192" s="363" t="s">
        <v>591</v>
      </c>
      <c r="K192" s="17" t="s">
        <v>696</v>
      </c>
      <c r="L192" s="17"/>
      <c r="M192" s="17"/>
      <c r="N192" s="17"/>
      <c r="O192" s="17"/>
      <c r="P192" s="17"/>
      <c r="Q192" s="17"/>
      <c r="R192" s="17"/>
      <c r="S192" s="17"/>
      <c r="T192" s="369">
        <f t="shared" si="85"/>
        <v>0</v>
      </c>
      <c r="U192" s="369">
        <f t="shared" si="85"/>
        <v>0</v>
      </c>
      <c r="V192" s="369">
        <f t="shared" si="85"/>
        <v>0</v>
      </c>
      <c r="W192" s="369">
        <f t="shared" si="85"/>
        <v>0</v>
      </c>
      <c r="X192" s="369">
        <f t="shared" si="85"/>
        <v>0</v>
      </c>
      <c r="Y192" s="369">
        <f t="shared" si="85"/>
        <v>0</v>
      </c>
      <c r="Z192" s="369">
        <f t="shared" si="85"/>
        <v>0</v>
      </c>
      <c r="AA192" s="369">
        <f t="shared" si="85"/>
        <v>0</v>
      </c>
      <c r="AB192" s="369">
        <f t="shared" si="85"/>
        <v>0</v>
      </c>
      <c r="AC192" s="369">
        <f t="shared" si="85"/>
        <v>0</v>
      </c>
      <c r="AD192" s="369">
        <f t="shared" si="86"/>
        <v>0</v>
      </c>
      <c r="AE192" s="369">
        <f t="shared" si="86"/>
        <v>2999999.9999999995</v>
      </c>
      <c r="AF192" s="369">
        <f t="shared" si="86"/>
        <v>0</v>
      </c>
      <c r="AG192" s="369">
        <f t="shared" si="86"/>
        <v>0</v>
      </c>
      <c r="AH192" s="369">
        <f t="shared" si="86"/>
        <v>0</v>
      </c>
      <c r="AI192" s="369">
        <f t="shared" si="86"/>
        <v>0</v>
      </c>
      <c r="AJ192" s="369">
        <f t="shared" si="86"/>
        <v>0</v>
      </c>
      <c r="AK192" s="369">
        <f t="shared" si="86"/>
        <v>0</v>
      </c>
      <c r="AL192" s="369">
        <f t="shared" si="86"/>
        <v>0</v>
      </c>
      <c r="AM192" s="369">
        <f t="shared" si="86"/>
        <v>0</v>
      </c>
      <c r="AN192" s="369">
        <f t="shared" si="87"/>
        <v>0</v>
      </c>
      <c r="AO192" s="369">
        <f t="shared" si="87"/>
        <v>0</v>
      </c>
      <c r="AP192" s="369">
        <f t="shared" si="87"/>
        <v>0</v>
      </c>
      <c r="AQ192" s="369">
        <f t="shared" si="87"/>
        <v>0</v>
      </c>
      <c r="AR192" s="369">
        <f t="shared" si="87"/>
        <v>0</v>
      </c>
      <c r="AS192" s="369">
        <f t="shared" si="87"/>
        <v>0</v>
      </c>
      <c r="AT192" s="369">
        <f t="shared" si="87"/>
        <v>0</v>
      </c>
      <c r="AU192" s="369">
        <f t="shared" si="87"/>
        <v>0</v>
      </c>
      <c r="AV192" s="369">
        <f t="shared" si="87"/>
        <v>0</v>
      </c>
      <c r="AW192" s="369">
        <f t="shared" si="87"/>
        <v>0</v>
      </c>
      <c r="AX192" s="369">
        <f t="shared" si="88"/>
        <v>0</v>
      </c>
      <c r="AY192" s="369">
        <f t="shared" si="88"/>
        <v>0</v>
      </c>
      <c r="AZ192" s="369">
        <f t="shared" si="88"/>
        <v>0</v>
      </c>
      <c r="BA192" s="369">
        <f t="shared" si="88"/>
        <v>0</v>
      </c>
      <c r="BB192" s="369">
        <f t="shared" si="88"/>
        <v>0</v>
      </c>
      <c r="BC192" s="369">
        <f t="shared" si="88"/>
        <v>0</v>
      </c>
      <c r="BD192" s="369">
        <f t="shared" si="88"/>
        <v>0</v>
      </c>
      <c r="BE192" s="369">
        <f t="shared" si="88"/>
        <v>0</v>
      </c>
      <c r="BF192" s="369">
        <f t="shared" si="88"/>
        <v>0</v>
      </c>
      <c r="BG192" s="369">
        <f t="shared" si="88"/>
        <v>0</v>
      </c>
    </row>
    <row r="194" spans="2:59">
      <c r="K194" s="39" t="s">
        <v>697</v>
      </c>
    </row>
    <row r="195" spans="2:59">
      <c r="I195" s="363" t="s">
        <v>593</v>
      </c>
      <c r="K195" s="269" t="s">
        <v>695</v>
      </c>
      <c r="L195" s="269"/>
      <c r="M195" s="269"/>
      <c r="N195" s="269"/>
      <c r="O195" s="269"/>
      <c r="P195" s="269"/>
      <c r="Q195" s="269"/>
      <c r="R195" s="269"/>
      <c r="S195" s="269"/>
      <c r="T195" s="368">
        <f t="shared" ref="T195:AC196" si="89">SUMIFS(T$19:T$167,$I$19:$I$167,$I195)</f>
        <v>0</v>
      </c>
      <c r="U195" s="368">
        <f t="shared" si="89"/>
        <v>0</v>
      </c>
      <c r="V195" s="368">
        <f t="shared" si="89"/>
        <v>0</v>
      </c>
      <c r="W195" s="368">
        <f t="shared" si="89"/>
        <v>0</v>
      </c>
      <c r="X195" s="368">
        <f t="shared" si="89"/>
        <v>0</v>
      </c>
      <c r="Y195" s="368">
        <f t="shared" si="89"/>
        <v>0</v>
      </c>
      <c r="Z195" s="368">
        <f t="shared" si="89"/>
        <v>0</v>
      </c>
      <c r="AA195" s="368">
        <f t="shared" si="89"/>
        <v>0</v>
      </c>
      <c r="AB195" s="368">
        <f t="shared" si="89"/>
        <v>0</v>
      </c>
      <c r="AC195" s="368">
        <f t="shared" si="89"/>
        <v>0</v>
      </c>
      <c r="AD195" s="368">
        <f t="shared" ref="AD195:AM196" si="90">SUMIFS(AD$19:AD$167,$I$19:$I$167,$I195)</f>
        <v>0</v>
      </c>
      <c r="AE195" s="368">
        <f t="shared" si="90"/>
        <v>0</v>
      </c>
      <c r="AF195" s="368">
        <f t="shared" si="90"/>
        <v>0</v>
      </c>
      <c r="AG195" s="368">
        <f t="shared" si="90"/>
        <v>0</v>
      </c>
      <c r="AH195" s="368">
        <f t="shared" si="90"/>
        <v>0</v>
      </c>
      <c r="AI195" s="368">
        <f t="shared" si="90"/>
        <v>0</v>
      </c>
      <c r="AJ195" s="368">
        <f t="shared" si="90"/>
        <v>0</v>
      </c>
      <c r="AK195" s="368">
        <f t="shared" si="90"/>
        <v>0</v>
      </c>
      <c r="AL195" s="368">
        <f t="shared" si="90"/>
        <v>0</v>
      </c>
      <c r="AM195" s="368">
        <f t="shared" si="90"/>
        <v>0</v>
      </c>
      <c r="AN195" s="368">
        <f t="shared" ref="AN195:AW196" si="91">SUMIFS(AN$19:AN$167,$I$19:$I$167,$I195)</f>
        <v>0</v>
      </c>
      <c r="AO195" s="368">
        <f t="shared" si="91"/>
        <v>0</v>
      </c>
      <c r="AP195" s="368">
        <f t="shared" si="91"/>
        <v>0</v>
      </c>
      <c r="AQ195" s="368">
        <f t="shared" si="91"/>
        <v>0</v>
      </c>
      <c r="AR195" s="368">
        <f t="shared" si="91"/>
        <v>0</v>
      </c>
      <c r="AS195" s="368">
        <f t="shared" si="91"/>
        <v>0</v>
      </c>
      <c r="AT195" s="368">
        <f t="shared" si="91"/>
        <v>0</v>
      </c>
      <c r="AU195" s="368">
        <f t="shared" si="91"/>
        <v>0</v>
      </c>
      <c r="AV195" s="368">
        <f t="shared" si="91"/>
        <v>0</v>
      </c>
      <c r="AW195" s="368">
        <f t="shared" si="91"/>
        <v>0</v>
      </c>
      <c r="AX195" s="368">
        <f t="shared" ref="AX195:BG196" si="92">SUMIFS(AX$19:AX$167,$I$19:$I$167,$I195)</f>
        <v>0</v>
      </c>
      <c r="AY195" s="368">
        <f t="shared" si="92"/>
        <v>0</v>
      </c>
      <c r="AZ195" s="368">
        <f t="shared" si="92"/>
        <v>0</v>
      </c>
      <c r="BA195" s="368">
        <f t="shared" si="92"/>
        <v>0</v>
      </c>
      <c r="BB195" s="368">
        <f t="shared" si="92"/>
        <v>0</v>
      </c>
      <c r="BC195" s="368">
        <f t="shared" si="92"/>
        <v>0</v>
      </c>
      <c r="BD195" s="368">
        <f t="shared" si="92"/>
        <v>0</v>
      </c>
      <c r="BE195" s="368">
        <f t="shared" si="92"/>
        <v>0</v>
      </c>
      <c r="BF195" s="368">
        <f t="shared" si="92"/>
        <v>0</v>
      </c>
      <c r="BG195" s="368">
        <f t="shared" si="92"/>
        <v>0</v>
      </c>
    </row>
    <row r="196" spans="2:59">
      <c r="I196" s="363" t="s">
        <v>701</v>
      </c>
      <c r="K196" s="17" t="s">
        <v>696</v>
      </c>
      <c r="L196" s="17"/>
      <c r="M196" s="17"/>
      <c r="N196" s="17"/>
      <c r="O196" s="17"/>
      <c r="P196" s="17"/>
      <c r="Q196" s="17"/>
      <c r="R196" s="17"/>
      <c r="S196" s="17"/>
      <c r="T196" s="369">
        <f t="shared" si="89"/>
        <v>0</v>
      </c>
      <c r="U196" s="369">
        <f t="shared" si="89"/>
        <v>0</v>
      </c>
      <c r="V196" s="369">
        <f t="shared" si="89"/>
        <v>0</v>
      </c>
      <c r="W196" s="369">
        <f t="shared" si="89"/>
        <v>0</v>
      </c>
      <c r="X196" s="369">
        <f t="shared" si="89"/>
        <v>0</v>
      </c>
      <c r="Y196" s="369">
        <f t="shared" si="89"/>
        <v>0</v>
      </c>
      <c r="Z196" s="369">
        <f t="shared" si="89"/>
        <v>0</v>
      </c>
      <c r="AA196" s="369">
        <f t="shared" si="89"/>
        <v>0</v>
      </c>
      <c r="AB196" s="369">
        <f t="shared" si="89"/>
        <v>0</v>
      </c>
      <c r="AC196" s="369">
        <f t="shared" si="89"/>
        <v>0</v>
      </c>
      <c r="AD196" s="369">
        <f t="shared" si="90"/>
        <v>0</v>
      </c>
      <c r="AE196" s="369">
        <f t="shared" si="90"/>
        <v>0</v>
      </c>
      <c r="AF196" s="369">
        <f t="shared" si="90"/>
        <v>0</v>
      </c>
      <c r="AG196" s="369">
        <f t="shared" si="90"/>
        <v>0</v>
      </c>
      <c r="AH196" s="369">
        <f t="shared" si="90"/>
        <v>0</v>
      </c>
      <c r="AI196" s="369">
        <f t="shared" si="90"/>
        <v>0</v>
      </c>
      <c r="AJ196" s="369">
        <f t="shared" si="90"/>
        <v>0</v>
      </c>
      <c r="AK196" s="369">
        <f t="shared" si="90"/>
        <v>0</v>
      </c>
      <c r="AL196" s="369">
        <f t="shared" si="90"/>
        <v>0</v>
      </c>
      <c r="AM196" s="369">
        <f t="shared" si="90"/>
        <v>0</v>
      </c>
      <c r="AN196" s="369">
        <f t="shared" si="91"/>
        <v>0</v>
      </c>
      <c r="AO196" s="369">
        <f t="shared" si="91"/>
        <v>0</v>
      </c>
      <c r="AP196" s="369">
        <f t="shared" si="91"/>
        <v>0</v>
      </c>
      <c r="AQ196" s="369">
        <f t="shared" si="91"/>
        <v>0</v>
      </c>
      <c r="AR196" s="369">
        <f t="shared" si="91"/>
        <v>0</v>
      </c>
      <c r="AS196" s="369">
        <f t="shared" si="91"/>
        <v>0</v>
      </c>
      <c r="AT196" s="369">
        <f t="shared" si="91"/>
        <v>0</v>
      </c>
      <c r="AU196" s="369">
        <f t="shared" si="91"/>
        <v>0</v>
      </c>
      <c r="AV196" s="369">
        <f t="shared" si="91"/>
        <v>0</v>
      </c>
      <c r="AW196" s="369">
        <f t="shared" si="91"/>
        <v>0</v>
      </c>
      <c r="AX196" s="369">
        <f t="shared" si="92"/>
        <v>0</v>
      </c>
      <c r="AY196" s="369">
        <f t="shared" si="92"/>
        <v>0</v>
      </c>
      <c r="AZ196" s="369">
        <f t="shared" si="92"/>
        <v>0</v>
      </c>
      <c r="BA196" s="369">
        <f t="shared" si="92"/>
        <v>0</v>
      </c>
      <c r="BB196" s="369">
        <f t="shared" si="92"/>
        <v>0</v>
      </c>
      <c r="BC196" s="369">
        <f t="shared" si="92"/>
        <v>0</v>
      </c>
      <c r="BD196" s="369">
        <f t="shared" si="92"/>
        <v>0</v>
      </c>
      <c r="BE196" s="369">
        <f t="shared" si="92"/>
        <v>0</v>
      </c>
      <c r="BF196" s="369">
        <f t="shared" si="92"/>
        <v>0</v>
      </c>
      <c r="BG196" s="369">
        <f t="shared" si="92"/>
        <v>0</v>
      </c>
    </row>
    <row r="198" spans="2:59">
      <c r="K198" s="39" t="s">
        <v>698</v>
      </c>
    </row>
    <row r="199" spans="2:59">
      <c r="I199" s="363" t="s">
        <v>699</v>
      </c>
      <c r="K199" s="269" t="s">
        <v>695</v>
      </c>
      <c r="L199" s="269"/>
      <c r="M199" s="269"/>
      <c r="N199" s="269"/>
      <c r="O199" s="269"/>
      <c r="P199" s="269"/>
      <c r="Q199" s="269"/>
      <c r="R199" s="269"/>
      <c r="S199" s="269"/>
      <c r="T199" s="368">
        <f t="shared" ref="T199:AC200" si="93">SUMIFS(T$19:T$167,$I$19:$I$167,$I199)</f>
        <v>0</v>
      </c>
      <c r="U199" s="368">
        <f t="shared" si="93"/>
        <v>0</v>
      </c>
      <c r="V199" s="368">
        <f t="shared" si="93"/>
        <v>0</v>
      </c>
      <c r="W199" s="368">
        <f t="shared" si="93"/>
        <v>0</v>
      </c>
      <c r="X199" s="368">
        <f t="shared" si="93"/>
        <v>0</v>
      </c>
      <c r="Y199" s="368">
        <f t="shared" si="93"/>
        <v>0</v>
      </c>
      <c r="Z199" s="368">
        <f t="shared" si="93"/>
        <v>0</v>
      </c>
      <c r="AA199" s="368">
        <f t="shared" si="93"/>
        <v>0</v>
      </c>
      <c r="AB199" s="368">
        <f t="shared" si="93"/>
        <v>0</v>
      </c>
      <c r="AC199" s="368">
        <f t="shared" si="93"/>
        <v>0</v>
      </c>
      <c r="AD199" s="368">
        <f t="shared" ref="AD199:AM200" si="94">SUMIFS(AD$19:AD$167,$I$19:$I$167,$I199)</f>
        <v>0</v>
      </c>
      <c r="AE199" s="368">
        <f t="shared" si="94"/>
        <v>0</v>
      </c>
      <c r="AF199" s="368">
        <f t="shared" si="94"/>
        <v>0</v>
      </c>
      <c r="AG199" s="368">
        <f t="shared" si="94"/>
        <v>0</v>
      </c>
      <c r="AH199" s="368">
        <f t="shared" si="94"/>
        <v>0</v>
      </c>
      <c r="AI199" s="368">
        <f t="shared" si="94"/>
        <v>0</v>
      </c>
      <c r="AJ199" s="368">
        <f t="shared" si="94"/>
        <v>0</v>
      </c>
      <c r="AK199" s="368">
        <f t="shared" si="94"/>
        <v>0</v>
      </c>
      <c r="AL199" s="368">
        <f t="shared" si="94"/>
        <v>0</v>
      </c>
      <c r="AM199" s="368">
        <f t="shared" si="94"/>
        <v>0</v>
      </c>
      <c r="AN199" s="368">
        <f t="shared" ref="AN199:AW200" si="95">SUMIFS(AN$19:AN$167,$I$19:$I$167,$I199)</f>
        <v>0</v>
      </c>
      <c r="AO199" s="368">
        <f t="shared" si="95"/>
        <v>0</v>
      </c>
      <c r="AP199" s="368">
        <f t="shared" si="95"/>
        <v>0</v>
      </c>
      <c r="AQ199" s="368">
        <f t="shared" si="95"/>
        <v>0</v>
      </c>
      <c r="AR199" s="368">
        <f t="shared" si="95"/>
        <v>0</v>
      </c>
      <c r="AS199" s="368">
        <f t="shared" si="95"/>
        <v>0</v>
      </c>
      <c r="AT199" s="368">
        <f t="shared" si="95"/>
        <v>0</v>
      </c>
      <c r="AU199" s="368">
        <f t="shared" si="95"/>
        <v>0</v>
      </c>
      <c r="AV199" s="368">
        <f t="shared" si="95"/>
        <v>0</v>
      </c>
      <c r="AW199" s="368">
        <f t="shared" si="95"/>
        <v>0</v>
      </c>
      <c r="AX199" s="368">
        <f t="shared" ref="AX199:BG200" si="96">SUMIFS(AX$19:AX$167,$I$19:$I$167,$I199)</f>
        <v>0</v>
      </c>
      <c r="AY199" s="368">
        <f t="shared" si="96"/>
        <v>0</v>
      </c>
      <c r="AZ199" s="368">
        <f t="shared" si="96"/>
        <v>0</v>
      </c>
      <c r="BA199" s="368">
        <f t="shared" si="96"/>
        <v>0</v>
      </c>
      <c r="BB199" s="368">
        <f t="shared" si="96"/>
        <v>0</v>
      </c>
      <c r="BC199" s="368">
        <f t="shared" si="96"/>
        <v>0</v>
      </c>
      <c r="BD199" s="368">
        <f t="shared" si="96"/>
        <v>0</v>
      </c>
      <c r="BE199" s="368">
        <f t="shared" si="96"/>
        <v>0</v>
      </c>
      <c r="BF199" s="368">
        <f t="shared" si="96"/>
        <v>0</v>
      </c>
      <c r="BG199" s="368">
        <f t="shared" si="96"/>
        <v>0</v>
      </c>
    </row>
    <row r="200" spans="2:59">
      <c r="I200" s="363" t="s">
        <v>700</v>
      </c>
      <c r="K200" s="17" t="s">
        <v>696</v>
      </c>
      <c r="L200" s="17"/>
      <c r="M200" s="17"/>
      <c r="N200" s="17"/>
      <c r="O200" s="17"/>
      <c r="P200" s="17"/>
      <c r="Q200" s="17"/>
      <c r="R200" s="17"/>
      <c r="S200" s="17"/>
      <c r="T200" s="369">
        <f t="shared" si="93"/>
        <v>0</v>
      </c>
      <c r="U200" s="369">
        <f t="shared" si="93"/>
        <v>0</v>
      </c>
      <c r="V200" s="369">
        <f t="shared" si="93"/>
        <v>0</v>
      </c>
      <c r="W200" s="369">
        <f t="shared" si="93"/>
        <v>0</v>
      </c>
      <c r="X200" s="369">
        <f t="shared" si="93"/>
        <v>0</v>
      </c>
      <c r="Y200" s="369">
        <f t="shared" si="93"/>
        <v>0</v>
      </c>
      <c r="Z200" s="369">
        <f t="shared" si="93"/>
        <v>0</v>
      </c>
      <c r="AA200" s="369">
        <f t="shared" si="93"/>
        <v>0</v>
      </c>
      <c r="AB200" s="369">
        <f t="shared" si="93"/>
        <v>0</v>
      </c>
      <c r="AC200" s="369">
        <f t="shared" si="93"/>
        <v>0</v>
      </c>
      <c r="AD200" s="369">
        <f t="shared" si="94"/>
        <v>0</v>
      </c>
      <c r="AE200" s="369">
        <f t="shared" si="94"/>
        <v>0</v>
      </c>
      <c r="AF200" s="369">
        <f t="shared" si="94"/>
        <v>0</v>
      </c>
      <c r="AG200" s="369">
        <f t="shared" si="94"/>
        <v>0</v>
      </c>
      <c r="AH200" s="369">
        <f t="shared" si="94"/>
        <v>0</v>
      </c>
      <c r="AI200" s="369">
        <f t="shared" si="94"/>
        <v>0</v>
      </c>
      <c r="AJ200" s="369">
        <f t="shared" si="94"/>
        <v>0</v>
      </c>
      <c r="AK200" s="369">
        <f t="shared" si="94"/>
        <v>0</v>
      </c>
      <c r="AL200" s="369">
        <f t="shared" si="94"/>
        <v>0</v>
      </c>
      <c r="AM200" s="369">
        <f t="shared" si="94"/>
        <v>0</v>
      </c>
      <c r="AN200" s="369">
        <f t="shared" si="95"/>
        <v>0</v>
      </c>
      <c r="AO200" s="369">
        <f t="shared" si="95"/>
        <v>0</v>
      </c>
      <c r="AP200" s="369">
        <f t="shared" si="95"/>
        <v>0</v>
      </c>
      <c r="AQ200" s="369">
        <f t="shared" si="95"/>
        <v>0</v>
      </c>
      <c r="AR200" s="369">
        <f t="shared" si="95"/>
        <v>0</v>
      </c>
      <c r="AS200" s="369">
        <f t="shared" si="95"/>
        <v>0</v>
      </c>
      <c r="AT200" s="369">
        <f t="shared" si="95"/>
        <v>0</v>
      </c>
      <c r="AU200" s="369">
        <f t="shared" si="95"/>
        <v>0</v>
      </c>
      <c r="AV200" s="369">
        <f t="shared" si="95"/>
        <v>0</v>
      </c>
      <c r="AW200" s="369">
        <f t="shared" si="95"/>
        <v>0</v>
      </c>
      <c r="AX200" s="369">
        <f t="shared" si="96"/>
        <v>0</v>
      </c>
      <c r="AY200" s="369">
        <f t="shared" si="96"/>
        <v>0</v>
      </c>
      <c r="AZ200" s="369">
        <f t="shared" si="96"/>
        <v>0</v>
      </c>
      <c r="BA200" s="369">
        <f t="shared" si="96"/>
        <v>0</v>
      </c>
      <c r="BB200" s="369">
        <f t="shared" si="96"/>
        <v>0</v>
      </c>
      <c r="BC200" s="369">
        <f t="shared" si="96"/>
        <v>0</v>
      </c>
      <c r="BD200" s="369">
        <f t="shared" si="96"/>
        <v>0</v>
      </c>
      <c r="BE200" s="369">
        <f t="shared" si="96"/>
        <v>0</v>
      </c>
      <c r="BF200" s="369">
        <f t="shared" si="96"/>
        <v>0</v>
      </c>
      <c r="BG200" s="369">
        <f t="shared" si="96"/>
        <v>0</v>
      </c>
    </row>
    <row r="202" spans="2:59" s="90" customFormat="1">
      <c r="B202" s="91">
        <f ca="1">MAX(A$1:$B201)+1</f>
        <v>22</v>
      </c>
      <c r="C202" s="92" t="s">
        <v>332</v>
      </c>
    </row>
  </sheetData>
  <conditionalFormatting sqref="M178">
    <cfRule type="cellIs" dxfId="89" priority="7" operator="equal">
      <formula>FALSE</formula>
    </cfRule>
    <cfRule type="cellIs" dxfId="88" priority="8" operator="equal">
      <formula>TRUE</formula>
    </cfRule>
  </conditionalFormatting>
  <conditionalFormatting sqref="T178:BG178">
    <cfRule type="cellIs" dxfId="87" priority="5" operator="equal">
      <formula>FALSE</formula>
    </cfRule>
    <cfRule type="cellIs" dxfId="86" priority="6" operator="equal">
      <formula>TRUE</formula>
    </cfRule>
  </conditionalFormatting>
  <conditionalFormatting sqref="M185">
    <cfRule type="cellIs" dxfId="85" priority="3" operator="equal">
      <formula>FALSE</formula>
    </cfRule>
    <cfRule type="cellIs" dxfId="84" priority="4" operator="equal">
      <formula>TRUE</formula>
    </cfRule>
  </conditionalFormatting>
  <conditionalFormatting sqref="T185:BG185">
    <cfRule type="cellIs" dxfId="83" priority="1" operator="equal">
      <formula>FALSE</formula>
    </cfRule>
    <cfRule type="cellIs" dxfId="82" priority="2" operator="equal">
      <formula>TRUE</formula>
    </cfRule>
  </conditionalFormatting>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44D47-BB47-4479-82B5-389A6241C5CF}">
  <sheetPr codeName="Sheet13">
    <tabColor rgb="FFC00000"/>
  </sheetPr>
  <dimension ref="A1:BY408"/>
  <sheetViews>
    <sheetView topLeftCell="A133" workbookViewId="0">
      <selection activeCell="A146" sqref="A146:XFD147"/>
    </sheetView>
  </sheetViews>
  <sheetFormatPr baseColWidth="10" defaultColWidth="8.7109375" defaultRowHeight="15" outlineLevelRow="1"/>
  <cols>
    <col min="1" max="1" width="1.7109375" customWidth="1"/>
    <col min="2" max="2" width="5.42578125" bestFit="1" customWidth="1"/>
    <col min="3" max="3" width="10.42578125" customWidth="1"/>
    <col min="4" max="4" width="1.5703125" customWidth="1"/>
    <col min="5" max="5" width="23.28515625" bestFit="1" customWidth="1"/>
    <col min="6" max="6" width="1.5703125" customWidth="1"/>
    <col min="8" max="8" width="1.5703125" customWidth="1"/>
    <col min="9" max="9" width="26.42578125" bestFit="1" customWidth="1"/>
    <col min="10" max="10" width="1.5703125" customWidth="1"/>
    <col min="11" max="11" width="23.7109375" bestFit="1" customWidth="1"/>
    <col min="12" max="12" width="1.5703125" customWidth="1"/>
    <col min="13" max="13" width="19.42578125" customWidth="1"/>
    <col min="14" max="14" width="25.28515625" customWidth="1"/>
    <col min="15" max="15" width="15.7109375" customWidth="1"/>
    <col min="16" max="16" width="16.42578125" customWidth="1"/>
    <col min="17" max="17" width="9.42578125" bestFit="1" customWidth="1"/>
    <col min="19" max="19" width="16" bestFit="1" customWidth="1"/>
    <col min="20" max="21" width="15.42578125" bestFit="1" customWidth="1"/>
    <col min="22" max="22" width="14.42578125" bestFit="1" customWidth="1"/>
    <col min="23" max="23" width="15.42578125" bestFit="1" customWidth="1"/>
    <col min="24" max="24" width="14.7109375" bestFit="1" customWidth="1"/>
    <col min="25" max="25" width="15" bestFit="1" customWidth="1"/>
    <col min="26" max="26" width="14" bestFit="1" customWidth="1"/>
    <col min="27" max="27" width="14.7109375" bestFit="1" customWidth="1"/>
    <col min="28" max="29" width="15.42578125" bestFit="1" customWidth="1"/>
    <col min="30" max="30" width="14.42578125" bestFit="1" customWidth="1"/>
    <col min="31" max="33" width="15.42578125" bestFit="1" customWidth="1"/>
    <col min="34" max="34" width="14.42578125" bestFit="1" customWidth="1"/>
    <col min="35" max="37" width="15.42578125" bestFit="1" customWidth="1"/>
    <col min="38" max="38" width="14.42578125" bestFit="1" customWidth="1"/>
    <col min="39" max="41" width="15.42578125" bestFit="1" customWidth="1"/>
    <col min="42" max="42" width="14.42578125" bestFit="1" customWidth="1"/>
    <col min="43" max="45" width="15.42578125" bestFit="1" customWidth="1"/>
    <col min="46" max="46" width="14.42578125" bestFit="1" customWidth="1"/>
    <col min="47" max="49" width="15.42578125" bestFit="1" customWidth="1"/>
    <col min="50" max="50" width="14.42578125" bestFit="1" customWidth="1"/>
    <col min="51" max="53" width="15.42578125" bestFit="1" customWidth="1"/>
    <col min="54" max="54" width="14.42578125" bestFit="1" customWidth="1"/>
    <col min="55" max="57" width="15.42578125" bestFit="1" customWidth="1"/>
    <col min="58" max="58" width="14.42578125" bestFit="1" customWidth="1"/>
    <col min="59" max="59" width="15.42578125" bestFit="1" customWidth="1"/>
    <col min="60" max="60" width="3.5703125" customWidth="1"/>
    <col min="61" max="61" width="16.42578125" customWidth="1"/>
    <col min="62" max="62" width="3.42578125" customWidth="1"/>
    <col min="63" max="63" width="26" customWidth="1"/>
    <col min="64" max="64" width="3.42578125" customWidth="1"/>
    <col min="65" max="66" width="15.5703125" customWidth="1"/>
    <col min="67" max="67" width="16.5703125" bestFit="1" customWidth="1"/>
    <col min="68" max="68" width="15" customWidth="1"/>
    <col min="69" max="69" width="15.5703125" bestFit="1" customWidth="1"/>
    <col min="70" max="70" width="17.5703125" customWidth="1"/>
    <col min="71" max="71" width="19.5703125" customWidth="1"/>
    <col min="72" max="72" width="13.5703125" customWidth="1"/>
    <col min="73" max="73" width="12" customWidth="1"/>
    <col min="74" max="74" width="13.28515625" bestFit="1" customWidth="1"/>
    <col min="75" max="75" width="15.5703125" bestFit="1" customWidth="1"/>
    <col min="76" max="76" width="9.7109375" bestFit="1" customWidth="1"/>
    <col min="77" max="77" width="11.5703125" bestFit="1" customWidth="1"/>
  </cols>
  <sheetData>
    <row r="1" spans="1:61" s="1" customFormat="1">
      <c r="A1" s="1" t="str">
        <f ca="1">UPPER(MID(CELL("filename",A1),FIND("[",CELL("filename",A1))+1,FIND("]",CELL("filename",A1))-FIND("[",CELL("filename",A1))-5))</f>
        <v>VORLAGE.</v>
      </c>
    </row>
    <row r="2" spans="1:61" s="1" customFormat="1">
      <c r="A2" s="1" t="s">
        <v>605</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203</v>
      </c>
      <c r="K14" s="318">
        <f>GA!$F$146</f>
        <v>4.9629315732038215E-3</v>
      </c>
      <c r="S14" s="207">
        <v>1</v>
      </c>
      <c r="T14" s="319">
        <f>S14*(1+$K14)</f>
        <v>1.0049629315732038</v>
      </c>
      <c r="U14" s="319">
        <f t="shared" ref="U14:BG14" si="0">T14*(1+$K14)</f>
        <v>1.0099504938362081</v>
      </c>
      <c r="V14" s="319">
        <f t="shared" si="0"/>
        <v>1.0149628090294405</v>
      </c>
      <c r="W14" s="319">
        <f t="shared" si="0"/>
        <v>1.0200000000000002</v>
      </c>
      <c r="X14" s="319">
        <f t="shared" si="0"/>
        <v>1.0250621902046682</v>
      </c>
      <c r="Y14" s="319">
        <f t="shared" si="0"/>
        <v>1.0301495037129325</v>
      </c>
      <c r="Z14" s="319">
        <f t="shared" si="0"/>
        <v>1.0352620652100297</v>
      </c>
      <c r="AA14" s="319">
        <f t="shared" si="0"/>
        <v>1.0404000000000009</v>
      </c>
      <c r="AB14" s="319">
        <f t="shared" si="0"/>
        <v>1.0455634340087621</v>
      </c>
      <c r="AC14" s="319">
        <f t="shared" si="0"/>
        <v>1.0507524937871915</v>
      </c>
      <c r="AD14" s="319">
        <f t="shared" si="0"/>
        <v>1.0559673065142305</v>
      </c>
      <c r="AE14" s="319">
        <f t="shared" si="0"/>
        <v>1.061208000000001</v>
      </c>
      <c r="AF14" s="319">
        <f t="shared" si="0"/>
        <v>1.0664747026889376</v>
      </c>
      <c r="AG14" s="319">
        <f t="shared" si="0"/>
        <v>1.0717675436629357</v>
      </c>
      <c r="AH14" s="319">
        <f t="shared" si="0"/>
        <v>1.0770866526445155</v>
      </c>
      <c r="AI14" s="319">
        <f t="shared" si="0"/>
        <v>1.0824321600000013</v>
      </c>
      <c r="AJ14" s="319">
        <f t="shared" si="0"/>
        <v>1.0878041967427166</v>
      </c>
      <c r="AK14" s="319">
        <f t="shared" si="0"/>
        <v>1.0932028945361947</v>
      </c>
      <c r="AL14" s="319">
        <f t="shared" si="0"/>
        <v>1.0986283856974062</v>
      </c>
      <c r="AM14" s="319">
        <f t="shared" si="0"/>
        <v>1.1040808032000018</v>
      </c>
      <c r="AN14" s="319">
        <f t="shared" si="0"/>
        <v>1.1095602806775713</v>
      </c>
      <c r="AO14" s="319">
        <f t="shared" si="0"/>
        <v>1.115066952426919</v>
      </c>
      <c r="AP14" s="319">
        <f t="shared" si="0"/>
        <v>1.1206009534113548</v>
      </c>
      <c r="AQ14" s="319">
        <f t="shared" si="0"/>
        <v>1.1261624192640023</v>
      </c>
      <c r="AR14" s="319">
        <f t="shared" si="0"/>
        <v>1.1317514862911231</v>
      </c>
      <c r="AS14" s="319">
        <f t="shared" si="0"/>
        <v>1.1373682914754577</v>
      </c>
      <c r="AT14" s="319">
        <f t="shared" si="0"/>
        <v>1.1430129724795821</v>
      </c>
      <c r="AU14" s="319">
        <f t="shared" si="0"/>
        <v>1.1486856676492825</v>
      </c>
      <c r="AV14" s="319">
        <f t="shared" si="0"/>
        <v>1.1543865160169458</v>
      </c>
      <c r="AW14" s="319">
        <f t="shared" si="0"/>
        <v>1.1601156573049669</v>
      </c>
      <c r="AX14" s="319">
        <f t="shared" si="0"/>
        <v>1.1658732319291738</v>
      </c>
      <c r="AY14" s="319">
        <f t="shared" si="0"/>
        <v>1.1716593810022682</v>
      </c>
      <c r="AZ14" s="319">
        <f t="shared" si="0"/>
        <v>1.1774742463372847</v>
      </c>
      <c r="BA14" s="319">
        <f t="shared" si="0"/>
        <v>1.1833179704510663</v>
      </c>
      <c r="BB14" s="319">
        <f t="shared" si="0"/>
        <v>1.1891906965677574</v>
      </c>
      <c r="BC14" s="319">
        <f t="shared" si="0"/>
        <v>1.1950925686223137</v>
      </c>
      <c r="BD14" s="319">
        <f t="shared" si="0"/>
        <v>1.2010237312640306</v>
      </c>
      <c r="BE14" s="319">
        <f t="shared" si="0"/>
        <v>1.206984329860088</v>
      </c>
      <c r="BF14" s="319">
        <f t="shared" si="0"/>
        <v>1.2129745104991128</v>
      </c>
      <c r="BG14" s="319">
        <f t="shared" si="0"/>
        <v>1.2189944199947602</v>
      </c>
    </row>
    <row r="17" spans="2:63" s="90" customFormat="1">
      <c r="B17" s="91">
        <f ca="1">MAX(A$1:$B16)+1</f>
        <v>2</v>
      </c>
      <c r="C17" s="92" t="s">
        <v>147</v>
      </c>
    </row>
    <row r="19" spans="2:63" ht="30">
      <c r="C19" s="97" t="s">
        <v>4</v>
      </c>
      <c r="E19" s="97" t="s">
        <v>6</v>
      </c>
      <c r="G19" s="101" t="s">
        <v>272</v>
      </c>
      <c r="I19" s="101" t="s">
        <v>150</v>
      </c>
      <c r="K19" s="101" t="s">
        <v>151</v>
      </c>
      <c r="M19" s="101" t="s">
        <v>266</v>
      </c>
      <c r="N19" s="101" t="s">
        <v>1749</v>
      </c>
      <c r="BI19" s="327" t="s">
        <v>152</v>
      </c>
      <c r="BK19" s="328"/>
    </row>
    <row r="20" spans="2:63">
      <c r="C20" s="99">
        <f>AA!C13</f>
        <v>1</v>
      </c>
      <c r="E20" s="93" t="str">
        <f>INDEX(AA!$AC$13:$AC$15,MATCH($C20,AA!$C$13:$C$15,0))</f>
        <v>backup</v>
      </c>
      <c r="G20" s="1324">
        <f>INDEX(AA!$E$13:$E$15,MATCH($C20,AA!$C$13:$C$15,0))</f>
        <v>1</v>
      </c>
      <c r="I20" s="72" t="s">
        <v>147</v>
      </c>
      <c r="K20" s="1324">
        <f>INDEX(AA!$AA$13:$AA$15,MATCH($C20,AA!$C$13:$C$15,0))</f>
        <v>12</v>
      </c>
      <c r="M20" s="1324">
        <f>INDEX(AA!$ES$13:$ES$15,MATCH($C20,AA!$C$13:$C$15,0))</f>
        <v>0</v>
      </c>
      <c r="N20" s="1324">
        <f>INDEX(AA!$T$13:$T$47,MATCH($C20,AA!$C$13:$C$47,0))</f>
        <v>1</v>
      </c>
      <c r="T20" s="230">
        <f>$G20*(T$5&lt;=$K20)*($N20&lt;=T$5)</f>
        <v>1</v>
      </c>
      <c r="U20" s="230">
        <f t="shared" ref="U20:AJ22" si="1">$G20*(U$5&lt;=$K20)*($N20&lt;=U$5)</f>
        <v>1</v>
      </c>
      <c r="V20" s="230">
        <f t="shared" si="1"/>
        <v>1</v>
      </c>
      <c r="W20" s="230">
        <f t="shared" si="1"/>
        <v>1</v>
      </c>
      <c r="X20" s="230">
        <f t="shared" si="1"/>
        <v>1</v>
      </c>
      <c r="Y20" s="230">
        <f t="shared" si="1"/>
        <v>1</v>
      </c>
      <c r="Z20" s="230">
        <f t="shared" si="1"/>
        <v>1</v>
      </c>
      <c r="AA20" s="230">
        <f t="shared" si="1"/>
        <v>1</v>
      </c>
      <c r="AB20" s="230">
        <f t="shared" si="1"/>
        <v>1</v>
      </c>
      <c r="AC20" s="230">
        <f t="shared" si="1"/>
        <v>1</v>
      </c>
      <c r="AD20" s="230">
        <f t="shared" si="1"/>
        <v>1</v>
      </c>
      <c r="AE20" s="230">
        <f t="shared" si="1"/>
        <v>1</v>
      </c>
      <c r="AF20" s="230">
        <f t="shared" si="1"/>
        <v>0</v>
      </c>
      <c r="AG20" s="230">
        <f t="shared" si="1"/>
        <v>0</v>
      </c>
      <c r="AH20" s="230">
        <f t="shared" si="1"/>
        <v>0</v>
      </c>
      <c r="AI20" s="230">
        <f t="shared" si="1"/>
        <v>0</v>
      </c>
      <c r="AJ20" s="230">
        <f t="shared" si="1"/>
        <v>0</v>
      </c>
      <c r="AK20" s="230">
        <f t="shared" ref="AK20:AZ22" si="2">$G20*(AK$5&lt;=$K20)*($N20&lt;=AK$5)</f>
        <v>0</v>
      </c>
      <c r="AL20" s="230">
        <f t="shared" si="2"/>
        <v>0</v>
      </c>
      <c r="AM20" s="230">
        <f t="shared" si="2"/>
        <v>0</v>
      </c>
      <c r="AN20" s="230">
        <f t="shared" si="2"/>
        <v>0</v>
      </c>
      <c r="AO20" s="230">
        <f t="shared" si="2"/>
        <v>0</v>
      </c>
      <c r="AP20" s="230">
        <f t="shared" si="2"/>
        <v>0</v>
      </c>
      <c r="AQ20" s="230">
        <f t="shared" si="2"/>
        <v>0</v>
      </c>
      <c r="AR20" s="230">
        <f t="shared" si="2"/>
        <v>0</v>
      </c>
      <c r="AS20" s="230">
        <f t="shared" si="2"/>
        <v>0</v>
      </c>
      <c r="AT20" s="230">
        <f t="shared" si="2"/>
        <v>0</v>
      </c>
      <c r="AU20" s="230">
        <f t="shared" si="2"/>
        <v>0</v>
      </c>
      <c r="AV20" s="230">
        <f t="shared" si="2"/>
        <v>0</v>
      </c>
      <c r="AW20" s="230">
        <f t="shared" si="2"/>
        <v>0</v>
      </c>
      <c r="AX20" s="230">
        <f t="shared" si="2"/>
        <v>0</v>
      </c>
      <c r="AY20" s="230">
        <f t="shared" si="2"/>
        <v>0</v>
      </c>
      <c r="AZ20" s="230">
        <f t="shared" si="2"/>
        <v>0</v>
      </c>
      <c r="BA20" s="230">
        <f t="shared" ref="BA20:BG22" si="3">$G20*(BA$5&lt;=$K20)*($N20&lt;=BA$5)</f>
        <v>0</v>
      </c>
      <c r="BB20" s="230">
        <f t="shared" si="3"/>
        <v>0</v>
      </c>
      <c r="BC20" s="230">
        <f t="shared" si="3"/>
        <v>0</v>
      </c>
      <c r="BD20" s="230">
        <f t="shared" si="3"/>
        <v>0</v>
      </c>
      <c r="BE20" s="230">
        <f t="shared" si="3"/>
        <v>0</v>
      </c>
      <c r="BF20" s="230">
        <f t="shared" si="3"/>
        <v>0</v>
      </c>
      <c r="BG20" s="230">
        <f t="shared" si="3"/>
        <v>0</v>
      </c>
      <c r="BI20" s="105" t="s">
        <v>153</v>
      </c>
      <c r="BK20" s="103"/>
    </row>
    <row r="21" spans="2:63">
      <c r="C21" s="99">
        <f>AA!C14</f>
        <v>2</v>
      </c>
      <c r="E21" s="94" t="str">
        <f>INDEX(AA!$AC$13:$AC$15,MATCH($C21,AA!$C$13:$C$15,0))</f>
        <v>backup</v>
      </c>
      <c r="G21" s="1325">
        <f>INDEX(AA!$E$13:$E$15,MATCH($C21,AA!$C$13:$C$15,0))</f>
        <v>1</v>
      </c>
      <c r="I21" s="73" t="s">
        <v>147</v>
      </c>
      <c r="K21" s="1325">
        <f>INDEX(AA!$AA$13:$AA$15,MATCH($C21,AA!$C$13:$C$15,0))</f>
        <v>12</v>
      </c>
      <c r="M21" s="1325">
        <f>INDEX(AA!$ES$13:$ES$15,MATCH($C21,AA!$C$13:$C$15,0))</f>
        <v>0</v>
      </c>
      <c r="N21" s="1325">
        <f>INDEX(AA!$T$13:$T$47,MATCH($C21,AA!$C$13:$C$47,0))</f>
        <v>2</v>
      </c>
      <c r="T21" s="230">
        <f t="shared" ref="T21:T22" si="4">$G21*(T$5&lt;=$K21)*($N21&lt;=T$5)</f>
        <v>0</v>
      </c>
      <c r="U21" s="230">
        <f t="shared" si="1"/>
        <v>1</v>
      </c>
      <c r="V21" s="230">
        <f t="shared" si="1"/>
        <v>1</v>
      </c>
      <c r="W21" s="230">
        <f t="shared" si="1"/>
        <v>1</v>
      </c>
      <c r="X21" s="230">
        <f t="shared" si="1"/>
        <v>1</v>
      </c>
      <c r="Y21" s="230">
        <f t="shared" si="1"/>
        <v>1</v>
      </c>
      <c r="Z21" s="230">
        <f t="shared" si="1"/>
        <v>1</v>
      </c>
      <c r="AA21" s="230">
        <f t="shared" si="1"/>
        <v>1</v>
      </c>
      <c r="AB21" s="230">
        <f t="shared" si="1"/>
        <v>1</v>
      </c>
      <c r="AC21" s="230">
        <f t="shared" si="1"/>
        <v>1</v>
      </c>
      <c r="AD21" s="230">
        <f t="shared" si="1"/>
        <v>1</v>
      </c>
      <c r="AE21" s="230">
        <f t="shared" si="1"/>
        <v>1</v>
      </c>
      <c r="AF21" s="230">
        <f t="shared" si="1"/>
        <v>0</v>
      </c>
      <c r="AG21" s="230">
        <f t="shared" si="1"/>
        <v>0</v>
      </c>
      <c r="AH21" s="230">
        <f t="shared" si="1"/>
        <v>0</v>
      </c>
      <c r="AI21" s="230">
        <f t="shared" si="1"/>
        <v>0</v>
      </c>
      <c r="AJ21" s="230">
        <f t="shared" si="1"/>
        <v>0</v>
      </c>
      <c r="AK21" s="230">
        <f t="shared" si="2"/>
        <v>0</v>
      </c>
      <c r="AL21" s="230">
        <f t="shared" si="2"/>
        <v>0</v>
      </c>
      <c r="AM21" s="230">
        <f t="shared" si="2"/>
        <v>0</v>
      </c>
      <c r="AN21" s="230">
        <f t="shared" si="2"/>
        <v>0</v>
      </c>
      <c r="AO21" s="230">
        <f t="shared" si="2"/>
        <v>0</v>
      </c>
      <c r="AP21" s="230">
        <f t="shared" si="2"/>
        <v>0</v>
      </c>
      <c r="AQ21" s="230">
        <f t="shared" si="2"/>
        <v>0</v>
      </c>
      <c r="AR21" s="230">
        <f t="shared" si="2"/>
        <v>0</v>
      </c>
      <c r="AS21" s="230">
        <f t="shared" si="2"/>
        <v>0</v>
      </c>
      <c r="AT21" s="230">
        <f t="shared" si="2"/>
        <v>0</v>
      </c>
      <c r="AU21" s="230">
        <f t="shared" si="2"/>
        <v>0</v>
      </c>
      <c r="AV21" s="230">
        <f t="shared" si="2"/>
        <v>0</v>
      </c>
      <c r="AW21" s="230">
        <f t="shared" si="2"/>
        <v>0</v>
      </c>
      <c r="AX21" s="230">
        <f t="shared" si="2"/>
        <v>0</v>
      </c>
      <c r="AY21" s="230">
        <f t="shared" si="2"/>
        <v>0</v>
      </c>
      <c r="AZ21" s="230">
        <f t="shared" si="2"/>
        <v>0</v>
      </c>
      <c r="BA21" s="230">
        <f t="shared" si="3"/>
        <v>0</v>
      </c>
      <c r="BB21" s="230">
        <f t="shared" si="3"/>
        <v>0</v>
      </c>
      <c r="BC21" s="230">
        <f t="shared" si="3"/>
        <v>0</v>
      </c>
      <c r="BD21" s="230">
        <f t="shared" si="3"/>
        <v>0</v>
      </c>
      <c r="BE21" s="230">
        <f t="shared" si="3"/>
        <v>0</v>
      </c>
      <c r="BF21" s="230">
        <f t="shared" si="3"/>
        <v>0</v>
      </c>
      <c r="BG21" s="230">
        <f t="shared" si="3"/>
        <v>0</v>
      </c>
      <c r="BI21" s="106" t="s">
        <v>153</v>
      </c>
      <c r="BK21" s="103"/>
    </row>
    <row r="22" spans="2:63">
      <c r="C22" s="99">
        <f>AA!C15</f>
        <v>3</v>
      </c>
      <c r="E22" s="94" t="str">
        <f>INDEX(AA!$AC$13:$AC$15,MATCH($C22,AA!$C$13:$C$15,0))</f>
        <v>backup</v>
      </c>
      <c r="G22" s="1325">
        <f>INDEX(AA!$E$13:$E$15,MATCH($C22,AA!$C$13:$C$15,0))</f>
        <v>1</v>
      </c>
      <c r="I22" s="73" t="s">
        <v>147</v>
      </c>
      <c r="K22" s="1325">
        <f>INDEX(AA!$AA$13:$AA$15,MATCH($C22,AA!$C$13:$C$15,0))</f>
        <v>12</v>
      </c>
      <c r="M22" s="1325">
        <f>INDEX(AA!$ES$13:$ES$15,MATCH($C22,AA!$C$13:$C$15,0))</f>
        <v>0</v>
      </c>
      <c r="N22" s="1325">
        <f>INDEX(AA!$T$13:$T$47,MATCH($C22,AA!$C$13:$C$47,0))</f>
        <v>3</v>
      </c>
      <c r="T22" s="230">
        <f t="shared" si="4"/>
        <v>0</v>
      </c>
      <c r="U22" s="230">
        <f t="shared" si="1"/>
        <v>0</v>
      </c>
      <c r="V22" s="230">
        <f t="shared" si="1"/>
        <v>1</v>
      </c>
      <c r="W22" s="230">
        <f t="shared" si="1"/>
        <v>1</v>
      </c>
      <c r="X22" s="230">
        <f t="shared" si="1"/>
        <v>1</v>
      </c>
      <c r="Y22" s="230">
        <f t="shared" si="1"/>
        <v>1</v>
      </c>
      <c r="Z22" s="230">
        <f t="shared" si="1"/>
        <v>1</v>
      </c>
      <c r="AA22" s="230">
        <f t="shared" si="1"/>
        <v>1</v>
      </c>
      <c r="AB22" s="230">
        <f t="shared" si="1"/>
        <v>1</v>
      </c>
      <c r="AC22" s="230">
        <f t="shared" si="1"/>
        <v>1</v>
      </c>
      <c r="AD22" s="230">
        <f t="shared" si="1"/>
        <v>1</v>
      </c>
      <c r="AE22" s="230">
        <f t="shared" si="1"/>
        <v>1</v>
      </c>
      <c r="AF22" s="230">
        <f t="shared" si="1"/>
        <v>0</v>
      </c>
      <c r="AG22" s="230">
        <f t="shared" si="1"/>
        <v>0</v>
      </c>
      <c r="AH22" s="230">
        <f t="shared" si="1"/>
        <v>0</v>
      </c>
      <c r="AI22" s="230">
        <f t="shared" si="1"/>
        <v>0</v>
      </c>
      <c r="AJ22" s="230">
        <f t="shared" si="1"/>
        <v>0</v>
      </c>
      <c r="AK22" s="230">
        <f t="shared" si="2"/>
        <v>0</v>
      </c>
      <c r="AL22" s="230">
        <f t="shared" si="2"/>
        <v>0</v>
      </c>
      <c r="AM22" s="230">
        <f t="shared" si="2"/>
        <v>0</v>
      </c>
      <c r="AN22" s="230">
        <f t="shared" si="2"/>
        <v>0</v>
      </c>
      <c r="AO22" s="230">
        <f t="shared" si="2"/>
        <v>0</v>
      </c>
      <c r="AP22" s="230">
        <f t="shared" si="2"/>
        <v>0</v>
      </c>
      <c r="AQ22" s="230">
        <f t="shared" si="2"/>
        <v>0</v>
      </c>
      <c r="AR22" s="230">
        <f t="shared" si="2"/>
        <v>0</v>
      </c>
      <c r="AS22" s="230">
        <f t="shared" si="2"/>
        <v>0</v>
      </c>
      <c r="AT22" s="230">
        <f t="shared" si="2"/>
        <v>0</v>
      </c>
      <c r="AU22" s="230">
        <f t="shared" si="2"/>
        <v>0</v>
      </c>
      <c r="AV22" s="230">
        <f t="shared" si="2"/>
        <v>0</v>
      </c>
      <c r="AW22" s="230">
        <f t="shared" si="2"/>
        <v>0</v>
      </c>
      <c r="AX22" s="230">
        <f t="shared" si="2"/>
        <v>0</v>
      </c>
      <c r="AY22" s="230">
        <f t="shared" si="2"/>
        <v>0</v>
      </c>
      <c r="AZ22" s="230">
        <f t="shared" si="2"/>
        <v>0</v>
      </c>
      <c r="BA22" s="230">
        <f t="shared" si="3"/>
        <v>0</v>
      </c>
      <c r="BB22" s="230">
        <f t="shared" si="3"/>
        <v>0</v>
      </c>
      <c r="BC22" s="230">
        <f t="shared" si="3"/>
        <v>0</v>
      </c>
      <c r="BD22" s="230">
        <f t="shared" si="3"/>
        <v>0</v>
      </c>
      <c r="BE22" s="230">
        <f t="shared" si="3"/>
        <v>0</v>
      </c>
      <c r="BF22" s="230">
        <f t="shared" si="3"/>
        <v>0</v>
      </c>
      <c r="BG22" s="230">
        <f t="shared" si="3"/>
        <v>0</v>
      </c>
      <c r="BI22" s="106" t="s">
        <v>153</v>
      </c>
      <c r="BK22" s="103"/>
    </row>
    <row r="23" spans="2:63">
      <c r="C23" s="269"/>
      <c r="E23" s="269"/>
      <c r="G23" s="269"/>
      <c r="I23" s="269"/>
      <c r="K23" s="269"/>
      <c r="M23" s="269"/>
      <c r="N23" s="269"/>
      <c r="BI23" s="269"/>
      <c r="BK23" s="269"/>
    </row>
    <row r="25" spans="2:63" s="90" customFormat="1">
      <c r="B25" s="91">
        <f ca="1">MAX(A$1:$B24)+1</f>
        <v>3</v>
      </c>
      <c r="C25" s="92" t="s">
        <v>403</v>
      </c>
    </row>
    <row r="27" spans="2:63" ht="30">
      <c r="C27" s="97" t="s">
        <v>4</v>
      </c>
      <c r="E27" s="97" t="s">
        <v>6</v>
      </c>
      <c r="G27" s="101" t="s">
        <v>272</v>
      </c>
      <c r="I27" s="101" t="s">
        <v>150</v>
      </c>
      <c r="K27" s="101" t="s">
        <v>151</v>
      </c>
      <c r="BI27" s="327" t="s">
        <v>152</v>
      </c>
      <c r="BK27" s="328"/>
    </row>
    <row r="28" spans="2:63">
      <c r="C28" s="99">
        <f>AA!C13</f>
        <v>1</v>
      </c>
      <c r="E28" s="93" t="str">
        <f>INDEX(AA!$AC$13:$AC$15,MATCH($C28,AA!$C$13:$C$15,0))</f>
        <v>backup</v>
      </c>
      <c r="G28" s="1324">
        <f>INDEX(AA!$E$13:$E$15,MATCH($C28,AA!$C$13:$C$15,0))</f>
        <v>1</v>
      </c>
      <c r="I28" s="72" t="s">
        <v>403</v>
      </c>
      <c r="K28" s="1324">
        <f>INDEX(AA!$AA$13:$AA$15,MATCH($C28,AA!$C$13:$C$15,0))</f>
        <v>12</v>
      </c>
      <c r="T28" s="230">
        <f>$G28*(T$5=$K28)</f>
        <v>0</v>
      </c>
      <c r="U28" s="230">
        <f t="shared" ref="U28:BG29" si="5">$G28*(U$5=$K28)</f>
        <v>0</v>
      </c>
      <c r="V28" s="230">
        <f t="shared" si="5"/>
        <v>0</v>
      </c>
      <c r="W28" s="230">
        <f t="shared" si="5"/>
        <v>0</v>
      </c>
      <c r="X28" s="230">
        <f t="shared" si="5"/>
        <v>0</v>
      </c>
      <c r="Y28" s="230">
        <f t="shared" si="5"/>
        <v>0</v>
      </c>
      <c r="Z28" s="230">
        <f t="shared" si="5"/>
        <v>0</v>
      </c>
      <c r="AA28" s="230">
        <f t="shared" si="5"/>
        <v>0</v>
      </c>
      <c r="AB28" s="230">
        <f t="shared" si="5"/>
        <v>0</v>
      </c>
      <c r="AC28" s="230">
        <f t="shared" si="5"/>
        <v>0</v>
      </c>
      <c r="AD28" s="230">
        <f t="shared" si="5"/>
        <v>0</v>
      </c>
      <c r="AE28" s="230">
        <f t="shared" si="5"/>
        <v>1</v>
      </c>
      <c r="AF28" s="230">
        <f t="shared" si="5"/>
        <v>0</v>
      </c>
      <c r="AG28" s="230">
        <f t="shared" si="5"/>
        <v>0</v>
      </c>
      <c r="AH28" s="230">
        <f t="shared" si="5"/>
        <v>0</v>
      </c>
      <c r="AI28" s="230">
        <f t="shared" si="5"/>
        <v>0</v>
      </c>
      <c r="AJ28" s="230">
        <f t="shared" si="5"/>
        <v>0</v>
      </c>
      <c r="AK28" s="230">
        <f t="shared" si="5"/>
        <v>0</v>
      </c>
      <c r="AL28" s="230">
        <f t="shared" si="5"/>
        <v>0</v>
      </c>
      <c r="AM28" s="230">
        <f t="shared" si="5"/>
        <v>0</v>
      </c>
      <c r="AN28" s="230">
        <f t="shared" si="5"/>
        <v>0</v>
      </c>
      <c r="AO28" s="230">
        <f t="shared" si="5"/>
        <v>0</v>
      </c>
      <c r="AP28" s="230">
        <f t="shared" si="5"/>
        <v>0</v>
      </c>
      <c r="AQ28" s="230">
        <f t="shared" si="5"/>
        <v>0</v>
      </c>
      <c r="AR28" s="230">
        <f t="shared" si="5"/>
        <v>0</v>
      </c>
      <c r="AS28" s="230">
        <f t="shared" si="5"/>
        <v>0</v>
      </c>
      <c r="AT28" s="230">
        <f t="shared" si="5"/>
        <v>0</v>
      </c>
      <c r="AU28" s="230">
        <f t="shared" si="5"/>
        <v>0</v>
      </c>
      <c r="AV28" s="230">
        <f t="shared" si="5"/>
        <v>0</v>
      </c>
      <c r="AW28" s="230">
        <f t="shared" si="5"/>
        <v>0</v>
      </c>
      <c r="AX28" s="230">
        <f t="shared" si="5"/>
        <v>0</v>
      </c>
      <c r="AY28" s="230">
        <f t="shared" si="5"/>
        <v>0</v>
      </c>
      <c r="AZ28" s="230">
        <f t="shared" si="5"/>
        <v>0</v>
      </c>
      <c r="BA28" s="230">
        <f t="shared" si="5"/>
        <v>0</v>
      </c>
      <c r="BB28" s="230">
        <f t="shared" si="5"/>
        <v>0</v>
      </c>
      <c r="BC28" s="230">
        <f t="shared" si="5"/>
        <v>0</v>
      </c>
      <c r="BD28" s="230">
        <f t="shared" si="5"/>
        <v>0</v>
      </c>
      <c r="BE28" s="230">
        <f t="shared" si="5"/>
        <v>0</v>
      </c>
      <c r="BF28" s="230">
        <f t="shared" si="5"/>
        <v>0</v>
      </c>
      <c r="BG28" s="230">
        <f t="shared" si="5"/>
        <v>0</v>
      </c>
      <c r="BI28" s="105" t="s">
        <v>153</v>
      </c>
      <c r="BK28" s="103"/>
    </row>
    <row r="29" spans="2:63">
      <c r="C29" s="99">
        <f>AA!C14</f>
        <v>2</v>
      </c>
      <c r="E29" s="94" t="str">
        <f>INDEX(AA!$AC$13:$AC$15,MATCH($C29,AA!$C$13:$C$15,0))</f>
        <v>backup</v>
      </c>
      <c r="G29" s="1325">
        <f>INDEX(AA!$E$13:$E$15,MATCH($C29,AA!$C$13:$C$15,0))</f>
        <v>1</v>
      </c>
      <c r="I29" s="73" t="s">
        <v>403</v>
      </c>
      <c r="K29" s="1325">
        <f>INDEX(AA!$AA$13:$AA$15,MATCH($C29,AA!$C$13:$C$15,0))</f>
        <v>12</v>
      </c>
      <c r="T29" s="230">
        <f t="shared" ref="T29" si="6">$G29*(T$5=$K29)</f>
        <v>0</v>
      </c>
      <c r="U29" s="230">
        <f t="shared" si="5"/>
        <v>0</v>
      </c>
      <c r="V29" s="230">
        <f t="shared" si="5"/>
        <v>0</v>
      </c>
      <c r="W29" s="230">
        <f t="shared" si="5"/>
        <v>0</v>
      </c>
      <c r="X29" s="230">
        <f t="shared" si="5"/>
        <v>0</v>
      </c>
      <c r="Y29" s="230">
        <f t="shared" si="5"/>
        <v>0</v>
      </c>
      <c r="Z29" s="230">
        <f t="shared" si="5"/>
        <v>0</v>
      </c>
      <c r="AA29" s="230">
        <f t="shared" si="5"/>
        <v>0</v>
      </c>
      <c r="AB29" s="230">
        <f t="shared" si="5"/>
        <v>0</v>
      </c>
      <c r="AC29" s="230">
        <f t="shared" si="5"/>
        <v>0</v>
      </c>
      <c r="AD29" s="230">
        <f t="shared" si="5"/>
        <v>0</v>
      </c>
      <c r="AE29" s="230">
        <f t="shared" si="5"/>
        <v>1</v>
      </c>
      <c r="AF29" s="230">
        <f t="shared" si="5"/>
        <v>0</v>
      </c>
      <c r="AG29" s="230">
        <f t="shared" si="5"/>
        <v>0</v>
      </c>
      <c r="AH29" s="230">
        <f t="shared" si="5"/>
        <v>0</v>
      </c>
      <c r="AI29" s="230">
        <f t="shared" si="5"/>
        <v>0</v>
      </c>
      <c r="AJ29" s="230">
        <f t="shared" si="5"/>
        <v>0</v>
      </c>
      <c r="AK29" s="230">
        <f t="shared" si="5"/>
        <v>0</v>
      </c>
      <c r="AL29" s="230">
        <f t="shared" si="5"/>
        <v>0</v>
      </c>
      <c r="AM29" s="230">
        <f t="shared" si="5"/>
        <v>0</v>
      </c>
      <c r="AN29" s="230">
        <f t="shared" si="5"/>
        <v>0</v>
      </c>
      <c r="AO29" s="230">
        <f t="shared" si="5"/>
        <v>0</v>
      </c>
      <c r="AP29" s="230">
        <f t="shared" si="5"/>
        <v>0</v>
      </c>
      <c r="AQ29" s="230">
        <f t="shared" si="5"/>
        <v>0</v>
      </c>
      <c r="AR29" s="230">
        <f t="shared" si="5"/>
        <v>0</v>
      </c>
      <c r="AS29" s="230">
        <f t="shared" si="5"/>
        <v>0</v>
      </c>
      <c r="AT29" s="230">
        <f t="shared" si="5"/>
        <v>0</v>
      </c>
      <c r="AU29" s="230">
        <f t="shared" si="5"/>
        <v>0</v>
      </c>
      <c r="AV29" s="230">
        <f t="shared" si="5"/>
        <v>0</v>
      </c>
      <c r="AW29" s="230">
        <f t="shared" si="5"/>
        <v>0</v>
      </c>
      <c r="AX29" s="230">
        <f t="shared" si="5"/>
        <v>0</v>
      </c>
      <c r="AY29" s="230">
        <f t="shared" si="5"/>
        <v>0</v>
      </c>
      <c r="AZ29" s="230">
        <f t="shared" si="5"/>
        <v>0</v>
      </c>
      <c r="BA29" s="230">
        <f t="shared" si="5"/>
        <v>0</v>
      </c>
      <c r="BB29" s="230">
        <f t="shared" si="5"/>
        <v>0</v>
      </c>
      <c r="BC29" s="230">
        <f t="shared" si="5"/>
        <v>0</v>
      </c>
      <c r="BD29" s="230">
        <f t="shared" si="5"/>
        <v>0</v>
      </c>
      <c r="BE29" s="230">
        <f t="shared" si="5"/>
        <v>0</v>
      </c>
      <c r="BF29" s="230">
        <f t="shared" si="5"/>
        <v>0</v>
      </c>
      <c r="BG29" s="230">
        <f t="shared" si="5"/>
        <v>0</v>
      </c>
      <c r="BI29" s="106" t="s">
        <v>153</v>
      </c>
      <c r="BK29" s="103"/>
    </row>
    <row r="30" spans="2:63">
      <c r="C30" s="99">
        <f>AA!C15</f>
        <v>3</v>
      </c>
      <c r="E30" s="94" t="str">
        <f>INDEX(AA!$AC$13:$AC$15,MATCH($C30,AA!$C$13:$C$15,0))</f>
        <v>backup</v>
      </c>
      <c r="G30" s="1325">
        <f>INDEX(AA!$E$13:$E$15,MATCH($C30,AA!$C$13:$C$15,0))</f>
        <v>1</v>
      </c>
      <c r="I30" s="73" t="s">
        <v>403</v>
      </c>
      <c r="K30" s="1325">
        <f>INDEX(AA!$AA$13:$AA$15,MATCH($C30,AA!$C$13:$C$15,0))</f>
        <v>12</v>
      </c>
      <c r="T30" s="230">
        <f t="shared" ref="T30:AI30" si="7">$G30*(T$5=$K30)</f>
        <v>0</v>
      </c>
      <c r="U30" s="230">
        <f t="shared" si="7"/>
        <v>0</v>
      </c>
      <c r="V30" s="230">
        <f t="shared" si="7"/>
        <v>0</v>
      </c>
      <c r="W30" s="230">
        <f t="shared" si="7"/>
        <v>0</v>
      </c>
      <c r="X30" s="230">
        <f t="shared" si="7"/>
        <v>0</v>
      </c>
      <c r="Y30" s="230">
        <f t="shared" si="7"/>
        <v>0</v>
      </c>
      <c r="Z30" s="230">
        <f t="shared" si="7"/>
        <v>0</v>
      </c>
      <c r="AA30" s="230">
        <f t="shared" si="7"/>
        <v>0</v>
      </c>
      <c r="AB30" s="230">
        <f t="shared" si="7"/>
        <v>0</v>
      </c>
      <c r="AC30" s="230">
        <f t="shared" si="7"/>
        <v>0</v>
      </c>
      <c r="AD30" s="230">
        <f t="shared" si="7"/>
        <v>0</v>
      </c>
      <c r="AE30" s="230">
        <f t="shared" si="7"/>
        <v>1</v>
      </c>
      <c r="AF30" s="230">
        <f t="shared" si="7"/>
        <v>0</v>
      </c>
      <c r="AG30" s="230">
        <f t="shared" si="7"/>
        <v>0</v>
      </c>
      <c r="AH30" s="230">
        <f t="shared" si="7"/>
        <v>0</v>
      </c>
      <c r="AI30" s="230">
        <f t="shared" si="7"/>
        <v>0</v>
      </c>
      <c r="AJ30" s="230">
        <f t="shared" ref="AJ30:AY30" si="8">$G30*(AJ$5=$K30)</f>
        <v>0</v>
      </c>
      <c r="AK30" s="230">
        <f t="shared" si="8"/>
        <v>0</v>
      </c>
      <c r="AL30" s="230">
        <f t="shared" si="8"/>
        <v>0</v>
      </c>
      <c r="AM30" s="230">
        <f t="shared" si="8"/>
        <v>0</v>
      </c>
      <c r="AN30" s="230">
        <f t="shared" si="8"/>
        <v>0</v>
      </c>
      <c r="AO30" s="230">
        <f t="shared" si="8"/>
        <v>0</v>
      </c>
      <c r="AP30" s="230">
        <f t="shared" si="8"/>
        <v>0</v>
      </c>
      <c r="AQ30" s="230">
        <f t="shared" si="8"/>
        <v>0</v>
      </c>
      <c r="AR30" s="230">
        <f t="shared" si="8"/>
        <v>0</v>
      </c>
      <c r="AS30" s="230">
        <f t="shared" si="8"/>
        <v>0</v>
      </c>
      <c r="AT30" s="230">
        <f t="shared" si="8"/>
        <v>0</v>
      </c>
      <c r="AU30" s="230">
        <f t="shared" si="8"/>
        <v>0</v>
      </c>
      <c r="AV30" s="230">
        <f t="shared" si="8"/>
        <v>0</v>
      </c>
      <c r="AW30" s="230">
        <f t="shared" si="8"/>
        <v>0</v>
      </c>
      <c r="AX30" s="230">
        <f t="shared" si="8"/>
        <v>0</v>
      </c>
      <c r="AY30" s="230">
        <f t="shared" si="8"/>
        <v>0</v>
      </c>
      <c r="AZ30" s="230">
        <f t="shared" ref="AZ30:BG30" si="9">$G30*(AZ$5=$K30)</f>
        <v>0</v>
      </c>
      <c r="BA30" s="230">
        <f t="shared" si="9"/>
        <v>0</v>
      </c>
      <c r="BB30" s="230">
        <f t="shared" si="9"/>
        <v>0</v>
      </c>
      <c r="BC30" s="230">
        <f t="shared" si="9"/>
        <v>0</v>
      </c>
      <c r="BD30" s="230">
        <f t="shared" si="9"/>
        <v>0</v>
      </c>
      <c r="BE30" s="230">
        <f t="shared" si="9"/>
        <v>0</v>
      </c>
      <c r="BF30" s="230">
        <f t="shared" si="9"/>
        <v>0</v>
      </c>
      <c r="BG30" s="230">
        <f t="shared" si="9"/>
        <v>0</v>
      </c>
      <c r="BI30" s="106" t="s">
        <v>153</v>
      </c>
      <c r="BK30" s="103"/>
    </row>
    <row r="31" spans="2:63">
      <c r="C31" s="269"/>
      <c r="E31" s="269"/>
      <c r="G31" s="269"/>
      <c r="I31" s="269"/>
      <c r="K31" s="269"/>
      <c r="T31" s="230"/>
      <c r="U31" s="230"/>
      <c r="V31" s="230"/>
      <c r="W31" s="230"/>
      <c r="X31" s="230"/>
      <c r="Y31" s="230"/>
      <c r="Z31" s="230"/>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I31" s="269"/>
      <c r="BK31" s="269"/>
    </row>
    <row r="32" spans="2:63">
      <c r="T32" s="230"/>
      <c r="U32" s="230"/>
      <c r="V32" s="230"/>
      <c r="W32" s="230"/>
      <c r="X32" s="230"/>
      <c r="Y32" s="230"/>
      <c r="Z32" s="230"/>
      <c r="AA32" s="230"/>
      <c r="AB32" s="230"/>
      <c r="AC32" s="230"/>
      <c r="AD32" s="230"/>
      <c r="AE32" s="230"/>
      <c r="AF32" s="230"/>
      <c r="AG32" s="230"/>
      <c r="AH32" s="230"/>
      <c r="AI32" s="230"/>
      <c r="AJ32" s="230"/>
      <c r="AK32" s="230"/>
      <c r="AL32" s="230"/>
      <c r="AM32" s="230"/>
      <c r="AN32" s="230"/>
      <c r="AO32" s="230"/>
      <c r="AP32" s="230"/>
      <c r="AQ32" s="230"/>
      <c r="AR32" s="230"/>
      <c r="AS32" s="230"/>
      <c r="AT32" s="230"/>
      <c r="AU32" s="230"/>
      <c r="AV32" s="230"/>
      <c r="AW32" s="230"/>
      <c r="AX32" s="230"/>
      <c r="AY32" s="230"/>
      <c r="AZ32" s="230"/>
      <c r="BA32" s="230"/>
      <c r="BB32" s="230"/>
      <c r="BC32" s="230"/>
      <c r="BD32" s="230"/>
      <c r="BE32" s="230"/>
      <c r="BF32" s="230"/>
      <c r="BG32" s="230"/>
    </row>
    <row r="33" spans="2:63" s="90" customFormat="1">
      <c r="B33" s="91">
        <f ca="1">MAX(A$1:$B32)+1</f>
        <v>4</v>
      </c>
      <c r="C33" s="92" t="s">
        <v>277</v>
      </c>
    </row>
    <row r="34" spans="2:63">
      <c r="T34" s="230"/>
      <c r="U34" s="230"/>
      <c r="V34" s="230"/>
      <c r="W34" s="230"/>
      <c r="X34" s="230"/>
      <c r="Y34" s="230"/>
      <c r="Z34" s="230"/>
      <c r="AA34" s="230"/>
      <c r="AB34" s="230"/>
      <c r="AC34" s="230"/>
      <c r="AD34" s="230"/>
      <c r="AE34" s="230"/>
      <c r="AF34" s="230"/>
      <c r="AG34" s="230"/>
      <c r="AH34" s="230"/>
      <c r="AI34" s="230"/>
      <c r="AJ34" s="230"/>
      <c r="AK34" s="230"/>
      <c r="AL34" s="230"/>
      <c r="AM34" s="230"/>
      <c r="AN34" s="230"/>
      <c r="AO34" s="230"/>
      <c r="AP34" s="230"/>
      <c r="AQ34" s="230"/>
      <c r="AR34" s="230"/>
      <c r="AS34" s="230"/>
      <c r="AT34" s="230"/>
      <c r="AU34" s="230"/>
      <c r="AV34" s="230"/>
      <c r="AW34" s="230"/>
      <c r="AX34" s="230"/>
      <c r="AY34" s="230"/>
      <c r="AZ34" s="230"/>
      <c r="BA34" s="230"/>
      <c r="BB34" s="230"/>
      <c r="BC34" s="230"/>
      <c r="BD34" s="230"/>
      <c r="BE34" s="230"/>
      <c r="BF34" s="230"/>
      <c r="BG34" s="230"/>
    </row>
    <row r="35" spans="2:63" ht="30">
      <c r="C35" s="97" t="s">
        <v>4</v>
      </c>
      <c r="E35" s="97" t="s">
        <v>6</v>
      </c>
      <c r="G35" s="101" t="s">
        <v>272</v>
      </c>
      <c r="I35" s="101" t="s">
        <v>150</v>
      </c>
      <c r="K35" s="101" t="s">
        <v>413</v>
      </c>
      <c r="T35" s="230"/>
      <c r="U35" s="230"/>
      <c r="V35" s="230"/>
      <c r="W35" s="230"/>
      <c r="X35" s="230"/>
      <c r="Y35" s="230"/>
      <c r="Z35" s="230"/>
      <c r="AA35" s="230"/>
      <c r="AB35" s="230"/>
      <c r="AC35" s="230"/>
      <c r="AD35" s="230"/>
      <c r="AE35" s="230"/>
      <c r="AF35" s="230"/>
      <c r="AG35" s="230"/>
      <c r="AH35" s="230"/>
      <c r="AI35" s="230"/>
      <c r="AJ35" s="230"/>
      <c r="AK35" s="230"/>
      <c r="AL35" s="230"/>
      <c r="AM35" s="230"/>
      <c r="AN35" s="230"/>
      <c r="AO35" s="230"/>
      <c r="AP35" s="230"/>
      <c r="AQ35" s="230"/>
      <c r="AR35" s="230"/>
      <c r="AS35" s="230"/>
      <c r="AT35" s="230"/>
      <c r="AU35" s="230"/>
      <c r="AV35" s="230"/>
      <c r="AW35" s="230"/>
      <c r="AX35" s="230"/>
      <c r="AY35" s="230"/>
      <c r="AZ35" s="230"/>
      <c r="BA35" s="230"/>
      <c r="BB35" s="230"/>
      <c r="BC35" s="230"/>
      <c r="BD35" s="230"/>
      <c r="BE35" s="230"/>
      <c r="BF35" s="230"/>
      <c r="BG35" s="230"/>
      <c r="BI35" s="327" t="s">
        <v>152</v>
      </c>
      <c r="BK35" s="328"/>
    </row>
    <row r="36" spans="2:63">
      <c r="C36" s="99">
        <f>AA!C13</f>
        <v>1</v>
      </c>
      <c r="E36" s="93" t="str">
        <f>INDEX(AA!$AC$13:$AC$15,MATCH($C36,AA!$C$13:$C$15,0))</f>
        <v>backup</v>
      </c>
      <c r="G36" s="1324">
        <f>INDEX(AA!$E$13:$E$15,MATCH($C36,AA!$C$13:$C$15,0))</f>
        <v>1</v>
      </c>
      <c r="I36" s="72" t="s">
        <v>303</v>
      </c>
      <c r="K36" s="1324">
        <f>INDEX(AA!$AP$13:$AP$15,MATCH($C36,AA!$C$13:$C$15,0))</f>
        <v>1000</v>
      </c>
      <c r="T36" s="373">
        <f>($K36+SUMIFS(IP!T$74:T$76,IP!$C$74:$C$76,$C36))*T20</f>
        <v>1000</v>
      </c>
      <c r="U36" s="373">
        <f>($K36+SUMIFS(IP!U$74:U$76,IP!$C$74:$C$76,$C36))*U20</f>
        <v>1000</v>
      </c>
      <c r="V36" s="373">
        <f>($K36+SUMIFS(IP!V$74:V$76,IP!$C$74:$C$76,$C36))*V20</f>
        <v>1000</v>
      </c>
      <c r="W36" s="373">
        <f>($K36+SUMIFS(IP!W$74:W$76,IP!$C$74:$C$76,$C36))*W20</f>
        <v>1000</v>
      </c>
      <c r="X36" s="373">
        <f>($K36+SUMIFS(IP!X$74:X$76,IP!$C$74:$C$76,$C36))*X20</f>
        <v>1000</v>
      </c>
      <c r="Y36" s="373">
        <f>($K36+SUMIFS(IP!Y$74:Y$76,IP!$C$74:$C$76,$C36))*Y20</f>
        <v>1000</v>
      </c>
      <c r="Z36" s="373">
        <f>($K36+SUMIFS(IP!Z$74:Z$76,IP!$C$74:$C$76,$C36))*Z20</f>
        <v>1000</v>
      </c>
      <c r="AA36" s="373">
        <f>($K36+SUMIFS(IP!AA$74:AA$76,IP!$C$74:$C$76,$C36))*AA20</f>
        <v>1000</v>
      </c>
      <c r="AB36" s="373">
        <f>($K36+SUMIFS(IP!AB$74:AB$76,IP!$C$74:$C$76,$C36))*AB20</f>
        <v>1000</v>
      </c>
      <c r="AC36" s="373">
        <f>($K36+SUMIFS(IP!AC$74:AC$76,IP!$C$74:$C$76,$C36))*AC20</f>
        <v>1000</v>
      </c>
      <c r="AD36" s="373">
        <f>($K36+SUMIFS(IP!AD$74:AD$76,IP!$C$74:$C$76,$C36))*AD20</f>
        <v>1000</v>
      </c>
      <c r="AE36" s="373">
        <f>($K36+SUMIFS(IP!AE$74:AE$76,IP!$C$74:$C$76,$C36))*AE20</f>
        <v>1000</v>
      </c>
      <c r="AF36" s="373">
        <f>($K36+SUMIFS(IP!AF$74:AF$76,IP!$C$74:$C$76,$C36))*AF20</f>
        <v>0</v>
      </c>
      <c r="AG36" s="373">
        <f>($K36+SUMIFS(IP!AG$74:AG$76,IP!$C$74:$C$76,$C36))*AG20</f>
        <v>0</v>
      </c>
      <c r="AH36" s="373">
        <f>($K36+SUMIFS(IP!AH$74:AH$76,IP!$C$74:$C$76,$C36))*AH20</f>
        <v>0</v>
      </c>
      <c r="AI36" s="373">
        <f>($K36+SUMIFS(IP!AI$74:AI$76,IP!$C$74:$C$76,$C36))*AI20</f>
        <v>0</v>
      </c>
      <c r="AJ36" s="373">
        <f>($K36+SUMIFS(IP!AJ$74:AJ$76,IP!$C$74:$C$76,$C36))*AJ20</f>
        <v>0</v>
      </c>
      <c r="AK36" s="373">
        <f>($K36+SUMIFS(IP!AK$74:AK$76,IP!$C$74:$C$76,$C36))*AK20</f>
        <v>0</v>
      </c>
      <c r="AL36" s="373">
        <f>($K36+SUMIFS(IP!AL$74:AL$76,IP!$C$74:$C$76,$C36))*AL20</f>
        <v>0</v>
      </c>
      <c r="AM36" s="373">
        <f>($K36+SUMIFS(IP!AM$74:AM$76,IP!$C$74:$C$76,$C36))*AM20</f>
        <v>0</v>
      </c>
      <c r="AN36" s="373">
        <f>($K36+SUMIFS(IP!AN$74:AN$76,IP!$C$74:$C$76,$C36))*AN20</f>
        <v>0</v>
      </c>
      <c r="AO36" s="373">
        <f>($K36+SUMIFS(IP!AO$74:AO$76,IP!$C$74:$C$76,$C36))*AO20</f>
        <v>0</v>
      </c>
      <c r="AP36" s="373">
        <f>($K36+SUMIFS(IP!AP$74:AP$76,IP!$C$74:$C$76,$C36))*AP20</f>
        <v>0</v>
      </c>
      <c r="AQ36" s="373">
        <f>($K36+SUMIFS(IP!AQ$74:AQ$76,IP!$C$74:$C$76,$C36))*AQ20</f>
        <v>0</v>
      </c>
      <c r="AR36" s="373">
        <f>($K36+SUMIFS(IP!AR$74:AR$76,IP!$C$74:$C$76,$C36))*AR20</f>
        <v>0</v>
      </c>
      <c r="AS36" s="373">
        <f>($K36+SUMIFS(IP!AS$74:AS$76,IP!$C$74:$C$76,$C36))*AS20</f>
        <v>0</v>
      </c>
      <c r="AT36" s="373">
        <f>($K36+SUMIFS(IP!AT$74:AT$76,IP!$C$74:$C$76,$C36))*AT20</f>
        <v>0</v>
      </c>
      <c r="AU36" s="373">
        <f>($K36+SUMIFS(IP!AU$74:AU$76,IP!$C$74:$C$76,$C36))*AU20</f>
        <v>0</v>
      </c>
      <c r="AV36" s="373">
        <f>($K36+SUMIFS(IP!AV$74:AV$76,IP!$C$74:$C$76,$C36))*AV20</f>
        <v>0</v>
      </c>
      <c r="AW36" s="373">
        <f>($K36+SUMIFS(IP!AW$74:AW$76,IP!$C$74:$C$76,$C36))*AW20</f>
        <v>0</v>
      </c>
      <c r="AX36" s="373">
        <f>($K36+SUMIFS(IP!AX$74:AX$76,IP!$C$74:$C$76,$C36))*AX20</f>
        <v>0</v>
      </c>
      <c r="AY36" s="373">
        <f>($K36+SUMIFS(IP!AY$74:AY$76,IP!$C$74:$C$76,$C36))*AY20</f>
        <v>0</v>
      </c>
      <c r="AZ36" s="373">
        <f>($K36+SUMIFS(IP!AZ$74:AZ$76,IP!$C$74:$C$76,$C36))*AZ20</f>
        <v>0</v>
      </c>
      <c r="BA36" s="373">
        <f>($K36+SUMIFS(IP!BA$74:BA$76,IP!$C$74:$C$76,$C36))*BA20</f>
        <v>0</v>
      </c>
      <c r="BB36" s="373">
        <f>($K36+SUMIFS(IP!BB$74:BB$76,IP!$C$74:$C$76,$C36))*BB20</f>
        <v>0</v>
      </c>
      <c r="BC36" s="373">
        <f>($K36+SUMIFS(IP!BC$74:BC$76,IP!$C$74:$C$76,$C36))*BC20</f>
        <v>0</v>
      </c>
      <c r="BD36" s="373">
        <f>($K36+SUMIFS(IP!BD$74:BD$76,IP!$C$74:$C$76,$C36))*BD20</f>
        <v>0</v>
      </c>
      <c r="BE36" s="373">
        <f>($K36+SUMIFS(IP!BE$74:BE$76,IP!$C$74:$C$76,$C36))*BE20</f>
        <v>0</v>
      </c>
      <c r="BF36" s="373">
        <f>($K36+SUMIFS(IP!BF$74:BF$76,IP!$C$74:$C$76,$C36))*BF20</f>
        <v>0</v>
      </c>
      <c r="BG36" s="373">
        <f>($K36+SUMIFS(IP!BG$74:BG$76,IP!$C$74:$C$76,$C36))*BG20</f>
        <v>0</v>
      </c>
      <c r="BI36" s="105" t="s">
        <v>153</v>
      </c>
      <c r="BK36" s="103"/>
    </row>
    <row r="37" spans="2:63">
      <c r="C37" s="99">
        <f>AA!C14</f>
        <v>2</v>
      </c>
      <c r="E37" s="94" t="str">
        <f>INDEX(AA!$AC$13:$AC$15,MATCH($C37,AA!$C$13:$C$15,0))</f>
        <v>backup</v>
      </c>
      <c r="G37" s="1325">
        <f>INDEX(AA!$E$13:$E$15,MATCH($C37,AA!$C$13:$C$15,0))</f>
        <v>1</v>
      </c>
      <c r="I37" s="73" t="s">
        <v>303</v>
      </c>
      <c r="K37" s="1325">
        <f>INDEX(AA!$AP$13:$AP$15,MATCH($C37,AA!$C$13:$C$15,0))</f>
        <v>1000</v>
      </c>
      <c r="T37" s="373">
        <f>($K37+SUMIFS(IP!T$74:T$76,IP!$C$74:$C$76,$C37))*T21</f>
        <v>0</v>
      </c>
      <c r="U37" s="373">
        <f>($K37+SUMIFS(IP!U$74:U$76,IP!$C$74:$C$76,$C37))*U21</f>
        <v>1000</v>
      </c>
      <c r="V37" s="373">
        <f>($K37+SUMIFS(IP!V$74:V$76,IP!$C$74:$C$76,$C37))*V21</f>
        <v>1000</v>
      </c>
      <c r="W37" s="373">
        <f>($K37+SUMIFS(IP!W$74:W$76,IP!$C$74:$C$76,$C37))*W21</f>
        <v>1000</v>
      </c>
      <c r="X37" s="373">
        <f>($K37+SUMIFS(IP!X$74:X$76,IP!$C$74:$C$76,$C37))*X21</f>
        <v>1000</v>
      </c>
      <c r="Y37" s="373">
        <f>($K37+SUMIFS(IP!Y$74:Y$76,IP!$C$74:$C$76,$C37))*Y21</f>
        <v>1000</v>
      </c>
      <c r="Z37" s="373">
        <f>($K37+SUMIFS(IP!Z$74:Z$76,IP!$C$74:$C$76,$C37))*Z21</f>
        <v>1000</v>
      </c>
      <c r="AA37" s="373">
        <f>($K37+SUMIFS(IP!AA$74:AA$76,IP!$C$74:$C$76,$C37))*AA21</f>
        <v>1000</v>
      </c>
      <c r="AB37" s="373">
        <f>($K37+SUMIFS(IP!AB$74:AB$76,IP!$C$74:$C$76,$C37))*AB21</f>
        <v>1000</v>
      </c>
      <c r="AC37" s="373">
        <f>($K37+SUMIFS(IP!AC$74:AC$76,IP!$C$74:$C$76,$C37))*AC21</f>
        <v>1000</v>
      </c>
      <c r="AD37" s="373">
        <f>($K37+SUMIFS(IP!AD$74:AD$76,IP!$C$74:$C$76,$C37))*AD21</f>
        <v>1000</v>
      </c>
      <c r="AE37" s="373">
        <f>($K37+SUMIFS(IP!AE$74:AE$76,IP!$C$74:$C$76,$C37))*AE21</f>
        <v>1000</v>
      </c>
      <c r="AF37" s="373">
        <f>($K37+SUMIFS(IP!AF$74:AF$76,IP!$C$74:$C$76,$C37))*AF21</f>
        <v>0</v>
      </c>
      <c r="AG37" s="373">
        <f>($K37+SUMIFS(IP!AG$74:AG$76,IP!$C$74:$C$76,$C37))*AG21</f>
        <v>0</v>
      </c>
      <c r="AH37" s="373">
        <f>($K37+SUMIFS(IP!AH$74:AH$76,IP!$C$74:$C$76,$C37))*AH21</f>
        <v>0</v>
      </c>
      <c r="AI37" s="373">
        <f>($K37+SUMIFS(IP!AI$74:AI$76,IP!$C$74:$C$76,$C37))*AI21</f>
        <v>0</v>
      </c>
      <c r="AJ37" s="373">
        <f>($K37+SUMIFS(IP!AJ$74:AJ$76,IP!$C$74:$C$76,$C37))*AJ21</f>
        <v>0</v>
      </c>
      <c r="AK37" s="373">
        <f>($K37+SUMIFS(IP!AK$74:AK$76,IP!$C$74:$C$76,$C37))*AK21</f>
        <v>0</v>
      </c>
      <c r="AL37" s="373">
        <f>($K37+SUMIFS(IP!AL$74:AL$76,IP!$C$74:$C$76,$C37))*AL21</f>
        <v>0</v>
      </c>
      <c r="AM37" s="373">
        <f>($K37+SUMIFS(IP!AM$74:AM$76,IP!$C$74:$C$76,$C37))*AM21</f>
        <v>0</v>
      </c>
      <c r="AN37" s="373">
        <f>($K37+SUMIFS(IP!AN$74:AN$76,IP!$C$74:$C$76,$C37))*AN21</f>
        <v>0</v>
      </c>
      <c r="AO37" s="373">
        <f>($K37+SUMIFS(IP!AO$74:AO$76,IP!$C$74:$C$76,$C37))*AO21</f>
        <v>0</v>
      </c>
      <c r="AP37" s="373">
        <f>($K37+SUMIFS(IP!AP$74:AP$76,IP!$C$74:$C$76,$C37))*AP21</f>
        <v>0</v>
      </c>
      <c r="AQ37" s="373">
        <f>($K37+SUMIFS(IP!AQ$74:AQ$76,IP!$C$74:$C$76,$C37))*AQ21</f>
        <v>0</v>
      </c>
      <c r="AR37" s="373">
        <f>($K37+SUMIFS(IP!AR$74:AR$76,IP!$C$74:$C$76,$C37))*AR21</f>
        <v>0</v>
      </c>
      <c r="AS37" s="373">
        <f>($K37+SUMIFS(IP!AS$74:AS$76,IP!$C$74:$C$76,$C37))*AS21</f>
        <v>0</v>
      </c>
      <c r="AT37" s="373">
        <f>($K37+SUMIFS(IP!AT$74:AT$76,IP!$C$74:$C$76,$C37))*AT21</f>
        <v>0</v>
      </c>
      <c r="AU37" s="373">
        <f>($K37+SUMIFS(IP!AU$74:AU$76,IP!$C$74:$C$76,$C37))*AU21</f>
        <v>0</v>
      </c>
      <c r="AV37" s="373">
        <f>($K37+SUMIFS(IP!AV$74:AV$76,IP!$C$74:$C$76,$C37))*AV21</f>
        <v>0</v>
      </c>
      <c r="AW37" s="373">
        <f>($K37+SUMIFS(IP!AW$74:AW$76,IP!$C$74:$C$76,$C37))*AW21</f>
        <v>0</v>
      </c>
      <c r="AX37" s="373">
        <f>($K37+SUMIFS(IP!AX$74:AX$76,IP!$C$74:$C$76,$C37))*AX21</f>
        <v>0</v>
      </c>
      <c r="AY37" s="373">
        <f>($K37+SUMIFS(IP!AY$74:AY$76,IP!$C$74:$C$76,$C37))*AY21</f>
        <v>0</v>
      </c>
      <c r="AZ37" s="373">
        <f>($K37+SUMIFS(IP!AZ$74:AZ$76,IP!$C$74:$C$76,$C37))*AZ21</f>
        <v>0</v>
      </c>
      <c r="BA37" s="373">
        <f>($K37+SUMIFS(IP!BA$74:BA$76,IP!$C$74:$C$76,$C37))*BA21</f>
        <v>0</v>
      </c>
      <c r="BB37" s="373">
        <f>($K37+SUMIFS(IP!BB$74:BB$76,IP!$C$74:$C$76,$C37))*BB21</f>
        <v>0</v>
      </c>
      <c r="BC37" s="373">
        <f>($K37+SUMIFS(IP!BC$74:BC$76,IP!$C$74:$C$76,$C37))*BC21</f>
        <v>0</v>
      </c>
      <c r="BD37" s="373">
        <f>($K37+SUMIFS(IP!BD$74:BD$76,IP!$C$74:$C$76,$C37))*BD21</f>
        <v>0</v>
      </c>
      <c r="BE37" s="373">
        <f>($K37+SUMIFS(IP!BE$74:BE$76,IP!$C$74:$C$76,$C37))*BE21</f>
        <v>0</v>
      </c>
      <c r="BF37" s="373">
        <f>($K37+SUMIFS(IP!BF$74:BF$76,IP!$C$74:$C$76,$C37))*BF21</f>
        <v>0</v>
      </c>
      <c r="BG37" s="373">
        <f>($K37+SUMIFS(IP!BG$74:BG$76,IP!$C$74:$C$76,$C37))*BG21</f>
        <v>0</v>
      </c>
      <c r="BI37" s="106" t="s">
        <v>153</v>
      </c>
      <c r="BK37" s="103"/>
    </row>
    <row r="38" spans="2:63">
      <c r="C38" s="99">
        <f>AA!C15</f>
        <v>3</v>
      </c>
      <c r="E38" s="94" t="str">
        <f>INDEX(AA!$AC$13:$AC$15,MATCH($C38,AA!$C$13:$C$15,0))</f>
        <v>backup</v>
      </c>
      <c r="G38" s="1325">
        <f>INDEX(AA!$E$13:$E$15,MATCH($C38,AA!$C$13:$C$15,0))</f>
        <v>1</v>
      </c>
      <c r="I38" s="73" t="s">
        <v>303</v>
      </c>
      <c r="K38" s="1325">
        <f>INDEX(AA!$AP$13:$AP$15,MATCH($C38,AA!$C$13:$C$15,0))</f>
        <v>1000</v>
      </c>
      <c r="T38" s="373">
        <f>($K38+SUMIFS(IP!T$74:T$76,IP!$C$74:$C$76,$C38))*T22</f>
        <v>0</v>
      </c>
      <c r="U38" s="373">
        <f>($K38+SUMIFS(IP!U$74:U$76,IP!$C$74:$C$76,$C38))*U22</f>
        <v>0</v>
      </c>
      <c r="V38" s="373">
        <f>($K38+SUMIFS(IP!V$74:V$76,IP!$C$74:$C$76,$C38))*V22</f>
        <v>1000</v>
      </c>
      <c r="W38" s="373">
        <f>($K38+SUMIFS(IP!W$74:W$76,IP!$C$74:$C$76,$C38))*W22</f>
        <v>1000</v>
      </c>
      <c r="X38" s="373">
        <f>($K38+SUMIFS(IP!X$74:X$76,IP!$C$74:$C$76,$C38))*X22</f>
        <v>1000</v>
      </c>
      <c r="Y38" s="373">
        <f>($K38+SUMIFS(IP!Y$74:Y$76,IP!$C$74:$C$76,$C38))*Y22</f>
        <v>1000</v>
      </c>
      <c r="Z38" s="373">
        <f>($K38+SUMIFS(IP!Z$74:Z$76,IP!$C$74:$C$76,$C38))*Z22</f>
        <v>1000</v>
      </c>
      <c r="AA38" s="373">
        <f>($K38+SUMIFS(IP!AA$74:AA$76,IP!$C$74:$C$76,$C38))*AA22</f>
        <v>1000</v>
      </c>
      <c r="AB38" s="373">
        <f>($K38+SUMIFS(IP!AB$74:AB$76,IP!$C$74:$C$76,$C38))*AB22</f>
        <v>1000</v>
      </c>
      <c r="AC38" s="373">
        <f>($K38+SUMIFS(IP!AC$74:AC$76,IP!$C$74:$C$76,$C38))*AC22</f>
        <v>1000</v>
      </c>
      <c r="AD38" s="373">
        <f>($K38+SUMIFS(IP!AD$74:AD$76,IP!$C$74:$C$76,$C38))*AD22</f>
        <v>1000</v>
      </c>
      <c r="AE38" s="373">
        <f>($K38+SUMIFS(IP!AE$74:AE$76,IP!$C$74:$C$76,$C38))*AE22</f>
        <v>1000</v>
      </c>
      <c r="AF38" s="373">
        <f>($K38+SUMIFS(IP!AF$74:AF$76,IP!$C$74:$C$76,$C38))*AF22</f>
        <v>0</v>
      </c>
      <c r="AG38" s="373">
        <f>($K38+SUMIFS(IP!AG$74:AG$76,IP!$C$74:$C$76,$C38))*AG22</f>
        <v>0</v>
      </c>
      <c r="AH38" s="373">
        <f>($K38+SUMIFS(IP!AH$74:AH$76,IP!$C$74:$C$76,$C38))*AH22</f>
        <v>0</v>
      </c>
      <c r="AI38" s="373">
        <f>($K38+SUMIFS(IP!AI$74:AI$76,IP!$C$74:$C$76,$C38))*AI22</f>
        <v>0</v>
      </c>
      <c r="AJ38" s="373">
        <f>($K38+SUMIFS(IP!AJ$74:AJ$76,IP!$C$74:$C$76,$C38))*AJ22</f>
        <v>0</v>
      </c>
      <c r="AK38" s="373">
        <f>($K38+SUMIFS(IP!AK$74:AK$76,IP!$C$74:$C$76,$C38))*AK22</f>
        <v>0</v>
      </c>
      <c r="AL38" s="373">
        <f>($K38+SUMIFS(IP!AL$74:AL$76,IP!$C$74:$C$76,$C38))*AL22</f>
        <v>0</v>
      </c>
      <c r="AM38" s="373">
        <f>($K38+SUMIFS(IP!AM$74:AM$76,IP!$C$74:$C$76,$C38))*AM22</f>
        <v>0</v>
      </c>
      <c r="AN38" s="373">
        <f>($K38+SUMIFS(IP!AN$74:AN$76,IP!$C$74:$C$76,$C38))*AN22</f>
        <v>0</v>
      </c>
      <c r="AO38" s="373">
        <f>($K38+SUMIFS(IP!AO$74:AO$76,IP!$C$74:$C$76,$C38))*AO22</f>
        <v>0</v>
      </c>
      <c r="AP38" s="373">
        <f>($K38+SUMIFS(IP!AP$74:AP$76,IP!$C$74:$C$76,$C38))*AP22</f>
        <v>0</v>
      </c>
      <c r="AQ38" s="373">
        <f>($K38+SUMIFS(IP!AQ$74:AQ$76,IP!$C$74:$C$76,$C38))*AQ22</f>
        <v>0</v>
      </c>
      <c r="AR38" s="373">
        <f>($K38+SUMIFS(IP!AR$74:AR$76,IP!$C$74:$C$76,$C38))*AR22</f>
        <v>0</v>
      </c>
      <c r="AS38" s="373">
        <f>($K38+SUMIFS(IP!AS$74:AS$76,IP!$C$74:$C$76,$C38))*AS22</f>
        <v>0</v>
      </c>
      <c r="AT38" s="373">
        <f>($K38+SUMIFS(IP!AT$74:AT$76,IP!$C$74:$C$76,$C38))*AT22</f>
        <v>0</v>
      </c>
      <c r="AU38" s="373">
        <f>($K38+SUMIFS(IP!AU$74:AU$76,IP!$C$74:$C$76,$C38))*AU22</f>
        <v>0</v>
      </c>
      <c r="AV38" s="373">
        <f>($K38+SUMIFS(IP!AV$74:AV$76,IP!$C$74:$C$76,$C38))*AV22</f>
        <v>0</v>
      </c>
      <c r="AW38" s="373">
        <f>($K38+SUMIFS(IP!AW$74:AW$76,IP!$C$74:$C$76,$C38))*AW22</f>
        <v>0</v>
      </c>
      <c r="AX38" s="373">
        <f>($K38+SUMIFS(IP!AX$74:AX$76,IP!$C$74:$C$76,$C38))*AX22</f>
        <v>0</v>
      </c>
      <c r="AY38" s="373">
        <f>($K38+SUMIFS(IP!AY$74:AY$76,IP!$C$74:$C$76,$C38))*AY22</f>
        <v>0</v>
      </c>
      <c r="AZ38" s="373">
        <f>($K38+SUMIFS(IP!AZ$74:AZ$76,IP!$C$74:$C$76,$C38))*AZ22</f>
        <v>0</v>
      </c>
      <c r="BA38" s="373">
        <f>($K38+SUMIFS(IP!BA$74:BA$76,IP!$C$74:$C$76,$C38))*BA22</f>
        <v>0</v>
      </c>
      <c r="BB38" s="373">
        <f>($K38+SUMIFS(IP!BB$74:BB$76,IP!$C$74:$C$76,$C38))*BB22</f>
        <v>0</v>
      </c>
      <c r="BC38" s="373">
        <f>($K38+SUMIFS(IP!BC$74:BC$76,IP!$C$74:$C$76,$C38))*BC22</f>
        <v>0</v>
      </c>
      <c r="BD38" s="373">
        <f>($K38+SUMIFS(IP!BD$74:BD$76,IP!$C$74:$C$76,$C38))*BD22</f>
        <v>0</v>
      </c>
      <c r="BE38" s="373">
        <f>($K38+SUMIFS(IP!BE$74:BE$76,IP!$C$74:$C$76,$C38))*BE22</f>
        <v>0</v>
      </c>
      <c r="BF38" s="373">
        <f>($K38+SUMIFS(IP!BF$74:BF$76,IP!$C$74:$C$76,$C38))*BF22</f>
        <v>0</v>
      </c>
      <c r="BG38" s="373">
        <f>($K38+SUMIFS(IP!BG$74:BG$76,IP!$C$74:$C$76,$C38))*BG22</f>
        <v>0</v>
      </c>
      <c r="BI38" s="106" t="s">
        <v>153</v>
      </c>
      <c r="BK38" s="103"/>
    </row>
    <row r="39" spans="2:63">
      <c r="C39" s="269"/>
      <c r="E39" s="269"/>
      <c r="G39" s="269"/>
      <c r="I39" s="269"/>
      <c r="K39" s="269"/>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I39" s="269"/>
      <c r="BK39" s="269"/>
    </row>
    <row r="40" spans="2:63">
      <c r="T40" s="322"/>
      <c r="U40" s="322"/>
      <c r="V40" s="322"/>
      <c r="W40" s="322"/>
      <c r="X40" s="322"/>
      <c r="Y40" s="322"/>
      <c r="Z40" s="322"/>
      <c r="AA40" s="322"/>
      <c r="AB40" s="322"/>
      <c r="AC40" s="322"/>
      <c r="AD40" s="322"/>
      <c r="AE40" s="322"/>
      <c r="AF40" s="322"/>
      <c r="AG40" s="322"/>
      <c r="AH40" s="322"/>
      <c r="AI40" s="322"/>
      <c r="AJ40" s="322"/>
      <c r="AK40" s="322"/>
      <c r="AL40" s="322"/>
      <c r="AM40" s="322"/>
      <c r="AN40" s="322"/>
      <c r="AO40" s="322"/>
      <c r="AP40" s="322"/>
      <c r="AQ40" s="322"/>
      <c r="AR40" s="322"/>
      <c r="AS40" s="322"/>
      <c r="AT40" s="322"/>
      <c r="AU40" s="322"/>
      <c r="AV40" s="322"/>
      <c r="AW40" s="322"/>
      <c r="AX40" s="322"/>
      <c r="AY40" s="322"/>
      <c r="AZ40" s="322"/>
      <c r="BA40" s="322"/>
      <c r="BB40" s="322"/>
      <c r="BC40" s="322"/>
      <c r="BD40" s="322"/>
      <c r="BE40" s="322"/>
      <c r="BF40" s="322"/>
      <c r="BG40" s="322"/>
    </row>
    <row r="41" spans="2:63" s="90" customFormat="1">
      <c r="B41" s="91">
        <f ca="1">MAX(A$1:$B40)+1</f>
        <v>5</v>
      </c>
      <c r="C41" s="92" t="s">
        <v>302</v>
      </c>
      <c r="T41" s="337"/>
      <c r="U41" s="337"/>
      <c r="V41" s="337"/>
      <c r="W41" s="337"/>
      <c r="X41" s="337"/>
      <c r="Y41" s="337"/>
      <c r="Z41" s="337"/>
      <c r="AA41" s="337"/>
      <c r="AB41" s="337"/>
      <c r="AC41" s="337"/>
      <c r="AD41" s="337"/>
      <c r="AE41" s="337"/>
      <c r="AF41" s="337"/>
      <c r="AG41" s="337"/>
      <c r="AH41" s="337"/>
      <c r="AI41" s="337"/>
      <c r="AJ41" s="337"/>
      <c r="AK41" s="337"/>
      <c r="AL41" s="337"/>
      <c r="AM41" s="337"/>
      <c r="AN41" s="337"/>
      <c r="AO41" s="337"/>
    </row>
    <row r="43" spans="2:63" ht="30">
      <c r="C43" s="97" t="s">
        <v>4</v>
      </c>
      <c r="E43" s="97" t="s">
        <v>6</v>
      </c>
      <c r="G43" s="101" t="s">
        <v>272</v>
      </c>
      <c r="I43" s="101" t="s">
        <v>150</v>
      </c>
      <c r="BI43" s="327" t="s">
        <v>152</v>
      </c>
      <c r="BK43" s="328" t="s">
        <v>404</v>
      </c>
    </row>
    <row r="44" spans="2:63">
      <c r="C44" s="99">
        <f>AA!C13</f>
        <v>1</v>
      </c>
      <c r="E44" s="93" t="str">
        <f>INDEX(AA!$AC$13:$AC$15,MATCH($C44,AA!$C$13:$C$15,0))</f>
        <v>backup</v>
      </c>
      <c r="G44" s="1324">
        <f>INDEX(AA!$E$13:$E$15,MATCH($C44,AA!$C$13:$C$15,0))</f>
        <v>1</v>
      </c>
      <c r="I44" s="72" t="s">
        <v>301</v>
      </c>
      <c r="T44" s="373">
        <f>(SUMIFS(RN!T$80:T$82,RN!$C$80:$C$82,$C44)+SUMIFS(IP!T$83:T$85,IP!$C$83:$C$85,$C44)+SUMIFS(RL!T$74:T$76,RL!$C$74:$C$76,$C44)+SUMIFS(LU!T$74:T$76,LU!$C$74:$C$76,$C44))*T20</f>
        <v>1000</v>
      </c>
      <c r="U44" s="373">
        <f>(SUMIFS(RN!U$80:U$82,RN!$C$80:$C$82,$C44)+SUMIFS(IP!U$83:U$85,IP!$C$83:$C$85,$C44)+SUMIFS(RL!U$74:U$76,RL!$C$74:$C$76,$C44)+SUMIFS(LU!U$74:U$76,LU!$C$74:$C$76,$C44))*U20</f>
        <v>1000</v>
      </c>
      <c r="V44" s="373">
        <f>(SUMIFS(RN!V$80:V$82,RN!$C$80:$C$82,$C44)+SUMIFS(IP!V$83:V$85,IP!$C$83:$C$85,$C44)+SUMIFS(RL!V$74:V$76,RL!$C$74:$C$76,$C44)+SUMIFS(LU!V$74:V$76,LU!$C$74:$C$76,$C44))*V20</f>
        <v>1000</v>
      </c>
      <c r="W44" s="373">
        <f>(SUMIFS(RN!W$80:W$82,RN!$C$80:$C$82,$C44)+SUMIFS(IP!W$83:W$85,IP!$C$83:$C$85,$C44)+SUMIFS(RL!W$74:W$76,RL!$C$74:$C$76,$C44)+SUMIFS(LU!W$74:W$76,LU!$C$74:$C$76,$C44))*W20</f>
        <v>1000</v>
      </c>
      <c r="X44" s="373">
        <f>(SUMIFS(RN!X$80:X$82,RN!$C$80:$C$82,$C44)+SUMIFS(IP!X$83:X$85,IP!$C$83:$C$85,$C44)+SUMIFS(RL!X$74:X$76,RL!$C$74:$C$76,$C44)+SUMIFS(LU!X$74:X$76,LU!$C$74:$C$76,$C44))*X20</f>
        <v>1000</v>
      </c>
      <c r="Y44" s="373">
        <f>(SUMIFS(RN!Y$80:Y$82,RN!$C$80:$C$82,$C44)+SUMIFS(IP!Y$83:Y$85,IP!$C$83:$C$85,$C44)+SUMIFS(RL!Y$74:Y$76,RL!$C$74:$C$76,$C44)+SUMIFS(LU!Y$74:Y$76,LU!$C$74:$C$76,$C44))*Y20</f>
        <v>1000</v>
      </c>
      <c r="Z44" s="373">
        <f>(SUMIFS(RN!Z$80:Z$82,RN!$C$80:$C$82,$C44)+SUMIFS(IP!Z$83:Z$85,IP!$C$83:$C$85,$C44)+SUMIFS(RL!Z$74:Z$76,RL!$C$74:$C$76,$C44)+SUMIFS(LU!Z$74:Z$76,LU!$C$74:$C$76,$C44))*Z20</f>
        <v>1000</v>
      </c>
      <c r="AA44" s="373">
        <f>(SUMIFS(RN!AA$80:AA$82,RN!$C$80:$C$82,$C44)+SUMIFS(IP!AA$83:AA$85,IP!$C$83:$C$85,$C44)+SUMIFS(RL!AA$74:AA$76,RL!$C$74:$C$76,$C44)+SUMIFS(LU!AA$74:AA$76,LU!$C$74:$C$76,$C44))*AA20</f>
        <v>1000</v>
      </c>
      <c r="AB44" s="373">
        <f>(SUMIFS(RN!AB$80:AB$82,RN!$C$80:$C$82,$C44)+SUMIFS(IP!AB$83:AB$85,IP!$C$83:$C$85,$C44)+SUMIFS(RL!AB$74:AB$76,RL!$C$74:$C$76,$C44)+SUMIFS(LU!AB$74:AB$76,LU!$C$74:$C$76,$C44))*AB20</f>
        <v>1000</v>
      </c>
      <c r="AC44" s="373">
        <f>(SUMIFS(RN!AC$80:AC$82,RN!$C$80:$C$82,$C44)+SUMIFS(IP!AC$83:AC$85,IP!$C$83:$C$85,$C44)+SUMIFS(RL!AC$74:AC$76,RL!$C$74:$C$76,$C44)+SUMIFS(LU!AC$74:AC$76,LU!$C$74:$C$76,$C44))*AC20</f>
        <v>1000</v>
      </c>
      <c r="AD44" s="373">
        <f>(SUMIFS(RN!AD$80:AD$82,RN!$C$80:$C$82,$C44)+SUMIFS(IP!AD$83:AD$85,IP!$C$83:$C$85,$C44)+SUMIFS(RL!AD$74:AD$76,RL!$C$74:$C$76,$C44)+SUMIFS(LU!AD$74:AD$76,LU!$C$74:$C$76,$C44))*AD20</f>
        <v>1000</v>
      </c>
      <c r="AE44" s="373">
        <f>(SUMIFS(RN!AE$80:AE$82,RN!$C$80:$C$82,$C44)+SUMIFS(IP!AE$83:AE$85,IP!$C$83:$C$85,$C44)+SUMIFS(RL!AE$74:AE$76,RL!$C$74:$C$76,$C44)+SUMIFS(LU!AE$74:AE$76,LU!$C$74:$C$76,$C44))*AE20</f>
        <v>1000</v>
      </c>
      <c r="AF44" s="373">
        <f>(SUMIFS(RN!AF$80:AF$82,RN!$C$80:$C$82,$C44)+SUMIFS(IP!AF$83:AF$85,IP!$C$83:$C$85,$C44)+SUMIFS(RL!AF$74:AF$76,RL!$C$74:$C$76,$C44)+SUMIFS(LU!AF$74:AF$76,LU!$C$74:$C$76,$C44))*AF20</f>
        <v>0</v>
      </c>
      <c r="AG44" s="373">
        <f>(SUMIFS(RN!AG$80:AG$82,RN!$C$80:$C$82,$C44)+SUMIFS(IP!AG$83:AG$85,IP!$C$83:$C$85,$C44)+SUMIFS(RL!AG$74:AG$76,RL!$C$74:$C$76,$C44)+SUMIFS(LU!AG$74:AG$76,LU!$C$74:$C$76,$C44))*AG20</f>
        <v>0</v>
      </c>
      <c r="AH44" s="373">
        <f>(SUMIFS(RN!AH$80:AH$82,RN!$C$80:$C$82,$C44)+SUMIFS(IP!AH$83:AH$85,IP!$C$83:$C$85,$C44)+SUMIFS(RL!AH$74:AH$76,RL!$C$74:$C$76,$C44)+SUMIFS(LU!AH$74:AH$76,LU!$C$74:$C$76,$C44))*AH20</f>
        <v>0</v>
      </c>
      <c r="AI44" s="373">
        <f>(SUMIFS(RN!AI$80:AI$82,RN!$C$80:$C$82,$C44)+SUMIFS(IP!AI$83:AI$85,IP!$C$83:$C$85,$C44)+SUMIFS(RL!AI$74:AI$76,RL!$C$74:$C$76,$C44)+SUMIFS(LU!AI$74:AI$76,LU!$C$74:$C$76,$C44))*AI20</f>
        <v>0</v>
      </c>
      <c r="AJ44" s="373">
        <f>(SUMIFS(RN!AJ$80:AJ$82,RN!$C$80:$C$82,$C44)+SUMIFS(IP!AJ$83:AJ$85,IP!$C$83:$C$85,$C44)+SUMIFS(RL!AJ$74:AJ$76,RL!$C$74:$C$76,$C44)+SUMIFS(LU!AJ$74:AJ$76,LU!$C$74:$C$76,$C44))*AJ20</f>
        <v>0</v>
      </c>
      <c r="AK44" s="373">
        <f>(SUMIFS(RN!AK$80:AK$82,RN!$C$80:$C$82,$C44)+SUMIFS(IP!AK$83:AK$85,IP!$C$83:$C$85,$C44)+SUMIFS(RL!AK$74:AK$76,RL!$C$74:$C$76,$C44)+SUMIFS(LU!AK$74:AK$76,LU!$C$74:$C$76,$C44))*AK20</f>
        <v>0</v>
      </c>
      <c r="AL44" s="373">
        <f>(SUMIFS(RN!AL$80:AL$82,RN!$C$80:$C$82,$C44)+SUMIFS(IP!AL$83:AL$85,IP!$C$83:$C$85,$C44)+SUMIFS(RL!AL$74:AL$76,RL!$C$74:$C$76,$C44)+SUMIFS(LU!AL$74:AL$76,LU!$C$74:$C$76,$C44))*AL20</f>
        <v>0</v>
      </c>
      <c r="AM44" s="373">
        <f>(SUMIFS(RN!AM$80:AM$82,RN!$C$80:$C$82,$C44)+SUMIFS(IP!AM$83:AM$85,IP!$C$83:$C$85,$C44)+SUMIFS(RL!AM$74:AM$76,RL!$C$74:$C$76,$C44)+SUMIFS(LU!AM$74:AM$76,LU!$C$74:$C$76,$C44))*AM20</f>
        <v>0</v>
      </c>
      <c r="AN44" s="373">
        <f>(SUMIFS(RN!AN$80:AN$82,RN!$C$80:$C$82,$C44)+SUMIFS(IP!AN$83:AN$85,IP!$C$83:$C$85,$C44)+SUMIFS(RL!AN$74:AN$76,RL!$C$74:$C$76,$C44)+SUMIFS(LU!AN$74:AN$76,LU!$C$74:$C$76,$C44))*AN20</f>
        <v>0</v>
      </c>
      <c r="AO44" s="373">
        <f>(SUMIFS(RN!AO$80:AO$82,RN!$C$80:$C$82,$C44)+SUMIFS(IP!AO$83:AO$85,IP!$C$83:$C$85,$C44)+SUMIFS(RL!AO$74:AO$76,RL!$C$74:$C$76,$C44)+SUMIFS(LU!AO$74:AO$76,LU!$C$74:$C$76,$C44))*AO20</f>
        <v>0</v>
      </c>
      <c r="AP44" s="373">
        <f>(SUMIFS(RN!AP$80:AP$82,RN!$C$80:$C$82,$C44)+SUMIFS(IP!AP$83:AP$85,IP!$C$83:$C$85,$C44)+SUMIFS(RL!AP$74:AP$76,RL!$C$74:$C$76,$C44)+SUMIFS(LU!AP$74:AP$76,LU!$C$74:$C$76,$C44))*AP20</f>
        <v>0</v>
      </c>
      <c r="AQ44" s="373">
        <f>(SUMIFS(RN!AQ$80:AQ$82,RN!$C$80:$C$82,$C44)+SUMIFS(IP!AQ$83:AQ$85,IP!$C$83:$C$85,$C44)+SUMIFS(RL!AQ$74:AQ$76,RL!$C$74:$C$76,$C44)+SUMIFS(LU!AQ$74:AQ$76,LU!$C$74:$C$76,$C44))*AQ20</f>
        <v>0</v>
      </c>
      <c r="AR44" s="373">
        <f>(SUMIFS(RN!AR$80:AR$82,RN!$C$80:$C$82,$C44)+SUMIFS(IP!AR$83:AR$85,IP!$C$83:$C$85,$C44)+SUMIFS(RL!AR$74:AR$76,RL!$C$74:$C$76,$C44)+SUMIFS(LU!AR$74:AR$76,LU!$C$74:$C$76,$C44))*AR20</f>
        <v>0</v>
      </c>
      <c r="AS44" s="373">
        <f>(SUMIFS(RN!AS$80:AS$82,RN!$C$80:$C$82,$C44)+SUMIFS(IP!AS$83:AS$85,IP!$C$83:$C$85,$C44)+SUMIFS(RL!AS$74:AS$76,RL!$C$74:$C$76,$C44)+SUMIFS(LU!AS$74:AS$76,LU!$C$74:$C$76,$C44))*AS20</f>
        <v>0</v>
      </c>
      <c r="AT44" s="373">
        <f>(SUMIFS(RN!AT$80:AT$82,RN!$C$80:$C$82,$C44)+SUMIFS(IP!AT$83:AT$85,IP!$C$83:$C$85,$C44)+SUMIFS(RL!AT$74:AT$76,RL!$C$74:$C$76,$C44)+SUMIFS(LU!AT$74:AT$76,LU!$C$74:$C$76,$C44))*AT20</f>
        <v>0</v>
      </c>
      <c r="AU44" s="373">
        <f>(SUMIFS(RN!AU$80:AU$82,RN!$C$80:$C$82,$C44)+SUMIFS(IP!AU$83:AU$85,IP!$C$83:$C$85,$C44)+SUMIFS(RL!AU$74:AU$76,RL!$C$74:$C$76,$C44)+SUMIFS(LU!AU$74:AU$76,LU!$C$74:$C$76,$C44))*AU20</f>
        <v>0</v>
      </c>
      <c r="AV44" s="373">
        <f>(SUMIFS(RN!AV$80:AV$82,RN!$C$80:$C$82,$C44)+SUMIFS(IP!AV$83:AV$85,IP!$C$83:$C$85,$C44)+SUMIFS(RL!AV$74:AV$76,RL!$C$74:$C$76,$C44)+SUMIFS(LU!AV$74:AV$76,LU!$C$74:$C$76,$C44))*AV20</f>
        <v>0</v>
      </c>
      <c r="AW44" s="373">
        <f>(SUMIFS(RN!AW$80:AW$82,RN!$C$80:$C$82,$C44)+SUMIFS(IP!AW$83:AW$85,IP!$C$83:$C$85,$C44)+SUMIFS(RL!AW$74:AW$76,RL!$C$74:$C$76,$C44)+SUMIFS(LU!AW$74:AW$76,LU!$C$74:$C$76,$C44))*AW20</f>
        <v>0</v>
      </c>
      <c r="AX44" s="373">
        <f>(SUMIFS(RN!AX$80:AX$82,RN!$C$80:$C$82,$C44)+SUMIFS(IP!AX$83:AX$85,IP!$C$83:$C$85,$C44)+SUMIFS(RL!AX$74:AX$76,RL!$C$74:$C$76,$C44)+SUMIFS(LU!AX$74:AX$76,LU!$C$74:$C$76,$C44))*AX20</f>
        <v>0</v>
      </c>
      <c r="AY44" s="373">
        <f>(SUMIFS(RN!AY$80:AY$82,RN!$C$80:$C$82,$C44)+SUMIFS(IP!AY$83:AY$85,IP!$C$83:$C$85,$C44)+SUMIFS(RL!AY$74:AY$76,RL!$C$74:$C$76,$C44)+SUMIFS(LU!AY$74:AY$76,LU!$C$74:$C$76,$C44))*AY20</f>
        <v>0</v>
      </c>
      <c r="AZ44" s="373">
        <f>(SUMIFS(RN!AZ$80:AZ$82,RN!$C$80:$C$82,$C44)+SUMIFS(IP!AZ$83:AZ$85,IP!$C$83:$C$85,$C44)+SUMIFS(RL!AZ$74:AZ$76,RL!$C$74:$C$76,$C44)+SUMIFS(LU!AZ$74:AZ$76,LU!$C$74:$C$76,$C44))*AZ20</f>
        <v>0</v>
      </c>
      <c r="BA44" s="373">
        <f>(SUMIFS(RN!BA$80:BA$82,RN!$C$80:$C$82,$C44)+SUMIFS(IP!BA$83:BA$85,IP!$C$83:$C$85,$C44)+SUMIFS(RL!BA$74:BA$76,RL!$C$74:$C$76,$C44)+SUMIFS(LU!BA$74:BA$76,LU!$C$74:$C$76,$C44))*BA20</f>
        <v>0</v>
      </c>
      <c r="BB44" s="373">
        <f>(SUMIFS(RN!BB$80:BB$82,RN!$C$80:$C$82,$C44)+SUMIFS(IP!BB$83:BB$85,IP!$C$83:$C$85,$C44)+SUMIFS(RL!BB$74:BB$76,RL!$C$74:$C$76,$C44)+SUMIFS(LU!BB$74:BB$76,LU!$C$74:$C$76,$C44))*BB20</f>
        <v>0</v>
      </c>
      <c r="BC44" s="373">
        <f>(SUMIFS(RN!BC$80:BC$82,RN!$C$80:$C$82,$C44)+SUMIFS(IP!BC$83:BC$85,IP!$C$83:$C$85,$C44)+SUMIFS(RL!BC$74:BC$76,RL!$C$74:$C$76,$C44)+SUMIFS(LU!BC$74:BC$76,LU!$C$74:$C$76,$C44))*BC20</f>
        <v>0</v>
      </c>
      <c r="BD44" s="373">
        <f>(SUMIFS(RN!BD$80:BD$82,RN!$C$80:$C$82,$C44)+SUMIFS(IP!BD$83:BD$85,IP!$C$83:$C$85,$C44)+SUMIFS(RL!BD$74:BD$76,RL!$C$74:$C$76,$C44)+SUMIFS(LU!BD$74:BD$76,LU!$C$74:$C$76,$C44))*BD20</f>
        <v>0</v>
      </c>
      <c r="BE44" s="373">
        <f>(SUMIFS(RN!BE$80:BE$82,RN!$C$80:$C$82,$C44)+SUMIFS(IP!BE$83:BE$85,IP!$C$83:$C$85,$C44)+SUMIFS(RL!BE$74:BE$76,RL!$C$74:$C$76,$C44)+SUMIFS(LU!BE$74:BE$76,LU!$C$74:$C$76,$C44))*BE20</f>
        <v>0</v>
      </c>
      <c r="BF44" s="373">
        <f>(SUMIFS(RN!BF$80:BF$82,RN!$C$80:$C$82,$C44)+SUMIFS(IP!BF$83:BF$85,IP!$C$83:$C$85,$C44)+SUMIFS(RL!BF$74:BF$76,RL!$C$74:$C$76,$C44)+SUMIFS(LU!BF$74:BF$76,LU!$C$74:$C$76,$C44))*BF20</f>
        <v>0</v>
      </c>
      <c r="BG44" s="373">
        <f>(SUMIFS(RN!BG$80:BG$82,RN!$C$80:$C$82,$C44)+SUMIFS(IP!BG$83:BG$85,IP!$C$83:$C$85,$C44)+SUMIFS(RL!BG$74:BG$76,RL!$C$74:$C$76,$C44)+SUMIFS(LU!BG$74:BG$76,LU!$C$74:$C$76,$C44))*BG20</f>
        <v>0</v>
      </c>
      <c r="BI44" s="105" t="s">
        <v>153</v>
      </c>
      <c r="BK44" s="320">
        <f>SUMPRODUCT($T44:$BG44,$T28:$BG28)</f>
        <v>1000</v>
      </c>
    </row>
    <row r="45" spans="2:63">
      <c r="C45" s="99">
        <f>AA!C14</f>
        <v>2</v>
      </c>
      <c r="E45" s="94" t="str">
        <f>INDEX(AA!$AC$13:$AC$15,MATCH($C45,AA!$C$13:$C$15,0))</f>
        <v>backup</v>
      </c>
      <c r="G45" s="1325">
        <f>INDEX(AA!$E$13:$E$15,MATCH($C45,AA!$C$13:$C$15,0))</f>
        <v>1</v>
      </c>
      <c r="I45" s="73" t="s">
        <v>301</v>
      </c>
      <c r="T45" s="373">
        <f>(SUMIFS(RN!T$80:T$82,RN!$C$80:$C$82,$C45)+SUMIFS(IP!T$83:T$85,IP!$C$83:$C$85,$C45)+SUMIFS(RL!T$74:T$76,RL!$C$74:$C$76,$C45)+SUMIFS(LU!T$74:T$76,LU!$C$74:$C$76,$C45))*T21</f>
        <v>0</v>
      </c>
      <c r="U45" s="373">
        <f>(SUMIFS(RN!U$80:U$82,RN!$C$80:$C$82,$C45)+SUMIFS(IP!U$83:U$85,IP!$C$83:$C$85,$C45)+SUMIFS(RL!U$74:U$76,RL!$C$74:$C$76,$C45)+SUMIFS(LU!U$74:U$76,LU!$C$74:$C$76,$C45))*U21</f>
        <v>1000</v>
      </c>
      <c r="V45" s="373">
        <f>(SUMIFS(RN!V$80:V$82,RN!$C$80:$C$82,$C45)+SUMIFS(IP!V$83:V$85,IP!$C$83:$C$85,$C45)+SUMIFS(RL!V$74:V$76,RL!$C$74:$C$76,$C45)+SUMIFS(LU!V$74:V$76,LU!$C$74:$C$76,$C45))*V21</f>
        <v>1000</v>
      </c>
      <c r="W45" s="373">
        <f>(SUMIFS(RN!W$80:W$82,RN!$C$80:$C$82,$C45)+SUMIFS(IP!W$83:W$85,IP!$C$83:$C$85,$C45)+SUMIFS(RL!W$74:W$76,RL!$C$74:$C$76,$C45)+SUMIFS(LU!W$74:W$76,LU!$C$74:$C$76,$C45))*W21</f>
        <v>1000</v>
      </c>
      <c r="X45" s="373">
        <f>(SUMIFS(RN!X$80:X$82,RN!$C$80:$C$82,$C45)+SUMIFS(IP!X$83:X$85,IP!$C$83:$C$85,$C45)+SUMIFS(RL!X$74:X$76,RL!$C$74:$C$76,$C45)+SUMIFS(LU!X$74:X$76,LU!$C$74:$C$76,$C45))*X21</f>
        <v>1000</v>
      </c>
      <c r="Y45" s="373">
        <f>(SUMIFS(RN!Y$80:Y$82,RN!$C$80:$C$82,$C45)+SUMIFS(IP!Y$83:Y$85,IP!$C$83:$C$85,$C45)+SUMIFS(RL!Y$74:Y$76,RL!$C$74:$C$76,$C45)+SUMIFS(LU!Y$74:Y$76,LU!$C$74:$C$76,$C45))*Y21</f>
        <v>1000</v>
      </c>
      <c r="Z45" s="373">
        <f>(SUMIFS(RN!Z$80:Z$82,RN!$C$80:$C$82,$C45)+SUMIFS(IP!Z$83:Z$85,IP!$C$83:$C$85,$C45)+SUMIFS(RL!Z$74:Z$76,RL!$C$74:$C$76,$C45)+SUMIFS(LU!Z$74:Z$76,LU!$C$74:$C$76,$C45))*Z21</f>
        <v>1000</v>
      </c>
      <c r="AA45" s="373">
        <f>(SUMIFS(RN!AA$80:AA$82,RN!$C$80:$C$82,$C45)+SUMIFS(IP!AA$83:AA$85,IP!$C$83:$C$85,$C45)+SUMIFS(RL!AA$74:AA$76,RL!$C$74:$C$76,$C45)+SUMIFS(LU!AA$74:AA$76,LU!$C$74:$C$76,$C45))*AA21</f>
        <v>1000</v>
      </c>
      <c r="AB45" s="373">
        <f>(SUMIFS(RN!AB$80:AB$82,RN!$C$80:$C$82,$C45)+SUMIFS(IP!AB$83:AB$85,IP!$C$83:$C$85,$C45)+SUMIFS(RL!AB$74:AB$76,RL!$C$74:$C$76,$C45)+SUMIFS(LU!AB$74:AB$76,LU!$C$74:$C$76,$C45))*AB21</f>
        <v>1000</v>
      </c>
      <c r="AC45" s="373">
        <f>(SUMIFS(RN!AC$80:AC$82,RN!$C$80:$C$82,$C45)+SUMIFS(IP!AC$83:AC$85,IP!$C$83:$C$85,$C45)+SUMIFS(RL!AC$74:AC$76,RL!$C$74:$C$76,$C45)+SUMIFS(LU!AC$74:AC$76,LU!$C$74:$C$76,$C45))*AC21</f>
        <v>1000</v>
      </c>
      <c r="AD45" s="373">
        <f>(SUMIFS(RN!AD$80:AD$82,RN!$C$80:$C$82,$C45)+SUMIFS(IP!AD$83:AD$85,IP!$C$83:$C$85,$C45)+SUMIFS(RL!AD$74:AD$76,RL!$C$74:$C$76,$C45)+SUMIFS(LU!AD$74:AD$76,LU!$C$74:$C$76,$C45))*AD21</f>
        <v>1000</v>
      </c>
      <c r="AE45" s="373">
        <f>(SUMIFS(RN!AE$80:AE$82,RN!$C$80:$C$82,$C45)+SUMIFS(IP!AE$83:AE$85,IP!$C$83:$C$85,$C45)+SUMIFS(RL!AE$74:AE$76,RL!$C$74:$C$76,$C45)+SUMIFS(LU!AE$74:AE$76,LU!$C$74:$C$76,$C45))*AE21</f>
        <v>1000</v>
      </c>
      <c r="AF45" s="373">
        <f>(SUMIFS(RN!AF$80:AF$82,RN!$C$80:$C$82,$C45)+SUMIFS(IP!AF$83:AF$85,IP!$C$83:$C$85,$C45)+SUMIFS(RL!AF$74:AF$76,RL!$C$74:$C$76,$C45)+SUMIFS(LU!AF$74:AF$76,LU!$C$74:$C$76,$C45))*AF21</f>
        <v>0</v>
      </c>
      <c r="AG45" s="373">
        <f>(SUMIFS(RN!AG$80:AG$82,RN!$C$80:$C$82,$C45)+SUMIFS(IP!AG$83:AG$85,IP!$C$83:$C$85,$C45)+SUMIFS(RL!AG$74:AG$76,RL!$C$74:$C$76,$C45)+SUMIFS(LU!AG$74:AG$76,LU!$C$74:$C$76,$C45))*AG21</f>
        <v>0</v>
      </c>
      <c r="AH45" s="373">
        <f>(SUMIFS(RN!AH$80:AH$82,RN!$C$80:$C$82,$C45)+SUMIFS(IP!AH$83:AH$85,IP!$C$83:$C$85,$C45)+SUMIFS(RL!AH$74:AH$76,RL!$C$74:$C$76,$C45)+SUMIFS(LU!AH$74:AH$76,LU!$C$74:$C$76,$C45))*AH21</f>
        <v>0</v>
      </c>
      <c r="AI45" s="373">
        <f>(SUMIFS(RN!AI$80:AI$82,RN!$C$80:$C$82,$C45)+SUMIFS(IP!AI$83:AI$85,IP!$C$83:$C$85,$C45)+SUMIFS(RL!AI$74:AI$76,RL!$C$74:$C$76,$C45)+SUMIFS(LU!AI$74:AI$76,LU!$C$74:$C$76,$C45))*AI21</f>
        <v>0</v>
      </c>
      <c r="AJ45" s="373">
        <f>(SUMIFS(RN!AJ$80:AJ$82,RN!$C$80:$C$82,$C45)+SUMIFS(IP!AJ$83:AJ$85,IP!$C$83:$C$85,$C45)+SUMIFS(RL!AJ$74:AJ$76,RL!$C$74:$C$76,$C45)+SUMIFS(LU!AJ$74:AJ$76,LU!$C$74:$C$76,$C45))*AJ21</f>
        <v>0</v>
      </c>
      <c r="AK45" s="373">
        <f>(SUMIFS(RN!AK$80:AK$82,RN!$C$80:$C$82,$C45)+SUMIFS(IP!AK$83:AK$85,IP!$C$83:$C$85,$C45)+SUMIFS(RL!AK$74:AK$76,RL!$C$74:$C$76,$C45)+SUMIFS(LU!AK$74:AK$76,LU!$C$74:$C$76,$C45))*AK21</f>
        <v>0</v>
      </c>
      <c r="AL45" s="373">
        <f>(SUMIFS(RN!AL$80:AL$82,RN!$C$80:$C$82,$C45)+SUMIFS(IP!AL$83:AL$85,IP!$C$83:$C$85,$C45)+SUMIFS(RL!AL$74:AL$76,RL!$C$74:$C$76,$C45)+SUMIFS(LU!AL$74:AL$76,LU!$C$74:$C$76,$C45))*AL21</f>
        <v>0</v>
      </c>
      <c r="AM45" s="373">
        <f>(SUMIFS(RN!AM$80:AM$82,RN!$C$80:$C$82,$C45)+SUMIFS(IP!AM$83:AM$85,IP!$C$83:$C$85,$C45)+SUMIFS(RL!AM$74:AM$76,RL!$C$74:$C$76,$C45)+SUMIFS(LU!AM$74:AM$76,LU!$C$74:$C$76,$C45))*AM21</f>
        <v>0</v>
      </c>
      <c r="AN45" s="373">
        <f>(SUMIFS(RN!AN$80:AN$82,RN!$C$80:$C$82,$C45)+SUMIFS(IP!AN$83:AN$85,IP!$C$83:$C$85,$C45)+SUMIFS(RL!AN$74:AN$76,RL!$C$74:$C$76,$C45)+SUMIFS(LU!AN$74:AN$76,LU!$C$74:$C$76,$C45))*AN21</f>
        <v>0</v>
      </c>
      <c r="AO45" s="373">
        <f>(SUMIFS(RN!AO$80:AO$82,RN!$C$80:$C$82,$C45)+SUMIFS(IP!AO$83:AO$85,IP!$C$83:$C$85,$C45)+SUMIFS(RL!AO$74:AO$76,RL!$C$74:$C$76,$C45)+SUMIFS(LU!AO$74:AO$76,LU!$C$74:$C$76,$C45))*AO21</f>
        <v>0</v>
      </c>
      <c r="AP45" s="373">
        <f>(SUMIFS(RN!AP$80:AP$82,RN!$C$80:$C$82,$C45)+SUMIFS(IP!AP$83:AP$85,IP!$C$83:$C$85,$C45)+SUMIFS(RL!AP$74:AP$76,RL!$C$74:$C$76,$C45)+SUMIFS(LU!AP$74:AP$76,LU!$C$74:$C$76,$C45))*AP21</f>
        <v>0</v>
      </c>
      <c r="AQ45" s="373">
        <f>(SUMIFS(RN!AQ$80:AQ$82,RN!$C$80:$C$82,$C45)+SUMIFS(IP!AQ$83:AQ$85,IP!$C$83:$C$85,$C45)+SUMIFS(RL!AQ$74:AQ$76,RL!$C$74:$C$76,$C45)+SUMIFS(LU!AQ$74:AQ$76,LU!$C$74:$C$76,$C45))*AQ21</f>
        <v>0</v>
      </c>
      <c r="AR45" s="373">
        <f>(SUMIFS(RN!AR$80:AR$82,RN!$C$80:$C$82,$C45)+SUMIFS(IP!AR$83:AR$85,IP!$C$83:$C$85,$C45)+SUMIFS(RL!AR$74:AR$76,RL!$C$74:$C$76,$C45)+SUMIFS(LU!AR$74:AR$76,LU!$C$74:$C$76,$C45))*AR21</f>
        <v>0</v>
      </c>
      <c r="AS45" s="373">
        <f>(SUMIFS(RN!AS$80:AS$82,RN!$C$80:$C$82,$C45)+SUMIFS(IP!AS$83:AS$85,IP!$C$83:$C$85,$C45)+SUMIFS(RL!AS$74:AS$76,RL!$C$74:$C$76,$C45)+SUMIFS(LU!AS$74:AS$76,LU!$C$74:$C$76,$C45))*AS21</f>
        <v>0</v>
      </c>
      <c r="AT45" s="373">
        <f>(SUMIFS(RN!AT$80:AT$82,RN!$C$80:$C$82,$C45)+SUMIFS(IP!AT$83:AT$85,IP!$C$83:$C$85,$C45)+SUMIFS(RL!AT$74:AT$76,RL!$C$74:$C$76,$C45)+SUMIFS(LU!AT$74:AT$76,LU!$C$74:$C$76,$C45))*AT21</f>
        <v>0</v>
      </c>
      <c r="AU45" s="373">
        <f>(SUMIFS(RN!AU$80:AU$82,RN!$C$80:$C$82,$C45)+SUMIFS(IP!AU$83:AU$85,IP!$C$83:$C$85,$C45)+SUMIFS(RL!AU$74:AU$76,RL!$C$74:$C$76,$C45)+SUMIFS(LU!AU$74:AU$76,LU!$C$74:$C$76,$C45))*AU21</f>
        <v>0</v>
      </c>
      <c r="AV45" s="373">
        <f>(SUMIFS(RN!AV$80:AV$82,RN!$C$80:$C$82,$C45)+SUMIFS(IP!AV$83:AV$85,IP!$C$83:$C$85,$C45)+SUMIFS(RL!AV$74:AV$76,RL!$C$74:$C$76,$C45)+SUMIFS(LU!AV$74:AV$76,LU!$C$74:$C$76,$C45))*AV21</f>
        <v>0</v>
      </c>
      <c r="AW45" s="373">
        <f>(SUMIFS(RN!AW$80:AW$82,RN!$C$80:$C$82,$C45)+SUMIFS(IP!AW$83:AW$85,IP!$C$83:$C$85,$C45)+SUMIFS(RL!AW$74:AW$76,RL!$C$74:$C$76,$C45)+SUMIFS(LU!AW$74:AW$76,LU!$C$74:$C$76,$C45))*AW21</f>
        <v>0</v>
      </c>
      <c r="AX45" s="373">
        <f>(SUMIFS(RN!AX$80:AX$82,RN!$C$80:$C$82,$C45)+SUMIFS(IP!AX$83:AX$85,IP!$C$83:$C$85,$C45)+SUMIFS(RL!AX$74:AX$76,RL!$C$74:$C$76,$C45)+SUMIFS(LU!AX$74:AX$76,LU!$C$74:$C$76,$C45))*AX21</f>
        <v>0</v>
      </c>
      <c r="AY45" s="373">
        <f>(SUMIFS(RN!AY$80:AY$82,RN!$C$80:$C$82,$C45)+SUMIFS(IP!AY$83:AY$85,IP!$C$83:$C$85,$C45)+SUMIFS(RL!AY$74:AY$76,RL!$C$74:$C$76,$C45)+SUMIFS(LU!AY$74:AY$76,LU!$C$74:$C$76,$C45))*AY21</f>
        <v>0</v>
      </c>
      <c r="AZ45" s="373">
        <f>(SUMIFS(RN!AZ$80:AZ$82,RN!$C$80:$C$82,$C45)+SUMIFS(IP!AZ$83:AZ$85,IP!$C$83:$C$85,$C45)+SUMIFS(RL!AZ$74:AZ$76,RL!$C$74:$C$76,$C45)+SUMIFS(LU!AZ$74:AZ$76,LU!$C$74:$C$76,$C45))*AZ21</f>
        <v>0</v>
      </c>
      <c r="BA45" s="373">
        <f>(SUMIFS(RN!BA$80:BA$82,RN!$C$80:$C$82,$C45)+SUMIFS(IP!BA$83:BA$85,IP!$C$83:$C$85,$C45)+SUMIFS(RL!BA$74:BA$76,RL!$C$74:$C$76,$C45)+SUMIFS(LU!BA$74:BA$76,LU!$C$74:$C$76,$C45))*BA21</f>
        <v>0</v>
      </c>
      <c r="BB45" s="373">
        <f>(SUMIFS(RN!BB$80:BB$82,RN!$C$80:$C$82,$C45)+SUMIFS(IP!BB$83:BB$85,IP!$C$83:$C$85,$C45)+SUMIFS(RL!BB$74:BB$76,RL!$C$74:$C$76,$C45)+SUMIFS(LU!BB$74:BB$76,LU!$C$74:$C$76,$C45))*BB21</f>
        <v>0</v>
      </c>
      <c r="BC45" s="373">
        <f>(SUMIFS(RN!BC$80:BC$82,RN!$C$80:$C$82,$C45)+SUMIFS(IP!BC$83:BC$85,IP!$C$83:$C$85,$C45)+SUMIFS(RL!BC$74:BC$76,RL!$C$74:$C$76,$C45)+SUMIFS(LU!BC$74:BC$76,LU!$C$74:$C$76,$C45))*BC21</f>
        <v>0</v>
      </c>
      <c r="BD45" s="373">
        <f>(SUMIFS(RN!BD$80:BD$82,RN!$C$80:$C$82,$C45)+SUMIFS(IP!BD$83:BD$85,IP!$C$83:$C$85,$C45)+SUMIFS(RL!BD$74:BD$76,RL!$C$74:$C$76,$C45)+SUMIFS(LU!BD$74:BD$76,LU!$C$74:$C$76,$C45))*BD21</f>
        <v>0</v>
      </c>
      <c r="BE45" s="373">
        <f>(SUMIFS(RN!BE$80:BE$82,RN!$C$80:$C$82,$C45)+SUMIFS(IP!BE$83:BE$85,IP!$C$83:$C$85,$C45)+SUMIFS(RL!BE$74:BE$76,RL!$C$74:$C$76,$C45)+SUMIFS(LU!BE$74:BE$76,LU!$C$74:$C$76,$C45))*BE21</f>
        <v>0</v>
      </c>
      <c r="BF45" s="373">
        <f>(SUMIFS(RN!BF$80:BF$82,RN!$C$80:$C$82,$C45)+SUMIFS(IP!BF$83:BF$85,IP!$C$83:$C$85,$C45)+SUMIFS(RL!BF$74:BF$76,RL!$C$74:$C$76,$C45)+SUMIFS(LU!BF$74:BF$76,LU!$C$74:$C$76,$C45))*BF21</f>
        <v>0</v>
      </c>
      <c r="BG45" s="373">
        <f>(SUMIFS(RN!BG$80:BG$82,RN!$C$80:$C$82,$C45)+SUMIFS(IP!BG$83:BG$85,IP!$C$83:$C$85,$C45)+SUMIFS(RL!BG$74:BG$76,RL!$C$74:$C$76,$C45)+SUMIFS(LU!BG$74:BG$76,LU!$C$74:$C$76,$C45))*BG21</f>
        <v>0</v>
      </c>
      <c r="BI45" s="106" t="s">
        <v>153</v>
      </c>
      <c r="BK45" s="321">
        <f>SUMPRODUCT($T45:$BG45,$T29:$BG29)</f>
        <v>1000</v>
      </c>
    </row>
    <row r="46" spans="2:63">
      <c r="C46" s="99">
        <f>AA!C15</f>
        <v>3</v>
      </c>
      <c r="E46" s="94" t="str">
        <f>INDEX(AA!$AC$13:$AC$15,MATCH($C46,AA!$C$13:$C$15,0))</f>
        <v>backup</v>
      </c>
      <c r="G46" s="1325">
        <f>INDEX(AA!$E$13:$E$15,MATCH($C46,AA!$C$13:$C$15,0))</f>
        <v>1</v>
      </c>
      <c r="I46" s="73" t="s">
        <v>301</v>
      </c>
      <c r="T46" s="373">
        <f>(SUMIFS(RN!T$80:T$82,RN!$C$80:$C$82,$C46)+SUMIFS(IP!T$83:T$85,IP!$C$83:$C$85,$C46)+SUMIFS(RL!T$74:T$76,RL!$C$74:$C$76,$C46)+SUMIFS(LU!T$74:T$76,LU!$C$74:$C$76,$C46))*T22</f>
        <v>0</v>
      </c>
      <c r="U46" s="373">
        <f>(SUMIFS(RN!U$80:U$82,RN!$C$80:$C$82,$C46)+SUMIFS(IP!U$83:U$85,IP!$C$83:$C$85,$C46)+SUMIFS(RL!U$74:U$76,RL!$C$74:$C$76,$C46)+SUMIFS(LU!U$74:U$76,LU!$C$74:$C$76,$C46))*U22</f>
        <v>0</v>
      </c>
      <c r="V46" s="373">
        <f>(SUMIFS(RN!V$80:V$82,RN!$C$80:$C$82,$C46)+SUMIFS(IP!V$83:V$85,IP!$C$83:$C$85,$C46)+SUMIFS(RL!V$74:V$76,RL!$C$74:$C$76,$C46)+SUMIFS(LU!V$74:V$76,LU!$C$74:$C$76,$C46))*V22</f>
        <v>1000</v>
      </c>
      <c r="W46" s="373">
        <f>(SUMIFS(RN!W$80:W$82,RN!$C$80:$C$82,$C46)+SUMIFS(IP!W$83:W$85,IP!$C$83:$C$85,$C46)+SUMIFS(RL!W$74:W$76,RL!$C$74:$C$76,$C46)+SUMIFS(LU!W$74:W$76,LU!$C$74:$C$76,$C46))*W22</f>
        <v>1000</v>
      </c>
      <c r="X46" s="373">
        <f>(SUMIFS(RN!X$80:X$82,RN!$C$80:$C$82,$C46)+SUMIFS(IP!X$83:X$85,IP!$C$83:$C$85,$C46)+SUMIFS(RL!X$74:X$76,RL!$C$74:$C$76,$C46)+SUMIFS(LU!X$74:X$76,LU!$C$74:$C$76,$C46))*X22</f>
        <v>1000</v>
      </c>
      <c r="Y46" s="373">
        <f>(SUMIFS(RN!Y$80:Y$82,RN!$C$80:$C$82,$C46)+SUMIFS(IP!Y$83:Y$85,IP!$C$83:$C$85,$C46)+SUMIFS(RL!Y$74:Y$76,RL!$C$74:$C$76,$C46)+SUMIFS(LU!Y$74:Y$76,LU!$C$74:$C$76,$C46))*Y22</f>
        <v>1000</v>
      </c>
      <c r="Z46" s="373">
        <f>(SUMIFS(RN!Z$80:Z$82,RN!$C$80:$C$82,$C46)+SUMIFS(IP!Z$83:Z$85,IP!$C$83:$C$85,$C46)+SUMIFS(RL!Z$74:Z$76,RL!$C$74:$C$76,$C46)+SUMIFS(LU!Z$74:Z$76,LU!$C$74:$C$76,$C46))*Z22</f>
        <v>1000</v>
      </c>
      <c r="AA46" s="373">
        <f>(SUMIFS(RN!AA$80:AA$82,RN!$C$80:$C$82,$C46)+SUMIFS(IP!AA$83:AA$85,IP!$C$83:$C$85,$C46)+SUMIFS(RL!AA$74:AA$76,RL!$C$74:$C$76,$C46)+SUMIFS(LU!AA$74:AA$76,LU!$C$74:$C$76,$C46))*AA22</f>
        <v>1000</v>
      </c>
      <c r="AB46" s="373">
        <f>(SUMIFS(RN!AB$80:AB$82,RN!$C$80:$C$82,$C46)+SUMIFS(IP!AB$83:AB$85,IP!$C$83:$C$85,$C46)+SUMIFS(RL!AB$74:AB$76,RL!$C$74:$C$76,$C46)+SUMIFS(LU!AB$74:AB$76,LU!$C$74:$C$76,$C46))*AB22</f>
        <v>1000</v>
      </c>
      <c r="AC46" s="373">
        <f>(SUMIFS(RN!AC$80:AC$82,RN!$C$80:$C$82,$C46)+SUMIFS(IP!AC$83:AC$85,IP!$C$83:$C$85,$C46)+SUMIFS(RL!AC$74:AC$76,RL!$C$74:$C$76,$C46)+SUMIFS(LU!AC$74:AC$76,LU!$C$74:$C$76,$C46))*AC22</f>
        <v>1000</v>
      </c>
      <c r="AD46" s="373">
        <f>(SUMIFS(RN!AD$80:AD$82,RN!$C$80:$C$82,$C46)+SUMIFS(IP!AD$83:AD$85,IP!$C$83:$C$85,$C46)+SUMIFS(RL!AD$74:AD$76,RL!$C$74:$C$76,$C46)+SUMIFS(LU!AD$74:AD$76,LU!$C$74:$C$76,$C46))*AD22</f>
        <v>1000</v>
      </c>
      <c r="AE46" s="373">
        <f>(SUMIFS(RN!AE$80:AE$82,RN!$C$80:$C$82,$C46)+SUMIFS(IP!AE$83:AE$85,IP!$C$83:$C$85,$C46)+SUMIFS(RL!AE$74:AE$76,RL!$C$74:$C$76,$C46)+SUMIFS(LU!AE$74:AE$76,LU!$C$74:$C$76,$C46))*AE22</f>
        <v>1000</v>
      </c>
      <c r="AF46" s="373">
        <f>(SUMIFS(RN!AF$80:AF$82,RN!$C$80:$C$82,$C46)+SUMIFS(IP!AF$83:AF$85,IP!$C$83:$C$85,$C46)+SUMIFS(RL!AF$74:AF$76,RL!$C$74:$C$76,$C46)+SUMIFS(LU!AF$74:AF$76,LU!$C$74:$C$76,$C46))*AF22</f>
        <v>0</v>
      </c>
      <c r="AG46" s="373">
        <f>(SUMIFS(RN!AG$80:AG$82,RN!$C$80:$C$82,$C46)+SUMIFS(IP!AG$83:AG$85,IP!$C$83:$C$85,$C46)+SUMIFS(RL!AG$74:AG$76,RL!$C$74:$C$76,$C46)+SUMIFS(LU!AG$74:AG$76,LU!$C$74:$C$76,$C46))*AG22</f>
        <v>0</v>
      </c>
      <c r="AH46" s="373">
        <f>(SUMIFS(RN!AH$80:AH$82,RN!$C$80:$C$82,$C46)+SUMIFS(IP!AH$83:AH$85,IP!$C$83:$C$85,$C46)+SUMIFS(RL!AH$74:AH$76,RL!$C$74:$C$76,$C46)+SUMIFS(LU!AH$74:AH$76,LU!$C$74:$C$76,$C46))*AH22</f>
        <v>0</v>
      </c>
      <c r="AI46" s="373">
        <f>(SUMIFS(RN!AI$80:AI$82,RN!$C$80:$C$82,$C46)+SUMIFS(IP!AI$83:AI$85,IP!$C$83:$C$85,$C46)+SUMIFS(RL!AI$74:AI$76,RL!$C$74:$C$76,$C46)+SUMIFS(LU!AI$74:AI$76,LU!$C$74:$C$76,$C46))*AI22</f>
        <v>0</v>
      </c>
      <c r="AJ46" s="373">
        <f>(SUMIFS(RN!AJ$80:AJ$82,RN!$C$80:$C$82,$C46)+SUMIFS(IP!AJ$83:AJ$85,IP!$C$83:$C$85,$C46)+SUMIFS(RL!AJ$74:AJ$76,RL!$C$74:$C$76,$C46)+SUMIFS(LU!AJ$74:AJ$76,LU!$C$74:$C$76,$C46))*AJ22</f>
        <v>0</v>
      </c>
      <c r="AK46" s="373">
        <f>(SUMIFS(RN!AK$80:AK$82,RN!$C$80:$C$82,$C46)+SUMIFS(IP!AK$83:AK$85,IP!$C$83:$C$85,$C46)+SUMIFS(RL!AK$74:AK$76,RL!$C$74:$C$76,$C46)+SUMIFS(LU!AK$74:AK$76,LU!$C$74:$C$76,$C46))*AK22</f>
        <v>0</v>
      </c>
      <c r="AL46" s="373">
        <f>(SUMIFS(RN!AL$80:AL$82,RN!$C$80:$C$82,$C46)+SUMIFS(IP!AL$83:AL$85,IP!$C$83:$C$85,$C46)+SUMIFS(RL!AL$74:AL$76,RL!$C$74:$C$76,$C46)+SUMIFS(LU!AL$74:AL$76,LU!$C$74:$C$76,$C46))*AL22</f>
        <v>0</v>
      </c>
      <c r="AM46" s="373">
        <f>(SUMIFS(RN!AM$80:AM$82,RN!$C$80:$C$82,$C46)+SUMIFS(IP!AM$83:AM$85,IP!$C$83:$C$85,$C46)+SUMIFS(RL!AM$74:AM$76,RL!$C$74:$C$76,$C46)+SUMIFS(LU!AM$74:AM$76,LU!$C$74:$C$76,$C46))*AM22</f>
        <v>0</v>
      </c>
      <c r="AN46" s="373">
        <f>(SUMIFS(RN!AN$80:AN$82,RN!$C$80:$C$82,$C46)+SUMIFS(IP!AN$83:AN$85,IP!$C$83:$C$85,$C46)+SUMIFS(RL!AN$74:AN$76,RL!$C$74:$C$76,$C46)+SUMIFS(LU!AN$74:AN$76,LU!$C$74:$C$76,$C46))*AN22</f>
        <v>0</v>
      </c>
      <c r="AO46" s="373">
        <f>(SUMIFS(RN!AO$80:AO$82,RN!$C$80:$C$82,$C46)+SUMIFS(IP!AO$83:AO$85,IP!$C$83:$C$85,$C46)+SUMIFS(RL!AO$74:AO$76,RL!$C$74:$C$76,$C46)+SUMIFS(LU!AO$74:AO$76,LU!$C$74:$C$76,$C46))*AO22</f>
        <v>0</v>
      </c>
      <c r="AP46" s="373">
        <f>(SUMIFS(RN!AP$80:AP$82,RN!$C$80:$C$82,$C46)+SUMIFS(IP!AP$83:AP$85,IP!$C$83:$C$85,$C46)+SUMIFS(RL!AP$74:AP$76,RL!$C$74:$C$76,$C46)+SUMIFS(LU!AP$74:AP$76,LU!$C$74:$C$76,$C46))*AP22</f>
        <v>0</v>
      </c>
      <c r="AQ46" s="373">
        <f>(SUMIFS(RN!AQ$80:AQ$82,RN!$C$80:$C$82,$C46)+SUMIFS(IP!AQ$83:AQ$85,IP!$C$83:$C$85,$C46)+SUMIFS(RL!AQ$74:AQ$76,RL!$C$74:$C$76,$C46)+SUMIFS(LU!AQ$74:AQ$76,LU!$C$74:$C$76,$C46))*AQ22</f>
        <v>0</v>
      </c>
      <c r="AR46" s="373">
        <f>(SUMIFS(RN!AR$80:AR$82,RN!$C$80:$C$82,$C46)+SUMIFS(IP!AR$83:AR$85,IP!$C$83:$C$85,$C46)+SUMIFS(RL!AR$74:AR$76,RL!$C$74:$C$76,$C46)+SUMIFS(LU!AR$74:AR$76,LU!$C$74:$C$76,$C46))*AR22</f>
        <v>0</v>
      </c>
      <c r="AS46" s="373">
        <f>(SUMIFS(RN!AS$80:AS$82,RN!$C$80:$C$82,$C46)+SUMIFS(IP!AS$83:AS$85,IP!$C$83:$C$85,$C46)+SUMIFS(RL!AS$74:AS$76,RL!$C$74:$C$76,$C46)+SUMIFS(LU!AS$74:AS$76,LU!$C$74:$C$76,$C46))*AS22</f>
        <v>0</v>
      </c>
      <c r="AT46" s="373">
        <f>(SUMIFS(RN!AT$80:AT$82,RN!$C$80:$C$82,$C46)+SUMIFS(IP!AT$83:AT$85,IP!$C$83:$C$85,$C46)+SUMIFS(RL!AT$74:AT$76,RL!$C$74:$C$76,$C46)+SUMIFS(LU!AT$74:AT$76,LU!$C$74:$C$76,$C46))*AT22</f>
        <v>0</v>
      </c>
      <c r="AU46" s="373">
        <f>(SUMIFS(RN!AU$80:AU$82,RN!$C$80:$C$82,$C46)+SUMIFS(IP!AU$83:AU$85,IP!$C$83:$C$85,$C46)+SUMIFS(RL!AU$74:AU$76,RL!$C$74:$C$76,$C46)+SUMIFS(LU!AU$74:AU$76,LU!$C$74:$C$76,$C46))*AU22</f>
        <v>0</v>
      </c>
      <c r="AV46" s="373">
        <f>(SUMIFS(RN!AV$80:AV$82,RN!$C$80:$C$82,$C46)+SUMIFS(IP!AV$83:AV$85,IP!$C$83:$C$85,$C46)+SUMIFS(RL!AV$74:AV$76,RL!$C$74:$C$76,$C46)+SUMIFS(LU!AV$74:AV$76,LU!$C$74:$C$76,$C46))*AV22</f>
        <v>0</v>
      </c>
      <c r="AW46" s="373">
        <f>(SUMIFS(RN!AW$80:AW$82,RN!$C$80:$C$82,$C46)+SUMIFS(IP!AW$83:AW$85,IP!$C$83:$C$85,$C46)+SUMIFS(RL!AW$74:AW$76,RL!$C$74:$C$76,$C46)+SUMIFS(LU!AW$74:AW$76,LU!$C$74:$C$76,$C46))*AW22</f>
        <v>0</v>
      </c>
      <c r="AX46" s="373">
        <f>(SUMIFS(RN!AX$80:AX$82,RN!$C$80:$C$82,$C46)+SUMIFS(IP!AX$83:AX$85,IP!$C$83:$C$85,$C46)+SUMIFS(RL!AX$74:AX$76,RL!$C$74:$C$76,$C46)+SUMIFS(LU!AX$74:AX$76,LU!$C$74:$C$76,$C46))*AX22</f>
        <v>0</v>
      </c>
      <c r="AY46" s="373">
        <f>(SUMIFS(RN!AY$80:AY$82,RN!$C$80:$C$82,$C46)+SUMIFS(IP!AY$83:AY$85,IP!$C$83:$C$85,$C46)+SUMIFS(RL!AY$74:AY$76,RL!$C$74:$C$76,$C46)+SUMIFS(LU!AY$74:AY$76,LU!$C$74:$C$76,$C46))*AY22</f>
        <v>0</v>
      </c>
      <c r="AZ46" s="373">
        <f>(SUMIFS(RN!AZ$80:AZ$82,RN!$C$80:$C$82,$C46)+SUMIFS(IP!AZ$83:AZ$85,IP!$C$83:$C$85,$C46)+SUMIFS(RL!AZ$74:AZ$76,RL!$C$74:$C$76,$C46)+SUMIFS(LU!AZ$74:AZ$76,LU!$C$74:$C$76,$C46))*AZ22</f>
        <v>0</v>
      </c>
      <c r="BA46" s="373">
        <f>(SUMIFS(RN!BA$80:BA$82,RN!$C$80:$C$82,$C46)+SUMIFS(IP!BA$83:BA$85,IP!$C$83:$C$85,$C46)+SUMIFS(RL!BA$74:BA$76,RL!$C$74:$C$76,$C46)+SUMIFS(LU!BA$74:BA$76,LU!$C$74:$C$76,$C46))*BA22</f>
        <v>0</v>
      </c>
      <c r="BB46" s="373">
        <f>(SUMIFS(RN!BB$80:BB$82,RN!$C$80:$C$82,$C46)+SUMIFS(IP!BB$83:BB$85,IP!$C$83:$C$85,$C46)+SUMIFS(RL!BB$74:BB$76,RL!$C$74:$C$76,$C46)+SUMIFS(LU!BB$74:BB$76,LU!$C$74:$C$76,$C46))*BB22</f>
        <v>0</v>
      </c>
      <c r="BC46" s="373">
        <f>(SUMIFS(RN!BC$80:BC$82,RN!$C$80:$C$82,$C46)+SUMIFS(IP!BC$83:BC$85,IP!$C$83:$C$85,$C46)+SUMIFS(RL!BC$74:BC$76,RL!$C$74:$C$76,$C46)+SUMIFS(LU!BC$74:BC$76,LU!$C$74:$C$76,$C46))*BC22</f>
        <v>0</v>
      </c>
      <c r="BD46" s="373">
        <f>(SUMIFS(RN!BD$80:BD$82,RN!$C$80:$C$82,$C46)+SUMIFS(IP!BD$83:BD$85,IP!$C$83:$C$85,$C46)+SUMIFS(RL!BD$74:BD$76,RL!$C$74:$C$76,$C46)+SUMIFS(LU!BD$74:BD$76,LU!$C$74:$C$76,$C46))*BD22</f>
        <v>0</v>
      </c>
      <c r="BE46" s="373">
        <f>(SUMIFS(RN!BE$80:BE$82,RN!$C$80:$C$82,$C46)+SUMIFS(IP!BE$83:BE$85,IP!$C$83:$C$85,$C46)+SUMIFS(RL!BE$74:BE$76,RL!$C$74:$C$76,$C46)+SUMIFS(LU!BE$74:BE$76,LU!$C$74:$C$76,$C46))*BE22</f>
        <v>0</v>
      </c>
      <c r="BF46" s="373">
        <f>(SUMIFS(RN!BF$80:BF$82,RN!$C$80:$C$82,$C46)+SUMIFS(IP!BF$83:BF$85,IP!$C$83:$C$85,$C46)+SUMIFS(RL!BF$74:BF$76,RL!$C$74:$C$76,$C46)+SUMIFS(LU!BF$74:BF$76,LU!$C$74:$C$76,$C46))*BF22</f>
        <v>0</v>
      </c>
      <c r="BG46" s="373">
        <f>(SUMIFS(RN!BG$80:BG$82,RN!$C$80:$C$82,$C46)+SUMIFS(IP!BG$83:BG$85,IP!$C$83:$C$85,$C46)+SUMIFS(RL!BG$74:BG$76,RL!$C$74:$C$76,$C46)+SUMIFS(LU!BG$74:BG$76,LU!$C$74:$C$76,$C46))*BG22</f>
        <v>0</v>
      </c>
      <c r="BI46" s="106" t="s">
        <v>153</v>
      </c>
      <c r="BK46" s="321">
        <f>SUMPRODUCT($T46:$BG46,$T30:$BG30)</f>
        <v>1000</v>
      </c>
    </row>
    <row r="47" spans="2:63">
      <c r="C47" s="269"/>
      <c r="E47" s="269"/>
      <c r="G47" s="269"/>
      <c r="I47" s="26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s="259"/>
      <c r="AY47" s="259"/>
      <c r="AZ47" s="259"/>
      <c r="BA47" s="259"/>
      <c r="BB47" s="259"/>
      <c r="BC47" s="259"/>
      <c r="BD47" s="259"/>
      <c r="BE47" s="259"/>
      <c r="BF47" s="259"/>
      <c r="BG47" s="259"/>
      <c r="BI47" s="269"/>
      <c r="BK47" s="269"/>
    </row>
    <row r="48" spans="2:63">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s="259"/>
      <c r="AY48" s="259"/>
      <c r="AZ48" s="259"/>
      <c r="BA48" s="259"/>
      <c r="BB48" s="259"/>
      <c r="BC48" s="259"/>
      <c r="BD48" s="259"/>
      <c r="BE48" s="259"/>
      <c r="BF48" s="259"/>
      <c r="BG48" s="259"/>
    </row>
    <row r="49" spans="2:63" s="90" customFormat="1">
      <c r="B49" s="91">
        <f ca="1">MAX(A$1:$B48)+1</f>
        <v>6</v>
      </c>
      <c r="C49" s="92" t="s">
        <v>309</v>
      </c>
    </row>
    <row r="51" spans="2:63" ht="30">
      <c r="C51" s="97" t="s">
        <v>4</v>
      </c>
      <c r="E51" s="97" t="s">
        <v>6</v>
      </c>
      <c r="G51" s="101" t="s">
        <v>272</v>
      </c>
      <c r="I51" s="101" t="s">
        <v>150</v>
      </c>
      <c r="BI51" s="327" t="s">
        <v>152</v>
      </c>
      <c r="BK51" s="328" t="s">
        <v>405</v>
      </c>
    </row>
    <row r="52" spans="2:63">
      <c r="C52" s="99">
        <f>AA!C13</f>
        <v>1</v>
      </c>
      <c r="E52" s="93" t="str">
        <f>INDEX(AA!$AC$13:$AC$15,MATCH($C52,AA!$C$13:$C$15,0))</f>
        <v>backup</v>
      </c>
      <c r="G52" s="1324">
        <f>INDEX(AA!$E$13:$E$15,MATCH($C52,AA!$C$13:$C$15,0))</f>
        <v>1</v>
      </c>
      <c r="I52" s="72" t="s">
        <v>309</v>
      </c>
      <c r="T52" s="373">
        <f>(SUMIFS(IP!T$92:T$94,IP!$C$92:$C$94,$C52)+SUMIFS(RN!T$89:T$91,RN!$C$89:$C$91,$C52)+SUMIFS(RL!T$83:T$85,RL!$C$83:$C$85,$C52)+SUMIFS(LU!T$83:T$85,LU!$C$83:$C$85,PCF!$C52))*T20</f>
        <v>25046.743737887322</v>
      </c>
      <c r="U52" s="373">
        <f>(SUMIFS(IP!U$92:U$94,IP!$C$92:$C$94,$C52)+SUMIFS(RN!U$89:U$91,RN!$C$89:$C$91,$C52)+SUMIFS(RL!U$83:U$85,RL!$C$83:$C$85,$C52)+SUMIFS(LU!U$83:U$85,LU!$C$83:$C$85,PCF!$C52))*U20</f>
        <v>25093.574874855913</v>
      </c>
      <c r="V52" s="373">
        <f>(SUMIFS(IP!V$92:V$94,IP!$C$92:$C$94,$C52)+SUMIFS(RN!V$89:V$91,RN!$C$89:$C$91,$C52)+SUMIFS(RL!V$83:V$85,RL!$C$83:$C$85,$C52)+SUMIFS(LU!V$83:V$85,LU!$C$83:$C$85,PCF!$C52))*V20</f>
        <v>25140.49357432016</v>
      </c>
      <c r="W52" s="373">
        <f>(SUMIFS(IP!W$92:W$94,IP!$C$92:$C$94,$C52)+SUMIFS(RN!W$89:W$91,RN!$C$89:$C$91,$C52)+SUMIFS(RL!W$83:W$85,RL!$C$83:$C$85,$C52)+SUMIFS(LU!W$83:W$85,LU!$C$83:$C$85,PCF!$C52))*W20</f>
        <v>25187.499999999996</v>
      </c>
      <c r="X52" s="373">
        <f>(SUMIFS(IP!X$92:X$94,IP!$C$92:$C$94,$C52)+SUMIFS(RN!X$89:X$91,RN!$C$89:$C$91,$C52)+SUMIFS(RL!X$83:X$85,RL!$C$83:$C$85,$C52)+SUMIFS(LU!X$83:X$85,LU!$C$83:$C$85,PCF!$C52))*X20</f>
        <v>25234.594315921473</v>
      </c>
      <c r="Y52" s="373">
        <f>(SUMIFS(IP!Y$92:Y$94,IP!$C$92:$C$94,$C52)+SUMIFS(RN!Y$89:Y$91,RN!$C$89:$C$91,$C52)+SUMIFS(RL!Y$83:Y$85,RL!$C$83:$C$85,$C52)+SUMIFS(LU!Y$83:Y$85,LU!$C$83:$C$85,PCF!$C52))*Y20</f>
        <v>25281.776686417325</v>
      </c>
      <c r="Z52" s="373">
        <f>(SUMIFS(IP!Z$92:Z$94,IP!$C$92:$C$94,$C52)+SUMIFS(RN!Z$89:Z$91,RN!$C$89:$C$91,$C52)+SUMIFS(RL!Z$83:Z$85,RL!$C$83:$C$85,$C52)+SUMIFS(LU!Z$83:Z$85,LU!$C$83:$C$85,PCF!$C52))*Z20</f>
        <v>25329.047276127552</v>
      </c>
      <c r="AA52" s="373">
        <f>(SUMIFS(IP!AA$92:AA$94,IP!$C$92:$C$94,$C52)+SUMIFS(RN!AA$89:AA$91,RN!$C$89:$C$91,$C52)+SUMIFS(RL!AA$83:AA$85,RL!$C$83:$C$85,$C52)+SUMIFS(LU!AA$83:AA$85,LU!$C$83:$C$85,PCF!$C52))*AA20</f>
        <v>25376.406249999989</v>
      </c>
      <c r="AB52" s="373">
        <f>(SUMIFS(IP!AB$92:AB$94,IP!$C$92:$C$94,$C52)+SUMIFS(RN!AB$89:AB$91,RN!$C$89:$C$91,$C52)+SUMIFS(RL!AB$83:AB$85,RL!$C$83:$C$85,$C52)+SUMIFS(LU!AB$83:AB$85,LU!$C$83:$C$85,PCF!$C52))*AB20</f>
        <v>25423.853773290877</v>
      </c>
      <c r="AC52" s="373">
        <f>(SUMIFS(IP!AC$92:AC$94,IP!$C$92:$C$94,$C52)+SUMIFS(RN!AC$89:AC$91,RN!$C$89:$C$91,$C52)+SUMIFS(RL!AC$83:AC$85,RL!$C$83:$C$85,$C52)+SUMIFS(LU!AC$83:AC$85,LU!$C$83:$C$85,PCF!$C52))*AC20</f>
        <v>25471.390011565447</v>
      </c>
      <c r="AD52" s="373">
        <f>(SUMIFS(IP!AD$92:AD$94,IP!$C$92:$C$94,$C52)+SUMIFS(RN!AD$89:AD$91,RN!$C$89:$C$91,$C52)+SUMIFS(RL!AD$83:AD$85,RL!$C$83:$C$85,$C52)+SUMIFS(LU!AD$83:AD$85,LU!$C$83:$C$85,PCF!$C52))*AD20</f>
        <v>25519.015130698503</v>
      </c>
      <c r="AE52" s="373">
        <f>(SUMIFS(IP!AE$92:AE$94,IP!$C$92:$C$94,$C52)+SUMIFS(RN!AE$89:AE$91,RN!$C$89:$C$91,$C52)+SUMIFS(RL!AE$83:AE$85,RL!$C$83:$C$85,$C52)+SUMIFS(LU!AE$83:AE$85,LU!$C$83:$C$85,PCF!$C52))*AE20</f>
        <v>25566.729296874979</v>
      </c>
      <c r="AF52" s="373">
        <f>(SUMIFS(IP!AF$92:AF$94,IP!$C$92:$C$94,$C52)+SUMIFS(RN!AF$89:AF$91,RN!$C$89:$C$91,$C52)+SUMIFS(RL!AF$83:AF$85,RL!$C$83:$C$85,$C52)+SUMIFS(LU!AF$83:AF$85,LU!$C$83:$C$85,PCF!$C52))*AF20</f>
        <v>0</v>
      </c>
      <c r="AG52" s="373">
        <f>(SUMIFS(IP!AG$92:AG$94,IP!$C$92:$C$94,$C52)+SUMIFS(RN!AG$89:AG$91,RN!$C$89:$C$91,$C52)+SUMIFS(RL!AG$83:AG$85,RL!$C$83:$C$85,$C52)+SUMIFS(LU!AG$83:AG$85,LU!$C$83:$C$85,PCF!$C52))*AG20</f>
        <v>0</v>
      </c>
      <c r="AH52" s="373">
        <f>(SUMIFS(IP!AH$92:AH$94,IP!$C$92:$C$94,$C52)+SUMIFS(RN!AH$89:AH$91,RN!$C$89:$C$91,$C52)+SUMIFS(RL!AH$83:AH$85,RL!$C$83:$C$85,$C52)+SUMIFS(LU!AH$83:AH$85,LU!$C$83:$C$85,PCF!$C52))*AH20</f>
        <v>0</v>
      </c>
      <c r="AI52" s="373">
        <f>(SUMIFS(IP!AI$92:AI$94,IP!$C$92:$C$94,$C52)+SUMIFS(RN!AI$89:AI$91,RN!$C$89:$C$91,$C52)+SUMIFS(RL!AI$83:AI$85,RL!$C$83:$C$85,$C52)+SUMIFS(LU!AI$83:AI$85,LU!$C$83:$C$85,PCF!$C52))*AI20</f>
        <v>0</v>
      </c>
      <c r="AJ52" s="373">
        <f>(SUMIFS(IP!AJ$92:AJ$94,IP!$C$92:$C$94,$C52)+SUMIFS(RN!AJ$89:AJ$91,RN!$C$89:$C$91,$C52)+SUMIFS(RL!AJ$83:AJ$85,RL!$C$83:$C$85,$C52)+SUMIFS(LU!AJ$83:AJ$85,LU!$C$83:$C$85,PCF!$C52))*AJ20</f>
        <v>0</v>
      </c>
      <c r="AK52" s="373">
        <f>(SUMIFS(IP!AK$92:AK$94,IP!$C$92:$C$94,$C52)+SUMIFS(RN!AK$89:AK$91,RN!$C$89:$C$91,$C52)+SUMIFS(RL!AK$83:AK$85,RL!$C$83:$C$85,$C52)+SUMIFS(LU!AK$83:AK$85,LU!$C$83:$C$85,PCF!$C52))*AK20</f>
        <v>0</v>
      </c>
      <c r="AL52" s="373">
        <f>(SUMIFS(IP!AL$92:AL$94,IP!$C$92:$C$94,$C52)+SUMIFS(RN!AL$89:AL$91,RN!$C$89:$C$91,$C52)+SUMIFS(RL!AL$83:AL$85,RL!$C$83:$C$85,$C52)+SUMIFS(LU!AL$83:AL$85,LU!$C$83:$C$85,PCF!$C52))*AL20</f>
        <v>0</v>
      </c>
      <c r="AM52" s="373">
        <f>(SUMIFS(IP!AM$92:AM$94,IP!$C$92:$C$94,$C52)+SUMIFS(RN!AM$89:AM$91,RN!$C$89:$C$91,$C52)+SUMIFS(RL!AM$83:AM$85,RL!$C$83:$C$85,$C52)+SUMIFS(LU!AM$83:AM$85,LU!$C$83:$C$85,PCF!$C52))*AM20</f>
        <v>0</v>
      </c>
      <c r="AN52" s="373">
        <f>(SUMIFS(IP!AN$92:AN$94,IP!$C$92:$C$94,$C52)+SUMIFS(RN!AN$89:AN$91,RN!$C$89:$C$91,$C52)+SUMIFS(RL!AN$83:AN$85,RL!$C$83:$C$85,$C52)+SUMIFS(LU!AN$83:AN$85,LU!$C$83:$C$85,PCF!$C52))*AN20</f>
        <v>0</v>
      </c>
      <c r="AO52" s="373">
        <f>(SUMIFS(IP!AO$92:AO$94,IP!$C$92:$C$94,$C52)+SUMIFS(RN!AO$89:AO$91,RN!$C$89:$C$91,$C52)+SUMIFS(RL!AO$83:AO$85,RL!$C$83:$C$85,$C52)+SUMIFS(LU!AO$83:AO$85,LU!$C$83:$C$85,PCF!$C52))*AO20</f>
        <v>0</v>
      </c>
      <c r="AP52" s="373">
        <f>(SUMIFS(IP!AP$92:AP$94,IP!$C$92:$C$94,$C52)+SUMIFS(RN!AP$89:AP$91,RN!$C$89:$C$91,$C52)+SUMIFS(RL!AP$83:AP$85,RL!$C$83:$C$85,$C52)+SUMIFS(LU!AP$83:AP$85,LU!$C$83:$C$85,PCF!$C52))*AP20</f>
        <v>0</v>
      </c>
      <c r="AQ52" s="373">
        <f>(SUMIFS(IP!AQ$92:AQ$94,IP!$C$92:$C$94,$C52)+SUMIFS(RN!AQ$89:AQ$91,RN!$C$89:$C$91,$C52)+SUMIFS(RL!AQ$83:AQ$85,RL!$C$83:$C$85,$C52)+SUMIFS(LU!AQ$83:AQ$85,LU!$C$83:$C$85,PCF!$C52))*AQ20</f>
        <v>0</v>
      </c>
      <c r="AR52" s="373">
        <f>(SUMIFS(IP!AR$92:AR$94,IP!$C$92:$C$94,$C52)+SUMIFS(RN!AR$89:AR$91,RN!$C$89:$C$91,$C52)+SUMIFS(RL!AR$83:AR$85,RL!$C$83:$C$85,$C52)+SUMIFS(LU!AR$83:AR$85,LU!$C$83:$C$85,PCF!$C52))*AR20</f>
        <v>0</v>
      </c>
      <c r="AS52" s="373">
        <f>(SUMIFS(IP!AS$92:AS$94,IP!$C$92:$C$94,$C52)+SUMIFS(RN!AS$89:AS$91,RN!$C$89:$C$91,$C52)+SUMIFS(RL!AS$83:AS$85,RL!$C$83:$C$85,$C52)+SUMIFS(LU!AS$83:AS$85,LU!$C$83:$C$85,PCF!$C52))*AS20</f>
        <v>0</v>
      </c>
      <c r="AT52" s="373">
        <f>(SUMIFS(IP!AT$92:AT$94,IP!$C$92:$C$94,$C52)+SUMIFS(RN!AT$89:AT$91,RN!$C$89:$C$91,$C52)+SUMIFS(RL!AT$83:AT$85,RL!$C$83:$C$85,$C52)+SUMIFS(LU!AT$83:AT$85,LU!$C$83:$C$85,PCF!$C52))*AT20</f>
        <v>0</v>
      </c>
      <c r="AU52" s="373">
        <f>(SUMIFS(IP!AU$92:AU$94,IP!$C$92:$C$94,$C52)+SUMIFS(RN!AU$89:AU$91,RN!$C$89:$C$91,$C52)+SUMIFS(RL!AU$83:AU$85,RL!$C$83:$C$85,$C52)+SUMIFS(LU!AU$83:AU$85,LU!$C$83:$C$85,PCF!$C52))*AU20</f>
        <v>0</v>
      </c>
      <c r="AV52" s="373">
        <f>(SUMIFS(IP!AV$92:AV$94,IP!$C$92:$C$94,$C52)+SUMIFS(RN!AV$89:AV$91,RN!$C$89:$C$91,$C52)+SUMIFS(RL!AV$83:AV$85,RL!$C$83:$C$85,$C52)+SUMIFS(LU!AV$83:AV$85,LU!$C$83:$C$85,PCF!$C52))*AV20</f>
        <v>0</v>
      </c>
      <c r="AW52" s="373">
        <f>(SUMIFS(IP!AW$92:AW$94,IP!$C$92:$C$94,$C52)+SUMIFS(RN!AW$89:AW$91,RN!$C$89:$C$91,$C52)+SUMIFS(RL!AW$83:AW$85,RL!$C$83:$C$85,$C52)+SUMIFS(LU!AW$83:AW$85,LU!$C$83:$C$85,PCF!$C52))*AW20</f>
        <v>0</v>
      </c>
      <c r="AX52" s="373">
        <f>(SUMIFS(IP!AX$92:AX$94,IP!$C$92:$C$94,$C52)+SUMIFS(RN!AX$89:AX$91,RN!$C$89:$C$91,$C52)+SUMIFS(RL!AX$83:AX$85,RL!$C$83:$C$85,$C52)+SUMIFS(LU!AX$83:AX$85,LU!$C$83:$C$85,PCF!$C52))*AX20</f>
        <v>0</v>
      </c>
      <c r="AY52" s="373">
        <f>(SUMIFS(IP!AY$92:AY$94,IP!$C$92:$C$94,$C52)+SUMIFS(RN!AY$89:AY$91,RN!$C$89:$C$91,$C52)+SUMIFS(RL!AY$83:AY$85,RL!$C$83:$C$85,$C52)+SUMIFS(LU!AY$83:AY$85,LU!$C$83:$C$85,PCF!$C52))*AY20</f>
        <v>0</v>
      </c>
      <c r="AZ52" s="373">
        <f>(SUMIFS(IP!AZ$92:AZ$94,IP!$C$92:$C$94,$C52)+SUMIFS(RN!AZ$89:AZ$91,RN!$C$89:$C$91,$C52)+SUMIFS(RL!AZ$83:AZ$85,RL!$C$83:$C$85,$C52)+SUMIFS(LU!AZ$83:AZ$85,LU!$C$83:$C$85,PCF!$C52))*AZ20</f>
        <v>0</v>
      </c>
      <c r="BA52" s="373">
        <f>(SUMIFS(IP!BA$92:BA$94,IP!$C$92:$C$94,$C52)+SUMIFS(RN!BA$89:BA$91,RN!$C$89:$C$91,$C52)+SUMIFS(RL!BA$83:BA$85,RL!$C$83:$C$85,$C52)+SUMIFS(LU!BA$83:BA$85,LU!$C$83:$C$85,PCF!$C52))*BA20</f>
        <v>0</v>
      </c>
      <c r="BB52" s="373">
        <f>(SUMIFS(IP!BB$92:BB$94,IP!$C$92:$C$94,$C52)+SUMIFS(RN!BB$89:BB$91,RN!$C$89:$C$91,$C52)+SUMIFS(RL!BB$83:BB$85,RL!$C$83:$C$85,$C52)+SUMIFS(LU!BB$83:BB$85,LU!$C$83:$C$85,PCF!$C52))*BB20</f>
        <v>0</v>
      </c>
      <c r="BC52" s="373">
        <f>(SUMIFS(IP!BC$92:BC$94,IP!$C$92:$C$94,$C52)+SUMIFS(RN!BC$89:BC$91,RN!$C$89:$C$91,$C52)+SUMIFS(RL!BC$83:BC$85,RL!$C$83:$C$85,$C52)+SUMIFS(LU!BC$83:BC$85,LU!$C$83:$C$85,PCF!$C52))*BC20</f>
        <v>0</v>
      </c>
      <c r="BD52" s="373">
        <f>(SUMIFS(IP!BD$92:BD$94,IP!$C$92:$C$94,$C52)+SUMIFS(RN!BD$89:BD$91,RN!$C$89:$C$91,$C52)+SUMIFS(RL!BD$83:BD$85,RL!$C$83:$C$85,$C52)+SUMIFS(LU!BD$83:BD$85,LU!$C$83:$C$85,PCF!$C52))*BD20</f>
        <v>0</v>
      </c>
      <c r="BE52" s="373">
        <f>(SUMIFS(IP!BE$92:BE$94,IP!$C$92:$C$94,$C52)+SUMIFS(RN!BE$89:BE$91,RN!$C$89:$C$91,$C52)+SUMIFS(RL!BE$83:BE$85,RL!$C$83:$C$85,$C52)+SUMIFS(LU!BE$83:BE$85,LU!$C$83:$C$85,PCF!$C52))*BE20</f>
        <v>0</v>
      </c>
      <c r="BF52" s="373">
        <f>(SUMIFS(IP!BF$92:BF$94,IP!$C$92:$C$94,$C52)+SUMIFS(RN!BF$89:BF$91,RN!$C$89:$C$91,$C52)+SUMIFS(RL!BF$83:BF$85,RL!$C$83:$C$85,$C52)+SUMIFS(LU!BF$83:BF$85,LU!$C$83:$C$85,PCF!$C52))*BF20</f>
        <v>0</v>
      </c>
      <c r="BG52" s="373">
        <f>(SUMIFS(IP!BG$92:BG$94,IP!$C$92:$C$94,$C52)+SUMIFS(RN!BG$89:BG$91,RN!$C$89:$C$91,$C52)+SUMIFS(RL!BG$83:BG$85,RL!$C$83:$C$85,$C52)+SUMIFS(LU!BG$83:BG$85,LU!$C$83:$C$85,PCF!$C52))*BG20</f>
        <v>0</v>
      </c>
      <c r="BI52" s="238">
        <f>SUM(T52:BG52)</f>
        <v>303671.12492795952</v>
      </c>
      <c r="BK52" s="320">
        <f>SUMPRODUCT($T52:$BG52,$T28:$BG28)*4</f>
        <v>102266.91718749992</v>
      </c>
    </row>
    <row r="53" spans="2:63">
      <c r="C53" s="99">
        <f>AA!C14</f>
        <v>2</v>
      </c>
      <c r="E53" s="94" t="str">
        <f>INDEX(AA!$AC$13:$AC$15,MATCH($C53,AA!$C$13:$C$15,0))</f>
        <v>backup</v>
      </c>
      <c r="G53" s="1325">
        <f>INDEX(AA!$E$13:$E$15,MATCH($C53,AA!$C$13:$C$15,0))</f>
        <v>1</v>
      </c>
      <c r="I53" s="73" t="s">
        <v>309</v>
      </c>
      <c r="T53" s="373">
        <f>(SUMIFS(IP!T$92:T$94,IP!$C$92:$C$94,$C53)+SUMIFS(RN!T$89:T$91,RN!$C$89:$C$91,$C53)+SUMIFS(RL!T$83:T$85,RL!$C$83:$C$85,$C53)+SUMIFS(LU!T$83:T$85,LU!$C$83:$C$85,PCF!$C53))*T21</f>
        <v>0</v>
      </c>
      <c r="U53" s="373">
        <f>(SUMIFS(IP!U$92:U$94,IP!$C$92:$C$94,$C53)+SUMIFS(RN!U$89:U$91,RN!$C$89:$C$91,$C53)+SUMIFS(RL!U$83:U$85,RL!$C$83:$C$85,$C53)+SUMIFS(LU!U$83:U$85,LU!$C$83:$C$85,PCF!$C53))*U21</f>
        <v>25093.574874855913</v>
      </c>
      <c r="V53" s="373">
        <f>(SUMIFS(IP!V$92:V$94,IP!$C$92:$C$94,$C53)+SUMIFS(RN!V$89:V$91,RN!$C$89:$C$91,$C53)+SUMIFS(RL!V$83:V$85,RL!$C$83:$C$85,$C53)+SUMIFS(LU!V$83:V$85,LU!$C$83:$C$85,PCF!$C53))*V21</f>
        <v>25140.49357432016</v>
      </c>
      <c r="W53" s="373">
        <f>(SUMIFS(IP!W$92:W$94,IP!$C$92:$C$94,$C53)+SUMIFS(RN!W$89:W$91,RN!$C$89:$C$91,$C53)+SUMIFS(RL!W$83:W$85,RL!$C$83:$C$85,$C53)+SUMIFS(LU!W$83:W$85,LU!$C$83:$C$85,PCF!$C53))*W21</f>
        <v>25187.499999999996</v>
      </c>
      <c r="X53" s="373">
        <f>(SUMIFS(IP!X$92:X$94,IP!$C$92:$C$94,$C53)+SUMIFS(RN!X$89:X$91,RN!$C$89:$C$91,$C53)+SUMIFS(RL!X$83:X$85,RL!$C$83:$C$85,$C53)+SUMIFS(LU!X$83:X$85,LU!$C$83:$C$85,PCF!$C53))*X21</f>
        <v>25234.594315921473</v>
      </c>
      <c r="Y53" s="373">
        <f>(SUMIFS(IP!Y$92:Y$94,IP!$C$92:$C$94,$C53)+SUMIFS(RN!Y$89:Y$91,RN!$C$89:$C$91,$C53)+SUMIFS(RL!Y$83:Y$85,RL!$C$83:$C$85,$C53)+SUMIFS(LU!Y$83:Y$85,LU!$C$83:$C$85,PCF!$C53))*Y21</f>
        <v>25281.776686417325</v>
      </c>
      <c r="Z53" s="373">
        <f>(SUMIFS(IP!Z$92:Z$94,IP!$C$92:$C$94,$C53)+SUMIFS(RN!Z$89:Z$91,RN!$C$89:$C$91,$C53)+SUMIFS(RL!Z$83:Z$85,RL!$C$83:$C$85,$C53)+SUMIFS(LU!Z$83:Z$85,LU!$C$83:$C$85,PCF!$C53))*Z21</f>
        <v>25329.047276127552</v>
      </c>
      <c r="AA53" s="373">
        <f>(SUMIFS(IP!AA$92:AA$94,IP!$C$92:$C$94,$C53)+SUMIFS(RN!AA$89:AA$91,RN!$C$89:$C$91,$C53)+SUMIFS(RL!AA$83:AA$85,RL!$C$83:$C$85,$C53)+SUMIFS(LU!AA$83:AA$85,LU!$C$83:$C$85,PCF!$C53))*AA21</f>
        <v>25376.406249999989</v>
      </c>
      <c r="AB53" s="373">
        <f>(SUMIFS(IP!AB$92:AB$94,IP!$C$92:$C$94,$C53)+SUMIFS(RN!AB$89:AB$91,RN!$C$89:$C$91,$C53)+SUMIFS(RL!AB$83:AB$85,RL!$C$83:$C$85,$C53)+SUMIFS(LU!AB$83:AB$85,LU!$C$83:$C$85,PCF!$C53))*AB21</f>
        <v>25423.853773290877</v>
      </c>
      <c r="AC53" s="373">
        <f>(SUMIFS(IP!AC$92:AC$94,IP!$C$92:$C$94,$C53)+SUMIFS(RN!AC$89:AC$91,RN!$C$89:$C$91,$C53)+SUMIFS(RL!AC$83:AC$85,RL!$C$83:$C$85,$C53)+SUMIFS(LU!AC$83:AC$85,LU!$C$83:$C$85,PCF!$C53))*AC21</f>
        <v>25471.390011565447</v>
      </c>
      <c r="AD53" s="373">
        <f>(SUMIFS(IP!AD$92:AD$94,IP!$C$92:$C$94,$C53)+SUMIFS(RN!AD$89:AD$91,RN!$C$89:$C$91,$C53)+SUMIFS(RL!AD$83:AD$85,RL!$C$83:$C$85,$C53)+SUMIFS(LU!AD$83:AD$85,LU!$C$83:$C$85,PCF!$C53))*AD21</f>
        <v>25519.015130698503</v>
      </c>
      <c r="AE53" s="373">
        <f>(SUMIFS(IP!AE$92:AE$94,IP!$C$92:$C$94,$C53)+SUMIFS(RN!AE$89:AE$91,RN!$C$89:$C$91,$C53)+SUMIFS(RL!AE$83:AE$85,RL!$C$83:$C$85,$C53)+SUMIFS(LU!AE$83:AE$85,LU!$C$83:$C$85,PCF!$C53))*AE21</f>
        <v>25566.729296874979</v>
      </c>
      <c r="AF53" s="373">
        <f>(SUMIFS(IP!AF$92:AF$94,IP!$C$92:$C$94,$C53)+SUMIFS(RN!AF$89:AF$91,RN!$C$89:$C$91,$C53)+SUMIFS(RL!AF$83:AF$85,RL!$C$83:$C$85,$C53)+SUMIFS(LU!AF$83:AF$85,LU!$C$83:$C$85,PCF!$C53))*AF21</f>
        <v>0</v>
      </c>
      <c r="AG53" s="373">
        <f>(SUMIFS(IP!AG$92:AG$94,IP!$C$92:$C$94,$C53)+SUMIFS(RN!AG$89:AG$91,RN!$C$89:$C$91,$C53)+SUMIFS(RL!AG$83:AG$85,RL!$C$83:$C$85,$C53)+SUMIFS(LU!AG$83:AG$85,LU!$C$83:$C$85,PCF!$C53))*AG21</f>
        <v>0</v>
      </c>
      <c r="AH53" s="373">
        <f>(SUMIFS(IP!AH$92:AH$94,IP!$C$92:$C$94,$C53)+SUMIFS(RN!AH$89:AH$91,RN!$C$89:$C$91,$C53)+SUMIFS(RL!AH$83:AH$85,RL!$C$83:$C$85,$C53)+SUMIFS(LU!AH$83:AH$85,LU!$C$83:$C$85,PCF!$C53))*AH21</f>
        <v>0</v>
      </c>
      <c r="AI53" s="373">
        <f>(SUMIFS(IP!AI$92:AI$94,IP!$C$92:$C$94,$C53)+SUMIFS(RN!AI$89:AI$91,RN!$C$89:$C$91,$C53)+SUMIFS(RL!AI$83:AI$85,RL!$C$83:$C$85,$C53)+SUMIFS(LU!AI$83:AI$85,LU!$C$83:$C$85,PCF!$C53))*AI21</f>
        <v>0</v>
      </c>
      <c r="AJ53" s="373">
        <f>(SUMIFS(IP!AJ$92:AJ$94,IP!$C$92:$C$94,$C53)+SUMIFS(RN!AJ$89:AJ$91,RN!$C$89:$C$91,$C53)+SUMIFS(RL!AJ$83:AJ$85,RL!$C$83:$C$85,$C53)+SUMIFS(LU!AJ$83:AJ$85,LU!$C$83:$C$85,PCF!$C53))*AJ21</f>
        <v>0</v>
      </c>
      <c r="AK53" s="373">
        <f>(SUMIFS(IP!AK$92:AK$94,IP!$C$92:$C$94,$C53)+SUMIFS(RN!AK$89:AK$91,RN!$C$89:$C$91,$C53)+SUMIFS(RL!AK$83:AK$85,RL!$C$83:$C$85,$C53)+SUMIFS(LU!AK$83:AK$85,LU!$C$83:$C$85,PCF!$C53))*AK21</f>
        <v>0</v>
      </c>
      <c r="AL53" s="373">
        <f>(SUMIFS(IP!AL$92:AL$94,IP!$C$92:$C$94,$C53)+SUMIFS(RN!AL$89:AL$91,RN!$C$89:$C$91,$C53)+SUMIFS(RL!AL$83:AL$85,RL!$C$83:$C$85,$C53)+SUMIFS(LU!AL$83:AL$85,LU!$C$83:$C$85,PCF!$C53))*AL21</f>
        <v>0</v>
      </c>
      <c r="AM53" s="373">
        <f>(SUMIFS(IP!AM$92:AM$94,IP!$C$92:$C$94,$C53)+SUMIFS(RN!AM$89:AM$91,RN!$C$89:$C$91,$C53)+SUMIFS(RL!AM$83:AM$85,RL!$C$83:$C$85,$C53)+SUMIFS(LU!AM$83:AM$85,LU!$C$83:$C$85,PCF!$C53))*AM21</f>
        <v>0</v>
      </c>
      <c r="AN53" s="373">
        <f>(SUMIFS(IP!AN$92:AN$94,IP!$C$92:$C$94,$C53)+SUMIFS(RN!AN$89:AN$91,RN!$C$89:$C$91,$C53)+SUMIFS(RL!AN$83:AN$85,RL!$C$83:$C$85,$C53)+SUMIFS(LU!AN$83:AN$85,LU!$C$83:$C$85,PCF!$C53))*AN21</f>
        <v>0</v>
      </c>
      <c r="AO53" s="373">
        <f>(SUMIFS(IP!AO$92:AO$94,IP!$C$92:$C$94,$C53)+SUMIFS(RN!AO$89:AO$91,RN!$C$89:$C$91,$C53)+SUMIFS(RL!AO$83:AO$85,RL!$C$83:$C$85,$C53)+SUMIFS(LU!AO$83:AO$85,LU!$C$83:$C$85,PCF!$C53))*AO21</f>
        <v>0</v>
      </c>
      <c r="AP53" s="373">
        <f>(SUMIFS(IP!AP$92:AP$94,IP!$C$92:$C$94,$C53)+SUMIFS(RN!AP$89:AP$91,RN!$C$89:$C$91,$C53)+SUMIFS(RL!AP$83:AP$85,RL!$C$83:$C$85,$C53)+SUMIFS(LU!AP$83:AP$85,LU!$C$83:$C$85,PCF!$C53))*AP21</f>
        <v>0</v>
      </c>
      <c r="AQ53" s="373">
        <f>(SUMIFS(IP!AQ$92:AQ$94,IP!$C$92:$C$94,$C53)+SUMIFS(RN!AQ$89:AQ$91,RN!$C$89:$C$91,$C53)+SUMIFS(RL!AQ$83:AQ$85,RL!$C$83:$C$85,$C53)+SUMIFS(LU!AQ$83:AQ$85,LU!$C$83:$C$85,PCF!$C53))*AQ21</f>
        <v>0</v>
      </c>
      <c r="AR53" s="373">
        <f>(SUMIFS(IP!AR$92:AR$94,IP!$C$92:$C$94,$C53)+SUMIFS(RN!AR$89:AR$91,RN!$C$89:$C$91,$C53)+SUMIFS(RL!AR$83:AR$85,RL!$C$83:$C$85,$C53)+SUMIFS(LU!AR$83:AR$85,LU!$C$83:$C$85,PCF!$C53))*AR21</f>
        <v>0</v>
      </c>
      <c r="AS53" s="373">
        <f>(SUMIFS(IP!AS$92:AS$94,IP!$C$92:$C$94,$C53)+SUMIFS(RN!AS$89:AS$91,RN!$C$89:$C$91,$C53)+SUMIFS(RL!AS$83:AS$85,RL!$C$83:$C$85,$C53)+SUMIFS(LU!AS$83:AS$85,LU!$C$83:$C$85,PCF!$C53))*AS21</f>
        <v>0</v>
      </c>
      <c r="AT53" s="373">
        <f>(SUMIFS(IP!AT$92:AT$94,IP!$C$92:$C$94,$C53)+SUMIFS(RN!AT$89:AT$91,RN!$C$89:$C$91,$C53)+SUMIFS(RL!AT$83:AT$85,RL!$C$83:$C$85,$C53)+SUMIFS(LU!AT$83:AT$85,LU!$C$83:$C$85,PCF!$C53))*AT21</f>
        <v>0</v>
      </c>
      <c r="AU53" s="373">
        <f>(SUMIFS(IP!AU$92:AU$94,IP!$C$92:$C$94,$C53)+SUMIFS(RN!AU$89:AU$91,RN!$C$89:$C$91,$C53)+SUMIFS(RL!AU$83:AU$85,RL!$C$83:$C$85,$C53)+SUMIFS(LU!AU$83:AU$85,LU!$C$83:$C$85,PCF!$C53))*AU21</f>
        <v>0</v>
      </c>
      <c r="AV53" s="373">
        <f>(SUMIFS(IP!AV$92:AV$94,IP!$C$92:$C$94,$C53)+SUMIFS(RN!AV$89:AV$91,RN!$C$89:$C$91,$C53)+SUMIFS(RL!AV$83:AV$85,RL!$C$83:$C$85,$C53)+SUMIFS(LU!AV$83:AV$85,LU!$C$83:$C$85,PCF!$C53))*AV21</f>
        <v>0</v>
      </c>
      <c r="AW53" s="373">
        <f>(SUMIFS(IP!AW$92:AW$94,IP!$C$92:$C$94,$C53)+SUMIFS(RN!AW$89:AW$91,RN!$C$89:$C$91,$C53)+SUMIFS(RL!AW$83:AW$85,RL!$C$83:$C$85,$C53)+SUMIFS(LU!AW$83:AW$85,LU!$C$83:$C$85,PCF!$C53))*AW21</f>
        <v>0</v>
      </c>
      <c r="AX53" s="373">
        <f>(SUMIFS(IP!AX$92:AX$94,IP!$C$92:$C$94,$C53)+SUMIFS(RN!AX$89:AX$91,RN!$C$89:$C$91,$C53)+SUMIFS(RL!AX$83:AX$85,RL!$C$83:$C$85,$C53)+SUMIFS(LU!AX$83:AX$85,LU!$C$83:$C$85,PCF!$C53))*AX21</f>
        <v>0</v>
      </c>
      <c r="AY53" s="373">
        <f>(SUMIFS(IP!AY$92:AY$94,IP!$C$92:$C$94,$C53)+SUMIFS(RN!AY$89:AY$91,RN!$C$89:$C$91,$C53)+SUMIFS(RL!AY$83:AY$85,RL!$C$83:$C$85,$C53)+SUMIFS(LU!AY$83:AY$85,LU!$C$83:$C$85,PCF!$C53))*AY21</f>
        <v>0</v>
      </c>
      <c r="AZ53" s="373">
        <f>(SUMIFS(IP!AZ$92:AZ$94,IP!$C$92:$C$94,$C53)+SUMIFS(RN!AZ$89:AZ$91,RN!$C$89:$C$91,$C53)+SUMIFS(RL!AZ$83:AZ$85,RL!$C$83:$C$85,$C53)+SUMIFS(LU!AZ$83:AZ$85,LU!$C$83:$C$85,PCF!$C53))*AZ21</f>
        <v>0</v>
      </c>
      <c r="BA53" s="373">
        <f>(SUMIFS(IP!BA$92:BA$94,IP!$C$92:$C$94,$C53)+SUMIFS(RN!BA$89:BA$91,RN!$C$89:$C$91,$C53)+SUMIFS(RL!BA$83:BA$85,RL!$C$83:$C$85,$C53)+SUMIFS(LU!BA$83:BA$85,LU!$C$83:$C$85,PCF!$C53))*BA21</f>
        <v>0</v>
      </c>
      <c r="BB53" s="373">
        <f>(SUMIFS(IP!BB$92:BB$94,IP!$C$92:$C$94,$C53)+SUMIFS(RN!BB$89:BB$91,RN!$C$89:$C$91,$C53)+SUMIFS(RL!BB$83:BB$85,RL!$C$83:$C$85,$C53)+SUMIFS(LU!BB$83:BB$85,LU!$C$83:$C$85,PCF!$C53))*BB21</f>
        <v>0</v>
      </c>
      <c r="BC53" s="373">
        <f>(SUMIFS(IP!BC$92:BC$94,IP!$C$92:$C$94,$C53)+SUMIFS(RN!BC$89:BC$91,RN!$C$89:$C$91,$C53)+SUMIFS(RL!BC$83:BC$85,RL!$C$83:$C$85,$C53)+SUMIFS(LU!BC$83:BC$85,LU!$C$83:$C$85,PCF!$C53))*BC21</f>
        <v>0</v>
      </c>
      <c r="BD53" s="373">
        <f>(SUMIFS(IP!BD$92:BD$94,IP!$C$92:$C$94,$C53)+SUMIFS(RN!BD$89:BD$91,RN!$C$89:$C$91,$C53)+SUMIFS(RL!BD$83:BD$85,RL!$C$83:$C$85,$C53)+SUMIFS(LU!BD$83:BD$85,LU!$C$83:$C$85,PCF!$C53))*BD21</f>
        <v>0</v>
      </c>
      <c r="BE53" s="373">
        <f>(SUMIFS(IP!BE$92:BE$94,IP!$C$92:$C$94,$C53)+SUMIFS(RN!BE$89:BE$91,RN!$C$89:$C$91,$C53)+SUMIFS(RL!BE$83:BE$85,RL!$C$83:$C$85,$C53)+SUMIFS(LU!BE$83:BE$85,LU!$C$83:$C$85,PCF!$C53))*BE21</f>
        <v>0</v>
      </c>
      <c r="BF53" s="373">
        <f>(SUMIFS(IP!BF$92:BF$94,IP!$C$92:$C$94,$C53)+SUMIFS(RN!BF$89:BF$91,RN!$C$89:$C$91,$C53)+SUMIFS(RL!BF$83:BF$85,RL!$C$83:$C$85,$C53)+SUMIFS(LU!BF$83:BF$85,LU!$C$83:$C$85,PCF!$C53))*BF21</f>
        <v>0</v>
      </c>
      <c r="BG53" s="373">
        <f>(SUMIFS(IP!BG$92:BG$94,IP!$C$92:$C$94,$C53)+SUMIFS(RN!BG$89:BG$91,RN!$C$89:$C$91,$C53)+SUMIFS(RL!BG$83:BG$85,RL!$C$83:$C$85,$C53)+SUMIFS(LU!BG$83:BG$85,LU!$C$83:$C$85,PCF!$C53))*BG21</f>
        <v>0</v>
      </c>
      <c r="BI53" s="240">
        <f t="shared" ref="BI53:BI54" si="10">SUM(T53:BG53)</f>
        <v>278624.38119007222</v>
      </c>
      <c r="BK53" s="321">
        <f>SUMPRODUCT($T53:$BG53,$T29:$BG29)*4</f>
        <v>102266.91718749992</v>
      </c>
    </row>
    <row r="54" spans="2:63">
      <c r="C54" s="99">
        <f>AA!C15</f>
        <v>3</v>
      </c>
      <c r="E54" s="94" t="str">
        <f>INDEX(AA!$AC$13:$AC$15,MATCH($C54,AA!$C$13:$C$15,0))</f>
        <v>backup</v>
      </c>
      <c r="G54" s="1325">
        <f>INDEX(AA!$E$13:$E$15,MATCH($C54,AA!$C$13:$C$15,0))</f>
        <v>1</v>
      </c>
      <c r="I54" s="73" t="s">
        <v>309</v>
      </c>
      <c r="T54" s="373">
        <f>(SUMIFS(IP!T$92:T$94,IP!$C$92:$C$94,$C54)+SUMIFS(RN!T$89:T$91,RN!$C$89:$C$91,$C54)+SUMIFS(RL!T$83:T$85,RL!$C$83:$C$85,$C54)+SUMIFS(LU!T$83:T$85,LU!$C$83:$C$85,PCF!$C54))*T22</f>
        <v>0</v>
      </c>
      <c r="U54" s="373">
        <f>(SUMIFS(IP!U$92:U$94,IP!$C$92:$C$94,$C54)+SUMIFS(RN!U$89:U$91,RN!$C$89:$C$91,$C54)+SUMIFS(RL!U$83:U$85,RL!$C$83:$C$85,$C54)+SUMIFS(LU!U$83:U$85,LU!$C$83:$C$85,PCF!$C54))*U22</f>
        <v>0</v>
      </c>
      <c r="V54" s="373">
        <f>(SUMIFS(IP!V$92:V$94,IP!$C$92:$C$94,$C54)+SUMIFS(RN!V$89:V$91,RN!$C$89:$C$91,$C54)+SUMIFS(RL!V$83:V$85,RL!$C$83:$C$85,$C54)+SUMIFS(LU!V$83:V$85,LU!$C$83:$C$85,PCF!$C54))*V22</f>
        <v>25140.49357432016</v>
      </c>
      <c r="W54" s="373">
        <f>(SUMIFS(IP!W$92:W$94,IP!$C$92:$C$94,$C54)+SUMIFS(RN!W$89:W$91,RN!$C$89:$C$91,$C54)+SUMIFS(RL!W$83:W$85,RL!$C$83:$C$85,$C54)+SUMIFS(LU!W$83:W$85,LU!$C$83:$C$85,PCF!$C54))*W22</f>
        <v>25187.499999999996</v>
      </c>
      <c r="X54" s="373">
        <f>(SUMIFS(IP!X$92:X$94,IP!$C$92:$C$94,$C54)+SUMIFS(RN!X$89:X$91,RN!$C$89:$C$91,$C54)+SUMIFS(RL!X$83:X$85,RL!$C$83:$C$85,$C54)+SUMIFS(LU!X$83:X$85,LU!$C$83:$C$85,PCF!$C54))*X22</f>
        <v>25234.594315921473</v>
      </c>
      <c r="Y54" s="373">
        <f>(SUMIFS(IP!Y$92:Y$94,IP!$C$92:$C$94,$C54)+SUMIFS(RN!Y$89:Y$91,RN!$C$89:$C$91,$C54)+SUMIFS(RL!Y$83:Y$85,RL!$C$83:$C$85,$C54)+SUMIFS(LU!Y$83:Y$85,LU!$C$83:$C$85,PCF!$C54))*Y22</f>
        <v>25281.776686417325</v>
      </c>
      <c r="Z54" s="373">
        <f>(SUMIFS(IP!Z$92:Z$94,IP!$C$92:$C$94,$C54)+SUMIFS(RN!Z$89:Z$91,RN!$C$89:$C$91,$C54)+SUMIFS(RL!Z$83:Z$85,RL!$C$83:$C$85,$C54)+SUMIFS(LU!Z$83:Z$85,LU!$C$83:$C$85,PCF!$C54))*Z22</f>
        <v>25329.047276127552</v>
      </c>
      <c r="AA54" s="373">
        <f>(SUMIFS(IP!AA$92:AA$94,IP!$C$92:$C$94,$C54)+SUMIFS(RN!AA$89:AA$91,RN!$C$89:$C$91,$C54)+SUMIFS(RL!AA$83:AA$85,RL!$C$83:$C$85,$C54)+SUMIFS(LU!AA$83:AA$85,LU!$C$83:$C$85,PCF!$C54))*AA22</f>
        <v>25376.406249999989</v>
      </c>
      <c r="AB54" s="373">
        <f>(SUMIFS(IP!AB$92:AB$94,IP!$C$92:$C$94,$C54)+SUMIFS(RN!AB$89:AB$91,RN!$C$89:$C$91,$C54)+SUMIFS(RL!AB$83:AB$85,RL!$C$83:$C$85,$C54)+SUMIFS(LU!AB$83:AB$85,LU!$C$83:$C$85,PCF!$C54))*AB22</f>
        <v>25423.853773290877</v>
      </c>
      <c r="AC54" s="373">
        <f>(SUMIFS(IP!AC$92:AC$94,IP!$C$92:$C$94,$C54)+SUMIFS(RN!AC$89:AC$91,RN!$C$89:$C$91,$C54)+SUMIFS(RL!AC$83:AC$85,RL!$C$83:$C$85,$C54)+SUMIFS(LU!AC$83:AC$85,LU!$C$83:$C$85,PCF!$C54))*AC22</f>
        <v>25471.390011565447</v>
      </c>
      <c r="AD54" s="373">
        <f>(SUMIFS(IP!AD$92:AD$94,IP!$C$92:$C$94,$C54)+SUMIFS(RN!AD$89:AD$91,RN!$C$89:$C$91,$C54)+SUMIFS(RL!AD$83:AD$85,RL!$C$83:$C$85,$C54)+SUMIFS(LU!AD$83:AD$85,LU!$C$83:$C$85,PCF!$C54))*AD22</f>
        <v>25519.015130698503</v>
      </c>
      <c r="AE54" s="373">
        <f>(SUMIFS(IP!AE$92:AE$94,IP!$C$92:$C$94,$C54)+SUMIFS(RN!AE$89:AE$91,RN!$C$89:$C$91,$C54)+SUMIFS(RL!AE$83:AE$85,RL!$C$83:$C$85,$C54)+SUMIFS(LU!AE$83:AE$85,LU!$C$83:$C$85,PCF!$C54))*AE22</f>
        <v>25566.729296874979</v>
      </c>
      <c r="AF54" s="373">
        <f>(SUMIFS(IP!AF$92:AF$94,IP!$C$92:$C$94,$C54)+SUMIFS(RN!AF$89:AF$91,RN!$C$89:$C$91,$C54)+SUMIFS(RL!AF$83:AF$85,RL!$C$83:$C$85,$C54)+SUMIFS(LU!AF$83:AF$85,LU!$C$83:$C$85,PCF!$C54))*AF22</f>
        <v>0</v>
      </c>
      <c r="AG54" s="373">
        <f>(SUMIFS(IP!AG$92:AG$94,IP!$C$92:$C$94,$C54)+SUMIFS(RN!AG$89:AG$91,RN!$C$89:$C$91,$C54)+SUMIFS(RL!AG$83:AG$85,RL!$C$83:$C$85,$C54)+SUMIFS(LU!AG$83:AG$85,LU!$C$83:$C$85,PCF!$C54))*AG22</f>
        <v>0</v>
      </c>
      <c r="AH54" s="373">
        <f>(SUMIFS(IP!AH$92:AH$94,IP!$C$92:$C$94,$C54)+SUMIFS(RN!AH$89:AH$91,RN!$C$89:$C$91,$C54)+SUMIFS(RL!AH$83:AH$85,RL!$C$83:$C$85,$C54)+SUMIFS(LU!AH$83:AH$85,LU!$C$83:$C$85,PCF!$C54))*AH22</f>
        <v>0</v>
      </c>
      <c r="AI54" s="373">
        <f>(SUMIFS(IP!AI$92:AI$94,IP!$C$92:$C$94,$C54)+SUMIFS(RN!AI$89:AI$91,RN!$C$89:$C$91,$C54)+SUMIFS(RL!AI$83:AI$85,RL!$C$83:$C$85,$C54)+SUMIFS(LU!AI$83:AI$85,LU!$C$83:$C$85,PCF!$C54))*AI22</f>
        <v>0</v>
      </c>
      <c r="AJ54" s="373">
        <f>(SUMIFS(IP!AJ$92:AJ$94,IP!$C$92:$C$94,$C54)+SUMIFS(RN!AJ$89:AJ$91,RN!$C$89:$C$91,$C54)+SUMIFS(RL!AJ$83:AJ$85,RL!$C$83:$C$85,$C54)+SUMIFS(LU!AJ$83:AJ$85,LU!$C$83:$C$85,PCF!$C54))*AJ22</f>
        <v>0</v>
      </c>
      <c r="AK54" s="373">
        <f>(SUMIFS(IP!AK$92:AK$94,IP!$C$92:$C$94,$C54)+SUMIFS(RN!AK$89:AK$91,RN!$C$89:$C$91,$C54)+SUMIFS(RL!AK$83:AK$85,RL!$C$83:$C$85,$C54)+SUMIFS(LU!AK$83:AK$85,LU!$C$83:$C$85,PCF!$C54))*AK22</f>
        <v>0</v>
      </c>
      <c r="AL54" s="373">
        <f>(SUMIFS(IP!AL$92:AL$94,IP!$C$92:$C$94,$C54)+SUMIFS(RN!AL$89:AL$91,RN!$C$89:$C$91,$C54)+SUMIFS(RL!AL$83:AL$85,RL!$C$83:$C$85,$C54)+SUMIFS(LU!AL$83:AL$85,LU!$C$83:$C$85,PCF!$C54))*AL22</f>
        <v>0</v>
      </c>
      <c r="AM54" s="373">
        <f>(SUMIFS(IP!AM$92:AM$94,IP!$C$92:$C$94,$C54)+SUMIFS(RN!AM$89:AM$91,RN!$C$89:$C$91,$C54)+SUMIFS(RL!AM$83:AM$85,RL!$C$83:$C$85,$C54)+SUMIFS(LU!AM$83:AM$85,LU!$C$83:$C$85,PCF!$C54))*AM22</f>
        <v>0</v>
      </c>
      <c r="AN54" s="373">
        <f>(SUMIFS(IP!AN$92:AN$94,IP!$C$92:$C$94,$C54)+SUMIFS(RN!AN$89:AN$91,RN!$C$89:$C$91,$C54)+SUMIFS(RL!AN$83:AN$85,RL!$C$83:$C$85,$C54)+SUMIFS(LU!AN$83:AN$85,LU!$C$83:$C$85,PCF!$C54))*AN22</f>
        <v>0</v>
      </c>
      <c r="AO54" s="373">
        <f>(SUMIFS(IP!AO$92:AO$94,IP!$C$92:$C$94,$C54)+SUMIFS(RN!AO$89:AO$91,RN!$C$89:$C$91,$C54)+SUMIFS(RL!AO$83:AO$85,RL!$C$83:$C$85,$C54)+SUMIFS(LU!AO$83:AO$85,LU!$C$83:$C$85,PCF!$C54))*AO22</f>
        <v>0</v>
      </c>
      <c r="AP54" s="373">
        <f>(SUMIFS(IP!AP$92:AP$94,IP!$C$92:$C$94,$C54)+SUMIFS(RN!AP$89:AP$91,RN!$C$89:$C$91,$C54)+SUMIFS(RL!AP$83:AP$85,RL!$C$83:$C$85,$C54)+SUMIFS(LU!AP$83:AP$85,LU!$C$83:$C$85,PCF!$C54))*AP22</f>
        <v>0</v>
      </c>
      <c r="AQ54" s="373">
        <f>(SUMIFS(IP!AQ$92:AQ$94,IP!$C$92:$C$94,$C54)+SUMIFS(RN!AQ$89:AQ$91,RN!$C$89:$C$91,$C54)+SUMIFS(RL!AQ$83:AQ$85,RL!$C$83:$C$85,$C54)+SUMIFS(LU!AQ$83:AQ$85,LU!$C$83:$C$85,PCF!$C54))*AQ22</f>
        <v>0</v>
      </c>
      <c r="AR54" s="373">
        <f>(SUMIFS(IP!AR$92:AR$94,IP!$C$92:$C$94,$C54)+SUMIFS(RN!AR$89:AR$91,RN!$C$89:$C$91,$C54)+SUMIFS(RL!AR$83:AR$85,RL!$C$83:$C$85,$C54)+SUMIFS(LU!AR$83:AR$85,LU!$C$83:$C$85,PCF!$C54))*AR22</f>
        <v>0</v>
      </c>
      <c r="AS54" s="373">
        <f>(SUMIFS(IP!AS$92:AS$94,IP!$C$92:$C$94,$C54)+SUMIFS(RN!AS$89:AS$91,RN!$C$89:$C$91,$C54)+SUMIFS(RL!AS$83:AS$85,RL!$C$83:$C$85,$C54)+SUMIFS(LU!AS$83:AS$85,LU!$C$83:$C$85,PCF!$C54))*AS22</f>
        <v>0</v>
      </c>
      <c r="AT54" s="373">
        <f>(SUMIFS(IP!AT$92:AT$94,IP!$C$92:$C$94,$C54)+SUMIFS(RN!AT$89:AT$91,RN!$C$89:$C$91,$C54)+SUMIFS(RL!AT$83:AT$85,RL!$C$83:$C$85,$C54)+SUMIFS(LU!AT$83:AT$85,LU!$C$83:$C$85,PCF!$C54))*AT22</f>
        <v>0</v>
      </c>
      <c r="AU54" s="373">
        <f>(SUMIFS(IP!AU$92:AU$94,IP!$C$92:$C$94,$C54)+SUMIFS(RN!AU$89:AU$91,RN!$C$89:$C$91,$C54)+SUMIFS(RL!AU$83:AU$85,RL!$C$83:$C$85,$C54)+SUMIFS(LU!AU$83:AU$85,LU!$C$83:$C$85,PCF!$C54))*AU22</f>
        <v>0</v>
      </c>
      <c r="AV54" s="373">
        <f>(SUMIFS(IP!AV$92:AV$94,IP!$C$92:$C$94,$C54)+SUMIFS(RN!AV$89:AV$91,RN!$C$89:$C$91,$C54)+SUMIFS(RL!AV$83:AV$85,RL!$C$83:$C$85,$C54)+SUMIFS(LU!AV$83:AV$85,LU!$C$83:$C$85,PCF!$C54))*AV22</f>
        <v>0</v>
      </c>
      <c r="AW54" s="373">
        <f>(SUMIFS(IP!AW$92:AW$94,IP!$C$92:$C$94,$C54)+SUMIFS(RN!AW$89:AW$91,RN!$C$89:$C$91,$C54)+SUMIFS(RL!AW$83:AW$85,RL!$C$83:$C$85,$C54)+SUMIFS(LU!AW$83:AW$85,LU!$C$83:$C$85,PCF!$C54))*AW22</f>
        <v>0</v>
      </c>
      <c r="AX54" s="373">
        <f>(SUMIFS(IP!AX$92:AX$94,IP!$C$92:$C$94,$C54)+SUMIFS(RN!AX$89:AX$91,RN!$C$89:$C$91,$C54)+SUMIFS(RL!AX$83:AX$85,RL!$C$83:$C$85,$C54)+SUMIFS(LU!AX$83:AX$85,LU!$C$83:$C$85,PCF!$C54))*AX22</f>
        <v>0</v>
      </c>
      <c r="AY54" s="373">
        <f>(SUMIFS(IP!AY$92:AY$94,IP!$C$92:$C$94,$C54)+SUMIFS(RN!AY$89:AY$91,RN!$C$89:$C$91,$C54)+SUMIFS(RL!AY$83:AY$85,RL!$C$83:$C$85,$C54)+SUMIFS(LU!AY$83:AY$85,LU!$C$83:$C$85,PCF!$C54))*AY22</f>
        <v>0</v>
      </c>
      <c r="AZ54" s="373">
        <f>(SUMIFS(IP!AZ$92:AZ$94,IP!$C$92:$C$94,$C54)+SUMIFS(RN!AZ$89:AZ$91,RN!$C$89:$C$91,$C54)+SUMIFS(RL!AZ$83:AZ$85,RL!$C$83:$C$85,$C54)+SUMIFS(LU!AZ$83:AZ$85,LU!$C$83:$C$85,PCF!$C54))*AZ22</f>
        <v>0</v>
      </c>
      <c r="BA54" s="373">
        <f>(SUMIFS(IP!BA$92:BA$94,IP!$C$92:$C$94,$C54)+SUMIFS(RN!BA$89:BA$91,RN!$C$89:$C$91,$C54)+SUMIFS(RL!BA$83:BA$85,RL!$C$83:$C$85,$C54)+SUMIFS(LU!BA$83:BA$85,LU!$C$83:$C$85,PCF!$C54))*BA22</f>
        <v>0</v>
      </c>
      <c r="BB54" s="373">
        <f>(SUMIFS(IP!BB$92:BB$94,IP!$C$92:$C$94,$C54)+SUMIFS(RN!BB$89:BB$91,RN!$C$89:$C$91,$C54)+SUMIFS(RL!BB$83:BB$85,RL!$C$83:$C$85,$C54)+SUMIFS(LU!BB$83:BB$85,LU!$C$83:$C$85,PCF!$C54))*BB22</f>
        <v>0</v>
      </c>
      <c r="BC54" s="373">
        <f>(SUMIFS(IP!BC$92:BC$94,IP!$C$92:$C$94,$C54)+SUMIFS(RN!BC$89:BC$91,RN!$C$89:$C$91,$C54)+SUMIFS(RL!BC$83:BC$85,RL!$C$83:$C$85,$C54)+SUMIFS(LU!BC$83:BC$85,LU!$C$83:$C$85,PCF!$C54))*BC22</f>
        <v>0</v>
      </c>
      <c r="BD54" s="373">
        <f>(SUMIFS(IP!BD$92:BD$94,IP!$C$92:$C$94,$C54)+SUMIFS(RN!BD$89:BD$91,RN!$C$89:$C$91,$C54)+SUMIFS(RL!BD$83:BD$85,RL!$C$83:$C$85,$C54)+SUMIFS(LU!BD$83:BD$85,LU!$C$83:$C$85,PCF!$C54))*BD22</f>
        <v>0</v>
      </c>
      <c r="BE54" s="373">
        <f>(SUMIFS(IP!BE$92:BE$94,IP!$C$92:$C$94,$C54)+SUMIFS(RN!BE$89:BE$91,RN!$C$89:$C$91,$C54)+SUMIFS(RL!BE$83:BE$85,RL!$C$83:$C$85,$C54)+SUMIFS(LU!BE$83:BE$85,LU!$C$83:$C$85,PCF!$C54))*BE22</f>
        <v>0</v>
      </c>
      <c r="BF54" s="373">
        <f>(SUMIFS(IP!BF$92:BF$94,IP!$C$92:$C$94,$C54)+SUMIFS(RN!BF$89:BF$91,RN!$C$89:$C$91,$C54)+SUMIFS(RL!BF$83:BF$85,RL!$C$83:$C$85,$C54)+SUMIFS(LU!BF$83:BF$85,LU!$C$83:$C$85,PCF!$C54))*BF22</f>
        <v>0</v>
      </c>
      <c r="BG54" s="373">
        <f>(SUMIFS(IP!BG$92:BG$94,IP!$C$92:$C$94,$C54)+SUMIFS(RN!BG$89:BG$91,RN!$C$89:$C$91,$C54)+SUMIFS(RL!BG$83:BG$85,RL!$C$83:$C$85,$C54)+SUMIFS(LU!BG$83:BG$85,LU!$C$83:$C$85,PCF!$C54))*BG22</f>
        <v>0</v>
      </c>
      <c r="BI54" s="240">
        <f t="shared" si="10"/>
        <v>253530.80631521632</v>
      </c>
      <c r="BK54" s="321">
        <f>SUMPRODUCT($T54:$BG54,$T30:$BG30)*4</f>
        <v>102266.91718749992</v>
      </c>
    </row>
    <row r="55" spans="2:63">
      <c r="C55" s="269"/>
      <c r="E55" s="269"/>
      <c r="G55" s="269"/>
      <c r="I55" s="269"/>
      <c r="BI55" s="269"/>
      <c r="BK55" s="269"/>
    </row>
    <row r="57" spans="2:63" s="90" customFormat="1">
      <c r="B57" s="91">
        <f ca="1">MAX(A$1:$B56)+1</f>
        <v>7</v>
      </c>
      <c r="C57" s="92" t="s">
        <v>300</v>
      </c>
    </row>
    <row r="59" spans="2:63" ht="30">
      <c r="C59" s="97" t="s">
        <v>4</v>
      </c>
      <c r="E59" s="97" t="s">
        <v>6</v>
      </c>
      <c r="G59" s="101" t="s">
        <v>272</v>
      </c>
      <c r="I59" s="101" t="s">
        <v>150</v>
      </c>
      <c r="BI59" s="327" t="s">
        <v>152</v>
      </c>
      <c r="BK59" s="328" t="s">
        <v>406</v>
      </c>
    </row>
    <row r="60" spans="2:63">
      <c r="C60" s="99">
        <f>AA!C13</f>
        <v>1</v>
      </c>
      <c r="E60" s="93" t="str">
        <f>INDEX(AA!$AC$13:$AC$15,MATCH($C60,AA!$C$13:$C$15,0))</f>
        <v>backup</v>
      </c>
      <c r="G60" s="1324">
        <f>INDEX(AA!$E$13:$E$15,MATCH($C60,AA!$C$13:$C$15,0))</f>
        <v>1</v>
      </c>
      <c r="I60" s="72" t="s">
        <v>300</v>
      </c>
      <c r="Q60" s="324"/>
      <c r="R60" s="323"/>
      <c r="T60" s="1396">
        <f>IFERROR((SUMPRODUCT(--(IP!$C$65:$C$67=$C60),(IP!T$65:T$67),(IP!T$92:T$94))+SUMPRODUCT(--(RN!$C$62:$C$64=$C60),(RN!T$62:T$64),(RN!$O$62:$O$64),(RN!T$89:T$91))+SUMPRODUCT(--(RL!$C$56:$C$58=$C60),(RL!T$56:T$58),(RL!$O$56:$O$58),(RL!T$83:T$85))+SUMPRODUCT(--(LU!$C$56:$C$58=$C60),(LU!T$56:T$58),(LU!$O$56:$O$58),(LU!T$83:T$85)))/T52,0)</f>
        <v>17.597260273972601</v>
      </c>
      <c r="U60" s="1396">
        <f>IFERROR((SUMPRODUCT(--(IP!$C$65:$C$67=$C60),(IP!U$65:U$67),(IP!U$92:U$94))+SUMPRODUCT(--(RN!$C$62:$C$64=$C60),(RN!U$62:U$64),(RN!$O$62:$O$64),(RN!U$89:U$91))+SUMPRODUCT(--(RL!$C$56:$C$58=$C60),(RL!U$56:U$58),(RL!$O$56:$O$58),(RL!U$83:U$85))+SUMPRODUCT(--(LU!$C$56:$C$58=$C60),(LU!U$56:U$58),(LU!$O$56:$O$58),(LU!U$83:U$85)))/U52,0)</f>
        <v>17.345205479452055</v>
      </c>
      <c r="V60" s="1396">
        <f>IFERROR((SUMPRODUCT(--(IP!$C$65:$C$67=$C60),(IP!V$65:V$67),(IP!V$92:V$94))+SUMPRODUCT(--(RN!$C$62:$C$64=$C60),(RN!V$62:V$64),(RN!$O$62:$O$64),(RN!V$89:V$91))+SUMPRODUCT(--(RL!$C$56:$C$58=$C60),(RL!V$56:V$58),(RL!$O$56:$O$58),(RL!V$83:V$85))+SUMPRODUCT(--(LU!$C$56:$C$58=$C60),(LU!V$56:V$58),(LU!$O$56:$O$58),(LU!V$83:V$85)))/V52,0)</f>
        <v>17.095890410958905</v>
      </c>
      <c r="W60" s="1396">
        <f>IFERROR((SUMPRODUCT(--(IP!$C$65:$C$67=$C60),(IP!W$65:W$67),(IP!W$92:W$94))+SUMPRODUCT(--(RN!$C$62:$C$64=$C60),(RN!W$62:W$64),(RN!$O$62:$O$64),(RN!W$89:W$91))+SUMPRODUCT(--(RL!$C$56:$C$58=$C60),(RL!W$56:W$58),(RL!$O$56:$O$58),(RL!W$83:W$85))+SUMPRODUCT(--(LU!$C$56:$C$58=$C60),(LU!W$56:W$58),(LU!$O$56:$O$58),(LU!W$83:W$85)))/W52,0)</f>
        <v>16.849315068493151</v>
      </c>
      <c r="X60" s="1396">
        <f>IFERROR((SUMPRODUCT(--(IP!$C$65:$C$67=$C60),(IP!X$65:X$67),(IP!X$92:X$94))+SUMPRODUCT(--(RN!$C$62:$C$64=$C60),(RN!X$62:X$64),(RN!$O$62:$O$64),(RN!X$89:X$91))+SUMPRODUCT(--(RL!$C$56:$C$58=$C60),(RL!X$56:X$58),(RL!$O$56:$O$58),(RL!X$83:X$85))+SUMPRODUCT(--(LU!$C$56:$C$58=$C60),(LU!X$56:X$58),(LU!$O$56:$O$58),(LU!X$83:X$85)))/X52,0)</f>
        <v>16.597260273972601</v>
      </c>
      <c r="Y60" s="1396">
        <f>IFERROR((SUMPRODUCT(--(IP!$C$65:$C$67=$C60),(IP!Y$65:Y$67),(IP!Y$92:Y$94))+SUMPRODUCT(--(RN!$C$62:$C$64=$C60),(RN!Y$62:Y$64),(RN!$O$62:$O$64),(RN!Y$89:Y$91))+SUMPRODUCT(--(RL!$C$56:$C$58=$C60),(RL!Y$56:Y$58),(RL!$O$56:$O$58),(RL!Y$83:Y$85))+SUMPRODUCT(--(LU!$C$56:$C$58=$C60),(LU!Y$56:Y$58),(LU!$O$56:$O$58),(LU!Y$83:Y$85)))/Y52,0)</f>
        <v>16.345205479452055</v>
      </c>
      <c r="Z60" s="1396">
        <f>IFERROR((SUMPRODUCT(--(IP!$C$65:$C$67=$C60),(IP!Z$65:Z$67),(IP!Z$92:Z$94))+SUMPRODUCT(--(RN!$C$62:$C$64=$C60),(RN!Z$62:Z$64),(RN!$O$62:$O$64),(RN!Z$89:Z$91))+SUMPRODUCT(--(RL!$C$56:$C$58=$C60),(RL!Z$56:Z$58),(RL!$O$56:$O$58),(RL!Z$83:Z$85))+SUMPRODUCT(--(LU!$C$56:$C$58=$C60),(LU!Z$56:Z$58),(LU!$O$56:$O$58),(LU!Z$83:Z$85)))/Z52,0)</f>
        <v>16.095890410958905</v>
      </c>
      <c r="AA60" s="1396">
        <f>IFERROR((SUMPRODUCT(--(IP!$C$65:$C$67=$C60),(IP!AA$65:AA$67),(IP!AA$92:AA$94))+SUMPRODUCT(--(RN!$C$62:$C$64=$C60),(RN!AA$62:AA$64),(RN!$O$62:$O$64),(RN!AA$89:AA$91))+SUMPRODUCT(--(RL!$C$56:$C$58=$C60),(RL!AA$56:AA$58),(RL!$O$56:$O$58),(RL!AA$83:AA$85))+SUMPRODUCT(--(LU!$C$56:$C$58=$C60),(LU!AA$56:AA$58),(LU!$O$56:$O$58),(LU!AA$83:AA$85)))/AA52,0)</f>
        <v>15.849315068493153</v>
      </c>
      <c r="AB60" s="1396">
        <f>IFERROR((SUMPRODUCT(--(IP!$C$65:$C$67=$C60),(IP!AB$65:AB$67),(IP!AB$92:AB$94))+SUMPRODUCT(--(RN!$C$62:$C$64=$C60),(RN!AB$62:AB$64),(RN!$O$62:$O$64),(RN!AB$89:AB$91))+SUMPRODUCT(--(RL!$C$56:$C$58=$C60),(RL!AB$56:AB$58),(RL!$O$56:$O$58),(RL!AB$83:AB$85))+SUMPRODUCT(--(LU!$C$56:$C$58=$C60),(LU!AB$56:AB$58),(LU!$O$56:$O$58),(LU!AB$83:AB$85)))/AB52,0)</f>
        <v>15.597260273972601</v>
      </c>
      <c r="AC60" s="1396">
        <f>IFERROR((SUMPRODUCT(--(IP!$C$65:$C$67=$C60),(IP!AC$65:AC$67),(IP!AC$92:AC$94))+SUMPRODUCT(--(RN!$C$62:$C$64=$C60),(RN!AC$62:AC$64),(RN!$O$62:$O$64),(RN!AC$89:AC$91))+SUMPRODUCT(--(RL!$C$56:$C$58=$C60),(RL!AC$56:AC$58),(RL!$O$56:$O$58),(RL!AC$83:AC$85))+SUMPRODUCT(--(LU!$C$56:$C$58=$C60),(LU!AC$56:AC$58),(LU!$O$56:$O$58),(LU!AC$83:AC$85)))/AC52,0)</f>
        <v>15.345205479452055</v>
      </c>
      <c r="AD60" s="1396">
        <f>IFERROR((SUMPRODUCT(--(IP!$C$65:$C$67=$C60),(IP!AD$65:AD$67),(IP!AD$92:AD$94))+SUMPRODUCT(--(RN!$C$62:$C$64=$C60),(RN!AD$62:AD$64),(RN!$O$62:$O$64),(RN!AD$89:AD$91))+SUMPRODUCT(--(RL!$C$56:$C$58=$C60),(RL!AD$56:AD$58),(RL!$O$56:$O$58),(RL!AD$83:AD$85))+SUMPRODUCT(--(LU!$C$56:$C$58=$C60),(LU!AD$56:AD$58),(LU!$O$56:$O$58),(LU!AD$83:AD$85)))/AD52,0)</f>
        <v>15.095890410958903</v>
      </c>
      <c r="AE60" s="1396">
        <f>IFERROR((SUMPRODUCT(--(IP!$C$65:$C$67=$C60),(IP!AE$65:AE$67),(IP!AE$92:AE$94))+SUMPRODUCT(--(RN!$C$62:$C$64=$C60),(RN!AE$62:AE$64),(RN!$O$62:$O$64),(RN!AE$89:AE$91))+SUMPRODUCT(--(RL!$C$56:$C$58=$C60),(RL!AE$56:AE$58),(RL!$O$56:$O$58),(RL!AE$83:AE$85))+SUMPRODUCT(--(LU!$C$56:$C$58=$C60),(LU!AE$56:AE$58),(LU!$O$56:$O$58),(LU!AE$83:AE$85)))/AE52,0)</f>
        <v>14.846575342465753</v>
      </c>
      <c r="AF60" s="1396">
        <f>IFERROR((SUMPRODUCT(--(IP!$C$65:$C$67=$C60),(IP!AF$65:AF$67),(IP!AF$92:AF$94))+SUMPRODUCT(--(RN!$C$62:$C$64=$C60),(RN!AF$62:AF$64),(RN!$O$62:$O$64),(RN!AF$89:AF$91))+SUMPRODUCT(--(RL!$C$56:$C$58=$C60),(RL!AF$56:AF$58),(RL!$O$56:$O$58),(RL!AF$83:AF$85))+SUMPRODUCT(--(LU!$C$56:$C$58=$C60),(LU!AF$56:AF$58),(LU!$O$56:$O$58),(LU!AF$83:AF$85)))/AF52,0)</f>
        <v>0</v>
      </c>
      <c r="AG60" s="1396">
        <f>IFERROR((SUMPRODUCT(--(IP!$C$65:$C$67=$C60),(IP!AG$65:AG$67),(IP!AG$92:AG$94))+SUMPRODUCT(--(RN!$C$62:$C$64=$C60),(RN!AG$62:AG$64),(RN!$O$62:$O$64),(RN!AG$89:AG$91))+SUMPRODUCT(--(RL!$C$56:$C$58=$C60),(RL!AG$56:AG$58),(RL!$O$56:$O$58),(RL!AG$83:AG$85))+SUMPRODUCT(--(LU!$C$56:$C$58=$C60),(LU!AG$56:AG$58),(LU!$O$56:$O$58),(LU!AG$83:AG$85)))/AG52,0)</f>
        <v>0</v>
      </c>
      <c r="AH60" s="1396">
        <f>IFERROR((SUMPRODUCT(--(IP!$C$65:$C$67=$C60),(IP!AH$65:AH$67),(IP!AH$92:AH$94))+SUMPRODUCT(--(RN!$C$62:$C$64=$C60),(RN!AH$62:AH$64),(RN!$O$62:$O$64),(RN!AH$89:AH$91))+SUMPRODUCT(--(RL!$C$56:$C$58=$C60),(RL!AH$56:AH$58),(RL!$O$56:$O$58),(RL!AH$83:AH$85))+SUMPRODUCT(--(LU!$C$56:$C$58=$C60),(LU!AH$56:AH$58),(LU!$O$56:$O$58),(LU!AH$83:AH$85)))/AH52,0)</f>
        <v>0</v>
      </c>
      <c r="AI60" s="1396">
        <f>IFERROR((SUMPRODUCT(--(IP!$C$65:$C$67=$C60),(IP!AI$65:AI$67),(IP!AI$92:AI$94))+SUMPRODUCT(--(RN!$C$62:$C$64=$C60),(RN!AI$62:AI$64),(RN!$O$62:$O$64),(RN!AI$89:AI$91))+SUMPRODUCT(--(RL!$C$56:$C$58=$C60),(RL!AI$56:AI$58),(RL!$O$56:$O$58),(RL!AI$83:AI$85))+SUMPRODUCT(--(LU!$C$56:$C$58=$C60),(LU!AI$56:AI$58),(LU!$O$56:$O$58),(LU!AI$83:AI$85)))/AI52,0)</f>
        <v>0</v>
      </c>
      <c r="AJ60" s="1396">
        <f>IFERROR((SUMPRODUCT(--(IP!$C$65:$C$67=$C60),(IP!AJ$65:AJ$67),(IP!AJ$92:AJ$94))+SUMPRODUCT(--(RN!$C$62:$C$64=$C60),(RN!AJ$62:AJ$64),(RN!$O$62:$O$64),(RN!AJ$89:AJ$91))+SUMPRODUCT(--(RL!$C$56:$C$58=$C60),(RL!AJ$56:AJ$58),(RL!$O$56:$O$58),(RL!AJ$83:AJ$85))+SUMPRODUCT(--(LU!$C$56:$C$58=$C60),(LU!AJ$56:AJ$58),(LU!$O$56:$O$58),(LU!AJ$83:AJ$85)))/AJ52,0)</f>
        <v>0</v>
      </c>
      <c r="AK60" s="1396">
        <f>IFERROR((SUMPRODUCT(--(IP!$C$65:$C$67=$C60),(IP!AK$65:AK$67),(IP!AK$92:AK$94))+SUMPRODUCT(--(RN!$C$62:$C$64=$C60),(RN!AK$62:AK$64),(RN!$O$62:$O$64),(RN!AK$89:AK$91))+SUMPRODUCT(--(RL!$C$56:$C$58=$C60),(RL!AK$56:AK$58),(RL!$O$56:$O$58),(RL!AK$83:AK$85))+SUMPRODUCT(--(LU!$C$56:$C$58=$C60),(LU!AK$56:AK$58),(LU!$O$56:$O$58),(LU!AK$83:AK$85)))/AK52,0)</f>
        <v>0</v>
      </c>
      <c r="AL60" s="1396">
        <f>IFERROR((SUMPRODUCT(--(IP!$C$65:$C$67=$C60),(IP!AL$65:AL$67),(IP!AL$92:AL$94))+SUMPRODUCT(--(RN!$C$62:$C$64=$C60),(RN!AL$62:AL$64),(RN!$O$62:$O$64),(RN!AL$89:AL$91))+SUMPRODUCT(--(RL!$C$56:$C$58=$C60),(RL!AL$56:AL$58),(RL!$O$56:$O$58),(RL!AL$83:AL$85))+SUMPRODUCT(--(LU!$C$56:$C$58=$C60),(LU!AL$56:AL$58),(LU!$O$56:$O$58),(LU!AL$83:AL$85)))/AL52,0)</f>
        <v>0</v>
      </c>
      <c r="AM60" s="1396">
        <f>IFERROR((SUMPRODUCT(--(IP!$C$65:$C$67=$C60),(IP!AM$65:AM$67),(IP!AM$92:AM$94))+SUMPRODUCT(--(RN!$C$62:$C$64=$C60),(RN!AM$62:AM$64),(RN!$O$62:$O$64),(RN!AM$89:AM$91))+SUMPRODUCT(--(RL!$C$56:$C$58=$C60),(RL!AM$56:AM$58),(RL!$O$56:$O$58),(RL!AM$83:AM$85))+SUMPRODUCT(--(LU!$C$56:$C$58=$C60),(LU!AM$56:AM$58),(LU!$O$56:$O$58),(LU!AM$83:AM$85)))/AM52,0)</f>
        <v>0</v>
      </c>
      <c r="AN60" s="1396">
        <f>IFERROR((SUMPRODUCT(--(IP!$C$65:$C$67=$C60),(IP!AN$65:AN$67),(IP!AN$92:AN$94))+SUMPRODUCT(--(RN!$C$62:$C$64=$C60),(RN!AN$62:AN$64),(RN!$O$62:$O$64),(RN!AN$89:AN$91))+SUMPRODUCT(--(RL!$C$56:$C$58=$C60),(RL!AN$56:AN$58),(RL!$O$56:$O$58),(RL!AN$83:AN$85))+SUMPRODUCT(--(LU!$C$56:$C$58=$C60),(LU!AN$56:AN$58),(LU!$O$56:$O$58),(LU!AN$83:AN$85)))/AN52,0)</f>
        <v>0</v>
      </c>
      <c r="AO60" s="1396">
        <f>IFERROR((SUMPRODUCT(--(IP!$C$65:$C$67=$C60),(IP!AO$65:AO$67),(IP!AO$92:AO$94))+SUMPRODUCT(--(RN!$C$62:$C$64=$C60),(RN!AO$62:AO$64),(RN!$O$62:$O$64),(RN!AO$89:AO$91))+SUMPRODUCT(--(RL!$C$56:$C$58=$C60),(RL!AO$56:AO$58),(RL!$O$56:$O$58),(RL!AO$83:AO$85))+SUMPRODUCT(--(LU!$C$56:$C$58=$C60),(LU!AO$56:AO$58),(LU!$O$56:$O$58),(LU!AO$83:AO$85)))/AO52,0)</f>
        <v>0</v>
      </c>
      <c r="AP60" s="1396">
        <f>IFERROR((SUMPRODUCT(--(IP!$C$65:$C$67=$C60),(IP!AP$65:AP$67),(IP!AP$92:AP$94))+SUMPRODUCT(--(RN!$C$62:$C$64=$C60),(RN!AP$62:AP$64),(RN!$O$62:$O$64),(RN!AP$89:AP$91))+SUMPRODUCT(--(RL!$C$56:$C$58=$C60),(RL!AP$56:AP$58),(RL!$O$56:$O$58),(RL!AP$83:AP$85))+SUMPRODUCT(--(LU!$C$56:$C$58=$C60),(LU!AP$56:AP$58),(LU!$O$56:$O$58),(LU!AP$83:AP$85)))/AP52,0)</f>
        <v>0</v>
      </c>
      <c r="AQ60" s="1396">
        <f>IFERROR((SUMPRODUCT(--(IP!$C$65:$C$67=$C60),(IP!AQ$65:AQ$67),(IP!AQ$92:AQ$94))+SUMPRODUCT(--(RN!$C$62:$C$64=$C60),(RN!AQ$62:AQ$64),(RN!$O$62:$O$64),(RN!AQ$89:AQ$91))+SUMPRODUCT(--(RL!$C$56:$C$58=$C60),(RL!AQ$56:AQ$58),(RL!$O$56:$O$58),(RL!AQ$83:AQ$85))+SUMPRODUCT(--(LU!$C$56:$C$58=$C60),(LU!AQ$56:AQ$58),(LU!$O$56:$O$58),(LU!AQ$83:AQ$85)))/AQ52,0)</f>
        <v>0</v>
      </c>
      <c r="AR60" s="1396">
        <f>IFERROR((SUMPRODUCT(--(IP!$C$65:$C$67=$C60),(IP!AR$65:AR$67),(IP!AR$92:AR$94))+SUMPRODUCT(--(RN!$C$62:$C$64=$C60),(RN!AR$62:AR$64),(RN!$O$62:$O$64),(RN!AR$89:AR$91))+SUMPRODUCT(--(RL!$C$56:$C$58=$C60),(RL!AR$56:AR$58),(RL!$O$56:$O$58),(RL!AR$83:AR$85))+SUMPRODUCT(--(LU!$C$56:$C$58=$C60),(LU!AR$56:AR$58),(LU!$O$56:$O$58),(LU!AR$83:AR$85)))/AR52,0)</f>
        <v>0</v>
      </c>
      <c r="AS60" s="1396">
        <f>IFERROR((SUMPRODUCT(--(IP!$C$65:$C$67=$C60),(IP!AS$65:AS$67),(IP!AS$92:AS$94))+SUMPRODUCT(--(RN!$C$62:$C$64=$C60),(RN!AS$62:AS$64),(RN!$O$62:$O$64),(RN!AS$89:AS$91))+SUMPRODUCT(--(RL!$C$56:$C$58=$C60),(RL!AS$56:AS$58),(RL!$O$56:$O$58),(RL!AS$83:AS$85))+SUMPRODUCT(--(LU!$C$56:$C$58=$C60),(LU!AS$56:AS$58),(LU!$O$56:$O$58),(LU!AS$83:AS$85)))/AS52,0)</f>
        <v>0</v>
      </c>
      <c r="AT60" s="1396">
        <f>IFERROR((SUMPRODUCT(--(IP!$C$65:$C$67=$C60),(IP!AT$65:AT$67),(IP!AT$92:AT$94))+SUMPRODUCT(--(RN!$C$62:$C$64=$C60),(RN!AT$62:AT$64),(RN!$O$62:$O$64),(RN!AT$89:AT$91))+SUMPRODUCT(--(RL!$C$56:$C$58=$C60),(RL!AT$56:AT$58),(RL!$O$56:$O$58),(RL!AT$83:AT$85))+SUMPRODUCT(--(LU!$C$56:$C$58=$C60),(LU!AT$56:AT$58),(LU!$O$56:$O$58),(LU!AT$83:AT$85)))/AT52,0)</f>
        <v>0</v>
      </c>
      <c r="AU60" s="1396">
        <f>IFERROR((SUMPRODUCT(--(IP!$C$65:$C$67=$C60),(IP!AU$65:AU$67),(IP!AU$92:AU$94))+SUMPRODUCT(--(RN!$C$62:$C$64=$C60),(RN!AU$62:AU$64),(RN!$O$62:$O$64),(RN!AU$89:AU$91))+SUMPRODUCT(--(RL!$C$56:$C$58=$C60),(RL!AU$56:AU$58),(RL!$O$56:$O$58),(RL!AU$83:AU$85))+SUMPRODUCT(--(LU!$C$56:$C$58=$C60),(LU!AU$56:AU$58),(LU!$O$56:$O$58),(LU!AU$83:AU$85)))/AU52,0)</f>
        <v>0</v>
      </c>
      <c r="AV60" s="1396">
        <f>IFERROR((SUMPRODUCT(--(IP!$C$65:$C$67=$C60),(IP!AV$65:AV$67),(IP!AV$92:AV$94))+SUMPRODUCT(--(RN!$C$62:$C$64=$C60),(RN!AV$62:AV$64),(RN!$O$62:$O$64),(RN!AV$89:AV$91))+SUMPRODUCT(--(RL!$C$56:$C$58=$C60),(RL!AV$56:AV$58),(RL!$O$56:$O$58),(RL!AV$83:AV$85))+SUMPRODUCT(--(LU!$C$56:$C$58=$C60),(LU!AV$56:AV$58),(LU!$O$56:$O$58),(LU!AV$83:AV$85)))/AV52,0)</f>
        <v>0</v>
      </c>
      <c r="AW60" s="1396">
        <f>IFERROR((SUMPRODUCT(--(IP!$C$65:$C$67=$C60),(IP!AW$65:AW$67),(IP!AW$92:AW$94))+SUMPRODUCT(--(RN!$C$62:$C$64=$C60),(RN!AW$62:AW$64),(RN!$O$62:$O$64),(RN!AW$89:AW$91))+SUMPRODUCT(--(RL!$C$56:$C$58=$C60),(RL!AW$56:AW$58),(RL!$O$56:$O$58),(RL!AW$83:AW$85))+SUMPRODUCT(--(LU!$C$56:$C$58=$C60),(LU!AW$56:AW$58),(LU!$O$56:$O$58),(LU!AW$83:AW$85)))/AW52,0)</f>
        <v>0</v>
      </c>
      <c r="AX60" s="1396">
        <f>IFERROR((SUMPRODUCT(--(IP!$C$65:$C$67=$C60),(IP!AX$65:AX$67),(IP!AX$92:AX$94))+SUMPRODUCT(--(RN!$C$62:$C$64=$C60),(RN!AX$62:AX$64),(RN!$O$62:$O$64),(RN!AX$89:AX$91))+SUMPRODUCT(--(RL!$C$56:$C$58=$C60),(RL!AX$56:AX$58),(RL!$O$56:$O$58),(RL!AX$83:AX$85))+SUMPRODUCT(--(LU!$C$56:$C$58=$C60),(LU!AX$56:AX$58),(LU!$O$56:$O$58),(LU!AX$83:AX$85)))/AX52,0)</f>
        <v>0</v>
      </c>
      <c r="AY60" s="1396">
        <f>IFERROR((SUMPRODUCT(--(IP!$C$65:$C$67=$C60),(IP!AY$65:AY$67),(IP!AY$92:AY$94))+SUMPRODUCT(--(RN!$C$62:$C$64=$C60),(RN!AY$62:AY$64),(RN!$O$62:$O$64),(RN!AY$89:AY$91))+SUMPRODUCT(--(RL!$C$56:$C$58=$C60),(RL!AY$56:AY$58),(RL!$O$56:$O$58),(RL!AY$83:AY$85))+SUMPRODUCT(--(LU!$C$56:$C$58=$C60),(LU!AY$56:AY$58),(LU!$O$56:$O$58),(LU!AY$83:AY$85)))/AY52,0)</f>
        <v>0</v>
      </c>
      <c r="AZ60" s="1396">
        <f>IFERROR((SUMPRODUCT(--(IP!$C$65:$C$67=$C60),(IP!AZ$65:AZ$67),(IP!AZ$92:AZ$94))+SUMPRODUCT(--(RN!$C$62:$C$64=$C60),(RN!AZ$62:AZ$64),(RN!$O$62:$O$64),(RN!AZ$89:AZ$91))+SUMPRODUCT(--(RL!$C$56:$C$58=$C60),(RL!AZ$56:AZ$58),(RL!$O$56:$O$58),(RL!AZ$83:AZ$85))+SUMPRODUCT(--(LU!$C$56:$C$58=$C60),(LU!AZ$56:AZ$58),(LU!$O$56:$O$58),(LU!AZ$83:AZ$85)))/AZ52,0)</f>
        <v>0</v>
      </c>
      <c r="BA60" s="1396">
        <f>IFERROR((SUMPRODUCT(--(IP!$C$65:$C$67=$C60),(IP!BA$65:BA$67),(IP!BA$92:BA$94))+SUMPRODUCT(--(RN!$C$62:$C$64=$C60),(RN!BA$62:BA$64),(RN!$O$62:$O$64),(RN!BA$89:BA$91))+SUMPRODUCT(--(RL!$C$56:$C$58=$C60),(RL!BA$56:BA$58),(RL!$O$56:$O$58),(RL!BA$83:BA$85))+SUMPRODUCT(--(LU!$C$56:$C$58=$C60),(LU!BA$56:BA$58),(LU!$O$56:$O$58),(LU!BA$83:BA$85)))/BA52,0)</f>
        <v>0</v>
      </c>
      <c r="BB60" s="1396">
        <f>IFERROR((SUMPRODUCT(--(IP!$C$65:$C$67=$C60),(IP!BB$65:BB$67),(IP!BB$92:BB$94))+SUMPRODUCT(--(RN!$C$62:$C$64=$C60),(RN!BB$62:BB$64),(RN!$O$62:$O$64),(RN!BB$89:BB$91))+SUMPRODUCT(--(RL!$C$56:$C$58=$C60),(RL!BB$56:BB$58),(RL!$O$56:$O$58),(RL!BB$83:BB$85))+SUMPRODUCT(--(LU!$C$56:$C$58=$C60),(LU!BB$56:BB$58),(LU!$O$56:$O$58),(LU!BB$83:BB$85)))/BB52,0)</f>
        <v>0</v>
      </c>
      <c r="BC60" s="1396">
        <f>IFERROR((SUMPRODUCT(--(IP!$C$65:$C$67=$C60),(IP!BC$65:BC$67),(IP!BC$92:BC$94))+SUMPRODUCT(--(RN!$C$62:$C$64=$C60),(RN!BC$62:BC$64),(RN!$O$62:$O$64),(RN!BC$89:BC$91))+SUMPRODUCT(--(RL!$C$56:$C$58=$C60),(RL!BC$56:BC$58),(RL!$O$56:$O$58),(RL!BC$83:BC$85))+SUMPRODUCT(--(LU!$C$56:$C$58=$C60),(LU!BC$56:BC$58),(LU!$O$56:$O$58),(LU!BC$83:BC$85)))/BC52,0)</f>
        <v>0</v>
      </c>
      <c r="BD60" s="1396">
        <f>IFERROR((SUMPRODUCT(--(IP!$C$65:$C$67=$C60),(IP!BD$65:BD$67),(IP!BD$92:BD$94))+SUMPRODUCT(--(RN!$C$62:$C$64=$C60),(RN!BD$62:BD$64),(RN!$O$62:$O$64),(RN!BD$89:BD$91))+SUMPRODUCT(--(RL!$C$56:$C$58=$C60),(RL!BD$56:BD$58),(RL!$O$56:$O$58),(RL!BD$83:BD$85))+SUMPRODUCT(--(LU!$C$56:$C$58=$C60),(LU!BD$56:BD$58),(LU!$O$56:$O$58),(LU!BD$83:BD$85)))/BD52,0)</f>
        <v>0</v>
      </c>
      <c r="BE60" s="1396">
        <f>IFERROR((SUMPRODUCT(--(IP!$C$65:$C$67=$C60),(IP!BE$65:BE$67),(IP!BE$92:BE$94))+SUMPRODUCT(--(RN!$C$62:$C$64=$C60),(RN!BE$62:BE$64),(RN!$O$62:$O$64),(RN!BE$89:BE$91))+SUMPRODUCT(--(RL!$C$56:$C$58=$C60),(RL!BE$56:BE$58),(RL!$O$56:$O$58),(RL!BE$83:BE$85))+SUMPRODUCT(--(LU!$C$56:$C$58=$C60),(LU!BE$56:BE$58),(LU!$O$56:$O$58),(LU!BE$83:BE$85)))/BE52,0)</f>
        <v>0</v>
      </c>
      <c r="BF60" s="1396">
        <f>IFERROR((SUMPRODUCT(--(IP!$C$65:$C$67=$C60),(IP!BF$65:BF$67),(IP!BF$92:BF$94))+SUMPRODUCT(--(RN!$C$62:$C$64=$C60),(RN!BF$62:BF$64),(RN!$O$62:$O$64),(RN!BF$89:BF$91))+SUMPRODUCT(--(RL!$C$56:$C$58=$C60),(RL!BF$56:BF$58),(RL!$O$56:$O$58),(RL!BF$83:BF$85))+SUMPRODUCT(--(LU!$C$56:$C$58=$C60),(LU!BF$56:BF$58),(LU!$O$56:$O$58),(LU!BF$83:BF$85)))/BF52,0)</f>
        <v>0</v>
      </c>
      <c r="BG60" s="1396">
        <f>IFERROR((SUMPRODUCT(--(IP!$C$65:$C$67=$C60),(IP!BG$65:BG$67),(IP!BG$92:BG$94))+SUMPRODUCT(--(RN!$C$62:$C$64=$C60),(RN!BG$62:BG$64),(RN!$O$62:$O$64),(RN!BG$89:BG$91))+SUMPRODUCT(--(RL!$C$56:$C$58=$C60),(RL!BG$56:BG$58),(RL!$O$56:$O$58),(RL!BG$83:BG$85))+SUMPRODUCT(--(LU!$C$56:$C$58=$C60),(LU!BG$56:BG$58),(LU!$O$56:$O$58),(LU!BG$83:BG$85)))/BG52,0)</f>
        <v>0</v>
      </c>
      <c r="BI60" s="105" t="s">
        <v>153</v>
      </c>
      <c r="BK60" s="325">
        <f>SUMPRODUCT($T60:$BG60,$T28:$BG28)</f>
        <v>14.846575342465753</v>
      </c>
    </row>
    <row r="61" spans="2:63">
      <c r="C61" s="99">
        <f>AA!C14</f>
        <v>2</v>
      </c>
      <c r="E61" s="94" t="str">
        <f>INDEX(AA!$AC$13:$AC$15,MATCH($C61,AA!$C$13:$C$15,0))</f>
        <v>backup</v>
      </c>
      <c r="G61" s="1325">
        <f>INDEX(AA!$E$13:$E$15,MATCH($C61,AA!$C$13:$C$15,0))</f>
        <v>1</v>
      </c>
      <c r="I61" s="73" t="s">
        <v>300</v>
      </c>
      <c r="Q61" s="324"/>
      <c r="R61" s="323"/>
      <c r="T61" s="1396">
        <f>IFERROR((SUMPRODUCT(--(IP!$C$65:$C$67=$C61),(IP!T$65:T$67),(IP!T$92:T$94))+SUMPRODUCT(--(RN!$C$62:$C$64=$C61),(RN!T$62:T$64),(RN!$O$62:$O$64),(RN!T$89:T$91))+SUMPRODUCT(--(RL!$C$56:$C$58=$C61),(RL!T$56:T$58),(RL!$O$56:$O$58),(RL!T$83:T$85))+SUMPRODUCT(--(LU!$C$56:$C$58=$C61),(LU!T$56:T$58),(LU!$O$56:$O$58),(LU!T$83:T$85)))/T53,0)</f>
        <v>0</v>
      </c>
      <c r="U61" s="1396">
        <f>IFERROR((SUMPRODUCT(--(IP!$C$65:$C$67=$C61),(IP!U$65:U$67),(IP!U$92:U$94))+SUMPRODUCT(--(RN!$C$62:$C$64=$C61),(RN!U$62:U$64),(RN!$O$62:$O$64),(RN!U$89:U$91))+SUMPRODUCT(--(RL!$C$56:$C$58=$C61),(RL!U$56:U$58),(RL!$O$56:$O$58),(RL!U$83:U$85))+SUMPRODUCT(--(LU!$C$56:$C$58=$C61),(LU!U$56:U$58),(LU!$O$56:$O$58),(LU!U$83:U$85)))/U53,0)</f>
        <v>17.345205479452055</v>
      </c>
      <c r="V61" s="1396">
        <f>IFERROR((SUMPRODUCT(--(IP!$C$65:$C$67=$C61),(IP!V$65:V$67),(IP!V$92:V$94))+SUMPRODUCT(--(RN!$C$62:$C$64=$C61),(RN!V$62:V$64),(RN!$O$62:$O$64),(RN!V$89:V$91))+SUMPRODUCT(--(RL!$C$56:$C$58=$C61),(RL!V$56:V$58),(RL!$O$56:$O$58),(RL!V$83:V$85))+SUMPRODUCT(--(LU!$C$56:$C$58=$C61),(LU!V$56:V$58),(LU!$O$56:$O$58),(LU!V$83:V$85)))/V53,0)</f>
        <v>17.095890410958905</v>
      </c>
      <c r="W61" s="1396">
        <f>IFERROR((SUMPRODUCT(--(IP!$C$65:$C$67=$C61),(IP!W$65:W$67),(IP!W$92:W$94))+SUMPRODUCT(--(RN!$C$62:$C$64=$C61),(RN!W$62:W$64),(RN!$O$62:$O$64),(RN!W$89:W$91))+SUMPRODUCT(--(RL!$C$56:$C$58=$C61),(RL!W$56:W$58),(RL!$O$56:$O$58),(RL!W$83:W$85))+SUMPRODUCT(--(LU!$C$56:$C$58=$C61),(LU!W$56:W$58),(LU!$O$56:$O$58),(LU!W$83:W$85)))/W53,0)</f>
        <v>16.849315068493151</v>
      </c>
      <c r="X61" s="1396">
        <f>IFERROR((SUMPRODUCT(--(IP!$C$65:$C$67=$C61),(IP!X$65:X$67),(IP!X$92:X$94))+SUMPRODUCT(--(RN!$C$62:$C$64=$C61),(RN!X$62:X$64),(RN!$O$62:$O$64),(RN!X$89:X$91))+SUMPRODUCT(--(RL!$C$56:$C$58=$C61),(RL!X$56:X$58),(RL!$O$56:$O$58),(RL!X$83:X$85))+SUMPRODUCT(--(LU!$C$56:$C$58=$C61),(LU!X$56:X$58),(LU!$O$56:$O$58),(LU!X$83:X$85)))/X53,0)</f>
        <v>16.597260273972601</v>
      </c>
      <c r="Y61" s="1396">
        <f>IFERROR((SUMPRODUCT(--(IP!$C$65:$C$67=$C61),(IP!Y$65:Y$67),(IP!Y$92:Y$94))+SUMPRODUCT(--(RN!$C$62:$C$64=$C61),(RN!Y$62:Y$64),(RN!$O$62:$O$64),(RN!Y$89:Y$91))+SUMPRODUCT(--(RL!$C$56:$C$58=$C61),(RL!Y$56:Y$58),(RL!$O$56:$O$58),(RL!Y$83:Y$85))+SUMPRODUCT(--(LU!$C$56:$C$58=$C61),(LU!Y$56:Y$58),(LU!$O$56:$O$58),(LU!Y$83:Y$85)))/Y53,0)</f>
        <v>16.345205479452055</v>
      </c>
      <c r="Z61" s="1396">
        <f>IFERROR((SUMPRODUCT(--(IP!$C$65:$C$67=$C61),(IP!Z$65:Z$67),(IP!Z$92:Z$94))+SUMPRODUCT(--(RN!$C$62:$C$64=$C61),(RN!Z$62:Z$64),(RN!$O$62:$O$64),(RN!Z$89:Z$91))+SUMPRODUCT(--(RL!$C$56:$C$58=$C61),(RL!Z$56:Z$58),(RL!$O$56:$O$58),(RL!Z$83:Z$85))+SUMPRODUCT(--(LU!$C$56:$C$58=$C61),(LU!Z$56:Z$58),(LU!$O$56:$O$58),(LU!Z$83:Z$85)))/Z53,0)</f>
        <v>16.095890410958905</v>
      </c>
      <c r="AA61" s="1396">
        <f>IFERROR((SUMPRODUCT(--(IP!$C$65:$C$67=$C61),(IP!AA$65:AA$67),(IP!AA$92:AA$94))+SUMPRODUCT(--(RN!$C$62:$C$64=$C61),(RN!AA$62:AA$64),(RN!$O$62:$O$64),(RN!AA$89:AA$91))+SUMPRODUCT(--(RL!$C$56:$C$58=$C61),(RL!AA$56:AA$58),(RL!$O$56:$O$58),(RL!AA$83:AA$85))+SUMPRODUCT(--(LU!$C$56:$C$58=$C61),(LU!AA$56:AA$58),(LU!$O$56:$O$58),(LU!AA$83:AA$85)))/AA53,0)</f>
        <v>15.849315068493153</v>
      </c>
      <c r="AB61" s="1396">
        <f>IFERROR((SUMPRODUCT(--(IP!$C$65:$C$67=$C61),(IP!AB$65:AB$67),(IP!AB$92:AB$94))+SUMPRODUCT(--(RN!$C$62:$C$64=$C61),(RN!AB$62:AB$64),(RN!$O$62:$O$64),(RN!AB$89:AB$91))+SUMPRODUCT(--(RL!$C$56:$C$58=$C61),(RL!AB$56:AB$58),(RL!$O$56:$O$58),(RL!AB$83:AB$85))+SUMPRODUCT(--(LU!$C$56:$C$58=$C61),(LU!AB$56:AB$58),(LU!$O$56:$O$58),(LU!AB$83:AB$85)))/AB53,0)</f>
        <v>15.597260273972601</v>
      </c>
      <c r="AC61" s="1396">
        <f>IFERROR((SUMPRODUCT(--(IP!$C$65:$C$67=$C61),(IP!AC$65:AC$67),(IP!AC$92:AC$94))+SUMPRODUCT(--(RN!$C$62:$C$64=$C61),(RN!AC$62:AC$64),(RN!$O$62:$O$64),(RN!AC$89:AC$91))+SUMPRODUCT(--(RL!$C$56:$C$58=$C61),(RL!AC$56:AC$58),(RL!$O$56:$O$58),(RL!AC$83:AC$85))+SUMPRODUCT(--(LU!$C$56:$C$58=$C61),(LU!AC$56:AC$58),(LU!$O$56:$O$58),(LU!AC$83:AC$85)))/AC53,0)</f>
        <v>15.345205479452055</v>
      </c>
      <c r="AD61" s="1396">
        <f>IFERROR((SUMPRODUCT(--(IP!$C$65:$C$67=$C61),(IP!AD$65:AD$67),(IP!AD$92:AD$94))+SUMPRODUCT(--(RN!$C$62:$C$64=$C61),(RN!AD$62:AD$64),(RN!$O$62:$O$64),(RN!AD$89:AD$91))+SUMPRODUCT(--(RL!$C$56:$C$58=$C61),(RL!AD$56:AD$58),(RL!$O$56:$O$58),(RL!AD$83:AD$85))+SUMPRODUCT(--(LU!$C$56:$C$58=$C61),(LU!AD$56:AD$58),(LU!$O$56:$O$58),(LU!AD$83:AD$85)))/AD53,0)</f>
        <v>15.095890410958903</v>
      </c>
      <c r="AE61" s="1396">
        <f>IFERROR((SUMPRODUCT(--(IP!$C$65:$C$67=$C61),(IP!AE$65:AE$67),(IP!AE$92:AE$94))+SUMPRODUCT(--(RN!$C$62:$C$64=$C61),(RN!AE$62:AE$64),(RN!$O$62:$O$64),(RN!AE$89:AE$91))+SUMPRODUCT(--(RL!$C$56:$C$58=$C61),(RL!AE$56:AE$58),(RL!$O$56:$O$58),(RL!AE$83:AE$85))+SUMPRODUCT(--(LU!$C$56:$C$58=$C61),(LU!AE$56:AE$58),(LU!$O$56:$O$58),(LU!AE$83:AE$85)))/AE53,0)</f>
        <v>14.846575342465753</v>
      </c>
      <c r="AF61" s="1396">
        <f>IFERROR((SUMPRODUCT(--(IP!$C$65:$C$67=$C61),(IP!AF$65:AF$67),(IP!AF$92:AF$94))+SUMPRODUCT(--(RN!$C$62:$C$64=$C61),(RN!AF$62:AF$64),(RN!$O$62:$O$64),(RN!AF$89:AF$91))+SUMPRODUCT(--(RL!$C$56:$C$58=$C61),(RL!AF$56:AF$58),(RL!$O$56:$O$58),(RL!AF$83:AF$85))+SUMPRODUCT(--(LU!$C$56:$C$58=$C61),(LU!AF$56:AF$58),(LU!$O$56:$O$58),(LU!AF$83:AF$85)))/AF53,0)</f>
        <v>0</v>
      </c>
      <c r="AG61" s="1396">
        <f>IFERROR((SUMPRODUCT(--(IP!$C$65:$C$67=$C61),(IP!AG$65:AG$67),(IP!AG$92:AG$94))+SUMPRODUCT(--(RN!$C$62:$C$64=$C61),(RN!AG$62:AG$64),(RN!$O$62:$O$64),(RN!AG$89:AG$91))+SUMPRODUCT(--(RL!$C$56:$C$58=$C61),(RL!AG$56:AG$58),(RL!$O$56:$O$58),(RL!AG$83:AG$85))+SUMPRODUCT(--(LU!$C$56:$C$58=$C61),(LU!AG$56:AG$58),(LU!$O$56:$O$58),(LU!AG$83:AG$85)))/AG53,0)</f>
        <v>0</v>
      </c>
      <c r="AH61" s="1396">
        <f>IFERROR((SUMPRODUCT(--(IP!$C$65:$C$67=$C61),(IP!AH$65:AH$67),(IP!AH$92:AH$94))+SUMPRODUCT(--(RN!$C$62:$C$64=$C61),(RN!AH$62:AH$64),(RN!$O$62:$O$64),(RN!AH$89:AH$91))+SUMPRODUCT(--(RL!$C$56:$C$58=$C61),(RL!AH$56:AH$58),(RL!$O$56:$O$58),(RL!AH$83:AH$85))+SUMPRODUCT(--(LU!$C$56:$C$58=$C61),(LU!AH$56:AH$58),(LU!$O$56:$O$58),(LU!AH$83:AH$85)))/AH53,0)</f>
        <v>0</v>
      </c>
      <c r="AI61" s="1396">
        <f>IFERROR((SUMPRODUCT(--(IP!$C$65:$C$67=$C61),(IP!AI$65:AI$67),(IP!AI$92:AI$94))+SUMPRODUCT(--(RN!$C$62:$C$64=$C61),(RN!AI$62:AI$64),(RN!$O$62:$O$64),(RN!AI$89:AI$91))+SUMPRODUCT(--(RL!$C$56:$C$58=$C61),(RL!AI$56:AI$58),(RL!$O$56:$O$58),(RL!AI$83:AI$85))+SUMPRODUCT(--(LU!$C$56:$C$58=$C61),(LU!AI$56:AI$58),(LU!$O$56:$O$58),(LU!AI$83:AI$85)))/AI53,0)</f>
        <v>0</v>
      </c>
      <c r="AJ61" s="1396">
        <f>IFERROR((SUMPRODUCT(--(IP!$C$65:$C$67=$C61),(IP!AJ$65:AJ$67),(IP!AJ$92:AJ$94))+SUMPRODUCT(--(RN!$C$62:$C$64=$C61),(RN!AJ$62:AJ$64),(RN!$O$62:$O$64),(RN!AJ$89:AJ$91))+SUMPRODUCT(--(RL!$C$56:$C$58=$C61),(RL!AJ$56:AJ$58),(RL!$O$56:$O$58),(RL!AJ$83:AJ$85))+SUMPRODUCT(--(LU!$C$56:$C$58=$C61),(LU!AJ$56:AJ$58),(LU!$O$56:$O$58),(LU!AJ$83:AJ$85)))/AJ53,0)</f>
        <v>0</v>
      </c>
      <c r="AK61" s="1396">
        <f>IFERROR((SUMPRODUCT(--(IP!$C$65:$C$67=$C61),(IP!AK$65:AK$67),(IP!AK$92:AK$94))+SUMPRODUCT(--(RN!$C$62:$C$64=$C61),(RN!AK$62:AK$64),(RN!$O$62:$O$64),(RN!AK$89:AK$91))+SUMPRODUCT(--(RL!$C$56:$C$58=$C61),(RL!AK$56:AK$58),(RL!$O$56:$O$58),(RL!AK$83:AK$85))+SUMPRODUCT(--(LU!$C$56:$C$58=$C61),(LU!AK$56:AK$58),(LU!$O$56:$O$58),(LU!AK$83:AK$85)))/AK53,0)</f>
        <v>0</v>
      </c>
      <c r="AL61" s="1396">
        <f>IFERROR((SUMPRODUCT(--(IP!$C$65:$C$67=$C61),(IP!AL$65:AL$67),(IP!AL$92:AL$94))+SUMPRODUCT(--(RN!$C$62:$C$64=$C61),(RN!AL$62:AL$64),(RN!$O$62:$O$64),(RN!AL$89:AL$91))+SUMPRODUCT(--(RL!$C$56:$C$58=$C61),(RL!AL$56:AL$58),(RL!$O$56:$O$58),(RL!AL$83:AL$85))+SUMPRODUCT(--(LU!$C$56:$C$58=$C61),(LU!AL$56:AL$58),(LU!$O$56:$O$58),(LU!AL$83:AL$85)))/AL53,0)</f>
        <v>0</v>
      </c>
      <c r="AM61" s="1396">
        <f>IFERROR((SUMPRODUCT(--(IP!$C$65:$C$67=$C61),(IP!AM$65:AM$67),(IP!AM$92:AM$94))+SUMPRODUCT(--(RN!$C$62:$C$64=$C61),(RN!AM$62:AM$64),(RN!$O$62:$O$64),(RN!AM$89:AM$91))+SUMPRODUCT(--(RL!$C$56:$C$58=$C61),(RL!AM$56:AM$58),(RL!$O$56:$O$58),(RL!AM$83:AM$85))+SUMPRODUCT(--(LU!$C$56:$C$58=$C61),(LU!AM$56:AM$58),(LU!$O$56:$O$58),(LU!AM$83:AM$85)))/AM53,0)</f>
        <v>0</v>
      </c>
      <c r="AN61" s="1396">
        <f>IFERROR((SUMPRODUCT(--(IP!$C$65:$C$67=$C61),(IP!AN$65:AN$67),(IP!AN$92:AN$94))+SUMPRODUCT(--(RN!$C$62:$C$64=$C61),(RN!AN$62:AN$64),(RN!$O$62:$O$64),(RN!AN$89:AN$91))+SUMPRODUCT(--(RL!$C$56:$C$58=$C61),(RL!AN$56:AN$58),(RL!$O$56:$O$58),(RL!AN$83:AN$85))+SUMPRODUCT(--(LU!$C$56:$C$58=$C61),(LU!AN$56:AN$58),(LU!$O$56:$O$58),(LU!AN$83:AN$85)))/AN53,0)</f>
        <v>0</v>
      </c>
      <c r="AO61" s="1396">
        <f>IFERROR((SUMPRODUCT(--(IP!$C$65:$C$67=$C61),(IP!AO$65:AO$67),(IP!AO$92:AO$94))+SUMPRODUCT(--(RN!$C$62:$C$64=$C61),(RN!AO$62:AO$64),(RN!$O$62:$O$64),(RN!AO$89:AO$91))+SUMPRODUCT(--(RL!$C$56:$C$58=$C61),(RL!AO$56:AO$58),(RL!$O$56:$O$58),(RL!AO$83:AO$85))+SUMPRODUCT(--(LU!$C$56:$C$58=$C61),(LU!AO$56:AO$58),(LU!$O$56:$O$58),(LU!AO$83:AO$85)))/AO53,0)</f>
        <v>0</v>
      </c>
      <c r="AP61" s="1396">
        <f>IFERROR((SUMPRODUCT(--(IP!$C$65:$C$67=$C61),(IP!AP$65:AP$67),(IP!AP$92:AP$94))+SUMPRODUCT(--(RN!$C$62:$C$64=$C61),(RN!AP$62:AP$64),(RN!$O$62:$O$64),(RN!AP$89:AP$91))+SUMPRODUCT(--(RL!$C$56:$C$58=$C61),(RL!AP$56:AP$58),(RL!$O$56:$O$58),(RL!AP$83:AP$85))+SUMPRODUCT(--(LU!$C$56:$C$58=$C61),(LU!AP$56:AP$58),(LU!$O$56:$O$58),(LU!AP$83:AP$85)))/AP53,0)</f>
        <v>0</v>
      </c>
      <c r="AQ61" s="1396">
        <f>IFERROR((SUMPRODUCT(--(IP!$C$65:$C$67=$C61),(IP!AQ$65:AQ$67),(IP!AQ$92:AQ$94))+SUMPRODUCT(--(RN!$C$62:$C$64=$C61),(RN!AQ$62:AQ$64),(RN!$O$62:$O$64),(RN!AQ$89:AQ$91))+SUMPRODUCT(--(RL!$C$56:$C$58=$C61),(RL!AQ$56:AQ$58),(RL!$O$56:$O$58),(RL!AQ$83:AQ$85))+SUMPRODUCT(--(LU!$C$56:$C$58=$C61),(LU!AQ$56:AQ$58),(LU!$O$56:$O$58),(LU!AQ$83:AQ$85)))/AQ53,0)</f>
        <v>0</v>
      </c>
      <c r="AR61" s="1396">
        <f>IFERROR((SUMPRODUCT(--(IP!$C$65:$C$67=$C61),(IP!AR$65:AR$67),(IP!AR$92:AR$94))+SUMPRODUCT(--(RN!$C$62:$C$64=$C61),(RN!AR$62:AR$64),(RN!$O$62:$O$64),(RN!AR$89:AR$91))+SUMPRODUCT(--(RL!$C$56:$C$58=$C61),(RL!AR$56:AR$58),(RL!$O$56:$O$58),(RL!AR$83:AR$85))+SUMPRODUCT(--(LU!$C$56:$C$58=$C61),(LU!AR$56:AR$58),(LU!$O$56:$O$58),(LU!AR$83:AR$85)))/AR53,0)</f>
        <v>0</v>
      </c>
      <c r="AS61" s="1396">
        <f>IFERROR((SUMPRODUCT(--(IP!$C$65:$C$67=$C61),(IP!AS$65:AS$67),(IP!AS$92:AS$94))+SUMPRODUCT(--(RN!$C$62:$C$64=$C61),(RN!AS$62:AS$64),(RN!$O$62:$O$64),(RN!AS$89:AS$91))+SUMPRODUCT(--(RL!$C$56:$C$58=$C61),(RL!AS$56:AS$58),(RL!$O$56:$O$58),(RL!AS$83:AS$85))+SUMPRODUCT(--(LU!$C$56:$C$58=$C61),(LU!AS$56:AS$58),(LU!$O$56:$O$58),(LU!AS$83:AS$85)))/AS53,0)</f>
        <v>0</v>
      </c>
      <c r="AT61" s="1396">
        <f>IFERROR((SUMPRODUCT(--(IP!$C$65:$C$67=$C61),(IP!AT$65:AT$67),(IP!AT$92:AT$94))+SUMPRODUCT(--(RN!$C$62:$C$64=$C61),(RN!AT$62:AT$64),(RN!$O$62:$O$64),(RN!AT$89:AT$91))+SUMPRODUCT(--(RL!$C$56:$C$58=$C61),(RL!AT$56:AT$58),(RL!$O$56:$O$58),(RL!AT$83:AT$85))+SUMPRODUCT(--(LU!$C$56:$C$58=$C61),(LU!AT$56:AT$58),(LU!$O$56:$O$58),(LU!AT$83:AT$85)))/AT53,0)</f>
        <v>0</v>
      </c>
      <c r="AU61" s="1396">
        <f>IFERROR((SUMPRODUCT(--(IP!$C$65:$C$67=$C61),(IP!AU$65:AU$67),(IP!AU$92:AU$94))+SUMPRODUCT(--(RN!$C$62:$C$64=$C61),(RN!AU$62:AU$64),(RN!$O$62:$O$64),(RN!AU$89:AU$91))+SUMPRODUCT(--(RL!$C$56:$C$58=$C61),(RL!AU$56:AU$58),(RL!$O$56:$O$58),(RL!AU$83:AU$85))+SUMPRODUCT(--(LU!$C$56:$C$58=$C61),(LU!AU$56:AU$58),(LU!$O$56:$O$58),(LU!AU$83:AU$85)))/AU53,0)</f>
        <v>0</v>
      </c>
      <c r="AV61" s="1396">
        <f>IFERROR((SUMPRODUCT(--(IP!$C$65:$C$67=$C61),(IP!AV$65:AV$67),(IP!AV$92:AV$94))+SUMPRODUCT(--(RN!$C$62:$C$64=$C61),(RN!AV$62:AV$64),(RN!$O$62:$O$64),(RN!AV$89:AV$91))+SUMPRODUCT(--(RL!$C$56:$C$58=$C61),(RL!AV$56:AV$58),(RL!$O$56:$O$58),(RL!AV$83:AV$85))+SUMPRODUCT(--(LU!$C$56:$C$58=$C61),(LU!AV$56:AV$58),(LU!$O$56:$O$58),(LU!AV$83:AV$85)))/AV53,0)</f>
        <v>0</v>
      </c>
      <c r="AW61" s="1396">
        <f>IFERROR((SUMPRODUCT(--(IP!$C$65:$C$67=$C61),(IP!AW$65:AW$67),(IP!AW$92:AW$94))+SUMPRODUCT(--(RN!$C$62:$C$64=$C61),(RN!AW$62:AW$64),(RN!$O$62:$O$64),(RN!AW$89:AW$91))+SUMPRODUCT(--(RL!$C$56:$C$58=$C61),(RL!AW$56:AW$58),(RL!$O$56:$O$58),(RL!AW$83:AW$85))+SUMPRODUCT(--(LU!$C$56:$C$58=$C61),(LU!AW$56:AW$58),(LU!$O$56:$O$58),(LU!AW$83:AW$85)))/AW53,0)</f>
        <v>0</v>
      </c>
      <c r="AX61" s="1396">
        <f>IFERROR((SUMPRODUCT(--(IP!$C$65:$C$67=$C61),(IP!AX$65:AX$67),(IP!AX$92:AX$94))+SUMPRODUCT(--(RN!$C$62:$C$64=$C61),(RN!AX$62:AX$64),(RN!$O$62:$O$64),(RN!AX$89:AX$91))+SUMPRODUCT(--(RL!$C$56:$C$58=$C61),(RL!AX$56:AX$58),(RL!$O$56:$O$58),(RL!AX$83:AX$85))+SUMPRODUCT(--(LU!$C$56:$C$58=$C61),(LU!AX$56:AX$58),(LU!$O$56:$O$58),(LU!AX$83:AX$85)))/AX53,0)</f>
        <v>0</v>
      </c>
      <c r="AY61" s="1396">
        <f>IFERROR((SUMPRODUCT(--(IP!$C$65:$C$67=$C61),(IP!AY$65:AY$67),(IP!AY$92:AY$94))+SUMPRODUCT(--(RN!$C$62:$C$64=$C61),(RN!AY$62:AY$64),(RN!$O$62:$O$64),(RN!AY$89:AY$91))+SUMPRODUCT(--(RL!$C$56:$C$58=$C61),(RL!AY$56:AY$58),(RL!$O$56:$O$58),(RL!AY$83:AY$85))+SUMPRODUCT(--(LU!$C$56:$C$58=$C61),(LU!AY$56:AY$58),(LU!$O$56:$O$58),(LU!AY$83:AY$85)))/AY53,0)</f>
        <v>0</v>
      </c>
      <c r="AZ61" s="1396">
        <f>IFERROR((SUMPRODUCT(--(IP!$C$65:$C$67=$C61),(IP!AZ$65:AZ$67),(IP!AZ$92:AZ$94))+SUMPRODUCT(--(RN!$C$62:$C$64=$C61),(RN!AZ$62:AZ$64),(RN!$O$62:$O$64),(RN!AZ$89:AZ$91))+SUMPRODUCT(--(RL!$C$56:$C$58=$C61),(RL!AZ$56:AZ$58),(RL!$O$56:$O$58),(RL!AZ$83:AZ$85))+SUMPRODUCT(--(LU!$C$56:$C$58=$C61),(LU!AZ$56:AZ$58),(LU!$O$56:$O$58),(LU!AZ$83:AZ$85)))/AZ53,0)</f>
        <v>0</v>
      </c>
      <c r="BA61" s="1396">
        <f>IFERROR((SUMPRODUCT(--(IP!$C$65:$C$67=$C61),(IP!BA$65:BA$67),(IP!BA$92:BA$94))+SUMPRODUCT(--(RN!$C$62:$C$64=$C61),(RN!BA$62:BA$64),(RN!$O$62:$O$64),(RN!BA$89:BA$91))+SUMPRODUCT(--(RL!$C$56:$C$58=$C61),(RL!BA$56:BA$58),(RL!$O$56:$O$58),(RL!BA$83:BA$85))+SUMPRODUCT(--(LU!$C$56:$C$58=$C61),(LU!BA$56:BA$58),(LU!$O$56:$O$58),(LU!BA$83:BA$85)))/BA53,0)</f>
        <v>0</v>
      </c>
      <c r="BB61" s="1396">
        <f>IFERROR((SUMPRODUCT(--(IP!$C$65:$C$67=$C61),(IP!BB$65:BB$67),(IP!BB$92:BB$94))+SUMPRODUCT(--(RN!$C$62:$C$64=$C61),(RN!BB$62:BB$64),(RN!$O$62:$O$64),(RN!BB$89:BB$91))+SUMPRODUCT(--(RL!$C$56:$C$58=$C61),(RL!BB$56:BB$58),(RL!$O$56:$O$58),(RL!BB$83:BB$85))+SUMPRODUCT(--(LU!$C$56:$C$58=$C61),(LU!BB$56:BB$58),(LU!$O$56:$O$58),(LU!BB$83:BB$85)))/BB53,0)</f>
        <v>0</v>
      </c>
      <c r="BC61" s="1396">
        <f>IFERROR((SUMPRODUCT(--(IP!$C$65:$C$67=$C61),(IP!BC$65:BC$67),(IP!BC$92:BC$94))+SUMPRODUCT(--(RN!$C$62:$C$64=$C61),(RN!BC$62:BC$64),(RN!$O$62:$O$64),(RN!BC$89:BC$91))+SUMPRODUCT(--(RL!$C$56:$C$58=$C61),(RL!BC$56:BC$58),(RL!$O$56:$O$58),(RL!BC$83:BC$85))+SUMPRODUCT(--(LU!$C$56:$C$58=$C61),(LU!BC$56:BC$58),(LU!$O$56:$O$58),(LU!BC$83:BC$85)))/BC53,0)</f>
        <v>0</v>
      </c>
      <c r="BD61" s="1396">
        <f>IFERROR((SUMPRODUCT(--(IP!$C$65:$C$67=$C61),(IP!BD$65:BD$67),(IP!BD$92:BD$94))+SUMPRODUCT(--(RN!$C$62:$C$64=$C61),(RN!BD$62:BD$64),(RN!$O$62:$O$64),(RN!BD$89:BD$91))+SUMPRODUCT(--(RL!$C$56:$C$58=$C61),(RL!BD$56:BD$58),(RL!$O$56:$O$58),(RL!BD$83:BD$85))+SUMPRODUCT(--(LU!$C$56:$C$58=$C61),(LU!BD$56:BD$58),(LU!$O$56:$O$58),(LU!BD$83:BD$85)))/BD53,0)</f>
        <v>0</v>
      </c>
      <c r="BE61" s="1396">
        <f>IFERROR((SUMPRODUCT(--(IP!$C$65:$C$67=$C61),(IP!BE$65:BE$67),(IP!BE$92:BE$94))+SUMPRODUCT(--(RN!$C$62:$C$64=$C61),(RN!BE$62:BE$64),(RN!$O$62:$O$64),(RN!BE$89:BE$91))+SUMPRODUCT(--(RL!$C$56:$C$58=$C61),(RL!BE$56:BE$58),(RL!$O$56:$O$58),(RL!BE$83:BE$85))+SUMPRODUCT(--(LU!$C$56:$C$58=$C61),(LU!BE$56:BE$58),(LU!$O$56:$O$58),(LU!BE$83:BE$85)))/BE53,0)</f>
        <v>0</v>
      </c>
      <c r="BF61" s="1396">
        <f>IFERROR((SUMPRODUCT(--(IP!$C$65:$C$67=$C61),(IP!BF$65:BF$67),(IP!BF$92:BF$94))+SUMPRODUCT(--(RN!$C$62:$C$64=$C61),(RN!BF$62:BF$64),(RN!$O$62:$O$64),(RN!BF$89:BF$91))+SUMPRODUCT(--(RL!$C$56:$C$58=$C61),(RL!BF$56:BF$58),(RL!$O$56:$O$58),(RL!BF$83:BF$85))+SUMPRODUCT(--(LU!$C$56:$C$58=$C61),(LU!BF$56:BF$58),(LU!$O$56:$O$58),(LU!BF$83:BF$85)))/BF53,0)</f>
        <v>0</v>
      </c>
      <c r="BG61" s="1396">
        <f>IFERROR((SUMPRODUCT(--(IP!$C$65:$C$67=$C61),(IP!BG$65:BG$67),(IP!BG$92:BG$94))+SUMPRODUCT(--(RN!$C$62:$C$64=$C61),(RN!BG$62:BG$64),(RN!$O$62:$O$64),(RN!BG$89:BG$91))+SUMPRODUCT(--(RL!$C$56:$C$58=$C61),(RL!BG$56:BG$58),(RL!$O$56:$O$58),(RL!BG$83:BG$85))+SUMPRODUCT(--(LU!$C$56:$C$58=$C61),(LU!BG$56:BG$58),(LU!$O$56:$O$58),(LU!BG$83:BG$85)))/BG53,0)</f>
        <v>0</v>
      </c>
      <c r="BI61" s="106" t="s">
        <v>153</v>
      </c>
      <c r="BK61" s="326">
        <f>SUMPRODUCT($T61:$BG61,$T29:$BG29)</f>
        <v>14.846575342465753</v>
      </c>
    </row>
    <row r="62" spans="2:63">
      <c r="C62" s="99">
        <f>AA!C15</f>
        <v>3</v>
      </c>
      <c r="E62" s="94" t="str">
        <f>INDEX(AA!$AC$13:$AC$15,MATCH($C62,AA!$C$13:$C$15,0))</f>
        <v>backup</v>
      </c>
      <c r="G62" s="1325">
        <f>INDEX(AA!$E$13:$E$15,MATCH($C62,AA!$C$13:$C$15,0))</f>
        <v>1</v>
      </c>
      <c r="I62" s="73" t="s">
        <v>300</v>
      </c>
      <c r="Q62" s="324"/>
      <c r="R62" s="323"/>
      <c r="T62" s="1396">
        <f>IFERROR((SUMPRODUCT(--(IP!$C$65:$C$67=$C62),(IP!T$65:T$67),(IP!T$92:T$94))+SUMPRODUCT(--(RN!$C$62:$C$64=$C62),(RN!T$62:T$64),(RN!$O$62:$O$64),(RN!T$89:T$91))+SUMPRODUCT(--(RL!$C$56:$C$58=$C62),(RL!T$56:T$58),(RL!$O$56:$O$58),(RL!T$83:T$85))+SUMPRODUCT(--(LU!$C$56:$C$58=$C62),(LU!T$56:T$58),(LU!$O$56:$O$58),(LU!T$83:T$85)))/T54,0)</f>
        <v>0</v>
      </c>
      <c r="U62" s="1396">
        <f>IFERROR((SUMPRODUCT(--(IP!$C$65:$C$67=$C62),(IP!U$65:U$67),(IP!U$92:U$94))+SUMPRODUCT(--(RN!$C$62:$C$64=$C62),(RN!U$62:U$64),(RN!$O$62:$O$64),(RN!U$89:U$91))+SUMPRODUCT(--(RL!$C$56:$C$58=$C62),(RL!U$56:U$58),(RL!$O$56:$O$58),(RL!U$83:U$85))+SUMPRODUCT(--(LU!$C$56:$C$58=$C62),(LU!U$56:U$58),(LU!$O$56:$O$58),(LU!U$83:U$85)))/U54,0)</f>
        <v>0</v>
      </c>
      <c r="V62" s="1396">
        <f>IFERROR((SUMPRODUCT(--(IP!$C$65:$C$67=$C62),(IP!V$65:V$67),(IP!V$92:V$94))+SUMPRODUCT(--(RN!$C$62:$C$64=$C62),(RN!V$62:V$64),(RN!$O$62:$O$64),(RN!V$89:V$91))+SUMPRODUCT(--(RL!$C$56:$C$58=$C62),(RL!V$56:V$58),(RL!$O$56:$O$58),(RL!V$83:V$85))+SUMPRODUCT(--(LU!$C$56:$C$58=$C62),(LU!V$56:V$58),(LU!$O$56:$O$58),(LU!V$83:V$85)))/V54,0)</f>
        <v>17.095890410958905</v>
      </c>
      <c r="W62" s="1396">
        <f>IFERROR((SUMPRODUCT(--(IP!$C$65:$C$67=$C62),(IP!W$65:W$67),(IP!W$92:W$94))+SUMPRODUCT(--(RN!$C$62:$C$64=$C62),(RN!W$62:W$64),(RN!$O$62:$O$64),(RN!W$89:W$91))+SUMPRODUCT(--(RL!$C$56:$C$58=$C62),(RL!W$56:W$58),(RL!$O$56:$O$58),(RL!W$83:W$85))+SUMPRODUCT(--(LU!$C$56:$C$58=$C62),(LU!W$56:W$58),(LU!$O$56:$O$58),(LU!W$83:W$85)))/W54,0)</f>
        <v>16.849315068493151</v>
      </c>
      <c r="X62" s="1396">
        <f>IFERROR((SUMPRODUCT(--(IP!$C$65:$C$67=$C62),(IP!X$65:X$67),(IP!X$92:X$94))+SUMPRODUCT(--(RN!$C$62:$C$64=$C62),(RN!X$62:X$64),(RN!$O$62:$O$64),(RN!X$89:X$91))+SUMPRODUCT(--(RL!$C$56:$C$58=$C62),(RL!X$56:X$58),(RL!$O$56:$O$58),(RL!X$83:X$85))+SUMPRODUCT(--(LU!$C$56:$C$58=$C62),(LU!X$56:X$58),(LU!$O$56:$O$58),(LU!X$83:X$85)))/X54,0)</f>
        <v>16.597260273972601</v>
      </c>
      <c r="Y62" s="1396">
        <f>IFERROR((SUMPRODUCT(--(IP!$C$65:$C$67=$C62),(IP!Y$65:Y$67),(IP!Y$92:Y$94))+SUMPRODUCT(--(RN!$C$62:$C$64=$C62),(RN!Y$62:Y$64),(RN!$O$62:$O$64),(RN!Y$89:Y$91))+SUMPRODUCT(--(RL!$C$56:$C$58=$C62),(RL!Y$56:Y$58),(RL!$O$56:$O$58),(RL!Y$83:Y$85))+SUMPRODUCT(--(LU!$C$56:$C$58=$C62),(LU!Y$56:Y$58),(LU!$O$56:$O$58),(LU!Y$83:Y$85)))/Y54,0)</f>
        <v>16.345205479452055</v>
      </c>
      <c r="Z62" s="1396">
        <f>IFERROR((SUMPRODUCT(--(IP!$C$65:$C$67=$C62),(IP!Z$65:Z$67),(IP!Z$92:Z$94))+SUMPRODUCT(--(RN!$C$62:$C$64=$C62),(RN!Z$62:Z$64),(RN!$O$62:$O$64),(RN!Z$89:Z$91))+SUMPRODUCT(--(RL!$C$56:$C$58=$C62),(RL!Z$56:Z$58),(RL!$O$56:$O$58),(RL!Z$83:Z$85))+SUMPRODUCT(--(LU!$C$56:$C$58=$C62),(LU!Z$56:Z$58),(LU!$O$56:$O$58),(LU!Z$83:Z$85)))/Z54,0)</f>
        <v>16.095890410958905</v>
      </c>
      <c r="AA62" s="1396">
        <f>IFERROR((SUMPRODUCT(--(IP!$C$65:$C$67=$C62),(IP!AA$65:AA$67),(IP!AA$92:AA$94))+SUMPRODUCT(--(RN!$C$62:$C$64=$C62),(RN!AA$62:AA$64),(RN!$O$62:$O$64),(RN!AA$89:AA$91))+SUMPRODUCT(--(RL!$C$56:$C$58=$C62),(RL!AA$56:AA$58),(RL!$O$56:$O$58),(RL!AA$83:AA$85))+SUMPRODUCT(--(LU!$C$56:$C$58=$C62),(LU!AA$56:AA$58),(LU!$O$56:$O$58),(LU!AA$83:AA$85)))/AA54,0)</f>
        <v>15.849315068493153</v>
      </c>
      <c r="AB62" s="1396">
        <f>IFERROR((SUMPRODUCT(--(IP!$C$65:$C$67=$C62),(IP!AB$65:AB$67),(IP!AB$92:AB$94))+SUMPRODUCT(--(RN!$C$62:$C$64=$C62),(RN!AB$62:AB$64),(RN!$O$62:$O$64),(RN!AB$89:AB$91))+SUMPRODUCT(--(RL!$C$56:$C$58=$C62),(RL!AB$56:AB$58),(RL!$O$56:$O$58),(RL!AB$83:AB$85))+SUMPRODUCT(--(LU!$C$56:$C$58=$C62),(LU!AB$56:AB$58),(LU!$O$56:$O$58),(LU!AB$83:AB$85)))/AB54,0)</f>
        <v>15.597260273972601</v>
      </c>
      <c r="AC62" s="1396">
        <f>IFERROR((SUMPRODUCT(--(IP!$C$65:$C$67=$C62),(IP!AC$65:AC$67),(IP!AC$92:AC$94))+SUMPRODUCT(--(RN!$C$62:$C$64=$C62),(RN!AC$62:AC$64),(RN!$O$62:$O$64),(RN!AC$89:AC$91))+SUMPRODUCT(--(RL!$C$56:$C$58=$C62),(RL!AC$56:AC$58),(RL!$O$56:$O$58),(RL!AC$83:AC$85))+SUMPRODUCT(--(LU!$C$56:$C$58=$C62),(LU!AC$56:AC$58),(LU!$O$56:$O$58),(LU!AC$83:AC$85)))/AC54,0)</f>
        <v>15.345205479452055</v>
      </c>
      <c r="AD62" s="1396">
        <f>IFERROR((SUMPRODUCT(--(IP!$C$65:$C$67=$C62),(IP!AD$65:AD$67),(IP!AD$92:AD$94))+SUMPRODUCT(--(RN!$C$62:$C$64=$C62),(RN!AD$62:AD$64),(RN!$O$62:$O$64),(RN!AD$89:AD$91))+SUMPRODUCT(--(RL!$C$56:$C$58=$C62),(RL!AD$56:AD$58),(RL!$O$56:$O$58),(RL!AD$83:AD$85))+SUMPRODUCT(--(LU!$C$56:$C$58=$C62),(LU!AD$56:AD$58),(LU!$O$56:$O$58),(LU!AD$83:AD$85)))/AD54,0)</f>
        <v>15.095890410958903</v>
      </c>
      <c r="AE62" s="1396">
        <f>IFERROR((SUMPRODUCT(--(IP!$C$65:$C$67=$C62),(IP!AE$65:AE$67),(IP!AE$92:AE$94))+SUMPRODUCT(--(RN!$C$62:$C$64=$C62),(RN!AE$62:AE$64),(RN!$O$62:$O$64),(RN!AE$89:AE$91))+SUMPRODUCT(--(RL!$C$56:$C$58=$C62),(RL!AE$56:AE$58),(RL!$O$56:$O$58),(RL!AE$83:AE$85))+SUMPRODUCT(--(LU!$C$56:$C$58=$C62),(LU!AE$56:AE$58),(LU!$O$56:$O$58),(LU!AE$83:AE$85)))/AE54,0)</f>
        <v>14.846575342465753</v>
      </c>
      <c r="AF62" s="1396">
        <f>IFERROR((SUMPRODUCT(--(IP!$C$65:$C$67=$C62),(IP!AF$65:AF$67),(IP!AF$92:AF$94))+SUMPRODUCT(--(RN!$C$62:$C$64=$C62),(RN!AF$62:AF$64),(RN!$O$62:$O$64),(RN!AF$89:AF$91))+SUMPRODUCT(--(RL!$C$56:$C$58=$C62),(RL!AF$56:AF$58),(RL!$O$56:$O$58),(RL!AF$83:AF$85))+SUMPRODUCT(--(LU!$C$56:$C$58=$C62),(LU!AF$56:AF$58),(LU!$O$56:$O$58),(LU!AF$83:AF$85)))/AF54,0)</f>
        <v>0</v>
      </c>
      <c r="AG62" s="1396">
        <f>IFERROR((SUMPRODUCT(--(IP!$C$65:$C$67=$C62),(IP!AG$65:AG$67),(IP!AG$92:AG$94))+SUMPRODUCT(--(RN!$C$62:$C$64=$C62),(RN!AG$62:AG$64),(RN!$O$62:$O$64),(RN!AG$89:AG$91))+SUMPRODUCT(--(RL!$C$56:$C$58=$C62),(RL!AG$56:AG$58),(RL!$O$56:$O$58),(RL!AG$83:AG$85))+SUMPRODUCT(--(LU!$C$56:$C$58=$C62),(LU!AG$56:AG$58),(LU!$O$56:$O$58),(LU!AG$83:AG$85)))/AG54,0)</f>
        <v>0</v>
      </c>
      <c r="AH62" s="1396">
        <f>IFERROR((SUMPRODUCT(--(IP!$C$65:$C$67=$C62),(IP!AH$65:AH$67),(IP!AH$92:AH$94))+SUMPRODUCT(--(RN!$C$62:$C$64=$C62),(RN!AH$62:AH$64),(RN!$O$62:$O$64),(RN!AH$89:AH$91))+SUMPRODUCT(--(RL!$C$56:$C$58=$C62),(RL!AH$56:AH$58),(RL!$O$56:$O$58),(RL!AH$83:AH$85))+SUMPRODUCT(--(LU!$C$56:$C$58=$C62),(LU!AH$56:AH$58),(LU!$O$56:$O$58),(LU!AH$83:AH$85)))/AH54,0)</f>
        <v>0</v>
      </c>
      <c r="AI62" s="1396">
        <f>IFERROR((SUMPRODUCT(--(IP!$C$65:$C$67=$C62),(IP!AI$65:AI$67),(IP!AI$92:AI$94))+SUMPRODUCT(--(RN!$C$62:$C$64=$C62),(RN!AI$62:AI$64),(RN!$O$62:$O$64),(RN!AI$89:AI$91))+SUMPRODUCT(--(RL!$C$56:$C$58=$C62),(RL!AI$56:AI$58),(RL!$O$56:$O$58),(RL!AI$83:AI$85))+SUMPRODUCT(--(LU!$C$56:$C$58=$C62),(LU!AI$56:AI$58),(LU!$O$56:$O$58),(LU!AI$83:AI$85)))/AI54,0)</f>
        <v>0</v>
      </c>
      <c r="AJ62" s="1396">
        <f>IFERROR((SUMPRODUCT(--(IP!$C$65:$C$67=$C62),(IP!AJ$65:AJ$67),(IP!AJ$92:AJ$94))+SUMPRODUCT(--(RN!$C$62:$C$64=$C62),(RN!AJ$62:AJ$64),(RN!$O$62:$O$64),(RN!AJ$89:AJ$91))+SUMPRODUCT(--(RL!$C$56:$C$58=$C62),(RL!AJ$56:AJ$58),(RL!$O$56:$O$58),(RL!AJ$83:AJ$85))+SUMPRODUCT(--(LU!$C$56:$C$58=$C62),(LU!AJ$56:AJ$58),(LU!$O$56:$O$58),(LU!AJ$83:AJ$85)))/AJ54,0)</f>
        <v>0</v>
      </c>
      <c r="AK62" s="1396">
        <f>IFERROR((SUMPRODUCT(--(IP!$C$65:$C$67=$C62),(IP!AK$65:AK$67),(IP!AK$92:AK$94))+SUMPRODUCT(--(RN!$C$62:$C$64=$C62),(RN!AK$62:AK$64),(RN!$O$62:$O$64),(RN!AK$89:AK$91))+SUMPRODUCT(--(RL!$C$56:$C$58=$C62),(RL!AK$56:AK$58),(RL!$O$56:$O$58),(RL!AK$83:AK$85))+SUMPRODUCT(--(LU!$C$56:$C$58=$C62),(LU!AK$56:AK$58),(LU!$O$56:$O$58),(LU!AK$83:AK$85)))/AK54,0)</f>
        <v>0</v>
      </c>
      <c r="AL62" s="1396">
        <f>IFERROR((SUMPRODUCT(--(IP!$C$65:$C$67=$C62),(IP!AL$65:AL$67),(IP!AL$92:AL$94))+SUMPRODUCT(--(RN!$C$62:$C$64=$C62),(RN!AL$62:AL$64),(RN!$O$62:$O$64),(RN!AL$89:AL$91))+SUMPRODUCT(--(RL!$C$56:$C$58=$C62),(RL!AL$56:AL$58),(RL!$O$56:$O$58),(RL!AL$83:AL$85))+SUMPRODUCT(--(LU!$C$56:$C$58=$C62),(LU!AL$56:AL$58),(LU!$O$56:$O$58),(LU!AL$83:AL$85)))/AL54,0)</f>
        <v>0</v>
      </c>
      <c r="AM62" s="1396">
        <f>IFERROR((SUMPRODUCT(--(IP!$C$65:$C$67=$C62),(IP!AM$65:AM$67),(IP!AM$92:AM$94))+SUMPRODUCT(--(RN!$C$62:$C$64=$C62),(RN!AM$62:AM$64),(RN!$O$62:$O$64),(RN!AM$89:AM$91))+SUMPRODUCT(--(RL!$C$56:$C$58=$C62),(RL!AM$56:AM$58),(RL!$O$56:$O$58),(RL!AM$83:AM$85))+SUMPRODUCT(--(LU!$C$56:$C$58=$C62),(LU!AM$56:AM$58),(LU!$O$56:$O$58),(LU!AM$83:AM$85)))/AM54,0)</f>
        <v>0</v>
      </c>
      <c r="AN62" s="1396">
        <f>IFERROR((SUMPRODUCT(--(IP!$C$65:$C$67=$C62),(IP!AN$65:AN$67),(IP!AN$92:AN$94))+SUMPRODUCT(--(RN!$C$62:$C$64=$C62),(RN!AN$62:AN$64),(RN!$O$62:$O$64),(RN!AN$89:AN$91))+SUMPRODUCT(--(RL!$C$56:$C$58=$C62),(RL!AN$56:AN$58),(RL!$O$56:$O$58),(RL!AN$83:AN$85))+SUMPRODUCT(--(LU!$C$56:$C$58=$C62),(LU!AN$56:AN$58),(LU!$O$56:$O$58),(LU!AN$83:AN$85)))/AN54,0)</f>
        <v>0</v>
      </c>
      <c r="AO62" s="1396">
        <f>IFERROR((SUMPRODUCT(--(IP!$C$65:$C$67=$C62),(IP!AO$65:AO$67),(IP!AO$92:AO$94))+SUMPRODUCT(--(RN!$C$62:$C$64=$C62),(RN!AO$62:AO$64),(RN!$O$62:$O$64),(RN!AO$89:AO$91))+SUMPRODUCT(--(RL!$C$56:$C$58=$C62),(RL!AO$56:AO$58),(RL!$O$56:$O$58),(RL!AO$83:AO$85))+SUMPRODUCT(--(LU!$C$56:$C$58=$C62),(LU!AO$56:AO$58),(LU!$O$56:$O$58),(LU!AO$83:AO$85)))/AO54,0)</f>
        <v>0</v>
      </c>
      <c r="AP62" s="1396">
        <f>IFERROR((SUMPRODUCT(--(IP!$C$65:$C$67=$C62),(IP!AP$65:AP$67),(IP!AP$92:AP$94))+SUMPRODUCT(--(RN!$C$62:$C$64=$C62),(RN!AP$62:AP$64),(RN!$O$62:$O$64),(RN!AP$89:AP$91))+SUMPRODUCT(--(RL!$C$56:$C$58=$C62),(RL!AP$56:AP$58),(RL!$O$56:$O$58),(RL!AP$83:AP$85))+SUMPRODUCT(--(LU!$C$56:$C$58=$C62),(LU!AP$56:AP$58),(LU!$O$56:$O$58),(LU!AP$83:AP$85)))/AP54,0)</f>
        <v>0</v>
      </c>
      <c r="AQ62" s="1396">
        <f>IFERROR((SUMPRODUCT(--(IP!$C$65:$C$67=$C62),(IP!AQ$65:AQ$67),(IP!AQ$92:AQ$94))+SUMPRODUCT(--(RN!$C$62:$C$64=$C62),(RN!AQ$62:AQ$64),(RN!$O$62:$O$64),(RN!AQ$89:AQ$91))+SUMPRODUCT(--(RL!$C$56:$C$58=$C62),(RL!AQ$56:AQ$58),(RL!$O$56:$O$58),(RL!AQ$83:AQ$85))+SUMPRODUCT(--(LU!$C$56:$C$58=$C62),(LU!AQ$56:AQ$58),(LU!$O$56:$O$58),(LU!AQ$83:AQ$85)))/AQ54,0)</f>
        <v>0</v>
      </c>
      <c r="AR62" s="1396">
        <f>IFERROR((SUMPRODUCT(--(IP!$C$65:$C$67=$C62),(IP!AR$65:AR$67),(IP!AR$92:AR$94))+SUMPRODUCT(--(RN!$C$62:$C$64=$C62),(RN!AR$62:AR$64),(RN!$O$62:$O$64),(RN!AR$89:AR$91))+SUMPRODUCT(--(RL!$C$56:$C$58=$C62),(RL!AR$56:AR$58),(RL!$O$56:$O$58),(RL!AR$83:AR$85))+SUMPRODUCT(--(LU!$C$56:$C$58=$C62),(LU!AR$56:AR$58),(LU!$O$56:$O$58),(LU!AR$83:AR$85)))/AR54,0)</f>
        <v>0</v>
      </c>
      <c r="AS62" s="1396">
        <f>IFERROR((SUMPRODUCT(--(IP!$C$65:$C$67=$C62),(IP!AS$65:AS$67),(IP!AS$92:AS$94))+SUMPRODUCT(--(RN!$C$62:$C$64=$C62),(RN!AS$62:AS$64),(RN!$O$62:$O$64),(RN!AS$89:AS$91))+SUMPRODUCT(--(RL!$C$56:$C$58=$C62),(RL!AS$56:AS$58),(RL!$O$56:$O$58),(RL!AS$83:AS$85))+SUMPRODUCT(--(LU!$C$56:$C$58=$C62),(LU!AS$56:AS$58),(LU!$O$56:$O$58),(LU!AS$83:AS$85)))/AS54,0)</f>
        <v>0</v>
      </c>
      <c r="AT62" s="1396">
        <f>IFERROR((SUMPRODUCT(--(IP!$C$65:$C$67=$C62),(IP!AT$65:AT$67),(IP!AT$92:AT$94))+SUMPRODUCT(--(RN!$C$62:$C$64=$C62),(RN!AT$62:AT$64),(RN!$O$62:$O$64),(RN!AT$89:AT$91))+SUMPRODUCT(--(RL!$C$56:$C$58=$C62),(RL!AT$56:AT$58),(RL!$O$56:$O$58),(RL!AT$83:AT$85))+SUMPRODUCT(--(LU!$C$56:$C$58=$C62),(LU!AT$56:AT$58),(LU!$O$56:$O$58),(LU!AT$83:AT$85)))/AT54,0)</f>
        <v>0</v>
      </c>
      <c r="AU62" s="1396">
        <f>IFERROR((SUMPRODUCT(--(IP!$C$65:$C$67=$C62),(IP!AU$65:AU$67),(IP!AU$92:AU$94))+SUMPRODUCT(--(RN!$C$62:$C$64=$C62),(RN!AU$62:AU$64),(RN!$O$62:$O$64),(RN!AU$89:AU$91))+SUMPRODUCT(--(RL!$C$56:$C$58=$C62),(RL!AU$56:AU$58),(RL!$O$56:$O$58),(RL!AU$83:AU$85))+SUMPRODUCT(--(LU!$C$56:$C$58=$C62),(LU!AU$56:AU$58),(LU!$O$56:$O$58),(LU!AU$83:AU$85)))/AU54,0)</f>
        <v>0</v>
      </c>
      <c r="AV62" s="1396">
        <f>IFERROR((SUMPRODUCT(--(IP!$C$65:$C$67=$C62),(IP!AV$65:AV$67),(IP!AV$92:AV$94))+SUMPRODUCT(--(RN!$C$62:$C$64=$C62),(RN!AV$62:AV$64),(RN!$O$62:$O$64),(RN!AV$89:AV$91))+SUMPRODUCT(--(RL!$C$56:$C$58=$C62),(RL!AV$56:AV$58),(RL!$O$56:$O$58),(RL!AV$83:AV$85))+SUMPRODUCT(--(LU!$C$56:$C$58=$C62),(LU!AV$56:AV$58),(LU!$O$56:$O$58),(LU!AV$83:AV$85)))/AV54,0)</f>
        <v>0</v>
      </c>
      <c r="AW62" s="1396">
        <f>IFERROR((SUMPRODUCT(--(IP!$C$65:$C$67=$C62),(IP!AW$65:AW$67),(IP!AW$92:AW$94))+SUMPRODUCT(--(RN!$C$62:$C$64=$C62),(RN!AW$62:AW$64),(RN!$O$62:$O$64),(RN!AW$89:AW$91))+SUMPRODUCT(--(RL!$C$56:$C$58=$C62),(RL!AW$56:AW$58),(RL!$O$56:$O$58),(RL!AW$83:AW$85))+SUMPRODUCT(--(LU!$C$56:$C$58=$C62),(LU!AW$56:AW$58),(LU!$O$56:$O$58),(LU!AW$83:AW$85)))/AW54,0)</f>
        <v>0</v>
      </c>
      <c r="AX62" s="1396">
        <f>IFERROR((SUMPRODUCT(--(IP!$C$65:$C$67=$C62),(IP!AX$65:AX$67),(IP!AX$92:AX$94))+SUMPRODUCT(--(RN!$C$62:$C$64=$C62),(RN!AX$62:AX$64),(RN!$O$62:$O$64),(RN!AX$89:AX$91))+SUMPRODUCT(--(RL!$C$56:$C$58=$C62),(RL!AX$56:AX$58),(RL!$O$56:$O$58),(RL!AX$83:AX$85))+SUMPRODUCT(--(LU!$C$56:$C$58=$C62),(LU!AX$56:AX$58),(LU!$O$56:$O$58),(LU!AX$83:AX$85)))/AX54,0)</f>
        <v>0</v>
      </c>
      <c r="AY62" s="1396">
        <f>IFERROR((SUMPRODUCT(--(IP!$C$65:$C$67=$C62),(IP!AY$65:AY$67),(IP!AY$92:AY$94))+SUMPRODUCT(--(RN!$C$62:$C$64=$C62),(RN!AY$62:AY$64),(RN!$O$62:$O$64),(RN!AY$89:AY$91))+SUMPRODUCT(--(RL!$C$56:$C$58=$C62),(RL!AY$56:AY$58),(RL!$O$56:$O$58),(RL!AY$83:AY$85))+SUMPRODUCT(--(LU!$C$56:$C$58=$C62),(LU!AY$56:AY$58),(LU!$O$56:$O$58),(LU!AY$83:AY$85)))/AY54,0)</f>
        <v>0</v>
      </c>
      <c r="AZ62" s="1396">
        <f>IFERROR((SUMPRODUCT(--(IP!$C$65:$C$67=$C62),(IP!AZ$65:AZ$67),(IP!AZ$92:AZ$94))+SUMPRODUCT(--(RN!$C$62:$C$64=$C62),(RN!AZ$62:AZ$64),(RN!$O$62:$O$64),(RN!AZ$89:AZ$91))+SUMPRODUCT(--(RL!$C$56:$C$58=$C62),(RL!AZ$56:AZ$58),(RL!$O$56:$O$58),(RL!AZ$83:AZ$85))+SUMPRODUCT(--(LU!$C$56:$C$58=$C62),(LU!AZ$56:AZ$58),(LU!$O$56:$O$58),(LU!AZ$83:AZ$85)))/AZ54,0)</f>
        <v>0</v>
      </c>
      <c r="BA62" s="1396">
        <f>IFERROR((SUMPRODUCT(--(IP!$C$65:$C$67=$C62),(IP!BA$65:BA$67),(IP!BA$92:BA$94))+SUMPRODUCT(--(RN!$C$62:$C$64=$C62),(RN!BA$62:BA$64),(RN!$O$62:$O$64),(RN!BA$89:BA$91))+SUMPRODUCT(--(RL!$C$56:$C$58=$C62),(RL!BA$56:BA$58),(RL!$O$56:$O$58),(RL!BA$83:BA$85))+SUMPRODUCT(--(LU!$C$56:$C$58=$C62),(LU!BA$56:BA$58),(LU!$O$56:$O$58),(LU!BA$83:BA$85)))/BA54,0)</f>
        <v>0</v>
      </c>
      <c r="BB62" s="1396">
        <f>IFERROR((SUMPRODUCT(--(IP!$C$65:$C$67=$C62),(IP!BB$65:BB$67),(IP!BB$92:BB$94))+SUMPRODUCT(--(RN!$C$62:$C$64=$C62),(RN!BB$62:BB$64),(RN!$O$62:$O$64),(RN!BB$89:BB$91))+SUMPRODUCT(--(RL!$C$56:$C$58=$C62),(RL!BB$56:BB$58),(RL!$O$56:$O$58),(RL!BB$83:BB$85))+SUMPRODUCT(--(LU!$C$56:$C$58=$C62),(LU!BB$56:BB$58),(LU!$O$56:$O$58),(LU!BB$83:BB$85)))/BB54,0)</f>
        <v>0</v>
      </c>
      <c r="BC62" s="1396">
        <f>IFERROR((SUMPRODUCT(--(IP!$C$65:$C$67=$C62),(IP!BC$65:BC$67),(IP!BC$92:BC$94))+SUMPRODUCT(--(RN!$C$62:$C$64=$C62),(RN!BC$62:BC$64),(RN!$O$62:$O$64),(RN!BC$89:BC$91))+SUMPRODUCT(--(RL!$C$56:$C$58=$C62),(RL!BC$56:BC$58),(RL!$O$56:$O$58),(RL!BC$83:BC$85))+SUMPRODUCT(--(LU!$C$56:$C$58=$C62),(LU!BC$56:BC$58),(LU!$O$56:$O$58),(LU!BC$83:BC$85)))/BC54,0)</f>
        <v>0</v>
      </c>
      <c r="BD62" s="1396">
        <f>IFERROR((SUMPRODUCT(--(IP!$C$65:$C$67=$C62),(IP!BD$65:BD$67),(IP!BD$92:BD$94))+SUMPRODUCT(--(RN!$C$62:$C$64=$C62),(RN!BD$62:BD$64),(RN!$O$62:$O$64),(RN!BD$89:BD$91))+SUMPRODUCT(--(RL!$C$56:$C$58=$C62),(RL!BD$56:BD$58),(RL!$O$56:$O$58),(RL!BD$83:BD$85))+SUMPRODUCT(--(LU!$C$56:$C$58=$C62),(LU!BD$56:BD$58),(LU!$O$56:$O$58),(LU!BD$83:BD$85)))/BD54,0)</f>
        <v>0</v>
      </c>
      <c r="BE62" s="1396">
        <f>IFERROR((SUMPRODUCT(--(IP!$C$65:$C$67=$C62),(IP!BE$65:BE$67),(IP!BE$92:BE$94))+SUMPRODUCT(--(RN!$C$62:$C$64=$C62),(RN!BE$62:BE$64),(RN!$O$62:$O$64),(RN!BE$89:BE$91))+SUMPRODUCT(--(RL!$C$56:$C$58=$C62),(RL!BE$56:BE$58),(RL!$O$56:$O$58),(RL!BE$83:BE$85))+SUMPRODUCT(--(LU!$C$56:$C$58=$C62),(LU!BE$56:BE$58),(LU!$O$56:$O$58),(LU!BE$83:BE$85)))/BE54,0)</f>
        <v>0</v>
      </c>
      <c r="BF62" s="1396">
        <f>IFERROR((SUMPRODUCT(--(IP!$C$65:$C$67=$C62),(IP!BF$65:BF$67),(IP!BF$92:BF$94))+SUMPRODUCT(--(RN!$C$62:$C$64=$C62),(RN!BF$62:BF$64),(RN!$O$62:$O$64),(RN!BF$89:BF$91))+SUMPRODUCT(--(RL!$C$56:$C$58=$C62),(RL!BF$56:BF$58),(RL!$O$56:$O$58),(RL!BF$83:BF$85))+SUMPRODUCT(--(LU!$C$56:$C$58=$C62),(LU!BF$56:BF$58),(LU!$O$56:$O$58),(LU!BF$83:BF$85)))/BF54,0)</f>
        <v>0</v>
      </c>
      <c r="BG62" s="1396">
        <f>IFERROR((SUMPRODUCT(--(IP!$C$65:$C$67=$C62),(IP!BG$65:BG$67),(IP!BG$92:BG$94))+SUMPRODUCT(--(RN!$C$62:$C$64=$C62),(RN!BG$62:BG$64),(RN!$O$62:$O$64),(RN!BG$89:BG$91))+SUMPRODUCT(--(RL!$C$56:$C$58=$C62),(RL!BG$56:BG$58),(RL!$O$56:$O$58),(RL!BG$83:BG$85))+SUMPRODUCT(--(LU!$C$56:$C$58=$C62),(LU!BG$56:BG$58),(LU!$O$56:$O$58),(LU!BG$83:BG$85)))/BG54,0)</f>
        <v>0</v>
      </c>
      <c r="BI62" s="106" t="s">
        <v>153</v>
      </c>
      <c r="BK62" s="326">
        <f>SUMPRODUCT($T62:$BG62,$T30:$BG30)</f>
        <v>14.846575342465753</v>
      </c>
    </row>
    <row r="63" spans="2:63">
      <c r="C63" s="269"/>
      <c r="E63" s="269"/>
      <c r="G63" s="269"/>
      <c r="I63" s="269"/>
      <c r="BI63" s="269"/>
      <c r="BK63" s="269"/>
    </row>
    <row r="65" spans="2:63" s="90" customFormat="1">
      <c r="B65" s="91">
        <f ca="1">MAX(A$1:$B64)+1</f>
        <v>8</v>
      </c>
      <c r="C65" s="92" t="s">
        <v>322</v>
      </c>
    </row>
    <row r="67" spans="2:63" ht="30">
      <c r="C67" s="97" t="s">
        <v>4</v>
      </c>
      <c r="E67" s="97" t="s">
        <v>6</v>
      </c>
      <c r="G67" s="101" t="s">
        <v>272</v>
      </c>
      <c r="I67" s="101" t="s">
        <v>150</v>
      </c>
      <c r="BI67" s="327" t="s">
        <v>152</v>
      </c>
      <c r="BK67" s="328" t="s">
        <v>407</v>
      </c>
    </row>
    <row r="68" spans="2:63">
      <c r="C68" s="99">
        <f>AA!C13</f>
        <v>1</v>
      </c>
      <c r="E68" s="93" t="str">
        <f>INDEX(AA!$AC$13:$AC$15,MATCH($C68,AA!$C$13:$C$15,0))</f>
        <v>backup</v>
      </c>
      <c r="G68" s="1324">
        <f>INDEX(AA!$E$13:$E$15,MATCH($C68,AA!$C$13:$C$15,0))</f>
        <v>1</v>
      </c>
      <c r="I68" s="72" t="s">
        <v>321</v>
      </c>
      <c r="T68" s="373">
        <f>(SUMIFS(IP!T$109:T$111,IP!$C$109:$C$111,$C68)+SUMIFS(RN!T$106:T$108,RN!$C$106:$C$108,$C68)+SUMIFS(RL!T$100:T$102,RL!$C$100:$C$102,$C68)+SUMIFS(LU!T$100:T$102,LU!$C$100:$C$102,$C68))*T$14*T20</f>
        <v>0</v>
      </c>
      <c r="U68" s="373">
        <f>(SUMIFS(IP!U$109:U$111,IP!$C$109:$C$111,$C68)+SUMIFS(RN!U$106:U$108,RN!$C$106:$C$108,$C68)+SUMIFS(RL!U$100:U$102,RL!$C$100:$C$102,$C68)+SUMIFS(LU!U$100:U$102,LU!$C$100:$C$102,$C68))*U$14*U20</f>
        <v>0</v>
      </c>
      <c r="V68" s="373">
        <f>(SUMIFS(IP!V$109:V$111,IP!$C$109:$C$111,$C68)+SUMIFS(RN!V$106:V$108,RN!$C$106:$C$108,$C68)+SUMIFS(RL!V$100:V$102,RL!$C$100:$C$102,$C68)+SUMIFS(LU!V$100:V$102,LU!$C$100:$C$102,$C68))*V$14*V20</f>
        <v>0</v>
      </c>
      <c r="W68" s="373">
        <f>(SUMIFS(IP!W$109:W$111,IP!$C$109:$C$111,$C68)+SUMIFS(RN!W$106:W$108,RN!$C$106:$C$108,$C68)+SUMIFS(RL!W$100:W$102,RL!$C$100:$C$102,$C68)+SUMIFS(LU!W$100:W$102,LU!$C$100:$C$102,$C68))*W$14*W20</f>
        <v>0</v>
      </c>
      <c r="X68" s="373">
        <f>(SUMIFS(IP!X$109:X$111,IP!$C$109:$C$111,$C68)+SUMIFS(RN!X$106:X$108,RN!$C$106:$C$108,$C68)+SUMIFS(RL!X$100:X$102,RL!$C$100:$C$102,$C68)+SUMIFS(LU!X$100:X$102,LU!$C$100:$C$102,$C68))*X$14*X20</f>
        <v>0</v>
      </c>
      <c r="Y68" s="373">
        <f>(SUMIFS(IP!Y$109:Y$111,IP!$C$109:$C$111,$C68)+SUMIFS(RN!Y$106:Y$108,RN!$C$106:$C$108,$C68)+SUMIFS(RL!Y$100:Y$102,RL!$C$100:$C$102,$C68)+SUMIFS(LU!Y$100:Y$102,LU!$C$100:$C$102,$C68))*Y$14*Y20</f>
        <v>0</v>
      </c>
      <c r="Z68" s="373">
        <f>(SUMIFS(IP!Z$109:Z$111,IP!$C$109:$C$111,$C68)+SUMIFS(RN!Z$106:Z$108,RN!$C$106:$C$108,$C68)+SUMIFS(RL!Z$100:Z$102,RL!$C$100:$C$102,$C68)+SUMIFS(LU!Z$100:Z$102,LU!$C$100:$C$102,$C68))*Z$14*Z20</f>
        <v>0</v>
      </c>
      <c r="AA68" s="373">
        <f>(SUMIFS(IP!AA$109:AA$111,IP!$C$109:$C$111,$C68)+SUMIFS(RN!AA$106:AA$108,RN!$C$106:$C$108,$C68)+SUMIFS(RL!AA$100:AA$102,RL!$C$100:$C$102,$C68)+SUMIFS(LU!AA$100:AA$102,LU!$C$100:$C$102,$C68))*AA$14*AA20</f>
        <v>0</v>
      </c>
      <c r="AB68" s="373">
        <f>(SUMIFS(IP!AB$109:AB$111,IP!$C$109:$C$111,$C68)+SUMIFS(RN!AB$106:AB$108,RN!$C$106:$C$108,$C68)+SUMIFS(RL!AB$100:AB$102,RL!$C$100:$C$102,$C68)+SUMIFS(LU!AB$100:AB$102,LU!$C$100:$C$102,$C68))*AB$14*AB20</f>
        <v>0</v>
      </c>
      <c r="AC68" s="373">
        <f>(SUMIFS(IP!AC$109:AC$111,IP!$C$109:$C$111,$C68)+SUMIFS(RN!AC$106:AC$108,RN!$C$106:$C$108,$C68)+SUMIFS(RL!AC$100:AC$102,RL!$C$100:$C$102,$C68)+SUMIFS(LU!AC$100:AC$102,LU!$C$100:$C$102,$C68))*AC$14*AC20</f>
        <v>0</v>
      </c>
      <c r="AD68" s="373">
        <f>(SUMIFS(IP!AD$109:AD$111,IP!$C$109:$C$111,$C68)+SUMIFS(RN!AD$106:AD$108,RN!$C$106:$C$108,$C68)+SUMIFS(RL!AD$100:AD$102,RL!$C$100:$C$102,$C68)+SUMIFS(LU!AD$100:AD$102,LU!$C$100:$C$102,$C68))*AD$14*AD20</f>
        <v>0</v>
      </c>
      <c r="AE68" s="373">
        <f>(SUMIFS(IP!AE$109:AE$111,IP!$C$109:$C$111,$C68)+SUMIFS(RN!AE$106:AE$108,RN!$C$106:$C$108,$C68)+SUMIFS(RL!AE$100:AE$102,RL!$C$100:$C$102,$C68)+SUMIFS(LU!AE$100:AE$102,LU!$C$100:$C$102,$C68))*AE$14*AE20</f>
        <v>0</v>
      </c>
      <c r="AF68" s="373">
        <f>(SUMIFS(IP!AF$109:AF$111,IP!$C$109:$C$111,$C68)+SUMIFS(RN!AF$106:AF$108,RN!$C$106:$C$108,$C68)+SUMIFS(RL!AF$100:AF$102,RL!$C$100:$C$102,$C68)+SUMIFS(LU!AF$100:AF$102,LU!$C$100:$C$102,$C68))*AF$14*AF20</f>
        <v>0</v>
      </c>
      <c r="AG68" s="373">
        <f>(SUMIFS(IP!AG$109:AG$111,IP!$C$109:$C$111,$C68)+SUMIFS(RN!AG$106:AG$108,RN!$C$106:$C$108,$C68)+SUMIFS(RL!AG$100:AG$102,RL!$C$100:$C$102,$C68)+SUMIFS(LU!AG$100:AG$102,LU!$C$100:$C$102,$C68))*AG$14*AG20</f>
        <v>0</v>
      </c>
      <c r="AH68" s="373">
        <f>(SUMIFS(IP!AH$109:AH$111,IP!$C$109:$C$111,$C68)+SUMIFS(RN!AH$106:AH$108,RN!$C$106:$C$108,$C68)+SUMIFS(RL!AH$100:AH$102,RL!$C$100:$C$102,$C68)+SUMIFS(LU!AH$100:AH$102,LU!$C$100:$C$102,$C68))*AH$14*AH20</f>
        <v>0</v>
      </c>
      <c r="AI68" s="373">
        <f>(SUMIFS(IP!AI$109:AI$111,IP!$C$109:$C$111,$C68)+SUMIFS(RN!AI$106:AI$108,RN!$C$106:$C$108,$C68)+SUMIFS(RL!AI$100:AI$102,RL!$C$100:$C$102,$C68)+SUMIFS(LU!AI$100:AI$102,LU!$C$100:$C$102,$C68))*AI$14*AI20</f>
        <v>0</v>
      </c>
      <c r="AJ68" s="373">
        <f>(SUMIFS(IP!AJ$109:AJ$111,IP!$C$109:$C$111,$C68)+SUMIFS(RN!AJ$106:AJ$108,RN!$C$106:$C$108,$C68)+SUMIFS(RL!AJ$100:AJ$102,RL!$C$100:$C$102,$C68)+SUMIFS(LU!AJ$100:AJ$102,LU!$C$100:$C$102,$C68))*AJ$14*AJ20</f>
        <v>0</v>
      </c>
      <c r="AK68" s="373">
        <f>(SUMIFS(IP!AK$109:AK$111,IP!$C$109:$C$111,$C68)+SUMIFS(RN!AK$106:AK$108,RN!$C$106:$C$108,$C68)+SUMIFS(RL!AK$100:AK$102,RL!$C$100:$C$102,$C68)+SUMIFS(LU!AK$100:AK$102,LU!$C$100:$C$102,$C68))*AK$14*AK20</f>
        <v>0</v>
      </c>
      <c r="AL68" s="373">
        <f>(SUMIFS(IP!AL$109:AL$111,IP!$C$109:$C$111,$C68)+SUMIFS(RN!AL$106:AL$108,RN!$C$106:$C$108,$C68)+SUMIFS(RL!AL$100:AL$102,RL!$C$100:$C$102,$C68)+SUMIFS(LU!AL$100:AL$102,LU!$C$100:$C$102,$C68))*AL$14*AL20</f>
        <v>0</v>
      </c>
      <c r="AM68" s="373">
        <f>(SUMIFS(IP!AM$109:AM$111,IP!$C$109:$C$111,$C68)+SUMIFS(RN!AM$106:AM$108,RN!$C$106:$C$108,$C68)+SUMIFS(RL!AM$100:AM$102,RL!$C$100:$C$102,$C68)+SUMIFS(LU!AM$100:AM$102,LU!$C$100:$C$102,$C68))*AM$14*AM20</f>
        <v>0</v>
      </c>
      <c r="AN68" s="373">
        <f>(SUMIFS(IP!AN$109:AN$111,IP!$C$109:$C$111,$C68)+SUMIFS(RN!AN$106:AN$108,RN!$C$106:$C$108,$C68)+SUMIFS(RL!AN$100:AN$102,RL!$C$100:$C$102,$C68)+SUMIFS(LU!AN$100:AN$102,LU!$C$100:$C$102,$C68))*AN$14*AN20</f>
        <v>0</v>
      </c>
      <c r="AO68" s="373">
        <f>(SUMIFS(IP!AO$109:AO$111,IP!$C$109:$C$111,$C68)+SUMIFS(RN!AO$106:AO$108,RN!$C$106:$C$108,$C68)+SUMIFS(RL!AO$100:AO$102,RL!$C$100:$C$102,$C68)+SUMIFS(LU!AO$100:AO$102,LU!$C$100:$C$102,$C68))*AO$14*AO20</f>
        <v>0</v>
      </c>
      <c r="AP68" s="373">
        <f>(SUMIFS(IP!AP$109:AP$111,IP!$C$109:$C$111,$C68)+SUMIFS(RN!AP$106:AP$108,RN!$C$106:$C$108,$C68)+SUMIFS(RL!AP$100:AP$102,RL!$C$100:$C$102,$C68)+SUMIFS(LU!AP$100:AP$102,LU!$C$100:$C$102,$C68))*AP$14*AP20</f>
        <v>0</v>
      </c>
      <c r="AQ68" s="373">
        <f>(SUMIFS(IP!AQ$109:AQ$111,IP!$C$109:$C$111,$C68)+SUMIFS(RN!AQ$106:AQ$108,RN!$C$106:$C$108,$C68)+SUMIFS(RL!AQ$100:AQ$102,RL!$C$100:$C$102,$C68)+SUMIFS(LU!AQ$100:AQ$102,LU!$C$100:$C$102,$C68))*AQ$14*AQ20</f>
        <v>0</v>
      </c>
      <c r="AR68" s="373">
        <f>(SUMIFS(IP!AR$109:AR$111,IP!$C$109:$C$111,$C68)+SUMIFS(RN!AR$106:AR$108,RN!$C$106:$C$108,$C68)+SUMIFS(RL!AR$100:AR$102,RL!$C$100:$C$102,$C68)+SUMIFS(LU!AR$100:AR$102,LU!$C$100:$C$102,$C68))*AR$14*AR20</f>
        <v>0</v>
      </c>
      <c r="AS68" s="373">
        <f>(SUMIFS(IP!AS$109:AS$111,IP!$C$109:$C$111,$C68)+SUMIFS(RN!AS$106:AS$108,RN!$C$106:$C$108,$C68)+SUMIFS(RL!AS$100:AS$102,RL!$C$100:$C$102,$C68)+SUMIFS(LU!AS$100:AS$102,LU!$C$100:$C$102,$C68))*AS$14*AS20</f>
        <v>0</v>
      </c>
      <c r="AT68" s="373">
        <f>(SUMIFS(IP!AT$109:AT$111,IP!$C$109:$C$111,$C68)+SUMIFS(RN!AT$106:AT$108,RN!$C$106:$C$108,$C68)+SUMIFS(RL!AT$100:AT$102,RL!$C$100:$C$102,$C68)+SUMIFS(LU!AT$100:AT$102,LU!$C$100:$C$102,$C68))*AT$14*AT20</f>
        <v>0</v>
      </c>
      <c r="AU68" s="373">
        <f>(SUMIFS(IP!AU$109:AU$111,IP!$C$109:$C$111,$C68)+SUMIFS(RN!AU$106:AU$108,RN!$C$106:$C$108,$C68)+SUMIFS(RL!AU$100:AU$102,RL!$C$100:$C$102,$C68)+SUMIFS(LU!AU$100:AU$102,LU!$C$100:$C$102,$C68))*AU$14*AU20</f>
        <v>0</v>
      </c>
      <c r="AV68" s="373">
        <f>(SUMIFS(IP!AV$109:AV$111,IP!$C$109:$C$111,$C68)+SUMIFS(RN!AV$106:AV$108,RN!$C$106:$C$108,$C68)+SUMIFS(RL!AV$100:AV$102,RL!$C$100:$C$102,$C68)+SUMIFS(LU!AV$100:AV$102,LU!$C$100:$C$102,$C68))*AV$14*AV20</f>
        <v>0</v>
      </c>
      <c r="AW68" s="373">
        <f>(SUMIFS(IP!AW$109:AW$111,IP!$C$109:$C$111,$C68)+SUMIFS(RN!AW$106:AW$108,RN!$C$106:$C$108,$C68)+SUMIFS(RL!AW$100:AW$102,RL!$C$100:$C$102,$C68)+SUMIFS(LU!AW$100:AW$102,LU!$C$100:$C$102,$C68))*AW$14*AW20</f>
        <v>0</v>
      </c>
      <c r="AX68" s="373">
        <f>(SUMIFS(IP!AX$109:AX$111,IP!$C$109:$C$111,$C68)+SUMIFS(RN!AX$106:AX$108,RN!$C$106:$C$108,$C68)+SUMIFS(RL!AX$100:AX$102,RL!$C$100:$C$102,$C68)+SUMIFS(LU!AX$100:AX$102,LU!$C$100:$C$102,$C68))*AX$14*AX20</f>
        <v>0</v>
      </c>
      <c r="AY68" s="373">
        <f>(SUMIFS(IP!AY$109:AY$111,IP!$C$109:$C$111,$C68)+SUMIFS(RN!AY$106:AY$108,RN!$C$106:$C$108,$C68)+SUMIFS(RL!AY$100:AY$102,RL!$C$100:$C$102,$C68)+SUMIFS(LU!AY$100:AY$102,LU!$C$100:$C$102,$C68))*AY$14*AY20</f>
        <v>0</v>
      </c>
      <c r="AZ68" s="373">
        <f>(SUMIFS(IP!AZ$109:AZ$111,IP!$C$109:$C$111,$C68)+SUMIFS(RN!AZ$106:AZ$108,RN!$C$106:$C$108,$C68)+SUMIFS(RL!AZ$100:AZ$102,RL!$C$100:$C$102,$C68)+SUMIFS(LU!AZ$100:AZ$102,LU!$C$100:$C$102,$C68))*AZ$14*AZ20</f>
        <v>0</v>
      </c>
      <c r="BA68" s="373">
        <f>(SUMIFS(IP!BA$109:BA$111,IP!$C$109:$C$111,$C68)+SUMIFS(RN!BA$106:BA$108,RN!$C$106:$C$108,$C68)+SUMIFS(RL!BA$100:BA$102,RL!$C$100:$C$102,$C68)+SUMIFS(LU!BA$100:BA$102,LU!$C$100:$C$102,$C68))*BA$14*BA20</f>
        <v>0</v>
      </c>
      <c r="BB68" s="373">
        <f>(SUMIFS(IP!BB$109:BB$111,IP!$C$109:$C$111,$C68)+SUMIFS(RN!BB$106:BB$108,RN!$C$106:$C$108,$C68)+SUMIFS(RL!BB$100:BB$102,RL!$C$100:$C$102,$C68)+SUMIFS(LU!BB$100:BB$102,LU!$C$100:$C$102,$C68))*BB$14*BB20</f>
        <v>0</v>
      </c>
      <c r="BC68" s="373">
        <f>(SUMIFS(IP!BC$109:BC$111,IP!$C$109:$C$111,$C68)+SUMIFS(RN!BC$106:BC$108,RN!$C$106:$C$108,$C68)+SUMIFS(RL!BC$100:BC$102,RL!$C$100:$C$102,$C68)+SUMIFS(LU!BC$100:BC$102,LU!$C$100:$C$102,$C68))*BC$14*BC20</f>
        <v>0</v>
      </c>
      <c r="BD68" s="373">
        <f>(SUMIFS(IP!BD$109:BD$111,IP!$C$109:$C$111,$C68)+SUMIFS(RN!BD$106:BD$108,RN!$C$106:$C$108,$C68)+SUMIFS(RL!BD$100:BD$102,RL!$C$100:$C$102,$C68)+SUMIFS(LU!BD$100:BD$102,LU!$C$100:$C$102,$C68))*BD$14*BD20</f>
        <v>0</v>
      </c>
      <c r="BE68" s="373">
        <f>(SUMIFS(IP!BE$109:BE$111,IP!$C$109:$C$111,$C68)+SUMIFS(RN!BE$106:BE$108,RN!$C$106:$C$108,$C68)+SUMIFS(RL!BE$100:BE$102,RL!$C$100:$C$102,$C68)+SUMIFS(LU!BE$100:BE$102,LU!$C$100:$C$102,$C68))*BE$14*BE20</f>
        <v>0</v>
      </c>
      <c r="BF68" s="373">
        <f>(SUMIFS(IP!BF$109:BF$111,IP!$C$109:$C$111,$C68)+SUMIFS(RN!BF$106:BF$108,RN!$C$106:$C$108,$C68)+SUMIFS(RL!BF$100:BF$102,RL!$C$100:$C$102,$C68)+SUMIFS(LU!BF$100:BF$102,LU!$C$100:$C$102,$C68))*BF$14*BF20</f>
        <v>0</v>
      </c>
      <c r="BG68" s="373">
        <f>(SUMIFS(IP!BG$109:BG$111,IP!$C$109:$C$111,$C68)+SUMIFS(RN!BG$106:BG$108,RN!$C$106:$C$108,$C68)+SUMIFS(RL!BG$100:BG$102,RL!$C$100:$C$102,$C68)+SUMIFS(LU!BG$100:BG$102,LU!$C$100:$C$102,$C68))*BG$14*BG20</f>
        <v>0</v>
      </c>
      <c r="BI68" s="238">
        <f>SUM(T68:BG68)</f>
        <v>0</v>
      </c>
      <c r="BK68" s="320">
        <f>SUMPRODUCT($T68:$BG68,$T28:$BG28)*4</f>
        <v>0</v>
      </c>
    </row>
    <row r="69" spans="2:63">
      <c r="C69" s="99">
        <f>AA!C14</f>
        <v>2</v>
      </c>
      <c r="E69" s="94" t="str">
        <f>INDEX(AA!$AC$13:$AC$15,MATCH($C69,AA!$C$13:$C$15,0))</f>
        <v>backup</v>
      </c>
      <c r="G69" s="1325">
        <f>INDEX(AA!$E$13:$E$15,MATCH($C69,AA!$C$13:$C$15,0))</f>
        <v>1</v>
      </c>
      <c r="I69" s="73" t="s">
        <v>321</v>
      </c>
      <c r="T69" s="373">
        <f>(SUMIFS(IP!T$109:T$111,IP!$C$109:$C$111,$C69)+SUMIFS(RN!T$106:T$108,RN!$C$106:$C$108,$C69)+SUMIFS(RL!T$100:T$102,RL!$C$100:$C$102,$C69)+SUMIFS(LU!T$100:T$102,LU!$C$100:$C$102,$C69))*T$14*T21</f>
        <v>0</v>
      </c>
      <c r="U69" s="373">
        <f>(SUMIFS(IP!U$109:U$111,IP!$C$109:$C$111,$C69)+SUMIFS(RN!U$106:U$108,RN!$C$106:$C$108,$C69)+SUMIFS(RL!U$100:U$102,RL!$C$100:$C$102,$C69)+SUMIFS(LU!U$100:U$102,LU!$C$100:$C$102,$C69))*U$14*U21</f>
        <v>0</v>
      </c>
      <c r="V69" s="373">
        <f>(SUMIFS(IP!V$109:V$111,IP!$C$109:$C$111,$C69)+SUMIFS(RN!V$106:V$108,RN!$C$106:$C$108,$C69)+SUMIFS(RL!V$100:V$102,RL!$C$100:$C$102,$C69)+SUMIFS(LU!V$100:V$102,LU!$C$100:$C$102,$C69))*V$14*V21</f>
        <v>0</v>
      </c>
      <c r="W69" s="373">
        <f>(SUMIFS(IP!W$109:W$111,IP!$C$109:$C$111,$C69)+SUMIFS(RN!W$106:W$108,RN!$C$106:$C$108,$C69)+SUMIFS(RL!W$100:W$102,RL!$C$100:$C$102,$C69)+SUMIFS(LU!W$100:W$102,LU!$C$100:$C$102,$C69))*W$14*W21</f>
        <v>0</v>
      </c>
      <c r="X69" s="373">
        <f>(SUMIFS(IP!X$109:X$111,IP!$C$109:$C$111,$C69)+SUMIFS(RN!X$106:X$108,RN!$C$106:$C$108,$C69)+SUMIFS(RL!X$100:X$102,RL!$C$100:$C$102,$C69)+SUMIFS(LU!X$100:X$102,LU!$C$100:$C$102,$C69))*X$14*X21</f>
        <v>0</v>
      </c>
      <c r="Y69" s="373">
        <f>(SUMIFS(IP!Y$109:Y$111,IP!$C$109:$C$111,$C69)+SUMIFS(RN!Y$106:Y$108,RN!$C$106:$C$108,$C69)+SUMIFS(RL!Y$100:Y$102,RL!$C$100:$C$102,$C69)+SUMIFS(LU!Y$100:Y$102,LU!$C$100:$C$102,$C69))*Y$14*Y21</f>
        <v>0</v>
      </c>
      <c r="Z69" s="373">
        <f>(SUMIFS(IP!Z$109:Z$111,IP!$C$109:$C$111,$C69)+SUMIFS(RN!Z$106:Z$108,RN!$C$106:$C$108,$C69)+SUMIFS(RL!Z$100:Z$102,RL!$C$100:$C$102,$C69)+SUMIFS(LU!Z$100:Z$102,LU!$C$100:$C$102,$C69))*Z$14*Z21</f>
        <v>0</v>
      </c>
      <c r="AA69" s="373">
        <f>(SUMIFS(IP!AA$109:AA$111,IP!$C$109:$C$111,$C69)+SUMIFS(RN!AA$106:AA$108,RN!$C$106:$C$108,$C69)+SUMIFS(RL!AA$100:AA$102,RL!$C$100:$C$102,$C69)+SUMIFS(LU!AA$100:AA$102,LU!$C$100:$C$102,$C69))*AA$14*AA21</f>
        <v>0</v>
      </c>
      <c r="AB69" s="373">
        <f>(SUMIFS(IP!AB$109:AB$111,IP!$C$109:$C$111,$C69)+SUMIFS(RN!AB$106:AB$108,RN!$C$106:$C$108,$C69)+SUMIFS(RL!AB$100:AB$102,RL!$C$100:$C$102,$C69)+SUMIFS(LU!AB$100:AB$102,LU!$C$100:$C$102,$C69))*AB$14*AB21</f>
        <v>0</v>
      </c>
      <c r="AC69" s="373">
        <f>(SUMIFS(IP!AC$109:AC$111,IP!$C$109:$C$111,$C69)+SUMIFS(RN!AC$106:AC$108,RN!$C$106:$C$108,$C69)+SUMIFS(RL!AC$100:AC$102,RL!$C$100:$C$102,$C69)+SUMIFS(LU!AC$100:AC$102,LU!$C$100:$C$102,$C69))*AC$14*AC21</f>
        <v>0</v>
      </c>
      <c r="AD69" s="373">
        <f>(SUMIFS(IP!AD$109:AD$111,IP!$C$109:$C$111,$C69)+SUMIFS(RN!AD$106:AD$108,RN!$C$106:$C$108,$C69)+SUMIFS(RL!AD$100:AD$102,RL!$C$100:$C$102,$C69)+SUMIFS(LU!AD$100:AD$102,LU!$C$100:$C$102,$C69))*AD$14*AD21</f>
        <v>0</v>
      </c>
      <c r="AE69" s="373">
        <f>(SUMIFS(IP!AE$109:AE$111,IP!$C$109:$C$111,$C69)+SUMIFS(RN!AE$106:AE$108,RN!$C$106:$C$108,$C69)+SUMIFS(RL!AE$100:AE$102,RL!$C$100:$C$102,$C69)+SUMIFS(LU!AE$100:AE$102,LU!$C$100:$C$102,$C69))*AE$14*AE21</f>
        <v>0</v>
      </c>
      <c r="AF69" s="373">
        <f>(SUMIFS(IP!AF$109:AF$111,IP!$C$109:$C$111,$C69)+SUMIFS(RN!AF$106:AF$108,RN!$C$106:$C$108,$C69)+SUMIFS(RL!AF$100:AF$102,RL!$C$100:$C$102,$C69)+SUMIFS(LU!AF$100:AF$102,LU!$C$100:$C$102,$C69))*AF$14*AF21</f>
        <v>0</v>
      </c>
      <c r="AG69" s="373">
        <f>(SUMIFS(IP!AG$109:AG$111,IP!$C$109:$C$111,$C69)+SUMIFS(RN!AG$106:AG$108,RN!$C$106:$C$108,$C69)+SUMIFS(RL!AG$100:AG$102,RL!$C$100:$C$102,$C69)+SUMIFS(LU!AG$100:AG$102,LU!$C$100:$C$102,$C69))*AG$14*AG21</f>
        <v>0</v>
      </c>
      <c r="AH69" s="373">
        <f>(SUMIFS(IP!AH$109:AH$111,IP!$C$109:$C$111,$C69)+SUMIFS(RN!AH$106:AH$108,RN!$C$106:$C$108,$C69)+SUMIFS(RL!AH$100:AH$102,RL!$C$100:$C$102,$C69)+SUMIFS(LU!AH$100:AH$102,LU!$C$100:$C$102,$C69))*AH$14*AH21</f>
        <v>0</v>
      </c>
      <c r="AI69" s="373">
        <f>(SUMIFS(IP!AI$109:AI$111,IP!$C$109:$C$111,$C69)+SUMIFS(RN!AI$106:AI$108,RN!$C$106:$C$108,$C69)+SUMIFS(RL!AI$100:AI$102,RL!$C$100:$C$102,$C69)+SUMIFS(LU!AI$100:AI$102,LU!$C$100:$C$102,$C69))*AI$14*AI21</f>
        <v>0</v>
      </c>
      <c r="AJ69" s="373">
        <f>(SUMIFS(IP!AJ$109:AJ$111,IP!$C$109:$C$111,$C69)+SUMIFS(RN!AJ$106:AJ$108,RN!$C$106:$C$108,$C69)+SUMIFS(RL!AJ$100:AJ$102,RL!$C$100:$C$102,$C69)+SUMIFS(LU!AJ$100:AJ$102,LU!$C$100:$C$102,$C69))*AJ$14*AJ21</f>
        <v>0</v>
      </c>
      <c r="AK69" s="373">
        <f>(SUMIFS(IP!AK$109:AK$111,IP!$C$109:$C$111,$C69)+SUMIFS(RN!AK$106:AK$108,RN!$C$106:$C$108,$C69)+SUMIFS(RL!AK$100:AK$102,RL!$C$100:$C$102,$C69)+SUMIFS(LU!AK$100:AK$102,LU!$C$100:$C$102,$C69))*AK$14*AK21</f>
        <v>0</v>
      </c>
      <c r="AL69" s="373">
        <f>(SUMIFS(IP!AL$109:AL$111,IP!$C$109:$C$111,$C69)+SUMIFS(RN!AL$106:AL$108,RN!$C$106:$C$108,$C69)+SUMIFS(RL!AL$100:AL$102,RL!$C$100:$C$102,$C69)+SUMIFS(LU!AL$100:AL$102,LU!$C$100:$C$102,$C69))*AL$14*AL21</f>
        <v>0</v>
      </c>
      <c r="AM69" s="373">
        <f>(SUMIFS(IP!AM$109:AM$111,IP!$C$109:$C$111,$C69)+SUMIFS(RN!AM$106:AM$108,RN!$C$106:$C$108,$C69)+SUMIFS(RL!AM$100:AM$102,RL!$C$100:$C$102,$C69)+SUMIFS(LU!AM$100:AM$102,LU!$C$100:$C$102,$C69))*AM$14*AM21</f>
        <v>0</v>
      </c>
      <c r="AN69" s="373">
        <f>(SUMIFS(IP!AN$109:AN$111,IP!$C$109:$C$111,$C69)+SUMIFS(RN!AN$106:AN$108,RN!$C$106:$C$108,$C69)+SUMIFS(RL!AN$100:AN$102,RL!$C$100:$C$102,$C69)+SUMIFS(LU!AN$100:AN$102,LU!$C$100:$C$102,$C69))*AN$14*AN21</f>
        <v>0</v>
      </c>
      <c r="AO69" s="373">
        <f>(SUMIFS(IP!AO$109:AO$111,IP!$C$109:$C$111,$C69)+SUMIFS(RN!AO$106:AO$108,RN!$C$106:$C$108,$C69)+SUMIFS(RL!AO$100:AO$102,RL!$C$100:$C$102,$C69)+SUMIFS(LU!AO$100:AO$102,LU!$C$100:$C$102,$C69))*AO$14*AO21</f>
        <v>0</v>
      </c>
      <c r="AP69" s="373">
        <f>(SUMIFS(IP!AP$109:AP$111,IP!$C$109:$C$111,$C69)+SUMIFS(RN!AP$106:AP$108,RN!$C$106:$C$108,$C69)+SUMIFS(RL!AP$100:AP$102,RL!$C$100:$C$102,$C69)+SUMIFS(LU!AP$100:AP$102,LU!$C$100:$C$102,$C69))*AP$14*AP21</f>
        <v>0</v>
      </c>
      <c r="AQ69" s="373">
        <f>(SUMIFS(IP!AQ$109:AQ$111,IP!$C$109:$C$111,$C69)+SUMIFS(RN!AQ$106:AQ$108,RN!$C$106:$C$108,$C69)+SUMIFS(RL!AQ$100:AQ$102,RL!$C$100:$C$102,$C69)+SUMIFS(LU!AQ$100:AQ$102,LU!$C$100:$C$102,$C69))*AQ$14*AQ21</f>
        <v>0</v>
      </c>
      <c r="AR69" s="373">
        <f>(SUMIFS(IP!AR$109:AR$111,IP!$C$109:$C$111,$C69)+SUMIFS(RN!AR$106:AR$108,RN!$C$106:$C$108,$C69)+SUMIFS(RL!AR$100:AR$102,RL!$C$100:$C$102,$C69)+SUMIFS(LU!AR$100:AR$102,LU!$C$100:$C$102,$C69))*AR$14*AR21</f>
        <v>0</v>
      </c>
      <c r="AS69" s="373">
        <f>(SUMIFS(IP!AS$109:AS$111,IP!$C$109:$C$111,$C69)+SUMIFS(RN!AS$106:AS$108,RN!$C$106:$C$108,$C69)+SUMIFS(RL!AS$100:AS$102,RL!$C$100:$C$102,$C69)+SUMIFS(LU!AS$100:AS$102,LU!$C$100:$C$102,$C69))*AS$14*AS21</f>
        <v>0</v>
      </c>
      <c r="AT69" s="373">
        <f>(SUMIFS(IP!AT$109:AT$111,IP!$C$109:$C$111,$C69)+SUMIFS(RN!AT$106:AT$108,RN!$C$106:$C$108,$C69)+SUMIFS(RL!AT$100:AT$102,RL!$C$100:$C$102,$C69)+SUMIFS(LU!AT$100:AT$102,LU!$C$100:$C$102,$C69))*AT$14*AT21</f>
        <v>0</v>
      </c>
      <c r="AU69" s="373">
        <f>(SUMIFS(IP!AU$109:AU$111,IP!$C$109:$C$111,$C69)+SUMIFS(RN!AU$106:AU$108,RN!$C$106:$C$108,$C69)+SUMIFS(RL!AU$100:AU$102,RL!$C$100:$C$102,$C69)+SUMIFS(LU!AU$100:AU$102,LU!$C$100:$C$102,$C69))*AU$14*AU21</f>
        <v>0</v>
      </c>
      <c r="AV69" s="373">
        <f>(SUMIFS(IP!AV$109:AV$111,IP!$C$109:$C$111,$C69)+SUMIFS(RN!AV$106:AV$108,RN!$C$106:$C$108,$C69)+SUMIFS(RL!AV$100:AV$102,RL!$C$100:$C$102,$C69)+SUMIFS(LU!AV$100:AV$102,LU!$C$100:$C$102,$C69))*AV$14*AV21</f>
        <v>0</v>
      </c>
      <c r="AW69" s="373">
        <f>(SUMIFS(IP!AW$109:AW$111,IP!$C$109:$C$111,$C69)+SUMIFS(RN!AW$106:AW$108,RN!$C$106:$C$108,$C69)+SUMIFS(RL!AW$100:AW$102,RL!$C$100:$C$102,$C69)+SUMIFS(LU!AW$100:AW$102,LU!$C$100:$C$102,$C69))*AW$14*AW21</f>
        <v>0</v>
      </c>
      <c r="AX69" s="373">
        <f>(SUMIFS(IP!AX$109:AX$111,IP!$C$109:$C$111,$C69)+SUMIFS(RN!AX$106:AX$108,RN!$C$106:$C$108,$C69)+SUMIFS(RL!AX$100:AX$102,RL!$C$100:$C$102,$C69)+SUMIFS(LU!AX$100:AX$102,LU!$C$100:$C$102,$C69))*AX$14*AX21</f>
        <v>0</v>
      </c>
      <c r="AY69" s="373">
        <f>(SUMIFS(IP!AY$109:AY$111,IP!$C$109:$C$111,$C69)+SUMIFS(RN!AY$106:AY$108,RN!$C$106:$C$108,$C69)+SUMIFS(RL!AY$100:AY$102,RL!$C$100:$C$102,$C69)+SUMIFS(LU!AY$100:AY$102,LU!$C$100:$C$102,$C69))*AY$14*AY21</f>
        <v>0</v>
      </c>
      <c r="AZ69" s="373">
        <f>(SUMIFS(IP!AZ$109:AZ$111,IP!$C$109:$C$111,$C69)+SUMIFS(RN!AZ$106:AZ$108,RN!$C$106:$C$108,$C69)+SUMIFS(RL!AZ$100:AZ$102,RL!$C$100:$C$102,$C69)+SUMIFS(LU!AZ$100:AZ$102,LU!$C$100:$C$102,$C69))*AZ$14*AZ21</f>
        <v>0</v>
      </c>
      <c r="BA69" s="373">
        <f>(SUMIFS(IP!BA$109:BA$111,IP!$C$109:$C$111,$C69)+SUMIFS(RN!BA$106:BA$108,RN!$C$106:$C$108,$C69)+SUMIFS(RL!BA$100:BA$102,RL!$C$100:$C$102,$C69)+SUMIFS(LU!BA$100:BA$102,LU!$C$100:$C$102,$C69))*BA$14*BA21</f>
        <v>0</v>
      </c>
      <c r="BB69" s="373">
        <f>(SUMIFS(IP!BB$109:BB$111,IP!$C$109:$C$111,$C69)+SUMIFS(RN!BB$106:BB$108,RN!$C$106:$C$108,$C69)+SUMIFS(RL!BB$100:BB$102,RL!$C$100:$C$102,$C69)+SUMIFS(LU!BB$100:BB$102,LU!$C$100:$C$102,$C69))*BB$14*BB21</f>
        <v>0</v>
      </c>
      <c r="BC69" s="373">
        <f>(SUMIFS(IP!BC$109:BC$111,IP!$C$109:$C$111,$C69)+SUMIFS(RN!BC$106:BC$108,RN!$C$106:$C$108,$C69)+SUMIFS(RL!BC$100:BC$102,RL!$C$100:$C$102,$C69)+SUMIFS(LU!BC$100:BC$102,LU!$C$100:$C$102,$C69))*BC$14*BC21</f>
        <v>0</v>
      </c>
      <c r="BD69" s="373">
        <f>(SUMIFS(IP!BD$109:BD$111,IP!$C$109:$C$111,$C69)+SUMIFS(RN!BD$106:BD$108,RN!$C$106:$C$108,$C69)+SUMIFS(RL!BD$100:BD$102,RL!$C$100:$C$102,$C69)+SUMIFS(LU!BD$100:BD$102,LU!$C$100:$C$102,$C69))*BD$14*BD21</f>
        <v>0</v>
      </c>
      <c r="BE69" s="373">
        <f>(SUMIFS(IP!BE$109:BE$111,IP!$C$109:$C$111,$C69)+SUMIFS(RN!BE$106:BE$108,RN!$C$106:$C$108,$C69)+SUMIFS(RL!BE$100:BE$102,RL!$C$100:$C$102,$C69)+SUMIFS(LU!BE$100:BE$102,LU!$C$100:$C$102,$C69))*BE$14*BE21</f>
        <v>0</v>
      </c>
      <c r="BF69" s="373">
        <f>(SUMIFS(IP!BF$109:BF$111,IP!$C$109:$C$111,$C69)+SUMIFS(RN!BF$106:BF$108,RN!$C$106:$C$108,$C69)+SUMIFS(RL!BF$100:BF$102,RL!$C$100:$C$102,$C69)+SUMIFS(LU!BF$100:BF$102,LU!$C$100:$C$102,$C69))*BF$14*BF21</f>
        <v>0</v>
      </c>
      <c r="BG69" s="373">
        <f>(SUMIFS(IP!BG$109:BG$111,IP!$C$109:$C$111,$C69)+SUMIFS(RN!BG$106:BG$108,RN!$C$106:$C$108,$C69)+SUMIFS(RL!BG$100:BG$102,RL!$C$100:$C$102,$C69)+SUMIFS(LU!BG$100:BG$102,LU!$C$100:$C$102,$C69))*BG$14*BG21</f>
        <v>0</v>
      </c>
      <c r="BI69" s="240">
        <f t="shared" ref="BI69" si="11">SUM(T69:BG69)</f>
        <v>0</v>
      </c>
      <c r="BK69" s="321">
        <f>SUMPRODUCT($T69:$BG69,$T29:$BG29)*4</f>
        <v>0</v>
      </c>
    </row>
    <row r="70" spans="2:63">
      <c r="C70" s="99">
        <f>AA!C15</f>
        <v>3</v>
      </c>
      <c r="E70" s="94" t="str">
        <f>INDEX(AA!$AC$13:$AC$15,MATCH($C70,AA!$C$13:$C$15,0))</f>
        <v>backup</v>
      </c>
      <c r="G70" s="1325">
        <f>INDEX(AA!$E$13:$E$15,MATCH($C70,AA!$C$13:$C$15,0))</f>
        <v>1</v>
      </c>
      <c r="I70" s="73" t="s">
        <v>321</v>
      </c>
      <c r="T70" s="373">
        <f>(SUMIFS(IP!T$109:T$111,IP!$C$109:$C$111,$C70)+SUMIFS(RN!T$106:T$108,RN!$C$106:$C$108,$C70)+SUMIFS(RL!T$100:T$102,RL!$C$100:$C$102,$C70)+SUMIFS(LU!T$100:T$102,LU!$C$100:$C$102,$C70))*T$14*T22</f>
        <v>0</v>
      </c>
      <c r="U70" s="373">
        <f>(SUMIFS(IP!U$109:U$111,IP!$C$109:$C$111,$C70)+SUMIFS(RN!U$106:U$108,RN!$C$106:$C$108,$C70)+SUMIFS(RL!U$100:U$102,RL!$C$100:$C$102,$C70)+SUMIFS(LU!U$100:U$102,LU!$C$100:$C$102,$C70))*U$14*U22</f>
        <v>0</v>
      </c>
      <c r="V70" s="373">
        <f>(SUMIFS(IP!V$109:V$111,IP!$C$109:$C$111,$C70)+SUMIFS(RN!V$106:V$108,RN!$C$106:$C$108,$C70)+SUMIFS(RL!V$100:V$102,RL!$C$100:$C$102,$C70)+SUMIFS(LU!V$100:V$102,LU!$C$100:$C$102,$C70))*V$14*V22</f>
        <v>0</v>
      </c>
      <c r="W70" s="373">
        <f>(SUMIFS(IP!W$109:W$111,IP!$C$109:$C$111,$C70)+SUMIFS(RN!W$106:W$108,RN!$C$106:$C$108,$C70)+SUMIFS(RL!W$100:W$102,RL!$C$100:$C$102,$C70)+SUMIFS(LU!W$100:W$102,LU!$C$100:$C$102,$C70))*W$14*W22</f>
        <v>0</v>
      </c>
      <c r="X70" s="373">
        <f>(SUMIFS(IP!X$109:X$111,IP!$C$109:$C$111,$C70)+SUMIFS(RN!X$106:X$108,RN!$C$106:$C$108,$C70)+SUMIFS(RL!X$100:X$102,RL!$C$100:$C$102,$C70)+SUMIFS(LU!X$100:X$102,LU!$C$100:$C$102,$C70))*X$14*X22</f>
        <v>0</v>
      </c>
      <c r="Y70" s="373">
        <f>(SUMIFS(IP!Y$109:Y$111,IP!$C$109:$C$111,$C70)+SUMIFS(RN!Y$106:Y$108,RN!$C$106:$C$108,$C70)+SUMIFS(RL!Y$100:Y$102,RL!$C$100:$C$102,$C70)+SUMIFS(LU!Y$100:Y$102,LU!$C$100:$C$102,$C70))*Y$14*Y22</f>
        <v>0</v>
      </c>
      <c r="Z70" s="373">
        <f>(SUMIFS(IP!Z$109:Z$111,IP!$C$109:$C$111,$C70)+SUMIFS(RN!Z$106:Z$108,RN!$C$106:$C$108,$C70)+SUMIFS(RL!Z$100:Z$102,RL!$C$100:$C$102,$C70)+SUMIFS(LU!Z$100:Z$102,LU!$C$100:$C$102,$C70))*Z$14*Z22</f>
        <v>0</v>
      </c>
      <c r="AA70" s="373">
        <f>(SUMIFS(IP!AA$109:AA$111,IP!$C$109:$C$111,$C70)+SUMIFS(RN!AA$106:AA$108,RN!$C$106:$C$108,$C70)+SUMIFS(RL!AA$100:AA$102,RL!$C$100:$C$102,$C70)+SUMIFS(LU!AA$100:AA$102,LU!$C$100:$C$102,$C70))*AA$14*AA22</f>
        <v>0</v>
      </c>
      <c r="AB70" s="373">
        <f>(SUMIFS(IP!AB$109:AB$111,IP!$C$109:$C$111,$C70)+SUMIFS(RN!AB$106:AB$108,RN!$C$106:$C$108,$C70)+SUMIFS(RL!AB$100:AB$102,RL!$C$100:$C$102,$C70)+SUMIFS(LU!AB$100:AB$102,LU!$C$100:$C$102,$C70))*AB$14*AB22</f>
        <v>0</v>
      </c>
      <c r="AC70" s="373">
        <f>(SUMIFS(IP!AC$109:AC$111,IP!$C$109:$C$111,$C70)+SUMIFS(RN!AC$106:AC$108,RN!$C$106:$C$108,$C70)+SUMIFS(RL!AC$100:AC$102,RL!$C$100:$C$102,$C70)+SUMIFS(LU!AC$100:AC$102,LU!$C$100:$C$102,$C70))*AC$14*AC22</f>
        <v>0</v>
      </c>
      <c r="AD70" s="373">
        <f>(SUMIFS(IP!AD$109:AD$111,IP!$C$109:$C$111,$C70)+SUMIFS(RN!AD$106:AD$108,RN!$C$106:$C$108,$C70)+SUMIFS(RL!AD$100:AD$102,RL!$C$100:$C$102,$C70)+SUMIFS(LU!AD$100:AD$102,LU!$C$100:$C$102,$C70))*AD$14*AD22</f>
        <v>0</v>
      </c>
      <c r="AE70" s="373">
        <f>(SUMIFS(IP!AE$109:AE$111,IP!$C$109:$C$111,$C70)+SUMIFS(RN!AE$106:AE$108,RN!$C$106:$C$108,$C70)+SUMIFS(RL!AE$100:AE$102,RL!$C$100:$C$102,$C70)+SUMIFS(LU!AE$100:AE$102,LU!$C$100:$C$102,$C70))*AE$14*AE22</f>
        <v>0</v>
      </c>
      <c r="AF70" s="373">
        <f>(SUMIFS(IP!AF$109:AF$111,IP!$C$109:$C$111,$C70)+SUMIFS(RN!AF$106:AF$108,RN!$C$106:$C$108,$C70)+SUMIFS(RL!AF$100:AF$102,RL!$C$100:$C$102,$C70)+SUMIFS(LU!AF$100:AF$102,LU!$C$100:$C$102,$C70))*AF$14*AF22</f>
        <v>0</v>
      </c>
      <c r="AG70" s="373">
        <f>(SUMIFS(IP!AG$109:AG$111,IP!$C$109:$C$111,$C70)+SUMIFS(RN!AG$106:AG$108,RN!$C$106:$C$108,$C70)+SUMIFS(RL!AG$100:AG$102,RL!$C$100:$C$102,$C70)+SUMIFS(LU!AG$100:AG$102,LU!$C$100:$C$102,$C70))*AG$14*AG22</f>
        <v>0</v>
      </c>
      <c r="AH70" s="373">
        <f>(SUMIFS(IP!AH$109:AH$111,IP!$C$109:$C$111,$C70)+SUMIFS(RN!AH$106:AH$108,RN!$C$106:$C$108,$C70)+SUMIFS(RL!AH$100:AH$102,RL!$C$100:$C$102,$C70)+SUMIFS(LU!AH$100:AH$102,LU!$C$100:$C$102,$C70))*AH$14*AH22</f>
        <v>0</v>
      </c>
      <c r="AI70" s="373">
        <f>(SUMIFS(IP!AI$109:AI$111,IP!$C$109:$C$111,$C70)+SUMIFS(RN!AI$106:AI$108,RN!$C$106:$C$108,$C70)+SUMIFS(RL!AI$100:AI$102,RL!$C$100:$C$102,$C70)+SUMIFS(LU!AI$100:AI$102,LU!$C$100:$C$102,$C70))*AI$14*AI22</f>
        <v>0</v>
      </c>
      <c r="AJ70" s="373">
        <f>(SUMIFS(IP!AJ$109:AJ$111,IP!$C$109:$C$111,$C70)+SUMIFS(RN!AJ$106:AJ$108,RN!$C$106:$C$108,$C70)+SUMIFS(RL!AJ$100:AJ$102,RL!$C$100:$C$102,$C70)+SUMIFS(LU!AJ$100:AJ$102,LU!$C$100:$C$102,$C70))*AJ$14*AJ22</f>
        <v>0</v>
      </c>
      <c r="AK70" s="373">
        <f>(SUMIFS(IP!AK$109:AK$111,IP!$C$109:$C$111,$C70)+SUMIFS(RN!AK$106:AK$108,RN!$C$106:$C$108,$C70)+SUMIFS(RL!AK$100:AK$102,RL!$C$100:$C$102,$C70)+SUMIFS(LU!AK$100:AK$102,LU!$C$100:$C$102,$C70))*AK$14*AK22</f>
        <v>0</v>
      </c>
      <c r="AL70" s="373">
        <f>(SUMIFS(IP!AL$109:AL$111,IP!$C$109:$C$111,$C70)+SUMIFS(RN!AL$106:AL$108,RN!$C$106:$C$108,$C70)+SUMIFS(RL!AL$100:AL$102,RL!$C$100:$C$102,$C70)+SUMIFS(LU!AL$100:AL$102,LU!$C$100:$C$102,$C70))*AL$14*AL22</f>
        <v>0</v>
      </c>
      <c r="AM70" s="373">
        <f>(SUMIFS(IP!AM$109:AM$111,IP!$C$109:$C$111,$C70)+SUMIFS(RN!AM$106:AM$108,RN!$C$106:$C$108,$C70)+SUMIFS(RL!AM$100:AM$102,RL!$C$100:$C$102,$C70)+SUMIFS(LU!AM$100:AM$102,LU!$C$100:$C$102,$C70))*AM$14*AM22</f>
        <v>0</v>
      </c>
      <c r="AN70" s="373">
        <f>(SUMIFS(IP!AN$109:AN$111,IP!$C$109:$C$111,$C70)+SUMIFS(RN!AN$106:AN$108,RN!$C$106:$C$108,$C70)+SUMIFS(RL!AN$100:AN$102,RL!$C$100:$C$102,$C70)+SUMIFS(LU!AN$100:AN$102,LU!$C$100:$C$102,$C70))*AN$14*AN22</f>
        <v>0</v>
      </c>
      <c r="AO70" s="373">
        <f>(SUMIFS(IP!AO$109:AO$111,IP!$C$109:$C$111,$C70)+SUMIFS(RN!AO$106:AO$108,RN!$C$106:$C$108,$C70)+SUMIFS(RL!AO$100:AO$102,RL!$C$100:$C$102,$C70)+SUMIFS(LU!AO$100:AO$102,LU!$C$100:$C$102,$C70))*AO$14*AO22</f>
        <v>0</v>
      </c>
      <c r="AP70" s="373">
        <f>(SUMIFS(IP!AP$109:AP$111,IP!$C$109:$C$111,$C70)+SUMIFS(RN!AP$106:AP$108,RN!$C$106:$C$108,$C70)+SUMIFS(RL!AP$100:AP$102,RL!$C$100:$C$102,$C70)+SUMIFS(LU!AP$100:AP$102,LU!$C$100:$C$102,$C70))*AP$14*AP22</f>
        <v>0</v>
      </c>
      <c r="AQ70" s="373">
        <f>(SUMIFS(IP!AQ$109:AQ$111,IP!$C$109:$C$111,$C70)+SUMIFS(RN!AQ$106:AQ$108,RN!$C$106:$C$108,$C70)+SUMIFS(RL!AQ$100:AQ$102,RL!$C$100:$C$102,$C70)+SUMIFS(LU!AQ$100:AQ$102,LU!$C$100:$C$102,$C70))*AQ$14*AQ22</f>
        <v>0</v>
      </c>
      <c r="AR70" s="373">
        <f>(SUMIFS(IP!AR$109:AR$111,IP!$C$109:$C$111,$C70)+SUMIFS(RN!AR$106:AR$108,RN!$C$106:$C$108,$C70)+SUMIFS(RL!AR$100:AR$102,RL!$C$100:$C$102,$C70)+SUMIFS(LU!AR$100:AR$102,LU!$C$100:$C$102,$C70))*AR$14*AR22</f>
        <v>0</v>
      </c>
      <c r="AS70" s="373">
        <f>(SUMIFS(IP!AS$109:AS$111,IP!$C$109:$C$111,$C70)+SUMIFS(RN!AS$106:AS$108,RN!$C$106:$C$108,$C70)+SUMIFS(RL!AS$100:AS$102,RL!$C$100:$C$102,$C70)+SUMIFS(LU!AS$100:AS$102,LU!$C$100:$C$102,$C70))*AS$14*AS22</f>
        <v>0</v>
      </c>
      <c r="AT70" s="373">
        <f>(SUMIFS(IP!AT$109:AT$111,IP!$C$109:$C$111,$C70)+SUMIFS(RN!AT$106:AT$108,RN!$C$106:$C$108,$C70)+SUMIFS(RL!AT$100:AT$102,RL!$C$100:$C$102,$C70)+SUMIFS(LU!AT$100:AT$102,LU!$C$100:$C$102,$C70))*AT$14*AT22</f>
        <v>0</v>
      </c>
      <c r="AU70" s="373">
        <f>(SUMIFS(IP!AU$109:AU$111,IP!$C$109:$C$111,$C70)+SUMIFS(RN!AU$106:AU$108,RN!$C$106:$C$108,$C70)+SUMIFS(RL!AU$100:AU$102,RL!$C$100:$C$102,$C70)+SUMIFS(LU!AU$100:AU$102,LU!$C$100:$C$102,$C70))*AU$14*AU22</f>
        <v>0</v>
      </c>
      <c r="AV70" s="373">
        <f>(SUMIFS(IP!AV$109:AV$111,IP!$C$109:$C$111,$C70)+SUMIFS(RN!AV$106:AV$108,RN!$C$106:$C$108,$C70)+SUMIFS(RL!AV$100:AV$102,RL!$C$100:$C$102,$C70)+SUMIFS(LU!AV$100:AV$102,LU!$C$100:$C$102,$C70))*AV$14*AV22</f>
        <v>0</v>
      </c>
      <c r="AW70" s="373">
        <f>(SUMIFS(IP!AW$109:AW$111,IP!$C$109:$C$111,$C70)+SUMIFS(RN!AW$106:AW$108,RN!$C$106:$C$108,$C70)+SUMIFS(RL!AW$100:AW$102,RL!$C$100:$C$102,$C70)+SUMIFS(LU!AW$100:AW$102,LU!$C$100:$C$102,$C70))*AW$14*AW22</f>
        <v>0</v>
      </c>
      <c r="AX70" s="373">
        <f>(SUMIFS(IP!AX$109:AX$111,IP!$C$109:$C$111,$C70)+SUMIFS(RN!AX$106:AX$108,RN!$C$106:$C$108,$C70)+SUMIFS(RL!AX$100:AX$102,RL!$C$100:$C$102,$C70)+SUMIFS(LU!AX$100:AX$102,LU!$C$100:$C$102,$C70))*AX$14*AX22</f>
        <v>0</v>
      </c>
      <c r="AY70" s="373">
        <f>(SUMIFS(IP!AY$109:AY$111,IP!$C$109:$C$111,$C70)+SUMIFS(RN!AY$106:AY$108,RN!$C$106:$C$108,$C70)+SUMIFS(RL!AY$100:AY$102,RL!$C$100:$C$102,$C70)+SUMIFS(LU!AY$100:AY$102,LU!$C$100:$C$102,$C70))*AY$14*AY22</f>
        <v>0</v>
      </c>
      <c r="AZ70" s="373">
        <f>(SUMIFS(IP!AZ$109:AZ$111,IP!$C$109:$C$111,$C70)+SUMIFS(RN!AZ$106:AZ$108,RN!$C$106:$C$108,$C70)+SUMIFS(RL!AZ$100:AZ$102,RL!$C$100:$C$102,$C70)+SUMIFS(LU!AZ$100:AZ$102,LU!$C$100:$C$102,$C70))*AZ$14*AZ22</f>
        <v>0</v>
      </c>
      <c r="BA70" s="373">
        <f>(SUMIFS(IP!BA$109:BA$111,IP!$C$109:$C$111,$C70)+SUMIFS(RN!BA$106:BA$108,RN!$C$106:$C$108,$C70)+SUMIFS(RL!BA$100:BA$102,RL!$C$100:$C$102,$C70)+SUMIFS(LU!BA$100:BA$102,LU!$C$100:$C$102,$C70))*BA$14*BA22</f>
        <v>0</v>
      </c>
      <c r="BB70" s="373">
        <f>(SUMIFS(IP!BB$109:BB$111,IP!$C$109:$C$111,$C70)+SUMIFS(RN!BB$106:BB$108,RN!$C$106:$C$108,$C70)+SUMIFS(RL!BB$100:BB$102,RL!$C$100:$C$102,$C70)+SUMIFS(LU!BB$100:BB$102,LU!$C$100:$C$102,$C70))*BB$14*BB22</f>
        <v>0</v>
      </c>
      <c r="BC70" s="373">
        <f>(SUMIFS(IP!BC$109:BC$111,IP!$C$109:$C$111,$C70)+SUMIFS(RN!BC$106:BC$108,RN!$C$106:$C$108,$C70)+SUMIFS(RL!BC$100:BC$102,RL!$C$100:$C$102,$C70)+SUMIFS(LU!BC$100:BC$102,LU!$C$100:$C$102,$C70))*BC$14*BC22</f>
        <v>0</v>
      </c>
      <c r="BD70" s="373">
        <f>(SUMIFS(IP!BD$109:BD$111,IP!$C$109:$C$111,$C70)+SUMIFS(RN!BD$106:BD$108,RN!$C$106:$C$108,$C70)+SUMIFS(RL!BD$100:BD$102,RL!$C$100:$C$102,$C70)+SUMIFS(LU!BD$100:BD$102,LU!$C$100:$C$102,$C70))*BD$14*BD22</f>
        <v>0</v>
      </c>
      <c r="BE70" s="373">
        <f>(SUMIFS(IP!BE$109:BE$111,IP!$C$109:$C$111,$C70)+SUMIFS(RN!BE$106:BE$108,RN!$C$106:$C$108,$C70)+SUMIFS(RL!BE$100:BE$102,RL!$C$100:$C$102,$C70)+SUMIFS(LU!BE$100:BE$102,LU!$C$100:$C$102,$C70))*BE$14*BE22</f>
        <v>0</v>
      </c>
      <c r="BF70" s="373">
        <f>(SUMIFS(IP!BF$109:BF$111,IP!$C$109:$C$111,$C70)+SUMIFS(RN!BF$106:BF$108,RN!$C$106:$C$108,$C70)+SUMIFS(RL!BF$100:BF$102,RL!$C$100:$C$102,$C70)+SUMIFS(LU!BF$100:BF$102,LU!$C$100:$C$102,$C70))*BF$14*BF22</f>
        <v>0</v>
      </c>
      <c r="BG70" s="373">
        <f>(SUMIFS(IP!BG$109:BG$111,IP!$C$109:$C$111,$C70)+SUMIFS(RN!BG$106:BG$108,RN!$C$106:$C$108,$C70)+SUMIFS(RL!BG$100:BG$102,RL!$C$100:$C$102,$C70)+SUMIFS(LU!BG$100:BG$102,LU!$C$100:$C$102,$C70))*BG$14*BG22</f>
        <v>0</v>
      </c>
      <c r="BI70" s="240">
        <f t="shared" ref="BI70" si="12">SUM(T70:BG70)</f>
        <v>0</v>
      </c>
      <c r="BK70" s="321">
        <f>SUMPRODUCT($T70:$BG70,$T30:$BG30)*4</f>
        <v>0</v>
      </c>
    </row>
    <row r="71" spans="2:63">
      <c r="C71" s="269"/>
      <c r="E71" s="269"/>
      <c r="G71" s="269"/>
      <c r="I71" s="269"/>
      <c r="BI71" s="269"/>
      <c r="BK71" s="269"/>
    </row>
    <row r="73" spans="2:63" s="90" customFormat="1">
      <c r="B73" s="91">
        <f ca="1">MAX(A$1:$B72)+1</f>
        <v>9</v>
      </c>
      <c r="C73" s="92" t="s">
        <v>408</v>
      </c>
    </row>
    <row r="75" spans="2:63" ht="30">
      <c r="C75" s="97" t="s">
        <v>4</v>
      </c>
      <c r="E75" s="97" t="s">
        <v>6</v>
      </c>
      <c r="G75" s="101" t="s">
        <v>272</v>
      </c>
      <c r="I75" s="101" t="s">
        <v>150</v>
      </c>
      <c r="K75" s="101" t="s">
        <v>408</v>
      </c>
      <c r="M75" s="101" t="s">
        <v>1163</v>
      </c>
      <c r="N75" s="101" t="s">
        <v>1164</v>
      </c>
      <c r="BI75" s="327" t="s">
        <v>152</v>
      </c>
      <c r="BK75" s="328" t="s">
        <v>409</v>
      </c>
    </row>
    <row r="76" spans="2:63">
      <c r="C76" s="99">
        <f>AA!C13</f>
        <v>1</v>
      </c>
      <c r="E76" s="93" t="str">
        <f>INDEX(AA!$AC$13:$AC$15,MATCH($C76,AA!$C$13:$C$15,0))</f>
        <v>backup</v>
      </c>
      <c r="G76" s="1324">
        <f>INDEX(AA!$E$13:$E$15,MATCH($C76,AA!$C$13:$C$15,0))</f>
        <v>1</v>
      </c>
      <c r="I76" s="72" t="s">
        <v>408</v>
      </c>
      <c r="K76" s="1324">
        <f>INDEX(AA!$BF$13:$BF$15,MATCH($C76,AA!$C$13:$C$15,0))</f>
        <v>0</v>
      </c>
      <c r="M76" s="1397">
        <f>INDEX(AA!$DZ$13:$DZ$15,MATCH($C76,AA!$C$13:$C$15,0))</f>
        <v>0</v>
      </c>
      <c r="N76" s="1109">
        <f>INDEX(AA!$EB$13:$EB$15,MATCH($C76,AA!$C$13:$C$15,0))</f>
        <v>0</v>
      </c>
      <c r="T76" s="231">
        <f t="shared" ref="T76:BG76" si="13">(($K76/4)+(($M76&lt;S$4)*$N76*(MAX(MIN(S$4-$M76,T$7),0)/T$7)))*T20</f>
        <v>0</v>
      </c>
      <c r="U76" s="231">
        <f t="shared" si="13"/>
        <v>0</v>
      </c>
      <c r="V76" s="231">
        <f t="shared" si="13"/>
        <v>0</v>
      </c>
      <c r="W76" s="231">
        <f t="shared" si="13"/>
        <v>0</v>
      </c>
      <c r="X76" s="231">
        <f t="shared" si="13"/>
        <v>0</v>
      </c>
      <c r="Y76" s="231">
        <f t="shared" si="13"/>
        <v>0</v>
      </c>
      <c r="Z76" s="231">
        <f t="shared" si="13"/>
        <v>0</v>
      </c>
      <c r="AA76" s="231">
        <f t="shared" si="13"/>
        <v>0</v>
      </c>
      <c r="AB76" s="231">
        <f t="shared" si="13"/>
        <v>0</v>
      </c>
      <c r="AC76" s="231">
        <f t="shared" si="13"/>
        <v>0</v>
      </c>
      <c r="AD76" s="231">
        <f t="shared" si="13"/>
        <v>0</v>
      </c>
      <c r="AE76" s="231">
        <f t="shared" si="13"/>
        <v>0</v>
      </c>
      <c r="AF76" s="231">
        <f t="shared" si="13"/>
        <v>0</v>
      </c>
      <c r="AG76" s="231">
        <f t="shared" si="13"/>
        <v>0</v>
      </c>
      <c r="AH76" s="231">
        <f t="shared" si="13"/>
        <v>0</v>
      </c>
      <c r="AI76" s="231">
        <f t="shared" si="13"/>
        <v>0</v>
      </c>
      <c r="AJ76" s="231">
        <f t="shared" si="13"/>
        <v>0</v>
      </c>
      <c r="AK76" s="231">
        <f t="shared" si="13"/>
        <v>0</v>
      </c>
      <c r="AL76" s="231">
        <f t="shared" si="13"/>
        <v>0</v>
      </c>
      <c r="AM76" s="231">
        <f t="shared" si="13"/>
        <v>0</v>
      </c>
      <c r="AN76" s="231">
        <f t="shared" si="13"/>
        <v>0</v>
      </c>
      <c r="AO76" s="231">
        <f t="shared" si="13"/>
        <v>0</v>
      </c>
      <c r="AP76" s="231">
        <f t="shared" si="13"/>
        <v>0</v>
      </c>
      <c r="AQ76" s="231">
        <f t="shared" si="13"/>
        <v>0</v>
      </c>
      <c r="AR76" s="231">
        <f t="shared" si="13"/>
        <v>0</v>
      </c>
      <c r="AS76" s="231">
        <f t="shared" si="13"/>
        <v>0</v>
      </c>
      <c r="AT76" s="231">
        <f t="shared" si="13"/>
        <v>0</v>
      </c>
      <c r="AU76" s="231">
        <f t="shared" si="13"/>
        <v>0</v>
      </c>
      <c r="AV76" s="231">
        <f t="shared" si="13"/>
        <v>0</v>
      </c>
      <c r="AW76" s="231">
        <f t="shared" si="13"/>
        <v>0</v>
      </c>
      <c r="AX76" s="231">
        <f t="shared" si="13"/>
        <v>0</v>
      </c>
      <c r="AY76" s="231">
        <f t="shared" si="13"/>
        <v>0</v>
      </c>
      <c r="AZ76" s="231">
        <f t="shared" si="13"/>
        <v>0</v>
      </c>
      <c r="BA76" s="231">
        <f t="shared" si="13"/>
        <v>0</v>
      </c>
      <c r="BB76" s="231">
        <f t="shared" si="13"/>
        <v>0</v>
      </c>
      <c r="BC76" s="231">
        <f t="shared" si="13"/>
        <v>0</v>
      </c>
      <c r="BD76" s="231">
        <f t="shared" si="13"/>
        <v>0</v>
      </c>
      <c r="BE76" s="231">
        <f t="shared" si="13"/>
        <v>0</v>
      </c>
      <c r="BF76" s="231">
        <f t="shared" si="13"/>
        <v>0</v>
      </c>
      <c r="BG76" s="231">
        <f t="shared" si="13"/>
        <v>0</v>
      </c>
      <c r="BI76" s="238">
        <f>SUM(T76:BG76)</f>
        <v>0</v>
      </c>
      <c r="BK76" s="320">
        <f>SUMPRODUCT($T76:$BG76,$T28:$BG28)*4</f>
        <v>0</v>
      </c>
    </row>
    <row r="77" spans="2:63">
      <c r="C77" s="99">
        <f>AA!C14</f>
        <v>2</v>
      </c>
      <c r="E77" s="94" t="str">
        <f>INDEX(AA!$AC$13:$AC$15,MATCH($C77,AA!$C$13:$C$15,0))</f>
        <v>backup</v>
      </c>
      <c r="G77" s="1325">
        <f>INDEX(AA!$E$13:$E$15,MATCH($C77,AA!$C$13:$C$15,0))</f>
        <v>1</v>
      </c>
      <c r="I77" s="73" t="s">
        <v>408</v>
      </c>
      <c r="K77" s="1325">
        <f>INDEX(AA!$BF$13:$BF$15,MATCH($C77,AA!$C$13:$C$15,0))</f>
        <v>0</v>
      </c>
      <c r="M77" s="1398">
        <f>INDEX(AA!$DZ$13:$DZ$15,MATCH($C77,AA!$C$13:$C$15,0))</f>
        <v>0</v>
      </c>
      <c r="N77" s="1110">
        <f>INDEX(AA!$EB$13:$EB$15,MATCH($C77,AA!$C$13:$C$15,0))</f>
        <v>0</v>
      </c>
      <c r="T77" s="231">
        <f t="shared" ref="T77:BG77" si="14">(($K77/4)+(($M77&lt;S$4)*$N77*(MAX(MIN(S$4-$M77,T$7),0)/T$7)))*T21</f>
        <v>0</v>
      </c>
      <c r="U77" s="231">
        <f t="shared" si="14"/>
        <v>0</v>
      </c>
      <c r="V77" s="231">
        <f t="shared" si="14"/>
        <v>0</v>
      </c>
      <c r="W77" s="231">
        <f t="shared" si="14"/>
        <v>0</v>
      </c>
      <c r="X77" s="231">
        <f t="shared" si="14"/>
        <v>0</v>
      </c>
      <c r="Y77" s="231">
        <f t="shared" si="14"/>
        <v>0</v>
      </c>
      <c r="Z77" s="231">
        <f t="shared" si="14"/>
        <v>0</v>
      </c>
      <c r="AA77" s="231">
        <f t="shared" si="14"/>
        <v>0</v>
      </c>
      <c r="AB77" s="231">
        <f t="shared" si="14"/>
        <v>0</v>
      </c>
      <c r="AC77" s="231">
        <f t="shared" si="14"/>
        <v>0</v>
      </c>
      <c r="AD77" s="231">
        <f t="shared" si="14"/>
        <v>0</v>
      </c>
      <c r="AE77" s="231">
        <f t="shared" si="14"/>
        <v>0</v>
      </c>
      <c r="AF77" s="231">
        <f t="shared" si="14"/>
        <v>0</v>
      </c>
      <c r="AG77" s="231">
        <f t="shared" si="14"/>
        <v>0</v>
      </c>
      <c r="AH77" s="231">
        <f t="shared" si="14"/>
        <v>0</v>
      </c>
      <c r="AI77" s="231">
        <f t="shared" si="14"/>
        <v>0</v>
      </c>
      <c r="AJ77" s="231">
        <f t="shared" si="14"/>
        <v>0</v>
      </c>
      <c r="AK77" s="231">
        <f t="shared" si="14"/>
        <v>0</v>
      </c>
      <c r="AL77" s="231">
        <f t="shared" si="14"/>
        <v>0</v>
      </c>
      <c r="AM77" s="231">
        <f t="shared" si="14"/>
        <v>0</v>
      </c>
      <c r="AN77" s="231">
        <f t="shared" si="14"/>
        <v>0</v>
      </c>
      <c r="AO77" s="231">
        <f t="shared" si="14"/>
        <v>0</v>
      </c>
      <c r="AP77" s="231">
        <f t="shared" si="14"/>
        <v>0</v>
      </c>
      <c r="AQ77" s="231">
        <f t="shared" si="14"/>
        <v>0</v>
      </c>
      <c r="AR77" s="231">
        <f t="shared" si="14"/>
        <v>0</v>
      </c>
      <c r="AS77" s="231">
        <f t="shared" si="14"/>
        <v>0</v>
      </c>
      <c r="AT77" s="231">
        <f t="shared" si="14"/>
        <v>0</v>
      </c>
      <c r="AU77" s="231">
        <f t="shared" si="14"/>
        <v>0</v>
      </c>
      <c r="AV77" s="231">
        <f t="shared" si="14"/>
        <v>0</v>
      </c>
      <c r="AW77" s="231">
        <f t="shared" si="14"/>
        <v>0</v>
      </c>
      <c r="AX77" s="231">
        <f t="shared" si="14"/>
        <v>0</v>
      </c>
      <c r="AY77" s="231">
        <f t="shared" si="14"/>
        <v>0</v>
      </c>
      <c r="AZ77" s="231">
        <f t="shared" si="14"/>
        <v>0</v>
      </c>
      <c r="BA77" s="231">
        <f t="shared" si="14"/>
        <v>0</v>
      </c>
      <c r="BB77" s="231">
        <f t="shared" si="14"/>
        <v>0</v>
      </c>
      <c r="BC77" s="231">
        <f t="shared" si="14"/>
        <v>0</v>
      </c>
      <c r="BD77" s="231">
        <f t="shared" si="14"/>
        <v>0</v>
      </c>
      <c r="BE77" s="231">
        <f t="shared" si="14"/>
        <v>0</v>
      </c>
      <c r="BF77" s="231">
        <f t="shared" si="14"/>
        <v>0</v>
      </c>
      <c r="BG77" s="231">
        <f t="shared" si="14"/>
        <v>0</v>
      </c>
      <c r="BI77" s="240">
        <f t="shared" ref="BI77" si="15">SUM(T77:BG77)</f>
        <v>0</v>
      </c>
      <c r="BK77" s="321">
        <f>SUMPRODUCT($T77:$BG77,$T29:$BG29)*4</f>
        <v>0</v>
      </c>
    </row>
    <row r="78" spans="2:63">
      <c r="C78" s="99">
        <f>AA!C15</f>
        <v>3</v>
      </c>
      <c r="E78" s="94" t="str">
        <f>INDEX(AA!$AC$13:$AC$15,MATCH($C78,AA!$C$13:$C$15,0))</f>
        <v>backup</v>
      </c>
      <c r="G78" s="1325">
        <f>INDEX(AA!$E$13:$E$15,MATCH($C78,AA!$C$13:$C$15,0))</f>
        <v>1</v>
      </c>
      <c r="I78" s="73" t="s">
        <v>408</v>
      </c>
      <c r="K78" s="1325">
        <f>INDEX(AA!$BF$13:$BF$15,MATCH($C78,AA!$C$13:$C$15,0))</f>
        <v>0</v>
      </c>
      <c r="M78" s="1398">
        <f>INDEX(AA!$DZ$13:$DZ$15,MATCH($C78,AA!$C$13:$C$15,0))</f>
        <v>0</v>
      </c>
      <c r="N78" s="1110">
        <f>INDEX(AA!$EB$13:$EB$15,MATCH($C78,AA!$C$13:$C$15,0))</f>
        <v>0</v>
      </c>
      <c r="T78" s="231">
        <f t="shared" ref="T78:BG78" si="16">(($K78/4)+(($M78&lt;S$4)*$N78*(MAX(MIN(S$4-$M78,T$7),0)/T$7)))*T22</f>
        <v>0</v>
      </c>
      <c r="U78" s="231">
        <f t="shared" si="16"/>
        <v>0</v>
      </c>
      <c r="V78" s="231">
        <f t="shared" si="16"/>
        <v>0</v>
      </c>
      <c r="W78" s="231">
        <f t="shared" si="16"/>
        <v>0</v>
      </c>
      <c r="X78" s="231">
        <f t="shared" si="16"/>
        <v>0</v>
      </c>
      <c r="Y78" s="231">
        <f t="shared" si="16"/>
        <v>0</v>
      </c>
      <c r="Z78" s="231">
        <f t="shared" si="16"/>
        <v>0</v>
      </c>
      <c r="AA78" s="231">
        <f t="shared" si="16"/>
        <v>0</v>
      </c>
      <c r="AB78" s="231">
        <f t="shared" si="16"/>
        <v>0</v>
      </c>
      <c r="AC78" s="231">
        <f t="shared" si="16"/>
        <v>0</v>
      </c>
      <c r="AD78" s="231">
        <f t="shared" si="16"/>
        <v>0</v>
      </c>
      <c r="AE78" s="231">
        <f t="shared" si="16"/>
        <v>0</v>
      </c>
      <c r="AF78" s="231">
        <f t="shared" si="16"/>
        <v>0</v>
      </c>
      <c r="AG78" s="231">
        <f t="shared" si="16"/>
        <v>0</v>
      </c>
      <c r="AH78" s="231">
        <f t="shared" si="16"/>
        <v>0</v>
      </c>
      <c r="AI78" s="231">
        <f t="shared" si="16"/>
        <v>0</v>
      </c>
      <c r="AJ78" s="231">
        <f t="shared" si="16"/>
        <v>0</v>
      </c>
      <c r="AK78" s="231">
        <f t="shared" si="16"/>
        <v>0</v>
      </c>
      <c r="AL78" s="231">
        <f t="shared" si="16"/>
        <v>0</v>
      </c>
      <c r="AM78" s="231">
        <f t="shared" si="16"/>
        <v>0</v>
      </c>
      <c r="AN78" s="231">
        <f t="shared" si="16"/>
        <v>0</v>
      </c>
      <c r="AO78" s="231">
        <f t="shared" si="16"/>
        <v>0</v>
      </c>
      <c r="AP78" s="231">
        <f t="shared" si="16"/>
        <v>0</v>
      </c>
      <c r="AQ78" s="231">
        <f t="shared" si="16"/>
        <v>0</v>
      </c>
      <c r="AR78" s="231">
        <f t="shared" si="16"/>
        <v>0</v>
      </c>
      <c r="AS78" s="231">
        <f t="shared" si="16"/>
        <v>0</v>
      </c>
      <c r="AT78" s="231">
        <f t="shared" si="16"/>
        <v>0</v>
      </c>
      <c r="AU78" s="231">
        <f t="shared" si="16"/>
        <v>0</v>
      </c>
      <c r="AV78" s="231">
        <f t="shared" si="16"/>
        <v>0</v>
      </c>
      <c r="AW78" s="231">
        <f t="shared" si="16"/>
        <v>0</v>
      </c>
      <c r="AX78" s="231">
        <f t="shared" si="16"/>
        <v>0</v>
      </c>
      <c r="AY78" s="231">
        <f t="shared" si="16"/>
        <v>0</v>
      </c>
      <c r="AZ78" s="231">
        <f t="shared" si="16"/>
        <v>0</v>
      </c>
      <c r="BA78" s="231">
        <f t="shared" si="16"/>
        <v>0</v>
      </c>
      <c r="BB78" s="231">
        <f t="shared" si="16"/>
        <v>0</v>
      </c>
      <c r="BC78" s="231">
        <f t="shared" si="16"/>
        <v>0</v>
      </c>
      <c r="BD78" s="231">
        <f t="shared" si="16"/>
        <v>0</v>
      </c>
      <c r="BE78" s="231">
        <f t="shared" si="16"/>
        <v>0</v>
      </c>
      <c r="BF78" s="231">
        <f t="shared" si="16"/>
        <v>0</v>
      </c>
      <c r="BG78" s="231">
        <f t="shared" si="16"/>
        <v>0</v>
      </c>
      <c r="BI78" s="240">
        <f t="shared" ref="BI78" si="17">SUM(T78:BG78)</f>
        <v>0</v>
      </c>
      <c r="BK78" s="321">
        <f>SUMPRODUCT($T78:$BG78,$T30:$BG30)*4</f>
        <v>0</v>
      </c>
    </row>
    <row r="79" spans="2:63">
      <c r="C79" s="269"/>
      <c r="E79" s="269"/>
      <c r="G79" s="269"/>
      <c r="I79" s="269"/>
      <c r="K79" s="269"/>
      <c r="M79" s="269"/>
      <c r="N79" s="269"/>
      <c r="BI79" s="269"/>
      <c r="BK79" s="269"/>
    </row>
    <row r="81" spans="2:63" s="90" customFormat="1">
      <c r="B81" s="91">
        <f ca="1">MAX(A$1:$B80)+1</f>
        <v>10</v>
      </c>
      <c r="C81" s="92" t="s">
        <v>410</v>
      </c>
    </row>
    <row r="83" spans="2:63" ht="30">
      <c r="C83" s="97" t="s">
        <v>4</v>
      </c>
      <c r="E83" s="97" t="s">
        <v>6</v>
      </c>
      <c r="G83" s="101" t="s">
        <v>272</v>
      </c>
      <c r="I83" s="101" t="s">
        <v>150</v>
      </c>
      <c r="K83" s="101" t="s">
        <v>168</v>
      </c>
      <c r="BI83" s="327" t="s">
        <v>152</v>
      </c>
      <c r="BK83" s="332"/>
    </row>
    <row r="84" spans="2:63">
      <c r="C84" s="99">
        <f>AA!C13</f>
        <v>1</v>
      </c>
      <c r="E84" s="93" t="str">
        <f>INDEX(AA!$AC$13:$AC$15,MATCH($C84,AA!$C$13:$C$15,0))</f>
        <v>backup</v>
      </c>
      <c r="G84" s="1324">
        <f>INDEX(AA!$E$13:$E$15,MATCH($C84,AA!$C$13:$C$15,0))</f>
        <v>1</v>
      </c>
      <c r="I84" s="72" t="s">
        <v>168</v>
      </c>
      <c r="K84" s="330">
        <f>INDEX(AA!$BJ$13:$BJ$15,MATCH($C84,AA!$C$13:$C$15,0))</f>
        <v>0</v>
      </c>
      <c r="T84" s="231">
        <f t="shared" ref="T84:BG84" si="18">-$K84*(T76+T68+T52)</f>
        <v>0</v>
      </c>
      <c r="U84" s="231">
        <f t="shared" si="18"/>
        <v>0</v>
      </c>
      <c r="V84" s="231">
        <f t="shared" si="18"/>
        <v>0</v>
      </c>
      <c r="W84" s="231">
        <f t="shared" si="18"/>
        <v>0</v>
      </c>
      <c r="X84" s="231">
        <f t="shared" si="18"/>
        <v>0</v>
      </c>
      <c r="Y84" s="231">
        <f t="shared" si="18"/>
        <v>0</v>
      </c>
      <c r="Z84" s="231">
        <f t="shared" si="18"/>
        <v>0</v>
      </c>
      <c r="AA84" s="231">
        <f t="shared" si="18"/>
        <v>0</v>
      </c>
      <c r="AB84" s="231">
        <f t="shared" si="18"/>
        <v>0</v>
      </c>
      <c r="AC84" s="231">
        <f t="shared" si="18"/>
        <v>0</v>
      </c>
      <c r="AD84" s="231">
        <f t="shared" si="18"/>
        <v>0</v>
      </c>
      <c r="AE84" s="231">
        <f t="shared" si="18"/>
        <v>0</v>
      </c>
      <c r="AF84" s="231">
        <f t="shared" si="18"/>
        <v>0</v>
      </c>
      <c r="AG84" s="231">
        <f t="shared" si="18"/>
        <v>0</v>
      </c>
      <c r="AH84" s="231">
        <f t="shared" si="18"/>
        <v>0</v>
      </c>
      <c r="AI84" s="231">
        <f t="shared" si="18"/>
        <v>0</v>
      </c>
      <c r="AJ84" s="231">
        <f t="shared" si="18"/>
        <v>0</v>
      </c>
      <c r="AK84" s="231">
        <f t="shared" si="18"/>
        <v>0</v>
      </c>
      <c r="AL84" s="231">
        <f t="shared" si="18"/>
        <v>0</v>
      </c>
      <c r="AM84" s="231">
        <f t="shared" si="18"/>
        <v>0</v>
      </c>
      <c r="AN84" s="231">
        <f t="shared" si="18"/>
        <v>0</v>
      </c>
      <c r="AO84" s="231">
        <f t="shared" si="18"/>
        <v>0</v>
      </c>
      <c r="AP84" s="231">
        <f t="shared" si="18"/>
        <v>0</v>
      </c>
      <c r="AQ84" s="231">
        <f t="shared" si="18"/>
        <v>0</v>
      </c>
      <c r="AR84" s="231">
        <f t="shared" si="18"/>
        <v>0</v>
      </c>
      <c r="AS84" s="231">
        <f t="shared" si="18"/>
        <v>0</v>
      </c>
      <c r="AT84" s="231">
        <f t="shared" si="18"/>
        <v>0</v>
      </c>
      <c r="AU84" s="231">
        <f t="shared" si="18"/>
        <v>0</v>
      </c>
      <c r="AV84" s="231">
        <f t="shared" si="18"/>
        <v>0</v>
      </c>
      <c r="AW84" s="231">
        <f t="shared" si="18"/>
        <v>0</v>
      </c>
      <c r="AX84" s="231">
        <f t="shared" si="18"/>
        <v>0</v>
      </c>
      <c r="AY84" s="231">
        <f t="shared" si="18"/>
        <v>0</v>
      </c>
      <c r="AZ84" s="231">
        <f t="shared" si="18"/>
        <v>0</v>
      </c>
      <c r="BA84" s="231">
        <f t="shared" si="18"/>
        <v>0</v>
      </c>
      <c r="BB84" s="231">
        <f t="shared" si="18"/>
        <v>0</v>
      </c>
      <c r="BC84" s="231">
        <f t="shared" si="18"/>
        <v>0</v>
      </c>
      <c r="BD84" s="231">
        <f t="shared" si="18"/>
        <v>0</v>
      </c>
      <c r="BE84" s="231">
        <f t="shared" si="18"/>
        <v>0</v>
      </c>
      <c r="BF84" s="231">
        <f t="shared" si="18"/>
        <v>0</v>
      </c>
      <c r="BG84" s="231">
        <f t="shared" si="18"/>
        <v>0</v>
      </c>
      <c r="BI84" s="238">
        <f>SUM(T84:BG84)</f>
        <v>0</v>
      </c>
      <c r="BK84" s="333"/>
    </row>
    <row r="85" spans="2:63">
      <c r="C85" s="99">
        <f>AA!C14</f>
        <v>2</v>
      </c>
      <c r="E85" s="94" t="str">
        <f>INDEX(AA!$AC$13:$AC$15,MATCH($C85,AA!$C$13:$C$15,0))</f>
        <v>backup</v>
      </c>
      <c r="G85" s="1325">
        <f>INDEX(AA!$E$13:$E$15,MATCH($C85,AA!$C$13:$C$15,0))</f>
        <v>1</v>
      </c>
      <c r="I85" s="73" t="s">
        <v>168</v>
      </c>
      <c r="K85" s="331">
        <f>INDEX(AA!$BJ$13:$BJ$15,MATCH($C85,AA!$C$13:$C$15,0))</f>
        <v>0</v>
      </c>
      <c r="T85" s="231">
        <f t="shared" ref="T85:BG85" si="19">-$K85*(T77+T69+T53)</f>
        <v>0</v>
      </c>
      <c r="U85" s="231">
        <f t="shared" si="19"/>
        <v>0</v>
      </c>
      <c r="V85" s="231">
        <f t="shared" si="19"/>
        <v>0</v>
      </c>
      <c r="W85" s="231">
        <f t="shared" si="19"/>
        <v>0</v>
      </c>
      <c r="X85" s="231">
        <f t="shared" si="19"/>
        <v>0</v>
      </c>
      <c r="Y85" s="231">
        <f t="shared" si="19"/>
        <v>0</v>
      </c>
      <c r="Z85" s="231">
        <f t="shared" si="19"/>
        <v>0</v>
      </c>
      <c r="AA85" s="231">
        <f t="shared" si="19"/>
        <v>0</v>
      </c>
      <c r="AB85" s="231">
        <f t="shared" si="19"/>
        <v>0</v>
      </c>
      <c r="AC85" s="231">
        <f t="shared" si="19"/>
        <v>0</v>
      </c>
      <c r="AD85" s="231">
        <f t="shared" si="19"/>
        <v>0</v>
      </c>
      <c r="AE85" s="231">
        <f t="shared" si="19"/>
        <v>0</v>
      </c>
      <c r="AF85" s="231">
        <f t="shared" si="19"/>
        <v>0</v>
      </c>
      <c r="AG85" s="231">
        <f t="shared" si="19"/>
        <v>0</v>
      </c>
      <c r="AH85" s="231">
        <f t="shared" si="19"/>
        <v>0</v>
      </c>
      <c r="AI85" s="231">
        <f t="shared" si="19"/>
        <v>0</v>
      </c>
      <c r="AJ85" s="231">
        <f t="shared" si="19"/>
        <v>0</v>
      </c>
      <c r="AK85" s="231">
        <f t="shared" si="19"/>
        <v>0</v>
      </c>
      <c r="AL85" s="231">
        <f t="shared" si="19"/>
        <v>0</v>
      </c>
      <c r="AM85" s="231">
        <f t="shared" si="19"/>
        <v>0</v>
      </c>
      <c r="AN85" s="231">
        <f t="shared" si="19"/>
        <v>0</v>
      </c>
      <c r="AO85" s="231">
        <f t="shared" si="19"/>
        <v>0</v>
      </c>
      <c r="AP85" s="231">
        <f t="shared" si="19"/>
        <v>0</v>
      </c>
      <c r="AQ85" s="231">
        <f t="shared" si="19"/>
        <v>0</v>
      </c>
      <c r="AR85" s="231">
        <f t="shared" si="19"/>
        <v>0</v>
      </c>
      <c r="AS85" s="231">
        <f t="shared" si="19"/>
        <v>0</v>
      </c>
      <c r="AT85" s="231">
        <f t="shared" si="19"/>
        <v>0</v>
      </c>
      <c r="AU85" s="231">
        <f t="shared" si="19"/>
        <v>0</v>
      </c>
      <c r="AV85" s="231">
        <f t="shared" si="19"/>
        <v>0</v>
      </c>
      <c r="AW85" s="231">
        <f t="shared" si="19"/>
        <v>0</v>
      </c>
      <c r="AX85" s="231">
        <f t="shared" si="19"/>
        <v>0</v>
      </c>
      <c r="AY85" s="231">
        <f t="shared" si="19"/>
        <v>0</v>
      </c>
      <c r="AZ85" s="231">
        <f t="shared" si="19"/>
        <v>0</v>
      </c>
      <c r="BA85" s="231">
        <f t="shared" si="19"/>
        <v>0</v>
      </c>
      <c r="BB85" s="231">
        <f t="shared" si="19"/>
        <v>0</v>
      </c>
      <c r="BC85" s="231">
        <f t="shared" si="19"/>
        <v>0</v>
      </c>
      <c r="BD85" s="231">
        <f t="shared" si="19"/>
        <v>0</v>
      </c>
      <c r="BE85" s="231">
        <f t="shared" si="19"/>
        <v>0</v>
      </c>
      <c r="BF85" s="231">
        <f t="shared" si="19"/>
        <v>0</v>
      </c>
      <c r="BG85" s="231">
        <f t="shared" si="19"/>
        <v>0</v>
      </c>
      <c r="BI85" s="240">
        <f t="shared" ref="BI85" si="20">SUM(T85:BG85)</f>
        <v>0</v>
      </c>
      <c r="BK85" s="334"/>
    </row>
    <row r="86" spans="2:63">
      <c r="C86" s="99">
        <f>AA!C15</f>
        <v>3</v>
      </c>
      <c r="E86" s="94" t="str">
        <f>INDEX(AA!$AC$13:$AC$15,MATCH($C86,AA!$C$13:$C$15,0))</f>
        <v>backup</v>
      </c>
      <c r="G86" s="1325">
        <f>INDEX(AA!$E$13:$E$15,MATCH($C86,AA!$C$13:$C$15,0))</f>
        <v>1</v>
      </c>
      <c r="I86" s="73" t="s">
        <v>168</v>
      </c>
      <c r="K86" s="331">
        <f>INDEX(AA!$BJ$13:$BJ$15,MATCH($C86,AA!$C$13:$C$15,0))</f>
        <v>0</v>
      </c>
      <c r="T86" s="231">
        <f t="shared" ref="T86:BG86" si="21">-$K86*(T78+T70+T54)</f>
        <v>0</v>
      </c>
      <c r="U86" s="231">
        <f t="shared" si="21"/>
        <v>0</v>
      </c>
      <c r="V86" s="231">
        <f t="shared" si="21"/>
        <v>0</v>
      </c>
      <c r="W86" s="231">
        <f t="shared" si="21"/>
        <v>0</v>
      </c>
      <c r="X86" s="231">
        <f t="shared" si="21"/>
        <v>0</v>
      </c>
      <c r="Y86" s="231">
        <f t="shared" si="21"/>
        <v>0</v>
      </c>
      <c r="Z86" s="231">
        <f t="shared" si="21"/>
        <v>0</v>
      </c>
      <c r="AA86" s="231">
        <f t="shared" si="21"/>
        <v>0</v>
      </c>
      <c r="AB86" s="231">
        <f t="shared" si="21"/>
        <v>0</v>
      </c>
      <c r="AC86" s="231">
        <f t="shared" si="21"/>
        <v>0</v>
      </c>
      <c r="AD86" s="231">
        <f t="shared" si="21"/>
        <v>0</v>
      </c>
      <c r="AE86" s="231">
        <f t="shared" si="21"/>
        <v>0</v>
      </c>
      <c r="AF86" s="231">
        <f t="shared" si="21"/>
        <v>0</v>
      </c>
      <c r="AG86" s="231">
        <f t="shared" si="21"/>
        <v>0</v>
      </c>
      <c r="AH86" s="231">
        <f t="shared" si="21"/>
        <v>0</v>
      </c>
      <c r="AI86" s="231">
        <f t="shared" si="21"/>
        <v>0</v>
      </c>
      <c r="AJ86" s="231">
        <f t="shared" si="21"/>
        <v>0</v>
      </c>
      <c r="AK86" s="231">
        <f t="shared" si="21"/>
        <v>0</v>
      </c>
      <c r="AL86" s="231">
        <f t="shared" si="21"/>
        <v>0</v>
      </c>
      <c r="AM86" s="231">
        <f t="shared" si="21"/>
        <v>0</v>
      </c>
      <c r="AN86" s="231">
        <f t="shared" si="21"/>
        <v>0</v>
      </c>
      <c r="AO86" s="231">
        <f t="shared" si="21"/>
        <v>0</v>
      </c>
      <c r="AP86" s="231">
        <f t="shared" si="21"/>
        <v>0</v>
      </c>
      <c r="AQ86" s="231">
        <f t="shared" si="21"/>
        <v>0</v>
      </c>
      <c r="AR86" s="231">
        <f t="shared" si="21"/>
        <v>0</v>
      </c>
      <c r="AS86" s="231">
        <f t="shared" si="21"/>
        <v>0</v>
      </c>
      <c r="AT86" s="231">
        <f t="shared" si="21"/>
        <v>0</v>
      </c>
      <c r="AU86" s="231">
        <f t="shared" si="21"/>
        <v>0</v>
      </c>
      <c r="AV86" s="231">
        <f t="shared" si="21"/>
        <v>0</v>
      </c>
      <c r="AW86" s="231">
        <f t="shared" si="21"/>
        <v>0</v>
      </c>
      <c r="AX86" s="231">
        <f t="shared" si="21"/>
        <v>0</v>
      </c>
      <c r="AY86" s="231">
        <f t="shared" si="21"/>
        <v>0</v>
      </c>
      <c r="AZ86" s="231">
        <f t="shared" si="21"/>
        <v>0</v>
      </c>
      <c r="BA86" s="231">
        <f t="shared" si="21"/>
        <v>0</v>
      </c>
      <c r="BB86" s="231">
        <f t="shared" si="21"/>
        <v>0</v>
      </c>
      <c r="BC86" s="231">
        <f t="shared" si="21"/>
        <v>0</v>
      </c>
      <c r="BD86" s="231">
        <f t="shared" si="21"/>
        <v>0</v>
      </c>
      <c r="BE86" s="231">
        <f t="shared" si="21"/>
        <v>0</v>
      </c>
      <c r="BF86" s="231">
        <f t="shared" si="21"/>
        <v>0</v>
      </c>
      <c r="BG86" s="231">
        <f t="shared" si="21"/>
        <v>0</v>
      </c>
      <c r="BI86" s="240">
        <f t="shared" ref="BI86" si="22">SUM(T86:BG86)</f>
        <v>0</v>
      </c>
      <c r="BK86" s="334"/>
    </row>
    <row r="87" spans="2:63">
      <c r="C87" s="269"/>
      <c r="E87" s="269"/>
      <c r="G87" s="269"/>
      <c r="I87" s="269"/>
      <c r="K87" s="269"/>
      <c r="BI87" s="269"/>
      <c r="BK87" s="269"/>
    </row>
    <row r="89" spans="2:63" s="90" customFormat="1">
      <c r="B89" s="91">
        <f ca="1">MAX(A$1:$B88)+1</f>
        <v>11</v>
      </c>
      <c r="C89" s="92" t="s">
        <v>411</v>
      </c>
    </row>
    <row r="91" spans="2:63" ht="30">
      <c r="C91" s="97" t="s">
        <v>4</v>
      </c>
      <c r="E91" s="97" t="s">
        <v>6</v>
      </c>
      <c r="G91" s="101" t="s">
        <v>272</v>
      </c>
      <c r="I91" s="101" t="s">
        <v>150</v>
      </c>
      <c r="K91" s="101" t="s">
        <v>414</v>
      </c>
      <c r="BI91" s="327" t="s">
        <v>152</v>
      </c>
      <c r="BK91" s="332"/>
    </row>
    <row r="92" spans="2:63">
      <c r="C92" s="99">
        <f>AA!C13</f>
        <v>1</v>
      </c>
      <c r="E92" s="93" t="str">
        <f>INDEX(AA!$AC$13:$AC$15,MATCH($C92,AA!$C$13:$C$15,0))</f>
        <v>backup</v>
      </c>
      <c r="G92" s="1324">
        <f>INDEX(AA!$E$13:$E$15,MATCH($C92,AA!$C$13:$C$15,0))</f>
        <v>1</v>
      </c>
      <c r="I92" s="72" t="s">
        <v>411</v>
      </c>
      <c r="K92" s="335">
        <f>INDEX(AA!$BS$13:$BS$15,MATCH($C92,AA!$C$13:$C$15,0))</f>
        <v>1.5</v>
      </c>
      <c r="T92" s="231">
        <f t="shared" ref="T92:BG92" si="23">-$K92*3*T$14*T20*(T36-T44)</f>
        <v>0</v>
      </c>
      <c r="U92" s="231">
        <f t="shared" si="23"/>
        <v>0</v>
      </c>
      <c r="V92" s="231">
        <f t="shared" si="23"/>
        <v>0</v>
      </c>
      <c r="W92" s="231">
        <f t="shared" si="23"/>
        <v>0</v>
      </c>
      <c r="X92" s="231">
        <f t="shared" si="23"/>
        <v>0</v>
      </c>
      <c r="Y92" s="231">
        <f t="shared" si="23"/>
        <v>0</v>
      </c>
      <c r="Z92" s="231">
        <f t="shared" si="23"/>
        <v>0</v>
      </c>
      <c r="AA92" s="231">
        <f t="shared" si="23"/>
        <v>0</v>
      </c>
      <c r="AB92" s="231">
        <f t="shared" si="23"/>
        <v>0</v>
      </c>
      <c r="AC92" s="231">
        <f t="shared" si="23"/>
        <v>0</v>
      </c>
      <c r="AD92" s="231">
        <f t="shared" si="23"/>
        <v>0</v>
      </c>
      <c r="AE92" s="231">
        <f t="shared" si="23"/>
        <v>0</v>
      </c>
      <c r="AF92" s="231">
        <f t="shared" si="23"/>
        <v>0</v>
      </c>
      <c r="AG92" s="231">
        <f t="shared" si="23"/>
        <v>0</v>
      </c>
      <c r="AH92" s="231">
        <f t="shared" si="23"/>
        <v>0</v>
      </c>
      <c r="AI92" s="231">
        <f t="shared" si="23"/>
        <v>0</v>
      </c>
      <c r="AJ92" s="231">
        <f t="shared" si="23"/>
        <v>0</v>
      </c>
      <c r="AK92" s="231">
        <f t="shared" si="23"/>
        <v>0</v>
      </c>
      <c r="AL92" s="231">
        <f t="shared" si="23"/>
        <v>0</v>
      </c>
      <c r="AM92" s="231">
        <f t="shared" si="23"/>
        <v>0</v>
      </c>
      <c r="AN92" s="231">
        <f t="shared" si="23"/>
        <v>0</v>
      </c>
      <c r="AO92" s="231">
        <f t="shared" si="23"/>
        <v>0</v>
      </c>
      <c r="AP92" s="231">
        <f t="shared" si="23"/>
        <v>0</v>
      </c>
      <c r="AQ92" s="231">
        <f t="shared" si="23"/>
        <v>0</v>
      </c>
      <c r="AR92" s="231">
        <f t="shared" si="23"/>
        <v>0</v>
      </c>
      <c r="AS92" s="231">
        <f t="shared" si="23"/>
        <v>0</v>
      </c>
      <c r="AT92" s="231">
        <f t="shared" si="23"/>
        <v>0</v>
      </c>
      <c r="AU92" s="231">
        <f t="shared" si="23"/>
        <v>0</v>
      </c>
      <c r="AV92" s="231">
        <f t="shared" si="23"/>
        <v>0</v>
      </c>
      <c r="AW92" s="231">
        <f t="shared" si="23"/>
        <v>0</v>
      </c>
      <c r="AX92" s="231">
        <f t="shared" si="23"/>
        <v>0</v>
      </c>
      <c r="AY92" s="231">
        <f t="shared" si="23"/>
        <v>0</v>
      </c>
      <c r="AZ92" s="231">
        <f t="shared" si="23"/>
        <v>0</v>
      </c>
      <c r="BA92" s="231">
        <f t="shared" si="23"/>
        <v>0</v>
      </c>
      <c r="BB92" s="231">
        <f t="shared" si="23"/>
        <v>0</v>
      </c>
      <c r="BC92" s="231">
        <f t="shared" si="23"/>
        <v>0</v>
      </c>
      <c r="BD92" s="231">
        <f t="shared" si="23"/>
        <v>0</v>
      </c>
      <c r="BE92" s="231">
        <f t="shared" si="23"/>
        <v>0</v>
      </c>
      <c r="BF92" s="231">
        <f t="shared" si="23"/>
        <v>0</v>
      </c>
      <c r="BG92" s="231">
        <f t="shared" si="23"/>
        <v>0</v>
      </c>
      <c r="BI92" s="238">
        <f>SUM(T92:BG92)</f>
        <v>0</v>
      </c>
      <c r="BK92" s="333"/>
    </row>
    <row r="93" spans="2:63">
      <c r="C93" s="99">
        <f>AA!C14</f>
        <v>2</v>
      </c>
      <c r="E93" s="94" t="str">
        <f>INDEX(AA!$AC$13:$AC$15,MATCH($C93,AA!$C$13:$C$15,0))</f>
        <v>backup</v>
      </c>
      <c r="G93" s="1325">
        <f>INDEX(AA!$E$13:$E$15,MATCH($C93,AA!$C$13:$C$15,0))</f>
        <v>1</v>
      </c>
      <c r="I93" s="73" t="s">
        <v>411</v>
      </c>
      <c r="K93" s="336">
        <f>INDEX(AA!$BS$13:$BS$15,MATCH($C93,AA!$C$13:$C$15,0))</f>
        <v>1.5</v>
      </c>
      <c r="T93" s="231">
        <f t="shared" ref="T93:BG93" si="24">-$K93*3*T$14*T21*(T37-T45)</f>
        <v>0</v>
      </c>
      <c r="U93" s="231">
        <f t="shared" si="24"/>
        <v>0</v>
      </c>
      <c r="V93" s="231">
        <f t="shared" si="24"/>
        <v>0</v>
      </c>
      <c r="W93" s="231">
        <f t="shared" si="24"/>
        <v>0</v>
      </c>
      <c r="X93" s="231">
        <f t="shared" si="24"/>
        <v>0</v>
      </c>
      <c r="Y93" s="231">
        <f t="shared" si="24"/>
        <v>0</v>
      </c>
      <c r="Z93" s="231">
        <f t="shared" si="24"/>
        <v>0</v>
      </c>
      <c r="AA93" s="231">
        <f t="shared" si="24"/>
        <v>0</v>
      </c>
      <c r="AB93" s="231">
        <f t="shared" si="24"/>
        <v>0</v>
      </c>
      <c r="AC93" s="231">
        <f t="shared" si="24"/>
        <v>0</v>
      </c>
      <c r="AD93" s="231">
        <f t="shared" si="24"/>
        <v>0</v>
      </c>
      <c r="AE93" s="231">
        <f t="shared" si="24"/>
        <v>0</v>
      </c>
      <c r="AF93" s="231">
        <f t="shared" si="24"/>
        <v>0</v>
      </c>
      <c r="AG93" s="231">
        <f t="shared" si="24"/>
        <v>0</v>
      </c>
      <c r="AH93" s="231">
        <f t="shared" si="24"/>
        <v>0</v>
      </c>
      <c r="AI93" s="231">
        <f t="shared" si="24"/>
        <v>0</v>
      </c>
      <c r="AJ93" s="231">
        <f t="shared" si="24"/>
        <v>0</v>
      </c>
      <c r="AK93" s="231">
        <f t="shared" si="24"/>
        <v>0</v>
      </c>
      <c r="AL93" s="231">
        <f t="shared" si="24"/>
        <v>0</v>
      </c>
      <c r="AM93" s="231">
        <f t="shared" si="24"/>
        <v>0</v>
      </c>
      <c r="AN93" s="231">
        <f t="shared" si="24"/>
        <v>0</v>
      </c>
      <c r="AO93" s="231">
        <f t="shared" si="24"/>
        <v>0</v>
      </c>
      <c r="AP93" s="231">
        <f t="shared" si="24"/>
        <v>0</v>
      </c>
      <c r="AQ93" s="231">
        <f t="shared" si="24"/>
        <v>0</v>
      </c>
      <c r="AR93" s="231">
        <f t="shared" si="24"/>
        <v>0</v>
      </c>
      <c r="AS93" s="231">
        <f t="shared" si="24"/>
        <v>0</v>
      </c>
      <c r="AT93" s="231">
        <f t="shared" si="24"/>
        <v>0</v>
      </c>
      <c r="AU93" s="231">
        <f t="shared" si="24"/>
        <v>0</v>
      </c>
      <c r="AV93" s="231">
        <f t="shared" si="24"/>
        <v>0</v>
      </c>
      <c r="AW93" s="231">
        <f t="shared" si="24"/>
        <v>0</v>
      </c>
      <c r="AX93" s="231">
        <f t="shared" si="24"/>
        <v>0</v>
      </c>
      <c r="AY93" s="231">
        <f t="shared" si="24"/>
        <v>0</v>
      </c>
      <c r="AZ93" s="231">
        <f t="shared" si="24"/>
        <v>0</v>
      </c>
      <c r="BA93" s="231">
        <f t="shared" si="24"/>
        <v>0</v>
      </c>
      <c r="BB93" s="231">
        <f t="shared" si="24"/>
        <v>0</v>
      </c>
      <c r="BC93" s="231">
        <f t="shared" si="24"/>
        <v>0</v>
      </c>
      <c r="BD93" s="231">
        <f t="shared" si="24"/>
        <v>0</v>
      </c>
      <c r="BE93" s="231">
        <f t="shared" si="24"/>
        <v>0</v>
      </c>
      <c r="BF93" s="231">
        <f t="shared" si="24"/>
        <v>0</v>
      </c>
      <c r="BG93" s="231">
        <f t="shared" si="24"/>
        <v>0</v>
      </c>
      <c r="BI93" s="240">
        <f t="shared" ref="BI93" si="25">SUM(T93:BG93)</f>
        <v>0</v>
      </c>
      <c r="BK93" s="334"/>
    </row>
    <row r="94" spans="2:63">
      <c r="C94" s="99">
        <f>AA!C15</f>
        <v>3</v>
      </c>
      <c r="E94" s="94" t="str">
        <f>INDEX(AA!$AC$13:$AC$15,MATCH($C94,AA!$C$13:$C$15,0))</f>
        <v>backup</v>
      </c>
      <c r="G94" s="1325">
        <f>INDEX(AA!$E$13:$E$15,MATCH($C94,AA!$C$13:$C$15,0))</f>
        <v>1</v>
      </c>
      <c r="I94" s="73" t="s">
        <v>411</v>
      </c>
      <c r="K94" s="336">
        <f>INDEX(AA!$BS$13:$BS$15,MATCH($C94,AA!$C$13:$C$15,0))</f>
        <v>2</v>
      </c>
      <c r="T94" s="231">
        <f t="shared" ref="T94:BG94" si="26">-$K94*3*T$14*T22*(T38-T46)</f>
        <v>0</v>
      </c>
      <c r="U94" s="231">
        <f t="shared" si="26"/>
        <v>0</v>
      </c>
      <c r="V94" s="231">
        <f t="shared" si="26"/>
        <v>0</v>
      </c>
      <c r="W94" s="231">
        <f t="shared" si="26"/>
        <v>0</v>
      </c>
      <c r="X94" s="231">
        <f t="shared" si="26"/>
        <v>0</v>
      </c>
      <c r="Y94" s="231">
        <f t="shared" si="26"/>
        <v>0</v>
      </c>
      <c r="Z94" s="231">
        <f t="shared" si="26"/>
        <v>0</v>
      </c>
      <c r="AA94" s="231">
        <f t="shared" si="26"/>
        <v>0</v>
      </c>
      <c r="AB94" s="231">
        <f t="shared" si="26"/>
        <v>0</v>
      </c>
      <c r="AC94" s="231">
        <f t="shared" si="26"/>
        <v>0</v>
      </c>
      <c r="AD94" s="231">
        <f t="shared" si="26"/>
        <v>0</v>
      </c>
      <c r="AE94" s="231">
        <f t="shared" si="26"/>
        <v>0</v>
      </c>
      <c r="AF94" s="231">
        <f t="shared" si="26"/>
        <v>0</v>
      </c>
      <c r="AG94" s="231">
        <f t="shared" si="26"/>
        <v>0</v>
      </c>
      <c r="AH94" s="231">
        <f t="shared" si="26"/>
        <v>0</v>
      </c>
      <c r="AI94" s="231">
        <f t="shared" si="26"/>
        <v>0</v>
      </c>
      <c r="AJ94" s="231">
        <f t="shared" si="26"/>
        <v>0</v>
      </c>
      <c r="AK94" s="231">
        <f t="shared" si="26"/>
        <v>0</v>
      </c>
      <c r="AL94" s="231">
        <f t="shared" si="26"/>
        <v>0</v>
      </c>
      <c r="AM94" s="231">
        <f t="shared" si="26"/>
        <v>0</v>
      </c>
      <c r="AN94" s="231">
        <f t="shared" si="26"/>
        <v>0</v>
      </c>
      <c r="AO94" s="231">
        <f t="shared" si="26"/>
        <v>0</v>
      </c>
      <c r="AP94" s="231">
        <f t="shared" si="26"/>
        <v>0</v>
      </c>
      <c r="AQ94" s="231">
        <f t="shared" si="26"/>
        <v>0</v>
      </c>
      <c r="AR94" s="231">
        <f t="shared" si="26"/>
        <v>0</v>
      </c>
      <c r="AS94" s="231">
        <f t="shared" si="26"/>
        <v>0</v>
      </c>
      <c r="AT94" s="231">
        <f t="shared" si="26"/>
        <v>0</v>
      </c>
      <c r="AU94" s="231">
        <f t="shared" si="26"/>
        <v>0</v>
      </c>
      <c r="AV94" s="231">
        <f t="shared" si="26"/>
        <v>0</v>
      </c>
      <c r="AW94" s="231">
        <f t="shared" si="26"/>
        <v>0</v>
      </c>
      <c r="AX94" s="231">
        <f t="shared" si="26"/>
        <v>0</v>
      </c>
      <c r="AY94" s="231">
        <f t="shared" si="26"/>
        <v>0</v>
      </c>
      <c r="AZ94" s="231">
        <f t="shared" si="26"/>
        <v>0</v>
      </c>
      <c r="BA94" s="231">
        <f t="shared" si="26"/>
        <v>0</v>
      </c>
      <c r="BB94" s="231">
        <f t="shared" si="26"/>
        <v>0</v>
      </c>
      <c r="BC94" s="231">
        <f t="shared" si="26"/>
        <v>0</v>
      </c>
      <c r="BD94" s="231">
        <f t="shared" si="26"/>
        <v>0</v>
      </c>
      <c r="BE94" s="231">
        <f t="shared" si="26"/>
        <v>0</v>
      </c>
      <c r="BF94" s="231">
        <f t="shared" si="26"/>
        <v>0</v>
      </c>
      <c r="BG94" s="231">
        <f t="shared" si="26"/>
        <v>0</v>
      </c>
      <c r="BI94" s="240">
        <f t="shared" ref="BI94" si="27">SUM(T94:BG94)</f>
        <v>0</v>
      </c>
      <c r="BK94" s="334"/>
    </row>
    <row r="95" spans="2:63">
      <c r="C95" s="269"/>
      <c r="E95" s="269"/>
      <c r="G95" s="269"/>
      <c r="I95" s="269"/>
      <c r="K95" s="269"/>
      <c r="BI95" s="269"/>
      <c r="BK95" s="269"/>
    </row>
    <row r="97" spans="2:63" s="90" customFormat="1">
      <c r="B97" s="91">
        <f ca="1">MAX(A$1:$B96)+1</f>
        <v>12</v>
      </c>
      <c r="C97" s="92" t="s">
        <v>415</v>
      </c>
    </row>
    <row r="99" spans="2:63" ht="30">
      <c r="C99" s="97" t="s">
        <v>4</v>
      </c>
      <c r="E99" s="97" t="s">
        <v>6</v>
      </c>
      <c r="G99" s="101" t="s">
        <v>272</v>
      </c>
      <c r="I99" s="101" t="s">
        <v>150</v>
      </c>
      <c r="K99" s="101" t="s">
        <v>1403</v>
      </c>
      <c r="BI99" s="327" t="s">
        <v>152</v>
      </c>
      <c r="BK99" s="332"/>
    </row>
    <row r="100" spans="2:63">
      <c r="C100" s="99">
        <f>AA!C13</f>
        <v>1</v>
      </c>
      <c r="E100" s="93" t="str">
        <f>INDEX(AA!$AC$13:$AC$15,MATCH($C100,AA!$C$13:$C$15,0))</f>
        <v>backup</v>
      </c>
      <c r="G100" s="1324">
        <f>INDEX(AA!$E$13:$E$15,MATCH($C100,AA!$C$13:$C$15,0))</f>
        <v>1</v>
      </c>
      <c r="I100" s="72" t="s">
        <v>416</v>
      </c>
      <c r="K100" s="338">
        <f>INDEX(AA!$BM$13:$BM$15,MATCH($C100,AA!$C$13:$C$15,0))</f>
        <v>1.2E-2</v>
      </c>
      <c r="T100" s="231">
        <f t="shared" ref="T100:BG100" si="28">-$K100*(T76+T52)</f>
        <v>-300.56092485464785</v>
      </c>
      <c r="U100" s="231">
        <f t="shared" si="28"/>
        <v>-301.12289849827096</v>
      </c>
      <c r="V100" s="231">
        <f t="shared" si="28"/>
        <v>-301.68592289184193</v>
      </c>
      <c r="W100" s="231">
        <f t="shared" si="28"/>
        <v>-302.24999999999994</v>
      </c>
      <c r="X100" s="231">
        <f t="shared" si="28"/>
        <v>-302.81513179105769</v>
      </c>
      <c r="Y100" s="231">
        <f t="shared" si="28"/>
        <v>-303.38132023700791</v>
      </c>
      <c r="Z100" s="231">
        <f t="shared" si="28"/>
        <v>-303.94856731353065</v>
      </c>
      <c r="AA100" s="231">
        <f t="shared" si="28"/>
        <v>-304.51687499999986</v>
      </c>
      <c r="AB100" s="231">
        <f t="shared" si="28"/>
        <v>-305.08624527949053</v>
      </c>
      <c r="AC100" s="231">
        <f t="shared" si="28"/>
        <v>-305.65668013878536</v>
      </c>
      <c r="AD100" s="231">
        <f t="shared" si="28"/>
        <v>-306.22818156838201</v>
      </c>
      <c r="AE100" s="231">
        <f t="shared" si="28"/>
        <v>-306.80075156249973</v>
      </c>
      <c r="AF100" s="231">
        <f t="shared" si="28"/>
        <v>0</v>
      </c>
      <c r="AG100" s="231">
        <f t="shared" si="28"/>
        <v>0</v>
      </c>
      <c r="AH100" s="231">
        <f t="shared" si="28"/>
        <v>0</v>
      </c>
      <c r="AI100" s="231">
        <f t="shared" si="28"/>
        <v>0</v>
      </c>
      <c r="AJ100" s="231">
        <f t="shared" si="28"/>
        <v>0</v>
      </c>
      <c r="AK100" s="231">
        <f t="shared" si="28"/>
        <v>0</v>
      </c>
      <c r="AL100" s="231">
        <f t="shared" si="28"/>
        <v>0</v>
      </c>
      <c r="AM100" s="231">
        <f t="shared" si="28"/>
        <v>0</v>
      </c>
      <c r="AN100" s="231">
        <f t="shared" si="28"/>
        <v>0</v>
      </c>
      <c r="AO100" s="231">
        <f t="shared" si="28"/>
        <v>0</v>
      </c>
      <c r="AP100" s="231">
        <f t="shared" si="28"/>
        <v>0</v>
      </c>
      <c r="AQ100" s="231">
        <f t="shared" si="28"/>
        <v>0</v>
      </c>
      <c r="AR100" s="231">
        <f t="shared" si="28"/>
        <v>0</v>
      </c>
      <c r="AS100" s="231">
        <f t="shared" si="28"/>
        <v>0</v>
      </c>
      <c r="AT100" s="231">
        <f t="shared" si="28"/>
        <v>0</v>
      </c>
      <c r="AU100" s="231">
        <f t="shared" si="28"/>
        <v>0</v>
      </c>
      <c r="AV100" s="231">
        <f t="shared" si="28"/>
        <v>0</v>
      </c>
      <c r="AW100" s="231">
        <f t="shared" si="28"/>
        <v>0</v>
      </c>
      <c r="AX100" s="231">
        <f t="shared" si="28"/>
        <v>0</v>
      </c>
      <c r="AY100" s="231">
        <f t="shared" si="28"/>
        <v>0</v>
      </c>
      <c r="AZ100" s="231">
        <f t="shared" si="28"/>
        <v>0</v>
      </c>
      <c r="BA100" s="231">
        <f t="shared" si="28"/>
        <v>0</v>
      </c>
      <c r="BB100" s="231">
        <f t="shared" si="28"/>
        <v>0</v>
      </c>
      <c r="BC100" s="231">
        <f t="shared" si="28"/>
        <v>0</v>
      </c>
      <c r="BD100" s="231">
        <f t="shared" si="28"/>
        <v>0</v>
      </c>
      <c r="BE100" s="231">
        <f t="shared" si="28"/>
        <v>0</v>
      </c>
      <c r="BF100" s="231">
        <f t="shared" si="28"/>
        <v>0</v>
      </c>
      <c r="BG100" s="231">
        <f t="shared" si="28"/>
        <v>0</v>
      </c>
      <c r="BI100" s="238">
        <f>SUM(T100:BG100)</f>
        <v>-3644.0534991355144</v>
      </c>
      <c r="BK100" s="333"/>
    </row>
    <row r="101" spans="2:63">
      <c r="C101" s="99">
        <f>AA!C14</f>
        <v>2</v>
      </c>
      <c r="E101" s="94" t="str">
        <f>INDEX(AA!$AC$13:$AC$15,MATCH($C101,AA!$C$13:$C$15,0))</f>
        <v>backup</v>
      </c>
      <c r="G101" s="1325">
        <f>INDEX(AA!$E$13:$E$15,MATCH($C101,AA!$C$13:$C$15,0))</f>
        <v>1</v>
      </c>
      <c r="I101" s="73" t="s">
        <v>416</v>
      </c>
      <c r="K101" s="339">
        <f>INDEX(AA!$BM$13:$BM$15,MATCH($C101,AA!$C$13:$C$15,0))</f>
        <v>0.04</v>
      </c>
      <c r="T101" s="231">
        <f t="shared" ref="T101:BG101" si="29">-$K101*(T77+T53)</f>
        <v>0</v>
      </c>
      <c r="U101" s="231">
        <f t="shared" si="29"/>
        <v>-1003.7429949942365</v>
      </c>
      <c r="V101" s="231">
        <f t="shared" si="29"/>
        <v>-1005.6197429728064</v>
      </c>
      <c r="W101" s="231">
        <f t="shared" si="29"/>
        <v>-1007.4999999999999</v>
      </c>
      <c r="X101" s="231">
        <f t="shared" si="29"/>
        <v>-1009.3837726368589</v>
      </c>
      <c r="Y101" s="231">
        <f t="shared" si="29"/>
        <v>-1011.271067456693</v>
      </c>
      <c r="Z101" s="231">
        <f t="shared" si="29"/>
        <v>-1013.1618910451022</v>
      </c>
      <c r="AA101" s="231">
        <f t="shared" si="29"/>
        <v>-1015.0562499999996</v>
      </c>
      <c r="AB101" s="231">
        <f t="shared" si="29"/>
        <v>-1016.9541509316351</v>
      </c>
      <c r="AC101" s="231">
        <f t="shared" si="29"/>
        <v>-1018.8556004626179</v>
      </c>
      <c r="AD101" s="231">
        <f t="shared" si="29"/>
        <v>-1020.7606052279401</v>
      </c>
      <c r="AE101" s="231">
        <f t="shared" si="29"/>
        <v>-1022.6691718749992</v>
      </c>
      <c r="AF101" s="231">
        <f t="shared" si="29"/>
        <v>0</v>
      </c>
      <c r="AG101" s="231">
        <f t="shared" si="29"/>
        <v>0</v>
      </c>
      <c r="AH101" s="231">
        <f t="shared" si="29"/>
        <v>0</v>
      </c>
      <c r="AI101" s="231">
        <f t="shared" si="29"/>
        <v>0</v>
      </c>
      <c r="AJ101" s="231">
        <f t="shared" si="29"/>
        <v>0</v>
      </c>
      <c r="AK101" s="231">
        <f t="shared" si="29"/>
        <v>0</v>
      </c>
      <c r="AL101" s="231">
        <f t="shared" si="29"/>
        <v>0</v>
      </c>
      <c r="AM101" s="231">
        <f t="shared" si="29"/>
        <v>0</v>
      </c>
      <c r="AN101" s="231">
        <f t="shared" si="29"/>
        <v>0</v>
      </c>
      <c r="AO101" s="231">
        <f t="shared" si="29"/>
        <v>0</v>
      </c>
      <c r="AP101" s="231">
        <f t="shared" si="29"/>
        <v>0</v>
      </c>
      <c r="AQ101" s="231">
        <f t="shared" si="29"/>
        <v>0</v>
      </c>
      <c r="AR101" s="231">
        <f t="shared" si="29"/>
        <v>0</v>
      </c>
      <c r="AS101" s="231">
        <f t="shared" si="29"/>
        <v>0</v>
      </c>
      <c r="AT101" s="231">
        <f t="shared" si="29"/>
        <v>0</v>
      </c>
      <c r="AU101" s="231">
        <f t="shared" si="29"/>
        <v>0</v>
      </c>
      <c r="AV101" s="231">
        <f t="shared" si="29"/>
        <v>0</v>
      </c>
      <c r="AW101" s="231">
        <f t="shared" si="29"/>
        <v>0</v>
      </c>
      <c r="AX101" s="231">
        <f t="shared" si="29"/>
        <v>0</v>
      </c>
      <c r="AY101" s="231">
        <f t="shared" si="29"/>
        <v>0</v>
      </c>
      <c r="AZ101" s="231">
        <f t="shared" si="29"/>
        <v>0</v>
      </c>
      <c r="BA101" s="231">
        <f t="shared" si="29"/>
        <v>0</v>
      </c>
      <c r="BB101" s="231">
        <f t="shared" si="29"/>
        <v>0</v>
      </c>
      <c r="BC101" s="231">
        <f t="shared" si="29"/>
        <v>0</v>
      </c>
      <c r="BD101" s="231">
        <f t="shared" si="29"/>
        <v>0</v>
      </c>
      <c r="BE101" s="231">
        <f t="shared" si="29"/>
        <v>0</v>
      </c>
      <c r="BF101" s="231">
        <f t="shared" si="29"/>
        <v>0</v>
      </c>
      <c r="BG101" s="231">
        <f t="shared" si="29"/>
        <v>0</v>
      </c>
      <c r="BI101" s="240">
        <f t="shared" ref="BI101" si="30">SUM(T101:BG101)</f>
        <v>-11144.97524760289</v>
      </c>
      <c r="BK101" s="334"/>
    </row>
    <row r="102" spans="2:63">
      <c r="C102" s="99">
        <f>AA!C15</f>
        <v>3</v>
      </c>
      <c r="E102" s="94" t="str">
        <f>INDEX(AA!$AC$13:$AC$15,MATCH($C102,AA!$C$13:$C$15,0))</f>
        <v>backup</v>
      </c>
      <c r="G102" s="1325">
        <f>INDEX(AA!$E$13:$E$15,MATCH($C102,AA!$C$13:$C$15,0))</f>
        <v>1</v>
      </c>
      <c r="I102" s="73" t="s">
        <v>416</v>
      </c>
      <c r="K102" s="339">
        <f>INDEX(AA!$BM$13:$BM$15,MATCH($C102,AA!$C$13:$C$15,0))</f>
        <v>4.2500000000000003E-2</v>
      </c>
      <c r="T102" s="231">
        <f t="shared" ref="T102:BG102" si="31">-$K102*(T78+T54)</f>
        <v>0</v>
      </c>
      <c r="U102" s="231">
        <f t="shared" si="31"/>
        <v>0</v>
      </c>
      <c r="V102" s="231">
        <f t="shared" si="31"/>
        <v>-1068.4709769086069</v>
      </c>
      <c r="W102" s="231">
        <f t="shared" si="31"/>
        <v>-1070.46875</v>
      </c>
      <c r="X102" s="231">
        <f t="shared" si="31"/>
        <v>-1072.4702584266627</v>
      </c>
      <c r="Y102" s="231">
        <f t="shared" si="31"/>
        <v>-1074.4755091727363</v>
      </c>
      <c r="Z102" s="231">
        <f t="shared" si="31"/>
        <v>-1076.484509235421</v>
      </c>
      <c r="AA102" s="231">
        <f t="shared" si="31"/>
        <v>-1078.4972656249997</v>
      </c>
      <c r="AB102" s="231">
        <f t="shared" si="31"/>
        <v>-1080.5137853648623</v>
      </c>
      <c r="AC102" s="231">
        <f t="shared" si="31"/>
        <v>-1082.5340754915317</v>
      </c>
      <c r="AD102" s="231">
        <f t="shared" si="31"/>
        <v>-1084.5581430546865</v>
      </c>
      <c r="AE102" s="231">
        <f t="shared" si="31"/>
        <v>-1086.5859951171867</v>
      </c>
      <c r="AF102" s="231">
        <f t="shared" si="31"/>
        <v>0</v>
      </c>
      <c r="AG102" s="231">
        <f t="shared" si="31"/>
        <v>0</v>
      </c>
      <c r="AH102" s="231">
        <f t="shared" si="31"/>
        <v>0</v>
      </c>
      <c r="AI102" s="231">
        <f t="shared" si="31"/>
        <v>0</v>
      </c>
      <c r="AJ102" s="231">
        <f t="shared" si="31"/>
        <v>0</v>
      </c>
      <c r="AK102" s="231">
        <f t="shared" si="31"/>
        <v>0</v>
      </c>
      <c r="AL102" s="231">
        <f t="shared" si="31"/>
        <v>0</v>
      </c>
      <c r="AM102" s="231">
        <f t="shared" si="31"/>
        <v>0</v>
      </c>
      <c r="AN102" s="231">
        <f t="shared" si="31"/>
        <v>0</v>
      </c>
      <c r="AO102" s="231">
        <f t="shared" si="31"/>
        <v>0</v>
      </c>
      <c r="AP102" s="231">
        <f t="shared" si="31"/>
        <v>0</v>
      </c>
      <c r="AQ102" s="231">
        <f t="shared" si="31"/>
        <v>0</v>
      </c>
      <c r="AR102" s="231">
        <f t="shared" si="31"/>
        <v>0</v>
      </c>
      <c r="AS102" s="231">
        <f t="shared" si="31"/>
        <v>0</v>
      </c>
      <c r="AT102" s="231">
        <f t="shared" si="31"/>
        <v>0</v>
      </c>
      <c r="AU102" s="231">
        <f t="shared" si="31"/>
        <v>0</v>
      </c>
      <c r="AV102" s="231">
        <f t="shared" si="31"/>
        <v>0</v>
      </c>
      <c r="AW102" s="231">
        <f t="shared" si="31"/>
        <v>0</v>
      </c>
      <c r="AX102" s="231">
        <f t="shared" si="31"/>
        <v>0</v>
      </c>
      <c r="AY102" s="231">
        <f t="shared" si="31"/>
        <v>0</v>
      </c>
      <c r="AZ102" s="231">
        <f t="shared" si="31"/>
        <v>0</v>
      </c>
      <c r="BA102" s="231">
        <f t="shared" si="31"/>
        <v>0</v>
      </c>
      <c r="BB102" s="231">
        <f t="shared" si="31"/>
        <v>0</v>
      </c>
      <c r="BC102" s="231">
        <f t="shared" si="31"/>
        <v>0</v>
      </c>
      <c r="BD102" s="231">
        <f t="shared" si="31"/>
        <v>0</v>
      </c>
      <c r="BE102" s="231">
        <f t="shared" si="31"/>
        <v>0</v>
      </c>
      <c r="BF102" s="231">
        <f t="shared" si="31"/>
        <v>0</v>
      </c>
      <c r="BG102" s="231">
        <f t="shared" si="31"/>
        <v>0</v>
      </c>
      <c r="BI102" s="240">
        <f t="shared" ref="BI102" si="32">SUM(T102:BG102)</f>
        <v>-10775.059268396692</v>
      </c>
      <c r="BK102" s="334"/>
    </row>
    <row r="103" spans="2:63">
      <c r="C103" s="269"/>
      <c r="E103" s="269"/>
      <c r="G103" s="269"/>
      <c r="I103" s="269"/>
      <c r="K103" s="269"/>
      <c r="BI103" s="269"/>
      <c r="BK103" s="269"/>
    </row>
    <row r="105" spans="2:63" s="90" customFormat="1">
      <c r="B105" s="91">
        <f ca="1">MAX(A$1:$B104)+1</f>
        <v>13</v>
      </c>
      <c r="C105" s="92" t="s">
        <v>417</v>
      </c>
    </row>
    <row r="107" spans="2:63" ht="30">
      <c r="C107" s="97" t="s">
        <v>4</v>
      </c>
      <c r="E107" s="97" t="s">
        <v>6</v>
      </c>
      <c r="G107" s="101" t="s">
        <v>272</v>
      </c>
      <c r="I107" s="101" t="s">
        <v>150</v>
      </c>
      <c r="K107" s="101" t="s">
        <v>419</v>
      </c>
      <c r="BI107" s="327" t="s">
        <v>152</v>
      </c>
      <c r="BK107" s="332"/>
    </row>
    <row r="108" spans="2:63">
      <c r="C108" s="99">
        <f>AA!C13</f>
        <v>1</v>
      </c>
      <c r="E108" s="93" t="str">
        <f>INDEX(AA!$AC$13:$AC$15,MATCH($C108,AA!$C$13:$C$15,0))</f>
        <v>backup</v>
      </c>
      <c r="G108" s="1324">
        <f>INDEX(AA!$E$13:$E$15,MATCH($C108,AA!$C$13:$C$15,0))</f>
        <v>1</v>
      </c>
      <c r="I108" s="72" t="s">
        <v>418</v>
      </c>
      <c r="K108" s="335">
        <f>INDEX(AA!$BP$13:$BP$15,MATCH($C108,AA!$C$13:$C$15,0))</f>
        <v>0.43333333333333335</v>
      </c>
      <c r="T108" s="231">
        <f t="shared" ref="T108:BG108" si="33">-$K108*3*T44*T20*T$14</f>
        <v>-1306.451811045165</v>
      </c>
      <c r="U108" s="231">
        <f t="shared" si="33"/>
        <v>-1312.9356419870705</v>
      </c>
      <c r="V108" s="231">
        <f t="shared" si="33"/>
        <v>-1319.4516517382726</v>
      </c>
      <c r="W108" s="231">
        <f t="shared" si="33"/>
        <v>-1326.0000000000002</v>
      </c>
      <c r="X108" s="231">
        <f t="shared" si="33"/>
        <v>-1332.5808472660685</v>
      </c>
      <c r="Y108" s="231">
        <f t="shared" si="33"/>
        <v>-1339.1943548268123</v>
      </c>
      <c r="Z108" s="231">
        <f t="shared" si="33"/>
        <v>-1345.8406847730387</v>
      </c>
      <c r="AA108" s="231">
        <f t="shared" si="33"/>
        <v>-1352.5200000000011</v>
      </c>
      <c r="AB108" s="231">
        <f t="shared" si="33"/>
        <v>-1359.2324642113906</v>
      </c>
      <c r="AC108" s="231">
        <f t="shared" si="33"/>
        <v>-1365.9782419233488</v>
      </c>
      <c r="AD108" s="231">
        <f t="shared" si="33"/>
        <v>-1372.7574984684998</v>
      </c>
      <c r="AE108" s="231">
        <f t="shared" si="33"/>
        <v>-1379.5704000000014</v>
      </c>
      <c r="AF108" s="231">
        <f t="shared" si="33"/>
        <v>0</v>
      </c>
      <c r="AG108" s="231">
        <f t="shared" si="33"/>
        <v>0</v>
      </c>
      <c r="AH108" s="231">
        <f t="shared" si="33"/>
        <v>0</v>
      </c>
      <c r="AI108" s="231">
        <f t="shared" si="33"/>
        <v>0</v>
      </c>
      <c r="AJ108" s="231">
        <f t="shared" si="33"/>
        <v>0</v>
      </c>
      <c r="AK108" s="231">
        <f t="shared" si="33"/>
        <v>0</v>
      </c>
      <c r="AL108" s="231">
        <f t="shared" si="33"/>
        <v>0</v>
      </c>
      <c r="AM108" s="231">
        <f t="shared" si="33"/>
        <v>0</v>
      </c>
      <c r="AN108" s="231">
        <f t="shared" si="33"/>
        <v>0</v>
      </c>
      <c r="AO108" s="231">
        <f t="shared" si="33"/>
        <v>0</v>
      </c>
      <c r="AP108" s="231">
        <f t="shared" si="33"/>
        <v>0</v>
      </c>
      <c r="AQ108" s="231">
        <f t="shared" si="33"/>
        <v>0</v>
      </c>
      <c r="AR108" s="231">
        <f t="shared" si="33"/>
        <v>0</v>
      </c>
      <c r="AS108" s="231">
        <f t="shared" si="33"/>
        <v>0</v>
      </c>
      <c r="AT108" s="231">
        <f t="shared" si="33"/>
        <v>0</v>
      </c>
      <c r="AU108" s="231">
        <f t="shared" si="33"/>
        <v>0</v>
      </c>
      <c r="AV108" s="231">
        <f t="shared" si="33"/>
        <v>0</v>
      </c>
      <c r="AW108" s="231">
        <f t="shared" si="33"/>
        <v>0</v>
      </c>
      <c r="AX108" s="231">
        <f t="shared" si="33"/>
        <v>0</v>
      </c>
      <c r="AY108" s="231">
        <f t="shared" si="33"/>
        <v>0</v>
      </c>
      <c r="AZ108" s="231">
        <f t="shared" si="33"/>
        <v>0</v>
      </c>
      <c r="BA108" s="231">
        <f t="shared" si="33"/>
        <v>0</v>
      </c>
      <c r="BB108" s="231">
        <f t="shared" si="33"/>
        <v>0</v>
      </c>
      <c r="BC108" s="231">
        <f t="shared" si="33"/>
        <v>0</v>
      </c>
      <c r="BD108" s="231">
        <f t="shared" si="33"/>
        <v>0</v>
      </c>
      <c r="BE108" s="231">
        <f t="shared" si="33"/>
        <v>0</v>
      </c>
      <c r="BF108" s="231">
        <f t="shared" si="33"/>
        <v>0</v>
      </c>
      <c r="BG108" s="231">
        <f t="shared" si="33"/>
        <v>0</v>
      </c>
      <c r="BI108" s="238">
        <f>SUM(T108:BG108)</f>
        <v>-16112.513596239667</v>
      </c>
      <c r="BK108" s="333"/>
    </row>
    <row r="109" spans="2:63">
      <c r="C109" s="99">
        <f>AA!C14</f>
        <v>2</v>
      </c>
      <c r="E109" s="94" t="str">
        <f>INDEX(AA!$AC$13:$AC$15,MATCH($C109,AA!$C$13:$C$15,0))</f>
        <v>backup</v>
      </c>
      <c r="G109" s="1325">
        <f>INDEX(AA!$E$13:$E$15,MATCH($C109,AA!$C$13:$C$15,0))</f>
        <v>1</v>
      </c>
      <c r="I109" s="73" t="s">
        <v>418</v>
      </c>
      <c r="K109" s="336">
        <f>INDEX(AA!$BP$13:$BP$15,MATCH($C109,AA!$C$13:$C$15,0))</f>
        <v>0.3833333333333333</v>
      </c>
      <c r="T109" s="231">
        <f t="shared" ref="T109:BG109" si="34">-$K109*3*T45*T21*T$14</f>
        <v>0</v>
      </c>
      <c r="U109" s="231">
        <f t="shared" si="34"/>
        <v>-1161.4430679116392</v>
      </c>
      <c r="V109" s="231">
        <f t="shared" si="34"/>
        <v>-1167.2072303838565</v>
      </c>
      <c r="W109" s="231">
        <f t="shared" si="34"/>
        <v>-1173.0000000000002</v>
      </c>
      <c r="X109" s="231">
        <f t="shared" si="34"/>
        <v>-1178.8215187353683</v>
      </c>
      <c r="Y109" s="231">
        <f t="shared" si="34"/>
        <v>-1184.6719292698724</v>
      </c>
      <c r="Z109" s="231">
        <f t="shared" si="34"/>
        <v>-1190.5513749915342</v>
      </c>
      <c r="AA109" s="231">
        <f t="shared" si="34"/>
        <v>-1196.4600000000009</v>
      </c>
      <c r="AB109" s="231">
        <f t="shared" si="34"/>
        <v>-1202.3979491100763</v>
      </c>
      <c r="AC109" s="231">
        <f t="shared" si="34"/>
        <v>-1208.3653678552703</v>
      </c>
      <c r="AD109" s="231">
        <f t="shared" si="34"/>
        <v>-1214.3624024913652</v>
      </c>
      <c r="AE109" s="231">
        <f t="shared" si="34"/>
        <v>-1220.3892000000012</v>
      </c>
      <c r="AF109" s="231">
        <f t="shared" si="34"/>
        <v>0</v>
      </c>
      <c r="AG109" s="231">
        <f t="shared" si="34"/>
        <v>0</v>
      </c>
      <c r="AH109" s="231">
        <f t="shared" si="34"/>
        <v>0</v>
      </c>
      <c r="AI109" s="231">
        <f t="shared" si="34"/>
        <v>0</v>
      </c>
      <c r="AJ109" s="231">
        <f t="shared" si="34"/>
        <v>0</v>
      </c>
      <c r="AK109" s="231">
        <f t="shared" si="34"/>
        <v>0</v>
      </c>
      <c r="AL109" s="231">
        <f t="shared" si="34"/>
        <v>0</v>
      </c>
      <c r="AM109" s="231">
        <f t="shared" si="34"/>
        <v>0</v>
      </c>
      <c r="AN109" s="231">
        <f t="shared" si="34"/>
        <v>0</v>
      </c>
      <c r="AO109" s="231">
        <f t="shared" si="34"/>
        <v>0</v>
      </c>
      <c r="AP109" s="231">
        <f t="shared" si="34"/>
        <v>0</v>
      </c>
      <c r="AQ109" s="231">
        <f t="shared" si="34"/>
        <v>0</v>
      </c>
      <c r="AR109" s="231">
        <f t="shared" si="34"/>
        <v>0</v>
      </c>
      <c r="AS109" s="231">
        <f t="shared" si="34"/>
        <v>0</v>
      </c>
      <c r="AT109" s="231">
        <f t="shared" si="34"/>
        <v>0</v>
      </c>
      <c r="AU109" s="231">
        <f t="shared" si="34"/>
        <v>0</v>
      </c>
      <c r="AV109" s="231">
        <f t="shared" si="34"/>
        <v>0</v>
      </c>
      <c r="AW109" s="231">
        <f t="shared" si="34"/>
        <v>0</v>
      </c>
      <c r="AX109" s="231">
        <f t="shared" si="34"/>
        <v>0</v>
      </c>
      <c r="AY109" s="231">
        <f t="shared" si="34"/>
        <v>0</v>
      </c>
      <c r="AZ109" s="231">
        <f t="shared" si="34"/>
        <v>0</v>
      </c>
      <c r="BA109" s="231">
        <f t="shared" si="34"/>
        <v>0</v>
      </c>
      <c r="BB109" s="231">
        <f t="shared" si="34"/>
        <v>0</v>
      </c>
      <c r="BC109" s="231">
        <f t="shared" si="34"/>
        <v>0</v>
      </c>
      <c r="BD109" s="231">
        <f t="shared" si="34"/>
        <v>0</v>
      </c>
      <c r="BE109" s="231">
        <f t="shared" si="34"/>
        <v>0</v>
      </c>
      <c r="BF109" s="231">
        <f t="shared" si="34"/>
        <v>0</v>
      </c>
      <c r="BG109" s="231">
        <f t="shared" si="34"/>
        <v>0</v>
      </c>
      <c r="BI109" s="240">
        <f t="shared" ref="BI109" si="35">SUM(T109:BG109)</f>
        <v>-13097.670040748984</v>
      </c>
      <c r="BK109" s="334"/>
    </row>
    <row r="110" spans="2:63">
      <c r="C110" s="99">
        <f>AA!C15</f>
        <v>3</v>
      </c>
      <c r="E110" s="94" t="str">
        <f>INDEX(AA!$AC$13:$AC$15,MATCH($C110,AA!$C$13:$C$15,0))</f>
        <v>backup</v>
      </c>
      <c r="G110" s="1325">
        <f>INDEX(AA!$E$13:$E$15,MATCH($C110,AA!$C$13:$C$15,0))</f>
        <v>1</v>
      </c>
      <c r="I110" s="73" t="s">
        <v>418</v>
      </c>
      <c r="K110" s="336">
        <f>INDEX(AA!$BP$13:$BP$15,MATCH($C110,AA!$C$13:$C$15,0))</f>
        <v>0.1875</v>
      </c>
      <c r="T110" s="231">
        <f t="shared" ref="T110:BG110" si="36">-$K110*3*T46*T22*T$14</f>
        <v>0</v>
      </c>
      <c r="U110" s="231">
        <f t="shared" si="36"/>
        <v>0</v>
      </c>
      <c r="V110" s="231">
        <f t="shared" si="36"/>
        <v>-570.91658007906028</v>
      </c>
      <c r="W110" s="231">
        <f t="shared" si="36"/>
        <v>-573.75000000000011</v>
      </c>
      <c r="X110" s="231">
        <f t="shared" si="36"/>
        <v>-576.59748199012586</v>
      </c>
      <c r="Y110" s="231">
        <f t="shared" si="36"/>
        <v>-579.45909583852449</v>
      </c>
      <c r="Z110" s="231">
        <f t="shared" si="36"/>
        <v>-582.33491168064177</v>
      </c>
      <c r="AA110" s="231">
        <f t="shared" si="36"/>
        <v>-585.22500000000048</v>
      </c>
      <c r="AB110" s="231">
        <f t="shared" si="36"/>
        <v>-588.1294316299286</v>
      </c>
      <c r="AC110" s="231">
        <f t="shared" si="36"/>
        <v>-591.0482777552952</v>
      </c>
      <c r="AD110" s="231">
        <f t="shared" si="36"/>
        <v>-593.9816099142547</v>
      </c>
      <c r="AE110" s="231">
        <f t="shared" si="36"/>
        <v>-596.92950000000053</v>
      </c>
      <c r="AF110" s="231">
        <f t="shared" si="36"/>
        <v>0</v>
      </c>
      <c r="AG110" s="231">
        <f t="shared" si="36"/>
        <v>0</v>
      </c>
      <c r="AH110" s="231">
        <f t="shared" si="36"/>
        <v>0</v>
      </c>
      <c r="AI110" s="231">
        <f t="shared" si="36"/>
        <v>0</v>
      </c>
      <c r="AJ110" s="231">
        <f t="shared" si="36"/>
        <v>0</v>
      </c>
      <c r="AK110" s="231">
        <f t="shared" si="36"/>
        <v>0</v>
      </c>
      <c r="AL110" s="231">
        <f t="shared" si="36"/>
        <v>0</v>
      </c>
      <c r="AM110" s="231">
        <f t="shared" si="36"/>
        <v>0</v>
      </c>
      <c r="AN110" s="231">
        <f t="shared" si="36"/>
        <v>0</v>
      </c>
      <c r="AO110" s="231">
        <f t="shared" si="36"/>
        <v>0</v>
      </c>
      <c r="AP110" s="231">
        <f t="shared" si="36"/>
        <v>0</v>
      </c>
      <c r="AQ110" s="231">
        <f t="shared" si="36"/>
        <v>0</v>
      </c>
      <c r="AR110" s="231">
        <f t="shared" si="36"/>
        <v>0</v>
      </c>
      <c r="AS110" s="231">
        <f t="shared" si="36"/>
        <v>0</v>
      </c>
      <c r="AT110" s="231">
        <f t="shared" si="36"/>
        <v>0</v>
      </c>
      <c r="AU110" s="231">
        <f t="shared" si="36"/>
        <v>0</v>
      </c>
      <c r="AV110" s="231">
        <f t="shared" si="36"/>
        <v>0</v>
      </c>
      <c r="AW110" s="231">
        <f t="shared" si="36"/>
        <v>0</v>
      </c>
      <c r="AX110" s="231">
        <f t="shared" si="36"/>
        <v>0</v>
      </c>
      <c r="AY110" s="231">
        <f t="shared" si="36"/>
        <v>0</v>
      </c>
      <c r="AZ110" s="231">
        <f t="shared" si="36"/>
        <v>0</v>
      </c>
      <c r="BA110" s="231">
        <f t="shared" si="36"/>
        <v>0</v>
      </c>
      <c r="BB110" s="231">
        <f t="shared" si="36"/>
        <v>0</v>
      </c>
      <c r="BC110" s="231">
        <f t="shared" si="36"/>
        <v>0</v>
      </c>
      <c r="BD110" s="231">
        <f t="shared" si="36"/>
        <v>0</v>
      </c>
      <c r="BE110" s="231">
        <f t="shared" si="36"/>
        <v>0</v>
      </c>
      <c r="BF110" s="231">
        <f t="shared" si="36"/>
        <v>0</v>
      </c>
      <c r="BG110" s="231">
        <f t="shared" si="36"/>
        <v>0</v>
      </c>
      <c r="BI110" s="240">
        <f t="shared" ref="BI110" si="37">SUM(T110:BG110)</f>
        <v>-5838.3718888878311</v>
      </c>
      <c r="BK110" s="334"/>
    </row>
    <row r="111" spans="2:63">
      <c r="C111" s="269"/>
      <c r="E111" s="269"/>
      <c r="G111" s="269"/>
      <c r="I111" s="269"/>
      <c r="K111" s="269"/>
      <c r="BI111" s="269"/>
      <c r="BK111" s="269"/>
    </row>
    <row r="113" spans="2:63" s="90" customFormat="1">
      <c r="B113" s="91">
        <f ca="1">MAX(A$1:$B112)+1</f>
        <v>14</v>
      </c>
      <c r="C113" s="92" t="s">
        <v>420</v>
      </c>
    </row>
    <row r="115" spans="2:63" ht="30">
      <c r="C115" s="97" t="s">
        <v>4</v>
      </c>
      <c r="E115" s="97" t="s">
        <v>6</v>
      </c>
      <c r="G115" s="101" t="s">
        <v>272</v>
      </c>
      <c r="I115" s="101" t="s">
        <v>150</v>
      </c>
      <c r="K115" s="101" t="s">
        <v>421</v>
      </c>
      <c r="BI115" s="327" t="s">
        <v>152</v>
      </c>
      <c r="BK115" s="332"/>
    </row>
    <row r="116" spans="2:63">
      <c r="C116" s="99">
        <f>AA!C13</f>
        <v>1</v>
      </c>
      <c r="E116" s="93" t="str">
        <f>INDEX(AA!$AC$13:$AC$15,MATCH($C116,AA!$C$13:$C$15,0))</f>
        <v>backup</v>
      </c>
      <c r="G116" s="1324">
        <f>INDEX(AA!$E$13:$E$15,MATCH($C116,AA!$C$13:$C$15,0))</f>
        <v>1</v>
      </c>
      <c r="I116" s="72" t="s">
        <v>420</v>
      </c>
      <c r="K116" s="338">
        <f>INDEX(AA!$BV$13:$BV$15,MATCH($C116,AA!$C$13:$C$15,0))</f>
        <v>1.2E-2</v>
      </c>
      <c r="T116" s="231">
        <f t="shared" ref="T116:BG116" si="38">-$K116*(T76+T52)</f>
        <v>-300.56092485464785</v>
      </c>
      <c r="U116" s="231">
        <f t="shared" si="38"/>
        <v>-301.12289849827096</v>
      </c>
      <c r="V116" s="231">
        <f t="shared" si="38"/>
        <v>-301.68592289184193</v>
      </c>
      <c r="W116" s="231">
        <f t="shared" si="38"/>
        <v>-302.24999999999994</v>
      </c>
      <c r="X116" s="231">
        <f t="shared" si="38"/>
        <v>-302.81513179105769</v>
      </c>
      <c r="Y116" s="231">
        <f t="shared" si="38"/>
        <v>-303.38132023700791</v>
      </c>
      <c r="Z116" s="231">
        <f t="shared" si="38"/>
        <v>-303.94856731353065</v>
      </c>
      <c r="AA116" s="231">
        <f t="shared" si="38"/>
        <v>-304.51687499999986</v>
      </c>
      <c r="AB116" s="231">
        <f t="shared" si="38"/>
        <v>-305.08624527949053</v>
      </c>
      <c r="AC116" s="231">
        <f t="shared" si="38"/>
        <v>-305.65668013878536</v>
      </c>
      <c r="AD116" s="231">
        <f t="shared" si="38"/>
        <v>-306.22818156838201</v>
      </c>
      <c r="AE116" s="231">
        <f t="shared" si="38"/>
        <v>-306.80075156249973</v>
      </c>
      <c r="AF116" s="231">
        <f t="shared" si="38"/>
        <v>0</v>
      </c>
      <c r="AG116" s="231">
        <f t="shared" si="38"/>
        <v>0</v>
      </c>
      <c r="AH116" s="231">
        <f t="shared" si="38"/>
        <v>0</v>
      </c>
      <c r="AI116" s="231">
        <f t="shared" si="38"/>
        <v>0</v>
      </c>
      <c r="AJ116" s="231">
        <f t="shared" si="38"/>
        <v>0</v>
      </c>
      <c r="AK116" s="231">
        <f t="shared" si="38"/>
        <v>0</v>
      </c>
      <c r="AL116" s="231">
        <f t="shared" si="38"/>
        <v>0</v>
      </c>
      <c r="AM116" s="231">
        <f t="shared" si="38"/>
        <v>0</v>
      </c>
      <c r="AN116" s="231">
        <f t="shared" si="38"/>
        <v>0</v>
      </c>
      <c r="AO116" s="231">
        <f t="shared" si="38"/>
        <v>0</v>
      </c>
      <c r="AP116" s="231">
        <f t="shared" si="38"/>
        <v>0</v>
      </c>
      <c r="AQ116" s="231">
        <f t="shared" si="38"/>
        <v>0</v>
      </c>
      <c r="AR116" s="231">
        <f t="shared" si="38"/>
        <v>0</v>
      </c>
      <c r="AS116" s="231">
        <f t="shared" si="38"/>
        <v>0</v>
      </c>
      <c r="AT116" s="231">
        <f t="shared" si="38"/>
        <v>0</v>
      </c>
      <c r="AU116" s="231">
        <f t="shared" si="38"/>
        <v>0</v>
      </c>
      <c r="AV116" s="231">
        <f t="shared" si="38"/>
        <v>0</v>
      </c>
      <c r="AW116" s="231">
        <f t="shared" si="38"/>
        <v>0</v>
      </c>
      <c r="AX116" s="231">
        <f t="shared" si="38"/>
        <v>0</v>
      </c>
      <c r="AY116" s="231">
        <f t="shared" si="38"/>
        <v>0</v>
      </c>
      <c r="AZ116" s="231">
        <f t="shared" si="38"/>
        <v>0</v>
      </c>
      <c r="BA116" s="231">
        <f t="shared" si="38"/>
        <v>0</v>
      </c>
      <c r="BB116" s="231">
        <f t="shared" si="38"/>
        <v>0</v>
      </c>
      <c r="BC116" s="231">
        <f t="shared" si="38"/>
        <v>0</v>
      </c>
      <c r="BD116" s="231">
        <f t="shared" si="38"/>
        <v>0</v>
      </c>
      <c r="BE116" s="231">
        <f t="shared" si="38"/>
        <v>0</v>
      </c>
      <c r="BF116" s="231">
        <f t="shared" si="38"/>
        <v>0</v>
      </c>
      <c r="BG116" s="231">
        <f t="shared" si="38"/>
        <v>0</v>
      </c>
      <c r="BI116" s="238">
        <f>SUM(T116:BG116)</f>
        <v>-3644.0534991355144</v>
      </c>
      <c r="BK116" s="333"/>
    </row>
    <row r="117" spans="2:63">
      <c r="C117" s="99">
        <f>AA!C14</f>
        <v>2</v>
      </c>
      <c r="E117" s="94" t="str">
        <f>INDEX(AA!$AC$13:$AC$15,MATCH($C117,AA!$C$13:$C$15,0))</f>
        <v>backup</v>
      </c>
      <c r="G117" s="1325">
        <f>INDEX(AA!$E$13:$E$15,MATCH($C117,AA!$C$13:$C$15,0))</f>
        <v>1</v>
      </c>
      <c r="I117" s="73" t="s">
        <v>420</v>
      </c>
      <c r="K117" s="339">
        <f>INDEX(AA!$BV$13:$BV$15,MATCH($C117,AA!$C$13:$C$15,0))</f>
        <v>1.2E-2</v>
      </c>
      <c r="T117" s="231">
        <f t="shared" ref="T117:BG117" si="39">-$K117*(T77+T53)</f>
        <v>0</v>
      </c>
      <c r="U117" s="231">
        <f t="shared" si="39"/>
        <v>-301.12289849827096</v>
      </c>
      <c r="V117" s="231">
        <f t="shared" si="39"/>
        <v>-301.68592289184193</v>
      </c>
      <c r="W117" s="231">
        <f t="shared" si="39"/>
        <v>-302.24999999999994</v>
      </c>
      <c r="X117" s="231">
        <f t="shared" si="39"/>
        <v>-302.81513179105769</v>
      </c>
      <c r="Y117" s="231">
        <f t="shared" si="39"/>
        <v>-303.38132023700791</v>
      </c>
      <c r="Z117" s="231">
        <f t="shared" si="39"/>
        <v>-303.94856731353065</v>
      </c>
      <c r="AA117" s="231">
        <f t="shared" si="39"/>
        <v>-304.51687499999986</v>
      </c>
      <c r="AB117" s="231">
        <f t="shared" si="39"/>
        <v>-305.08624527949053</v>
      </c>
      <c r="AC117" s="231">
        <f t="shared" si="39"/>
        <v>-305.65668013878536</v>
      </c>
      <c r="AD117" s="231">
        <f t="shared" si="39"/>
        <v>-306.22818156838201</v>
      </c>
      <c r="AE117" s="231">
        <f t="shared" si="39"/>
        <v>-306.80075156249973</v>
      </c>
      <c r="AF117" s="231">
        <f t="shared" si="39"/>
        <v>0</v>
      </c>
      <c r="AG117" s="231">
        <f t="shared" si="39"/>
        <v>0</v>
      </c>
      <c r="AH117" s="231">
        <f t="shared" si="39"/>
        <v>0</v>
      </c>
      <c r="AI117" s="231">
        <f t="shared" si="39"/>
        <v>0</v>
      </c>
      <c r="AJ117" s="231">
        <f t="shared" si="39"/>
        <v>0</v>
      </c>
      <c r="AK117" s="231">
        <f t="shared" si="39"/>
        <v>0</v>
      </c>
      <c r="AL117" s="231">
        <f t="shared" si="39"/>
        <v>0</v>
      </c>
      <c r="AM117" s="231">
        <f t="shared" si="39"/>
        <v>0</v>
      </c>
      <c r="AN117" s="231">
        <f t="shared" si="39"/>
        <v>0</v>
      </c>
      <c r="AO117" s="231">
        <f t="shared" si="39"/>
        <v>0</v>
      </c>
      <c r="AP117" s="231">
        <f t="shared" si="39"/>
        <v>0</v>
      </c>
      <c r="AQ117" s="231">
        <f t="shared" si="39"/>
        <v>0</v>
      </c>
      <c r="AR117" s="231">
        <f t="shared" si="39"/>
        <v>0</v>
      </c>
      <c r="AS117" s="231">
        <f t="shared" si="39"/>
        <v>0</v>
      </c>
      <c r="AT117" s="231">
        <f t="shared" si="39"/>
        <v>0</v>
      </c>
      <c r="AU117" s="231">
        <f t="shared" si="39"/>
        <v>0</v>
      </c>
      <c r="AV117" s="231">
        <f t="shared" si="39"/>
        <v>0</v>
      </c>
      <c r="AW117" s="231">
        <f t="shared" si="39"/>
        <v>0</v>
      </c>
      <c r="AX117" s="231">
        <f t="shared" si="39"/>
        <v>0</v>
      </c>
      <c r="AY117" s="231">
        <f t="shared" si="39"/>
        <v>0</v>
      </c>
      <c r="AZ117" s="231">
        <f t="shared" si="39"/>
        <v>0</v>
      </c>
      <c r="BA117" s="231">
        <f t="shared" si="39"/>
        <v>0</v>
      </c>
      <c r="BB117" s="231">
        <f t="shared" si="39"/>
        <v>0</v>
      </c>
      <c r="BC117" s="231">
        <f t="shared" si="39"/>
        <v>0</v>
      </c>
      <c r="BD117" s="231">
        <f t="shared" si="39"/>
        <v>0</v>
      </c>
      <c r="BE117" s="231">
        <f t="shared" si="39"/>
        <v>0</v>
      </c>
      <c r="BF117" s="231">
        <f t="shared" si="39"/>
        <v>0</v>
      </c>
      <c r="BG117" s="231">
        <f t="shared" si="39"/>
        <v>0</v>
      </c>
      <c r="BI117" s="240">
        <f t="shared" ref="BI117" si="40">SUM(T117:BG117)</f>
        <v>-3343.4925742808664</v>
      </c>
      <c r="BK117" s="334"/>
    </row>
    <row r="118" spans="2:63">
      <c r="C118" s="99">
        <f>AA!C15</f>
        <v>3</v>
      </c>
      <c r="E118" s="94" t="str">
        <f>INDEX(AA!$AC$13:$AC$15,MATCH($C118,AA!$C$13:$C$15,0))</f>
        <v>backup</v>
      </c>
      <c r="G118" s="1325">
        <f>INDEX(AA!$E$13:$E$15,MATCH($C118,AA!$C$13:$C$15,0))</f>
        <v>1</v>
      </c>
      <c r="I118" s="73" t="s">
        <v>420</v>
      </c>
      <c r="K118" s="339">
        <f>INDEX(AA!$BV$13:$BV$15,MATCH($C118,AA!$C$13:$C$15,0))</f>
        <v>1.7999999999999999E-2</v>
      </c>
      <c r="T118" s="231">
        <f t="shared" ref="T118:BG118" si="41">-$K118*(T78+T54)</f>
        <v>0</v>
      </c>
      <c r="U118" s="231">
        <f t="shared" si="41"/>
        <v>0</v>
      </c>
      <c r="V118" s="231">
        <f t="shared" si="41"/>
        <v>-452.52888433776286</v>
      </c>
      <c r="W118" s="231">
        <f t="shared" si="41"/>
        <v>-453.37499999999989</v>
      </c>
      <c r="X118" s="231">
        <f t="shared" si="41"/>
        <v>-454.22269768658646</v>
      </c>
      <c r="Y118" s="231">
        <f t="shared" si="41"/>
        <v>-455.07198035551181</v>
      </c>
      <c r="Z118" s="231">
        <f t="shared" si="41"/>
        <v>-455.92285097029588</v>
      </c>
      <c r="AA118" s="231">
        <f t="shared" si="41"/>
        <v>-456.77531249999976</v>
      </c>
      <c r="AB118" s="231">
        <f t="shared" si="41"/>
        <v>-457.62936791923573</v>
      </c>
      <c r="AC118" s="231">
        <f t="shared" si="41"/>
        <v>-458.48502020817801</v>
      </c>
      <c r="AD118" s="231">
        <f t="shared" si="41"/>
        <v>-459.34227235257299</v>
      </c>
      <c r="AE118" s="231">
        <f t="shared" si="41"/>
        <v>-460.20112734374959</v>
      </c>
      <c r="AF118" s="231">
        <f t="shared" si="41"/>
        <v>0</v>
      </c>
      <c r="AG118" s="231">
        <f t="shared" si="41"/>
        <v>0</v>
      </c>
      <c r="AH118" s="231">
        <f t="shared" si="41"/>
        <v>0</v>
      </c>
      <c r="AI118" s="231">
        <f t="shared" si="41"/>
        <v>0</v>
      </c>
      <c r="AJ118" s="231">
        <f t="shared" si="41"/>
        <v>0</v>
      </c>
      <c r="AK118" s="231">
        <f t="shared" si="41"/>
        <v>0</v>
      </c>
      <c r="AL118" s="231">
        <f t="shared" si="41"/>
        <v>0</v>
      </c>
      <c r="AM118" s="231">
        <f t="shared" si="41"/>
        <v>0</v>
      </c>
      <c r="AN118" s="231">
        <f t="shared" si="41"/>
        <v>0</v>
      </c>
      <c r="AO118" s="231">
        <f t="shared" si="41"/>
        <v>0</v>
      </c>
      <c r="AP118" s="231">
        <f t="shared" si="41"/>
        <v>0</v>
      </c>
      <c r="AQ118" s="231">
        <f t="shared" si="41"/>
        <v>0</v>
      </c>
      <c r="AR118" s="231">
        <f t="shared" si="41"/>
        <v>0</v>
      </c>
      <c r="AS118" s="231">
        <f t="shared" si="41"/>
        <v>0</v>
      </c>
      <c r="AT118" s="231">
        <f t="shared" si="41"/>
        <v>0</v>
      </c>
      <c r="AU118" s="231">
        <f t="shared" si="41"/>
        <v>0</v>
      </c>
      <c r="AV118" s="231">
        <f t="shared" si="41"/>
        <v>0</v>
      </c>
      <c r="AW118" s="231">
        <f t="shared" si="41"/>
        <v>0</v>
      </c>
      <c r="AX118" s="231">
        <f t="shared" si="41"/>
        <v>0</v>
      </c>
      <c r="AY118" s="231">
        <f t="shared" si="41"/>
        <v>0</v>
      </c>
      <c r="AZ118" s="231">
        <f t="shared" si="41"/>
        <v>0</v>
      </c>
      <c r="BA118" s="231">
        <f t="shared" si="41"/>
        <v>0</v>
      </c>
      <c r="BB118" s="231">
        <f t="shared" si="41"/>
        <v>0</v>
      </c>
      <c r="BC118" s="231">
        <f t="shared" si="41"/>
        <v>0</v>
      </c>
      <c r="BD118" s="231">
        <f t="shared" si="41"/>
        <v>0</v>
      </c>
      <c r="BE118" s="231">
        <f t="shared" si="41"/>
        <v>0</v>
      </c>
      <c r="BF118" s="231">
        <f t="shared" si="41"/>
        <v>0</v>
      </c>
      <c r="BG118" s="231">
        <f t="shared" si="41"/>
        <v>0</v>
      </c>
      <c r="BI118" s="240">
        <f t="shared" ref="BI118" si="42">SUM(T118:BG118)</f>
        <v>-4563.5545136738929</v>
      </c>
      <c r="BK118" s="334"/>
    </row>
    <row r="119" spans="2:63">
      <c r="C119" s="269"/>
      <c r="E119" s="269"/>
      <c r="G119" s="269"/>
      <c r="I119" s="269"/>
      <c r="K119" s="269"/>
      <c r="BI119" s="269"/>
      <c r="BK119" s="269"/>
    </row>
    <row r="121" spans="2:63" s="90" customFormat="1">
      <c r="B121" s="91">
        <f ca="1">MAX(A$1:$B120)+1</f>
        <v>15</v>
      </c>
      <c r="C121" s="92" t="s">
        <v>422</v>
      </c>
    </row>
    <row r="123" spans="2:63" ht="30">
      <c r="C123" s="97" t="s">
        <v>4</v>
      </c>
      <c r="E123" s="97" t="s">
        <v>6</v>
      </c>
      <c r="G123" s="101" t="s">
        <v>272</v>
      </c>
      <c r="I123" s="101" t="s">
        <v>150</v>
      </c>
      <c r="K123" s="101" t="s">
        <v>433</v>
      </c>
      <c r="BI123" s="327" t="s">
        <v>152</v>
      </c>
      <c r="BK123" s="328" t="s">
        <v>434</v>
      </c>
    </row>
    <row r="124" spans="2:63">
      <c r="C124" s="99">
        <f>AA!C13</f>
        <v>1</v>
      </c>
      <c r="E124" s="93" t="str">
        <f>INDEX(AA!$AC$13:$AC$15,MATCH($C124,AA!$C$13:$C$15,0))</f>
        <v>backup</v>
      </c>
      <c r="G124" s="1324">
        <f>INDEX(AA!$E$13:$E$15,MATCH($C124,AA!$C$13:$C$15,0))</f>
        <v>1</v>
      </c>
      <c r="I124" s="72" t="s">
        <v>424</v>
      </c>
      <c r="K124" s="1324">
        <f>INDEX(AA!$EV$13:$EV$15,MATCH($C124,AA!$C$13:$C$15,0))</f>
        <v>0</v>
      </c>
      <c r="T124" s="231">
        <f t="shared" ref="T124:BG124" si="43">-$K124/4*T$14*T20</f>
        <v>0</v>
      </c>
      <c r="U124" s="231">
        <f t="shared" si="43"/>
        <v>0</v>
      </c>
      <c r="V124" s="231">
        <f t="shared" si="43"/>
        <v>0</v>
      </c>
      <c r="W124" s="231">
        <f t="shared" si="43"/>
        <v>0</v>
      </c>
      <c r="X124" s="231">
        <f t="shared" si="43"/>
        <v>0</v>
      </c>
      <c r="Y124" s="231">
        <f t="shared" si="43"/>
        <v>0</v>
      </c>
      <c r="Z124" s="231">
        <f t="shared" si="43"/>
        <v>0</v>
      </c>
      <c r="AA124" s="231">
        <f t="shared" si="43"/>
        <v>0</v>
      </c>
      <c r="AB124" s="231">
        <f t="shared" si="43"/>
        <v>0</v>
      </c>
      <c r="AC124" s="231">
        <f t="shared" si="43"/>
        <v>0</v>
      </c>
      <c r="AD124" s="231">
        <f t="shared" si="43"/>
        <v>0</v>
      </c>
      <c r="AE124" s="231">
        <f t="shared" si="43"/>
        <v>0</v>
      </c>
      <c r="AF124" s="231">
        <f t="shared" si="43"/>
        <v>0</v>
      </c>
      <c r="AG124" s="231">
        <f t="shared" si="43"/>
        <v>0</v>
      </c>
      <c r="AH124" s="231">
        <f t="shared" si="43"/>
        <v>0</v>
      </c>
      <c r="AI124" s="231">
        <f t="shared" si="43"/>
        <v>0</v>
      </c>
      <c r="AJ124" s="231">
        <f t="shared" si="43"/>
        <v>0</v>
      </c>
      <c r="AK124" s="231">
        <f t="shared" si="43"/>
        <v>0</v>
      </c>
      <c r="AL124" s="231">
        <f t="shared" si="43"/>
        <v>0</v>
      </c>
      <c r="AM124" s="231">
        <f t="shared" si="43"/>
        <v>0</v>
      </c>
      <c r="AN124" s="231">
        <f t="shared" si="43"/>
        <v>0</v>
      </c>
      <c r="AO124" s="231">
        <f t="shared" si="43"/>
        <v>0</v>
      </c>
      <c r="AP124" s="231">
        <f t="shared" si="43"/>
        <v>0</v>
      </c>
      <c r="AQ124" s="231">
        <f t="shared" si="43"/>
        <v>0</v>
      </c>
      <c r="AR124" s="231">
        <f t="shared" si="43"/>
        <v>0</v>
      </c>
      <c r="AS124" s="231">
        <f t="shared" si="43"/>
        <v>0</v>
      </c>
      <c r="AT124" s="231">
        <f t="shared" si="43"/>
        <v>0</v>
      </c>
      <c r="AU124" s="231">
        <f t="shared" si="43"/>
        <v>0</v>
      </c>
      <c r="AV124" s="231">
        <f t="shared" si="43"/>
        <v>0</v>
      </c>
      <c r="AW124" s="231">
        <f t="shared" si="43"/>
        <v>0</v>
      </c>
      <c r="AX124" s="231">
        <f t="shared" si="43"/>
        <v>0</v>
      </c>
      <c r="AY124" s="231">
        <f t="shared" si="43"/>
        <v>0</v>
      </c>
      <c r="AZ124" s="231">
        <f t="shared" si="43"/>
        <v>0</v>
      </c>
      <c r="BA124" s="231">
        <f t="shared" si="43"/>
        <v>0</v>
      </c>
      <c r="BB124" s="231">
        <f t="shared" si="43"/>
        <v>0</v>
      </c>
      <c r="BC124" s="231">
        <f t="shared" si="43"/>
        <v>0</v>
      </c>
      <c r="BD124" s="231">
        <f t="shared" si="43"/>
        <v>0</v>
      </c>
      <c r="BE124" s="231">
        <f t="shared" si="43"/>
        <v>0</v>
      </c>
      <c r="BF124" s="231">
        <f t="shared" si="43"/>
        <v>0</v>
      </c>
      <c r="BG124" s="231">
        <f t="shared" si="43"/>
        <v>0</v>
      </c>
      <c r="BI124" s="238">
        <f>SUM(T124:BG124)</f>
        <v>0</v>
      </c>
      <c r="BK124" s="320">
        <f>SUMPRODUCT(T124:BG124,T28:BG28)*4</f>
        <v>0</v>
      </c>
    </row>
    <row r="125" spans="2:63">
      <c r="C125" s="99">
        <f>AA!C14</f>
        <v>2</v>
      </c>
      <c r="E125" s="94" t="str">
        <f>INDEX(AA!$AC$13:$AC$15,MATCH($C125,AA!$C$13:$C$15,0))</f>
        <v>backup</v>
      </c>
      <c r="G125" s="1325">
        <f>INDEX(AA!$E$13:$E$15,MATCH($C125,AA!$C$13:$C$15,0))</f>
        <v>1</v>
      </c>
      <c r="I125" s="73" t="s">
        <v>424</v>
      </c>
      <c r="K125" s="1325">
        <f>INDEX(AA!$EV$13:$EV$15,MATCH($C125,AA!$C$13:$C$15,0))</f>
        <v>0</v>
      </c>
      <c r="T125" s="231">
        <f t="shared" ref="T125:BG125" si="44">-$K125/4*T$14*T21</f>
        <v>0</v>
      </c>
      <c r="U125" s="231">
        <f t="shared" si="44"/>
        <v>0</v>
      </c>
      <c r="V125" s="231">
        <f t="shared" si="44"/>
        <v>0</v>
      </c>
      <c r="W125" s="231">
        <f t="shared" si="44"/>
        <v>0</v>
      </c>
      <c r="X125" s="231">
        <f t="shared" si="44"/>
        <v>0</v>
      </c>
      <c r="Y125" s="231">
        <f t="shared" si="44"/>
        <v>0</v>
      </c>
      <c r="Z125" s="231">
        <f t="shared" si="44"/>
        <v>0</v>
      </c>
      <c r="AA125" s="231">
        <f t="shared" si="44"/>
        <v>0</v>
      </c>
      <c r="AB125" s="231">
        <f t="shared" si="44"/>
        <v>0</v>
      </c>
      <c r="AC125" s="231">
        <f t="shared" si="44"/>
        <v>0</v>
      </c>
      <c r="AD125" s="231">
        <f t="shared" si="44"/>
        <v>0</v>
      </c>
      <c r="AE125" s="231">
        <f t="shared" si="44"/>
        <v>0</v>
      </c>
      <c r="AF125" s="231">
        <f t="shared" si="44"/>
        <v>0</v>
      </c>
      <c r="AG125" s="231">
        <f t="shared" si="44"/>
        <v>0</v>
      </c>
      <c r="AH125" s="231">
        <f t="shared" si="44"/>
        <v>0</v>
      </c>
      <c r="AI125" s="231">
        <f t="shared" si="44"/>
        <v>0</v>
      </c>
      <c r="AJ125" s="231">
        <f t="shared" si="44"/>
        <v>0</v>
      </c>
      <c r="AK125" s="231">
        <f t="shared" si="44"/>
        <v>0</v>
      </c>
      <c r="AL125" s="231">
        <f t="shared" si="44"/>
        <v>0</v>
      </c>
      <c r="AM125" s="231">
        <f t="shared" si="44"/>
        <v>0</v>
      </c>
      <c r="AN125" s="231">
        <f t="shared" si="44"/>
        <v>0</v>
      </c>
      <c r="AO125" s="231">
        <f t="shared" si="44"/>
        <v>0</v>
      </c>
      <c r="AP125" s="231">
        <f t="shared" si="44"/>
        <v>0</v>
      </c>
      <c r="AQ125" s="231">
        <f t="shared" si="44"/>
        <v>0</v>
      </c>
      <c r="AR125" s="231">
        <f t="shared" si="44"/>
        <v>0</v>
      </c>
      <c r="AS125" s="231">
        <f t="shared" si="44"/>
        <v>0</v>
      </c>
      <c r="AT125" s="231">
        <f t="shared" si="44"/>
        <v>0</v>
      </c>
      <c r="AU125" s="231">
        <f t="shared" si="44"/>
        <v>0</v>
      </c>
      <c r="AV125" s="231">
        <f t="shared" si="44"/>
        <v>0</v>
      </c>
      <c r="AW125" s="231">
        <f t="shared" si="44"/>
        <v>0</v>
      </c>
      <c r="AX125" s="231">
        <f t="shared" si="44"/>
        <v>0</v>
      </c>
      <c r="AY125" s="231">
        <f t="shared" si="44"/>
        <v>0</v>
      </c>
      <c r="AZ125" s="231">
        <f t="shared" si="44"/>
        <v>0</v>
      </c>
      <c r="BA125" s="231">
        <f t="shared" si="44"/>
        <v>0</v>
      </c>
      <c r="BB125" s="231">
        <f t="shared" si="44"/>
        <v>0</v>
      </c>
      <c r="BC125" s="231">
        <f t="shared" si="44"/>
        <v>0</v>
      </c>
      <c r="BD125" s="231">
        <f t="shared" si="44"/>
        <v>0</v>
      </c>
      <c r="BE125" s="231">
        <f t="shared" si="44"/>
        <v>0</v>
      </c>
      <c r="BF125" s="231">
        <f t="shared" si="44"/>
        <v>0</v>
      </c>
      <c r="BG125" s="231">
        <f t="shared" si="44"/>
        <v>0</v>
      </c>
      <c r="BI125" s="240">
        <f t="shared" ref="BI125" si="45">SUM(T125:BG125)</f>
        <v>0</v>
      </c>
      <c r="BK125" s="321">
        <f>SUMPRODUCT(T125:BG125,T29:BG29)*4</f>
        <v>0</v>
      </c>
    </row>
    <row r="126" spans="2:63">
      <c r="C126" s="99">
        <f>AA!C15</f>
        <v>3</v>
      </c>
      <c r="E126" s="94" t="str">
        <f>INDEX(AA!$AC$13:$AC$15,MATCH($C126,AA!$C$13:$C$15,0))</f>
        <v>backup</v>
      </c>
      <c r="G126" s="1325">
        <f>INDEX(AA!$E$13:$E$15,MATCH($C126,AA!$C$13:$C$15,0))</f>
        <v>1</v>
      </c>
      <c r="I126" s="73" t="s">
        <v>424</v>
      </c>
      <c r="K126" s="1325">
        <f>INDEX(AA!$EV$13:$EV$15,MATCH($C126,AA!$C$13:$C$15,0))</f>
        <v>0</v>
      </c>
      <c r="T126" s="231">
        <f t="shared" ref="T126:BG126" si="46">-$K126/4*T$14*T22</f>
        <v>0</v>
      </c>
      <c r="U126" s="231">
        <f t="shared" si="46"/>
        <v>0</v>
      </c>
      <c r="V126" s="231">
        <f t="shared" si="46"/>
        <v>0</v>
      </c>
      <c r="W126" s="231">
        <f t="shared" si="46"/>
        <v>0</v>
      </c>
      <c r="X126" s="231">
        <f t="shared" si="46"/>
        <v>0</v>
      </c>
      <c r="Y126" s="231">
        <f t="shared" si="46"/>
        <v>0</v>
      </c>
      <c r="Z126" s="231">
        <f t="shared" si="46"/>
        <v>0</v>
      </c>
      <c r="AA126" s="231">
        <f t="shared" si="46"/>
        <v>0</v>
      </c>
      <c r="AB126" s="231">
        <f t="shared" si="46"/>
        <v>0</v>
      </c>
      <c r="AC126" s="231">
        <f t="shared" si="46"/>
        <v>0</v>
      </c>
      <c r="AD126" s="231">
        <f t="shared" si="46"/>
        <v>0</v>
      </c>
      <c r="AE126" s="231">
        <f t="shared" si="46"/>
        <v>0</v>
      </c>
      <c r="AF126" s="231">
        <f t="shared" si="46"/>
        <v>0</v>
      </c>
      <c r="AG126" s="231">
        <f t="shared" si="46"/>
        <v>0</v>
      </c>
      <c r="AH126" s="231">
        <f t="shared" si="46"/>
        <v>0</v>
      </c>
      <c r="AI126" s="231">
        <f t="shared" si="46"/>
        <v>0</v>
      </c>
      <c r="AJ126" s="231">
        <f t="shared" si="46"/>
        <v>0</v>
      </c>
      <c r="AK126" s="231">
        <f t="shared" si="46"/>
        <v>0</v>
      </c>
      <c r="AL126" s="231">
        <f t="shared" si="46"/>
        <v>0</v>
      </c>
      <c r="AM126" s="231">
        <f t="shared" si="46"/>
        <v>0</v>
      </c>
      <c r="AN126" s="231">
        <f t="shared" si="46"/>
        <v>0</v>
      </c>
      <c r="AO126" s="231">
        <f t="shared" si="46"/>
        <v>0</v>
      </c>
      <c r="AP126" s="231">
        <f t="shared" si="46"/>
        <v>0</v>
      </c>
      <c r="AQ126" s="231">
        <f t="shared" si="46"/>
        <v>0</v>
      </c>
      <c r="AR126" s="231">
        <f t="shared" si="46"/>
        <v>0</v>
      </c>
      <c r="AS126" s="231">
        <f t="shared" si="46"/>
        <v>0</v>
      </c>
      <c r="AT126" s="231">
        <f t="shared" si="46"/>
        <v>0</v>
      </c>
      <c r="AU126" s="231">
        <f t="shared" si="46"/>
        <v>0</v>
      </c>
      <c r="AV126" s="231">
        <f t="shared" si="46"/>
        <v>0</v>
      </c>
      <c r="AW126" s="231">
        <f t="shared" si="46"/>
        <v>0</v>
      </c>
      <c r="AX126" s="231">
        <f t="shared" si="46"/>
        <v>0</v>
      </c>
      <c r="AY126" s="231">
        <f t="shared" si="46"/>
        <v>0</v>
      </c>
      <c r="AZ126" s="231">
        <f t="shared" si="46"/>
        <v>0</v>
      </c>
      <c r="BA126" s="231">
        <f t="shared" si="46"/>
        <v>0</v>
      </c>
      <c r="BB126" s="231">
        <f t="shared" si="46"/>
        <v>0</v>
      </c>
      <c r="BC126" s="231">
        <f t="shared" si="46"/>
        <v>0</v>
      </c>
      <c r="BD126" s="231">
        <f t="shared" si="46"/>
        <v>0</v>
      </c>
      <c r="BE126" s="231">
        <f t="shared" si="46"/>
        <v>0</v>
      </c>
      <c r="BF126" s="231">
        <f t="shared" si="46"/>
        <v>0</v>
      </c>
      <c r="BG126" s="231">
        <f t="shared" si="46"/>
        <v>0</v>
      </c>
      <c r="BI126" s="240">
        <f t="shared" ref="BI126" si="47">SUM(T126:BG126)</f>
        <v>0</v>
      </c>
      <c r="BK126" s="321">
        <f>SUMPRODUCT(T126:BG126,T30:BG30)*4</f>
        <v>0</v>
      </c>
    </row>
    <row r="127" spans="2:63">
      <c r="C127" s="269"/>
      <c r="E127" s="269"/>
      <c r="G127" s="269"/>
      <c r="I127" s="269"/>
      <c r="K127" s="269"/>
      <c r="BI127" s="269"/>
      <c r="BK127" s="269"/>
    </row>
    <row r="129" spans="2:66" s="90" customFormat="1">
      <c r="B129" s="91">
        <f ca="1">MAX(A$1:$B128)+1</f>
        <v>16</v>
      </c>
      <c r="C129" s="92" t="s">
        <v>435</v>
      </c>
    </row>
    <row r="131" spans="2:66" ht="30">
      <c r="C131" s="97" t="s">
        <v>4</v>
      </c>
      <c r="E131" s="97" t="s">
        <v>6</v>
      </c>
      <c r="G131" s="101" t="s">
        <v>272</v>
      </c>
      <c r="I131" s="101" t="s">
        <v>150</v>
      </c>
      <c r="BI131" s="327" t="s">
        <v>152</v>
      </c>
      <c r="BK131" s="328" t="s">
        <v>436</v>
      </c>
    </row>
    <row r="132" spans="2:66">
      <c r="C132" s="99">
        <f>AA!C13</f>
        <v>1</v>
      </c>
      <c r="E132" s="93" t="str">
        <f>INDEX(AA!$AC$13:$AC$15,MATCH($C132,AA!$C$13:$C$15,0))</f>
        <v>backup</v>
      </c>
      <c r="G132" s="1324">
        <f>INDEX(AA!$E$13:$E$15,MATCH($C132,AA!$C$13:$C$15,0))</f>
        <v>1</v>
      </c>
      <c r="I132" s="72" t="s">
        <v>435</v>
      </c>
      <c r="T132" s="310">
        <f t="shared" ref="T132:BG132" si="48">T52+T68+T76+T84+T92+T100+T108+T116+T124</f>
        <v>23139.170077132865</v>
      </c>
      <c r="U132" s="310">
        <f t="shared" si="48"/>
        <v>23178.393435872302</v>
      </c>
      <c r="V132" s="310">
        <f t="shared" si="48"/>
        <v>23217.670076798207</v>
      </c>
      <c r="W132" s="310">
        <f t="shared" si="48"/>
        <v>23256.999999999996</v>
      </c>
      <c r="X132" s="310">
        <f t="shared" si="48"/>
        <v>23296.383205073293</v>
      </c>
      <c r="Y132" s="310">
        <f t="shared" si="48"/>
        <v>23335.819691116496</v>
      </c>
      <c r="Z132" s="310">
        <f t="shared" si="48"/>
        <v>23375.309456727449</v>
      </c>
      <c r="AA132" s="310">
        <f t="shared" si="48"/>
        <v>23414.852499999986</v>
      </c>
      <c r="AB132" s="310">
        <f t="shared" si="48"/>
        <v>23454.448818520508</v>
      </c>
      <c r="AC132" s="310">
        <f t="shared" si="48"/>
        <v>23494.098409364527</v>
      </c>
      <c r="AD132" s="310">
        <f t="shared" si="48"/>
        <v>23533.801269093237</v>
      </c>
      <c r="AE132" s="310">
        <f t="shared" si="48"/>
        <v>23573.557393749979</v>
      </c>
      <c r="AF132" s="310">
        <f t="shared" si="48"/>
        <v>0</v>
      </c>
      <c r="AG132" s="310">
        <f t="shared" si="48"/>
        <v>0</v>
      </c>
      <c r="AH132" s="310">
        <f t="shared" si="48"/>
        <v>0</v>
      </c>
      <c r="AI132" s="310">
        <f t="shared" si="48"/>
        <v>0</v>
      </c>
      <c r="AJ132" s="310">
        <f t="shared" si="48"/>
        <v>0</v>
      </c>
      <c r="AK132" s="310">
        <f t="shared" si="48"/>
        <v>0</v>
      </c>
      <c r="AL132" s="310">
        <f t="shared" si="48"/>
        <v>0</v>
      </c>
      <c r="AM132" s="310">
        <f t="shared" si="48"/>
        <v>0</v>
      </c>
      <c r="AN132" s="310">
        <f t="shared" si="48"/>
        <v>0</v>
      </c>
      <c r="AO132" s="310">
        <f t="shared" si="48"/>
        <v>0</v>
      </c>
      <c r="AP132" s="310">
        <f t="shared" si="48"/>
        <v>0</v>
      </c>
      <c r="AQ132" s="310">
        <f t="shared" si="48"/>
        <v>0</v>
      </c>
      <c r="AR132" s="310">
        <f t="shared" si="48"/>
        <v>0</v>
      </c>
      <c r="AS132" s="310">
        <f t="shared" si="48"/>
        <v>0</v>
      </c>
      <c r="AT132" s="310">
        <f t="shared" si="48"/>
        <v>0</v>
      </c>
      <c r="AU132" s="310">
        <f t="shared" si="48"/>
        <v>0</v>
      </c>
      <c r="AV132" s="310">
        <f t="shared" si="48"/>
        <v>0</v>
      </c>
      <c r="AW132" s="310">
        <f t="shared" si="48"/>
        <v>0</v>
      </c>
      <c r="AX132" s="310">
        <f t="shared" si="48"/>
        <v>0</v>
      </c>
      <c r="AY132" s="310">
        <f t="shared" si="48"/>
        <v>0</v>
      </c>
      <c r="AZ132" s="310">
        <f t="shared" si="48"/>
        <v>0</v>
      </c>
      <c r="BA132" s="310">
        <f t="shared" si="48"/>
        <v>0</v>
      </c>
      <c r="BB132" s="310">
        <f t="shared" si="48"/>
        <v>0</v>
      </c>
      <c r="BC132" s="310">
        <f t="shared" si="48"/>
        <v>0</v>
      </c>
      <c r="BD132" s="310">
        <f t="shared" si="48"/>
        <v>0</v>
      </c>
      <c r="BE132" s="310">
        <f t="shared" si="48"/>
        <v>0</v>
      </c>
      <c r="BF132" s="310">
        <f t="shared" si="48"/>
        <v>0</v>
      </c>
      <c r="BG132" s="310">
        <f t="shared" si="48"/>
        <v>0</v>
      </c>
      <c r="BI132" s="238">
        <f>SUM(T132:BG132)</f>
        <v>280270.50433344883</v>
      </c>
      <c r="BK132" s="320">
        <f>SUMPRODUCT(T132:BG132,T28:BG28)*4</f>
        <v>94294.229574999918</v>
      </c>
      <c r="BM132" s="344"/>
      <c r="BN132" s="345"/>
    </row>
    <row r="133" spans="2:66">
      <c r="C133" s="99">
        <f>AA!C14</f>
        <v>2</v>
      </c>
      <c r="E133" s="94" t="str">
        <f>INDEX(AA!$AC$13:$AC$15,MATCH($C133,AA!$C$13:$C$15,0))</f>
        <v>backup</v>
      </c>
      <c r="G133" s="1325">
        <f>INDEX(AA!$E$13:$E$15,MATCH($C133,AA!$C$13:$C$15,0))</f>
        <v>1</v>
      </c>
      <c r="I133" s="73" t="s">
        <v>435</v>
      </c>
      <c r="T133" s="310">
        <f t="shared" ref="T133:BG133" si="49">T53+T69+T77+T85+T93+T101+T109+T117+T125</f>
        <v>0</v>
      </c>
      <c r="U133" s="310">
        <f t="shared" si="49"/>
        <v>22627.265913451767</v>
      </c>
      <c r="V133" s="310">
        <f t="shared" si="49"/>
        <v>22665.980678071657</v>
      </c>
      <c r="W133" s="310">
        <f t="shared" si="49"/>
        <v>22704.749999999996</v>
      </c>
      <c r="X133" s="310">
        <f t="shared" si="49"/>
        <v>22743.573892758192</v>
      </c>
      <c r="Y133" s="310">
        <f t="shared" si="49"/>
        <v>22782.452369453753</v>
      </c>
      <c r="Z133" s="310">
        <f t="shared" si="49"/>
        <v>22821.385442777384</v>
      </c>
      <c r="AA133" s="310">
        <f t="shared" si="49"/>
        <v>22860.373124999991</v>
      </c>
      <c r="AB133" s="310">
        <f t="shared" si="49"/>
        <v>22899.415427969674</v>
      </c>
      <c r="AC133" s="310">
        <f t="shared" si="49"/>
        <v>22938.512363108774</v>
      </c>
      <c r="AD133" s="310">
        <f t="shared" si="49"/>
        <v>22977.663941410814</v>
      </c>
      <c r="AE133" s="310">
        <f t="shared" si="49"/>
        <v>23016.870173437477</v>
      </c>
      <c r="AF133" s="310">
        <f t="shared" si="49"/>
        <v>0</v>
      </c>
      <c r="AG133" s="310">
        <f t="shared" si="49"/>
        <v>0</v>
      </c>
      <c r="AH133" s="310">
        <f t="shared" si="49"/>
        <v>0</v>
      </c>
      <c r="AI133" s="310">
        <f t="shared" si="49"/>
        <v>0</v>
      </c>
      <c r="AJ133" s="310">
        <f t="shared" si="49"/>
        <v>0</v>
      </c>
      <c r="AK133" s="310">
        <f t="shared" si="49"/>
        <v>0</v>
      </c>
      <c r="AL133" s="310">
        <f t="shared" si="49"/>
        <v>0</v>
      </c>
      <c r="AM133" s="310">
        <f t="shared" si="49"/>
        <v>0</v>
      </c>
      <c r="AN133" s="310">
        <f t="shared" si="49"/>
        <v>0</v>
      </c>
      <c r="AO133" s="310">
        <f t="shared" si="49"/>
        <v>0</v>
      </c>
      <c r="AP133" s="310">
        <f t="shared" si="49"/>
        <v>0</v>
      </c>
      <c r="AQ133" s="310">
        <f t="shared" si="49"/>
        <v>0</v>
      </c>
      <c r="AR133" s="310">
        <f t="shared" si="49"/>
        <v>0</v>
      </c>
      <c r="AS133" s="310">
        <f t="shared" si="49"/>
        <v>0</v>
      </c>
      <c r="AT133" s="310">
        <f t="shared" si="49"/>
        <v>0</v>
      </c>
      <c r="AU133" s="310">
        <f t="shared" si="49"/>
        <v>0</v>
      </c>
      <c r="AV133" s="310">
        <f t="shared" si="49"/>
        <v>0</v>
      </c>
      <c r="AW133" s="310">
        <f t="shared" si="49"/>
        <v>0</v>
      </c>
      <c r="AX133" s="310">
        <f t="shared" si="49"/>
        <v>0</v>
      </c>
      <c r="AY133" s="310">
        <f t="shared" si="49"/>
        <v>0</v>
      </c>
      <c r="AZ133" s="310">
        <f t="shared" si="49"/>
        <v>0</v>
      </c>
      <c r="BA133" s="310">
        <f t="shared" si="49"/>
        <v>0</v>
      </c>
      <c r="BB133" s="310">
        <f t="shared" si="49"/>
        <v>0</v>
      </c>
      <c r="BC133" s="310">
        <f t="shared" si="49"/>
        <v>0</v>
      </c>
      <c r="BD133" s="310">
        <f t="shared" si="49"/>
        <v>0</v>
      </c>
      <c r="BE133" s="310">
        <f t="shared" si="49"/>
        <v>0</v>
      </c>
      <c r="BF133" s="310">
        <f t="shared" si="49"/>
        <v>0</v>
      </c>
      <c r="BG133" s="310">
        <f t="shared" si="49"/>
        <v>0</v>
      </c>
      <c r="BI133" s="240">
        <f t="shared" ref="BI133" si="50">SUM(T133:BG133)</f>
        <v>251038.24332743947</v>
      </c>
      <c r="BK133" s="321">
        <f>SUMPRODUCT(T133:BG133,T29:BG29)*4</f>
        <v>92067.480693749909</v>
      </c>
      <c r="BM133" s="344"/>
      <c r="BN133" s="345"/>
    </row>
    <row r="134" spans="2:66">
      <c r="C134" s="99">
        <f>AA!C15</f>
        <v>3</v>
      </c>
      <c r="E134" s="94" t="str">
        <f>INDEX(AA!$AC$13:$AC$15,MATCH($C134,AA!$C$13:$C$15,0))</f>
        <v>backup</v>
      </c>
      <c r="G134" s="1325">
        <f>INDEX(AA!$E$13:$E$15,MATCH($C134,AA!$C$13:$C$15,0))</f>
        <v>1</v>
      </c>
      <c r="I134" s="73" t="s">
        <v>435</v>
      </c>
      <c r="T134" s="310">
        <f t="shared" ref="T134:BG134" si="51">T54+T70+T78+T86+T94+T102+T110+T118+T126</f>
        <v>0</v>
      </c>
      <c r="U134" s="310">
        <f t="shared" si="51"/>
        <v>0</v>
      </c>
      <c r="V134" s="310">
        <f t="shared" si="51"/>
        <v>23048.577132994727</v>
      </c>
      <c r="W134" s="310">
        <f t="shared" si="51"/>
        <v>23089.906249999996</v>
      </c>
      <c r="X134" s="310">
        <f t="shared" si="51"/>
        <v>23131.303877818096</v>
      </c>
      <c r="Y134" s="310">
        <f t="shared" si="51"/>
        <v>23172.770101050555</v>
      </c>
      <c r="Z134" s="310">
        <f t="shared" si="51"/>
        <v>23214.305004241192</v>
      </c>
      <c r="AA134" s="310">
        <f t="shared" si="51"/>
        <v>23255.90867187499</v>
      </c>
      <c r="AB134" s="310">
        <f t="shared" si="51"/>
        <v>23297.581188376851</v>
      </c>
      <c r="AC134" s="310">
        <f t="shared" si="51"/>
        <v>23339.32263811044</v>
      </c>
      <c r="AD134" s="310">
        <f t="shared" si="51"/>
        <v>23381.133105376986</v>
      </c>
      <c r="AE134" s="310">
        <f t="shared" si="51"/>
        <v>23423.01267441404</v>
      </c>
      <c r="AF134" s="310">
        <f t="shared" si="51"/>
        <v>0</v>
      </c>
      <c r="AG134" s="310">
        <f t="shared" si="51"/>
        <v>0</v>
      </c>
      <c r="AH134" s="310">
        <f t="shared" si="51"/>
        <v>0</v>
      </c>
      <c r="AI134" s="310">
        <f t="shared" si="51"/>
        <v>0</v>
      </c>
      <c r="AJ134" s="310">
        <f t="shared" si="51"/>
        <v>0</v>
      </c>
      <c r="AK134" s="310">
        <f t="shared" si="51"/>
        <v>0</v>
      </c>
      <c r="AL134" s="310">
        <f t="shared" si="51"/>
        <v>0</v>
      </c>
      <c r="AM134" s="310">
        <f t="shared" si="51"/>
        <v>0</v>
      </c>
      <c r="AN134" s="310">
        <f t="shared" si="51"/>
        <v>0</v>
      </c>
      <c r="AO134" s="310">
        <f t="shared" si="51"/>
        <v>0</v>
      </c>
      <c r="AP134" s="310">
        <f t="shared" si="51"/>
        <v>0</v>
      </c>
      <c r="AQ134" s="310">
        <f t="shared" si="51"/>
        <v>0</v>
      </c>
      <c r="AR134" s="310">
        <f t="shared" si="51"/>
        <v>0</v>
      </c>
      <c r="AS134" s="310">
        <f t="shared" si="51"/>
        <v>0</v>
      </c>
      <c r="AT134" s="310">
        <f t="shared" si="51"/>
        <v>0</v>
      </c>
      <c r="AU134" s="310">
        <f t="shared" si="51"/>
        <v>0</v>
      </c>
      <c r="AV134" s="310">
        <f t="shared" si="51"/>
        <v>0</v>
      </c>
      <c r="AW134" s="310">
        <f t="shared" si="51"/>
        <v>0</v>
      </c>
      <c r="AX134" s="310">
        <f t="shared" si="51"/>
        <v>0</v>
      </c>
      <c r="AY134" s="310">
        <f t="shared" si="51"/>
        <v>0</v>
      </c>
      <c r="AZ134" s="310">
        <f t="shared" si="51"/>
        <v>0</v>
      </c>
      <c r="BA134" s="310">
        <f t="shared" si="51"/>
        <v>0</v>
      </c>
      <c r="BB134" s="310">
        <f t="shared" si="51"/>
        <v>0</v>
      </c>
      <c r="BC134" s="310">
        <f t="shared" si="51"/>
        <v>0</v>
      </c>
      <c r="BD134" s="310">
        <f t="shared" si="51"/>
        <v>0</v>
      </c>
      <c r="BE134" s="310">
        <f t="shared" si="51"/>
        <v>0</v>
      </c>
      <c r="BF134" s="310">
        <f t="shared" si="51"/>
        <v>0</v>
      </c>
      <c r="BG134" s="310">
        <f t="shared" si="51"/>
        <v>0</v>
      </c>
      <c r="BI134" s="240">
        <f t="shared" ref="BI134" si="52">SUM(T134:BG134)</f>
        <v>232353.82064425788</v>
      </c>
      <c r="BK134" s="321">
        <f>SUMPRODUCT(T134:BG134,T30:BG30)*4</f>
        <v>93692.050697656159</v>
      </c>
      <c r="BM134" s="344"/>
      <c r="BN134" s="345"/>
    </row>
    <row r="135" spans="2:66">
      <c r="C135" s="268"/>
      <c r="E135" s="268"/>
      <c r="G135" s="268"/>
      <c r="I135" s="268"/>
      <c r="BI135" s="268"/>
      <c r="BK135" s="268"/>
    </row>
    <row r="136" spans="2:66" s="90" customFormat="1">
      <c r="B136" s="91">
        <f ca="1">MAX(A$1:$B135)+1</f>
        <v>17</v>
      </c>
      <c r="C136" s="92" t="s">
        <v>437</v>
      </c>
    </row>
    <row r="138" spans="2:66" ht="30">
      <c r="C138" s="97" t="s">
        <v>4</v>
      </c>
      <c r="E138" s="97" t="s">
        <v>6</v>
      </c>
      <c r="G138" s="101" t="s">
        <v>272</v>
      </c>
      <c r="I138" s="101" t="s">
        <v>150</v>
      </c>
      <c r="K138" s="101" t="s">
        <v>438</v>
      </c>
      <c r="BI138" s="327" t="s">
        <v>152</v>
      </c>
      <c r="BK138" s="332"/>
    </row>
    <row r="139" spans="2:66">
      <c r="C139" s="99">
        <f>AA!C13</f>
        <v>1</v>
      </c>
      <c r="E139" s="93" t="str">
        <f>INDEX(AA!$AC$13:$AC$15,MATCH($C139,AA!$C$13:$C$15,0))</f>
        <v>backup</v>
      </c>
      <c r="G139" s="1324">
        <f>INDEX(AA!$E$13:$E$15,MATCH($C139,AA!$C$13:$C$15,0))</f>
        <v>1</v>
      </c>
      <c r="I139" s="72" t="s">
        <v>439</v>
      </c>
      <c r="K139" s="338">
        <f>INDEX(AA!$BY$13:$BY$15,MATCH($C139,AA!$C$13:$C$15,0))</f>
        <v>0</v>
      </c>
      <c r="T139" s="310">
        <f t="shared" ref="T139:BG139" si="53">-$K139*(T52+T76)</f>
        <v>0</v>
      </c>
      <c r="U139" s="310">
        <f t="shared" si="53"/>
        <v>0</v>
      </c>
      <c r="V139" s="310">
        <f t="shared" si="53"/>
        <v>0</v>
      </c>
      <c r="W139" s="310">
        <f t="shared" si="53"/>
        <v>0</v>
      </c>
      <c r="X139" s="310">
        <f t="shared" si="53"/>
        <v>0</v>
      </c>
      <c r="Y139" s="310">
        <f t="shared" si="53"/>
        <v>0</v>
      </c>
      <c r="Z139" s="310">
        <f t="shared" si="53"/>
        <v>0</v>
      </c>
      <c r="AA139" s="310">
        <f t="shared" si="53"/>
        <v>0</v>
      </c>
      <c r="AB139" s="310">
        <f t="shared" si="53"/>
        <v>0</v>
      </c>
      <c r="AC139" s="310">
        <f t="shared" si="53"/>
        <v>0</v>
      </c>
      <c r="AD139" s="310">
        <f t="shared" si="53"/>
        <v>0</v>
      </c>
      <c r="AE139" s="310">
        <f t="shared" si="53"/>
        <v>0</v>
      </c>
      <c r="AF139" s="310">
        <f t="shared" si="53"/>
        <v>0</v>
      </c>
      <c r="AG139" s="310">
        <f t="shared" si="53"/>
        <v>0</v>
      </c>
      <c r="AH139" s="310">
        <f t="shared" si="53"/>
        <v>0</v>
      </c>
      <c r="AI139" s="310">
        <f t="shared" si="53"/>
        <v>0</v>
      </c>
      <c r="AJ139" s="310">
        <f t="shared" si="53"/>
        <v>0</v>
      </c>
      <c r="AK139" s="310">
        <f t="shared" si="53"/>
        <v>0</v>
      </c>
      <c r="AL139" s="310">
        <f t="shared" si="53"/>
        <v>0</v>
      </c>
      <c r="AM139" s="310">
        <f t="shared" si="53"/>
        <v>0</v>
      </c>
      <c r="AN139" s="310">
        <f t="shared" si="53"/>
        <v>0</v>
      </c>
      <c r="AO139" s="310">
        <f t="shared" si="53"/>
        <v>0</v>
      </c>
      <c r="AP139" s="310">
        <f t="shared" si="53"/>
        <v>0</v>
      </c>
      <c r="AQ139" s="310">
        <f t="shared" si="53"/>
        <v>0</v>
      </c>
      <c r="AR139" s="310">
        <f t="shared" si="53"/>
        <v>0</v>
      </c>
      <c r="AS139" s="310">
        <f t="shared" si="53"/>
        <v>0</v>
      </c>
      <c r="AT139" s="310">
        <f t="shared" si="53"/>
        <v>0</v>
      </c>
      <c r="AU139" s="310">
        <f t="shared" si="53"/>
        <v>0</v>
      </c>
      <c r="AV139" s="310">
        <f t="shared" si="53"/>
        <v>0</v>
      </c>
      <c r="AW139" s="310">
        <f t="shared" si="53"/>
        <v>0</v>
      </c>
      <c r="AX139" s="310">
        <f t="shared" si="53"/>
        <v>0</v>
      </c>
      <c r="AY139" s="310">
        <f t="shared" si="53"/>
        <v>0</v>
      </c>
      <c r="AZ139" s="310">
        <f t="shared" si="53"/>
        <v>0</v>
      </c>
      <c r="BA139" s="310">
        <f t="shared" si="53"/>
        <v>0</v>
      </c>
      <c r="BB139" s="310">
        <f t="shared" si="53"/>
        <v>0</v>
      </c>
      <c r="BC139" s="310">
        <f t="shared" si="53"/>
        <v>0</v>
      </c>
      <c r="BD139" s="310">
        <f t="shared" si="53"/>
        <v>0</v>
      </c>
      <c r="BE139" s="310">
        <f t="shared" si="53"/>
        <v>0</v>
      </c>
      <c r="BF139" s="310">
        <f t="shared" si="53"/>
        <v>0</v>
      </c>
      <c r="BG139" s="310">
        <f t="shared" si="53"/>
        <v>0</v>
      </c>
      <c r="BI139" s="238">
        <f>SUM(T139:BG139)</f>
        <v>0</v>
      </c>
      <c r="BK139" s="333"/>
    </row>
    <row r="140" spans="2:66">
      <c r="C140" s="99">
        <f>AA!C14</f>
        <v>2</v>
      </c>
      <c r="E140" s="94" t="str">
        <f>INDEX(AA!$AC$13:$AC$15,MATCH($C140,AA!$C$13:$C$15,0))</f>
        <v>backup</v>
      </c>
      <c r="G140" s="1325">
        <f>INDEX(AA!$E$13:$E$15,MATCH($C140,AA!$C$13:$C$15,0))</f>
        <v>1</v>
      </c>
      <c r="I140" s="73" t="s">
        <v>439</v>
      </c>
      <c r="K140" s="339">
        <f>INDEX(AA!$BY$13:$BY$15,MATCH($C140,AA!$C$13:$C$15,0))</f>
        <v>0</v>
      </c>
      <c r="T140" s="310">
        <f t="shared" ref="T140:BG140" si="54">-$K140*(T53+T77)</f>
        <v>0</v>
      </c>
      <c r="U140" s="310">
        <f t="shared" si="54"/>
        <v>0</v>
      </c>
      <c r="V140" s="310">
        <f t="shared" si="54"/>
        <v>0</v>
      </c>
      <c r="W140" s="310">
        <f t="shared" si="54"/>
        <v>0</v>
      </c>
      <c r="X140" s="310">
        <f t="shared" si="54"/>
        <v>0</v>
      </c>
      <c r="Y140" s="310">
        <f t="shared" si="54"/>
        <v>0</v>
      </c>
      <c r="Z140" s="310">
        <f t="shared" si="54"/>
        <v>0</v>
      </c>
      <c r="AA140" s="310">
        <f t="shared" si="54"/>
        <v>0</v>
      </c>
      <c r="AB140" s="310">
        <f t="shared" si="54"/>
        <v>0</v>
      </c>
      <c r="AC140" s="310">
        <f t="shared" si="54"/>
        <v>0</v>
      </c>
      <c r="AD140" s="310">
        <f t="shared" si="54"/>
        <v>0</v>
      </c>
      <c r="AE140" s="310">
        <f t="shared" si="54"/>
        <v>0</v>
      </c>
      <c r="AF140" s="310">
        <f t="shared" si="54"/>
        <v>0</v>
      </c>
      <c r="AG140" s="310">
        <f t="shared" si="54"/>
        <v>0</v>
      </c>
      <c r="AH140" s="310">
        <f t="shared" si="54"/>
        <v>0</v>
      </c>
      <c r="AI140" s="310">
        <f t="shared" si="54"/>
        <v>0</v>
      </c>
      <c r="AJ140" s="310">
        <f t="shared" si="54"/>
        <v>0</v>
      </c>
      <c r="AK140" s="310">
        <f t="shared" si="54"/>
        <v>0</v>
      </c>
      <c r="AL140" s="310">
        <f t="shared" si="54"/>
        <v>0</v>
      </c>
      <c r="AM140" s="310">
        <f t="shared" si="54"/>
        <v>0</v>
      </c>
      <c r="AN140" s="310">
        <f t="shared" si="54"/>
        <v>0</v>
      </c>
      <c r="AO140" s="310">
        <f t="shared" si="54"/>
        <v>0</v>
      </c>
      <c r="AP140" s="310">
        <f t="shared" si="54"/>
        <v>0</v>
      </c>
      <c r="AQ140" s="310">
        <f t="shared" si="54"/>
        <v>0</v>
      </c>
      <c r="AR140" s="310">
        <f t="shared" si="54"/>
        <v>0</v>
      </c>
      <c r="AS140" s="310">
        <f t="shared" si="54"/>
        <v>0</v>
      </c>
      <c r="AT140" s="310">
        <f t="shared" si="54"/>
        <v>0</v>
      </c>
      <c r="AU140" s="310">
        <f t="shared" si="54"/>
        <v>0</v>
      </c>
      <c r="AV140" s="310">
        <f t="shared" si="54"/>
        <v>0</v>
      </c>
      <c r="AW140" s="310">
        <f t="shared" si="54"/>
        <v>0</v>
      </c>
      <c r="AX140" s="310">
        <f t="shared" si="54"/>
        <v>0</v>
      </c>
      <c r="AY140" s="310">
        <f t="shared" si="54"/>
        <v>0</v>
      </c>
      <c r="AZ140" s="310">
        <f t="shared" si="54"/>
        <v>0</v>
      </c>
      <c r="BA140" s="310">
        <f t="shared" si="54"/>
        <v>0</v>
      </c>
      <c r="BB140" s="310">
        <f t="shared" si="54"/>
        <v>0</v>
      </c>
      <c r="BC140" s="310">
        <f t="shared" si="54"/>
        <v>0</v>
      </c>
      <c r="BD140" s="310">
        <f t="shared" si="54"/>
        <v>0</v>
      </c>
      <c r="BE140" s="310">
        <f t="shared" si="54"/>
        <v>0</v>
      </c>
      <c r="BF140" s="310">
        <f t="shared" si="54"/>
        <v>0</v>
      </c>
      <c r="BG140" s="310">
        <f t="shared" si="54"/>
        <v>0</v>
      </c>
      <c r="BI140" s="240">
        <f t="shared" ref="BI140" si="55">SUM(T140:BG140)</f>
        <v>0</v>
      </c>
      <c r="BK140" s="334"/>
    </row>
    <row r="141" spans="2:66">
      <c r="C141" s="99">
        <f>AA!C15</f>
        <v>3</v>
      </c>
      <c r="E141" s="94" t="str">
        <f>INDEX(AA!$AC$13:$AC$15,MATCH($C141,AA!$C$13:$C$15,0))</f>
        <v>backup</v>
      </c>
      <c r="G141" s="1325">
        <f>INDEX(AA!$E$13:$E$15,MATCH($C141,AA!$C$13:$C$15,0))</f>
        <v>1</v>
      </c>
      <c r="I141" s="73" t="s">
        <v>439</v>
      </c>
      <c r="K141" s="339">
        <f>INDEX(AA!$BY$13:$BY$15,MATCH($C141,AA!$C$13:$C$15,0))</f>
        <v>0</v>
      </c>
      <c r="T141" s="310">
        <f t="shared" ref="T141:BG141" si="56">-$K141*(T54+T78)</f>
        <v>0</v>
      </c>
      <c r="U141" s="310">
        <f t="shared" si="56"/>
        <v>0</v>
      </c>
      <c r="V141" s="310">
        <f t="shared" si="56"/>
        <v>0</v>
      </c>
      <c r="W141" s="310">
        <f t="shared" si="56"/>
        <v>0</v>
      </c>
      <c r="X141" s="310">
        <f t="shared" si="56"/>
        <v>0</v>
      </c>
      <c r="Y141" s="310">
        <f t="shared" si="56"/>
        <v>0</v>
      </c>
      <c r="Z141" s="310">
        <f t="shared" si="56"/>
        <v>0</v>
      </c>
      <c r="AA141" s="310">
        <f t="shared" si="56"/>
        <v>0</v>
      </c>
      <c r="AB141" s="310">
        <f t="shared" si="56"/>
        <v>0</v>
      </c>
      <c r="AC141" s="310">
        <f t="shared" si="56"/>
        <v>0</v>
      </c>
      <c r="AD141" s="310">
        <f t="shared" si="56"/>
        <v>0</v>
      </c>
      <c r="AE141" s="310">
        <f t="shared" si="56"/>
        <v>0</v>
      </c>
      <c r="AF141" s="310">
        <f t="shared" si="56"/>
        <v>0</v>
      </c>
      <c r="AG141" s="310">
        <f t="shared" si="56"/>
        <v>0</v>
      </c>
      <c r="AH141" s="310">
        <f t="shared" si="56"/>
        <v>0</v>
      </c>
      <c r="AI141" s="310">
        <f t="shared" si="56"/>
        <v>0</v>
      </c>
      <c r="AJ141" s="310">
        <f t="shared" si="56"/>
        <v>0</v>
      </c>
      <c r="AK141" s="310">
        <f t="shared" si="56"/>
        <v>0</v>
      </c>
      <c r="AL141" s="310">
        <f t="shared" si="56"/>
        <v>0</v>
      </c>
      <c r="AM141" s="310">
        <f t="shared" si="56"/>
        <v>0</v>
      </c>
      <c r="AN141" s="310">
        <f t="shared" si="56"/>
        <v>0</v>
      </c>
      <c r="AO141" s="310">
        <f t="shared" si="56"/>
        <v>0</v>
      </c>
      <c r="AP141" s="310">
        <f t="shared" si="56"/>
        <v>0</v>
      </c>
      <c r="AQ141" s="310">
        <f t="shared" si="56"/>
        <v>0</v>
      </c>
      <c r="AR141" s="310">
        <f t="shared" si="56"/>
        <v>0</v>
      </c>
      <c r="AS141" s="310">
        <f t="shared" si="56"/>
        <v>0</v>
      </c>
      <c r="AT141" s="310">
        <f t="shared" si="56"/>
        <v>0</v>
      </c>
      <c r="AU141" s="310">
        <f t="shared" si="56"/>
        <v>0</v>
      </c>
      <c r="AV141" s="310">
        <f t="shared" si="56"/>
        <v>0</v>
      </c>
      <c r="AW141" s="310">
        <f t="shared" si="56"/>
        <v>0</v>
      </c>
      <c r="AX141" s="310">
        <f t="shared" si="56"/>
        <v>0</v>
      </c>
      <c r="AY141" s="310">
        <f t="shared" si="56"/>
        <v>0</v>
      </c>
      <c r="AZ141" s="310">
        <f t="shared" si="56"/>
        <v>0</v>
      </c>
      <c r="BA141" s="310">
        <f t="shared" si="56"/>
        <v>0</v>
      </c>
      <c r="BB141" s="310">
        <f t="shared" si="56"/>
        <v>0</v>
      </c>
      <c r="BC141" s="310">
        <f t="shared" si="56"/>
        <v>0</v>
      </c>
      <c r="BD141" s="310">
        <f t="shared" si="56"/>
        <v>0</v>
      </c>
      <c r="BE141" s="310">
        <f t="shared" si="56"/>
        <v>0</v>
      </c>
      <c r="BF141" s="310">
        <f t="shared" si="56"/>
        <v>0</v>
      </c>
      <c r="BG141" s="310">
        <f t="shared" si="56"/>
        <v>0</v>
      </c>
      <c r="BI141" s="240">
        <f t="shared" ref="BI141" si="57">SUM(T141:BG141)</f>
        <v>0</v>
      </c>
      <c r="BK141" s="334"/>
    </row>
    <row r="142" spans="2:66">
      <c r="C142" s="268"/>
      <c r="E142" s="268"/>
      <c r="G142" s="268"/>
      <c r="I142" s="268"/>
      <c r="K142" s="268"/>
      <c r="BI142" s="268"/>
      <c r="BK142" s="268"/>
    </row>
    <row r="143" spans="2:66" s="90" customFormat="1">
      <c r="B143" s="91">
        <f ca="1">MAX(A$1:$B142)+1</f>
        <v>18</v>
      </c>
      <c r="C143" s="92" t="s">
        <v>440</v>
      </c>
    </row>
    <row r="145" spans="2:63" ht="30">
      <c r="C145" s="97" t="s">
        <v>4</v>
      </c>
      <c r="E145" s="97" t="s">
        <v>6</v>
      </c>
      <c r="G145" s="101" t="s">
        <v>272</v>
      </c>
      <c r="I145" s="101" t="s">
        <v>150</v>
      </c>
      <c r="K145" s="97" t="s">
        <v>441</v>
      </c>
      <c r="M145" s="166"/>
      <c r="BI145" s="327" t="s">
        <v>152</v>
      </c>
      <c r="BK145" s="332"/>
    </row>
    <row r="146" spans="2:63">
      <c r="C146" s="99">
        <f>AA!C13</f>
        <v>1</v>
      </c>
      <c r="E146" s="93" t="str">
        <f>INDEX(AA!$AC$13:$AC$15,MATCH($C146,AA!$C$13:$C$15,0))</f>
        <v>backup</v>
      </c>
      <c r="G146" s="1324">
        <f>INDEX(AA!$E$13:$E$15,MATCH($C146,AA!$C$13:$C$15,0))</f>
        <v>1</v>
      </c>
      <c r="I146" s="72" t="s">
        <v>441</v>
      </c>
      <c r="K146" s="338">
        <f>GA!$G$126</f>
        <v>3.0000000000000001E-3</v>
      </c>
      <c r="T146" s="310">
        <f t="shared" ref="T146:BG146" si="58">-$K146/4*T269</f>
        <v>-1444.0970276188536</v>
      </c>
      <c r="U146" s="310">
        <f t="shared" si="58"/>
        <v>-1444.0970276188536</v>
      </c>
      <c r="V146" s="310">
        <f t="shared" si="58"/>
        <v>-1444.0970276188536</v>
      </c>
      <c r="W146" s="310">
        <f t="shared" si="58"/>
        <v>-1444.0970276188536</v>
      </c>
      <c r="X146" s="310">
        <f t="shared" si="58"/>
        <v>-1444.0970276188536</v>
      </c>
      <c r="Y146" s="310">
        <f t="shared" si="58"/>
        <v>-1444.0970276188536</v>
      </c>
      <c r="Z146" s="310">
        <f t="shared" si="58"/>
        <v>-1444.0970276188536</v>
      </c>
      <c r="AA146" s="310">
        <f t="shared" si="58"/>
        <v>-1444.0970276188536</v>
      </c>
      <c r="AB146" s="310">
        <f t="shared" si="58"/>
        <v>-1444.0970276188536</v>
      </c>
      <c r="AC146" s="310">
        <f t="shared" si="58"/>
        <v>-1444.0970276188536</v>
      </c>
      <c r="AD146" s="310">
        <f t="shared" si="58"/>
        <v>-1444.0970276188536</v>
      </c>
      <c r="AE146" s="310">
        <f t="shared" si="58"/>
        <v>-1444.0970276188536</v>
      </c>
      <c r="AF146" s="310">
        <f t="shared" si="58"/>
        <v>0</v>
      </c>
      <c r="AG146" s="310">
        <f t="shared" si="58"/>
        <v>0</v>
      </c>
      <c r="AH146" s="310">
        <f t="shared" si="58"/>
        <v>0</v>
      </c>
      <c r="AI146" s="310">
        <f t="shared" si="58"/>
        <v>0</v>
      </c>
      <c r="AJ146" s="310">
        <f t="shared" si="58"/>
        <v>0</v>
      </c>
      <c r="AK146" s="310">
        <f t="shared" si="58"/>
        <v>0</v>
      </c>
      <c r="AL146" s="310">
        <f t="shared" si="58"/>
        <v>0</v>
      </c>
      <c r="AM146" s="310">
        <f t="shared" si="58"/>
        <v>0</v>
      </c>
      <c r="AN146" s="310">
        <f t="shared" si="58"/>
        <v>0</v>
      </c>
      <c r="AO146" s="310">
        <f t="shared" si="58"/>
        <v>0</v>
      </c>
      <c r="AP146" s="310">
        <f t="shared" si="58"/>
        <v>0</v>
      </c>
      <c r="AQ146" s="310">
        <f t="shared" si="58"/>
        <v>0</v>
      </c>
      <c r="AR146" s="310">
        <f t="shared" si="58"/>
        <v>0</v>
      </c>
      <c r="AS146" s="310">
        <f t="shared" si="58"/>
        <v>0</v>
      </c>
      <c r="AT146" s="310">
        <f t="shared" si="58"/>
        <v>0</v>
      </c>
      <c r="AU146" s="310">
        <f t="shared" si="58"/>
        <v>0</v>
      </c>
      <c r="AV146" s="310">
        <f t="shared" si="58"/>
        <v>0</v>
      </c>
      <c r="AW146" s="310">
        <f t="shared" si="58"/>
        <v>0</v>
      </c>
      <c r="AX146" s="310">
        <f t="shared" si="58"/>
        <v>0</v>
      </c>
      <c r="AY146" s="310">
        <f t="shared" si="58"/>
        <v>0</v>
      </c>
      <c r="AZ146" s="310">
        <f t="shared" si="58"/>
        <v>0</v>
      </c>
      <c r="BA146" s="310">
        <f t="shared" si="58"/>
        <v>0</v>
      </c>
      <c r="BB146" s="310">
        <f t="shared" si="58"/>
        <v>0</v>
      </c>
      <c r="BC146" s="310">
        <f t="shared" si="58"/>
        <v>0</v>
      </c>
      <c r="BD146" s="310">
        <f t="shared" si="58"/>
        <v>0</v>
      </c>
      <c r="BE146" s="310">
        <f t="shared" si="58"/>
        <v>0</v>
      </c>
      <c r="BF146" s="310">
        <f t="shared" si="58"/>
        <v>0</v>
      </c>
      <c r="BG146" s="310">
        <f t="shared" si="58"/>
        <v>0</v>
      </c>
      <c r="BI146" s="238">
        <f>SUM(T146:BG146)</f>
        <v>-17329.16433142624</v>
      </c>
      <c r="BK146" s="333"/>
    </row>
    <row r="147" spans="2:63">
      <c r="C147" s="99">
        <f>AA!C14</f>
        <v>2</v>
      </c>
      <c r="E147" s="94" t="str">
        <f>INDEX(AA!$AC$13:$AC$15,MATCH($C147,AA!$C$13:$C$15,0))</f>
        <v>backup</v>
      </c>
      <c r="G147" s="1325">
        <f>INDEX(AA!$E$13:$E$15,MATCH($C147,AA!$C$13:$C$15,0))</f>
        <v>1</v>
      </c>
      <c r="I147" s="73" t="s">
        <v>441</v>
      </c>
      <c r="K147" s="339">
        <f>GA!$G$126</f>
        <v>3.0000000000000001E-3</v>
      </c>
      <c r="T147" s="310">
        <f t="shared" ref="T147:BG147" si="59">-$K147/4*T270</f>
        <v>0</v>
      </c>
      <c r="U147" s="310">
        <f t="shared" si="59"/>
        <v>-1409.5772990869266</v>
      </c>
      <c r="V147" s="310">
        <f t="shared" si="59"/>
        <v>-1409.5772990869266</v>
      </c>
      <c r="W147" s="310">
        <f t="shared" si="59"/>
        <v>-1409.5772990869266</v>
      </c>
      <c r="X147" s="310">
        <f t="shared" si="59"/>
        <v>-1409.5772990869266</v>
      </c>
      <c r="Y147" s="310">
        <f t="shared" si="59"/>
        <v>-1409.5772990869266</v>
      </c>
      <c r="Z147" s="310">
        <f t="shared" si="59"/>
        <v>-1409.5772990869266</v>
      </c>
      <c r="AA147" s="310">
        <f t="shared" si="59"/>
        <v>-1409.5772990869266</v>
      </c>
      <c r="AB147" s="310">
        <f t="shared" si="59"/>
        <v>-1409.5772990869266</v>
      </c>
      <c r="AC147" s="310">
        <f t="shared" si="59"/>
        <v>-1409.5772990869266</v>
      </c>
      <c r="AD147" s="310">
        <f t="shared" si="59"/>
        <v>-1409.5772990869266</v>
      </c>
      <c r="AE147" s="310">
        <f t="shared" si="59"/>
        <v>-1409.5772990869266</v>
      </c>
      <c r="AF147" s="310">
        <f t="shared" si="59"/>
        <v>0</v>
      </c>
      <c r="AG147" s="310">
        <f t="shared" si="59"/>
        <v>0</v>
      </c>
      <c r="AH147" s="310">
        <f t="shared" si="59"/>
        <v>0</v>
      </c>
      <c r="AI147" s="310">
        <f t="shared" si="59"/>
        <v>0</v>
      </c>
      <c r="AJ147" s="310">
        <f t="shared" si="59"/>
        <v>0</v>
      </c>
      <c r="AK147" s="310">
        <f t="shared" si="59"/>
        <v>0</v>
      </c>
      <c r="AL147" s="310">
        <f t="shared" si="59"/>
        <v>0</v>
      </c>
      <c r="AM147" s="310">
        <f t="shared" si="59"/>
        <v>0</v>
      </c>
      <c r="AN147" s="310">
        <f t="shared" si="59"/>
        <v>0</v>
      </c>
      <c r="AO147" s="310">
        <f t="shared" si="59"/>
        <v>0</v>
      </c>
      <c r="AP147" s="310">
        <f t="shared" si="59"/>
        <v>0</v>
      </c>
      <c r="AQ147" s="310">
        <f t="shared" si="59"/>
        <v>0</v>
      </c>
      <c r="AR147" s="310">
        <f t="shared" si="59"/>
        <v>0</v>
      </c>
      <c r="AS147" s="310">
        <f t="shared" si="59"/>
        <v>0</v>
      </c>
      <c r="AT147" s="310">
        <f t="shared" si="59"/>
        <v>0</v>
      </c>
      <c r="AU147" s="310">
        <f t="shared" si="59"/>
        <v>0</v>
      </c>
      <c r="AV147" s="310">
        <f t="shared" si="59"/>
        <v>0</v>
      </c>
      <c r="AW147" s="310">
        <f t="shared" si="59"/>
        <v>0</v>
      </c>
      <c r="AX147" s="310">
        <f t="shared" si="59"/>
        <v>0</v>
      </c>
      <c r="AY147" s="310">
        <f t="shared" si="59"/>
        <v>0</v>
      </c>
      <c r="AZ147" s="310">
        <f t="shared" si="59"/>
        <v>0</v>
      </c>
      <c r="BA147" s="310">
        <f t="shared" si="59"/>
        <v>0</v>
      </c>
      <c r="BB147" s="310">
        <f t="shared" si="59"/>
        <v>0</v>
      </c>
      <c r="BC147" s="310">
        <f t="shared" si="59"/>
        <v>0</v>
      </c>
      <c r="BD147" s="310">
        <f t="shared" si="59"/>
        <v>0</v>
      </c>
      <c r="BE147" s="310">
        <f t="shared" si="59"/>
        <v>0</v>
      </c>
      <c r="BF147" s="310">
        <f t="shared" si="59"/>
        <v>0</v>
      </c>
      <c r="BG147" s="310">
        <f t="shared" si="59"/>
        <v>0</v>
      </c>
      <c r="BI147" s="240">
        <f t="shared" ref="BI147" si="60">SUM(T147:BG147)</f>
        <v>-15505.350289956192</v>
      </c>
      <c r="BK147" s="334"/>
    </row>
    <row r="148" spans="2:63">
      <c r="C148" s="99">
        <f>AA!C15</f>
        <v>3</v>
      </c>
      <c r="E148" s="94" t="str">
        <f>INDEX(AA!$AC$13:$AC$15,MATCH($C148,AA!$C$13:$C$15,0))</f>
        <v>backup</v>
      </c>
      <c r="G148" s="1325">
        <f>INDEX(AA!$E$13:$E$15,MATCH($C148,AA!$C$13:$C$15,0))</f>
        <v>1</v>
      </c>
      <c r="I148" s="73" t="s">
        <v>441</v>
      </c>
      <c r="K148" s="339">
        <f>GA!$G$126</f>
        <v>3.0000000000000001E-3</v>
      </c>
      <c r="T148" s="310">
        <f t="shared" ref="T148:BG148" si="61">-$K148/4*T271</f>
        <v>0</v>
      </c>
      <c r="U148" s="310">
        <f t="shared" si="61"/>
        <v>0</v>
      </c>
      <c r="V148" s="310">
        <f t="shared" si="61"/>
        <v>-1386.8631732942197</v>
      </c>
      <c r="W148" s="310">
        <f t="shared" si="61"/>
        <v>-1386.8631732942197</v>
      </c>
      <c r="X148" s="310">
        <f t="shared" si="61"/>
        <v>-1386.8631732942197</v>
      </c>
      <c r="Y148" s="310">
        <f t="shared" si="61"/>
        <v>-1386.8631732942197</v>
      </c>
      <c r="Z148" s="310">
        <f t="shared" si="61"/>
        <v>-1386.8631732942197</v>
      </c>
      <c r="AA148" s="310">
        <f t="shared" si="61"/>
        <v>-1386.8631732942197</v>
      </c>
      <c r="AB148" s="310">
        <f t="shared" si="61"/>
        <v>-1386.8631732942197</v>
      </c>
      <c r="AC148" s="310">
        <f t="shared" si="61"/>
        <v>-1386.8631732942197</v>
      </c>
      <c r="AD148" s="310">
        <f t="shared" si="61"/>
        <v>-1386.8631732942197</v>
      </c>
      <c r="AE148" s="310">
        <f t="shared" si="61"/>
        <v>-1386.8631732942197</v>
      </c>
      <c r="AF148" s="310">
        <f t="shared" si="61"/>
        <v>0</v>
      </c>
      <c r="AG148" s="310">
        <f t="shared" si="61"/>
        <v>0</v>
      </c>
      <c r="AH148" s="310">
        <f t="shared" si="61"/>
        <v>0</v>
      </c>
      <c r="AI148" s="310">
        <f t="shared" si="61"/>
        <v>0</v>
      </c>
      <c r="AJ148" s="310">
        <f t="shared" si="61"/>
        <v>0</v>
      </c>
      <c r="AK148" s="310">
        <f t="shared" si="61"/>
        <v>0</v>
      </c>
      <c r="AL148" s="310">
        <f t="shared" si="61"/>
        <v>0</v>
      </c>
      <c r="AM148" s="310">
        <f t="shared" si="61"/>
        <v>0</v>
      </c>
      <c r="AN148" s="310">
        <f t="shared" si="61"/>
        <v>0</v>
      </c>
      <c r="AO148" s="310">
        <f t="shared" si="61"/>
        <v>0</v>
      </c>
      <c r="AP148" s="310">
        <f t="shared" si="61"/>
        <v>0</v>
      </c>
      <c r="AQ148" s="310">
        <f t="shared" si="61"/>
        <v>0</v>
      </c>
      <c r="AR148" s="310">
        <f t="shared" si="61"/>
        <v>0</v>
      </c>
      <c r="AS148" s="310">
        <f t="shared" si="61"/>
        <v>0</v>
      </c>
      <c r="AT148" s="310">
        <f t="shared" si="61"/>
        <v>0</v>
      </c>
      <c r="AU148" s="310">
        <f t="shared" si="61"/>
        <v>0</v>
      </c>
      <c r="AV148" s="310">
        <f t="shared" si="61"/>
        <v>0</v>
      </c>
      <c r="AW148" s="310">
        <f t="shared" si="61"/>
        <v>0</v>
      </c>
      <c r="AX148" s="310">
        <f t="shared" si="61"/>
        <v>0</v>
      </c>
      <c r="AY148" s="310">
        <f t="shared" si="61"/>
        <v>0</v>
      </c>
      <c r="AZ148" s="310">
        <f t="shared" si="61"/>
        <v>0</v>
      </c>
      <c r="BA148" s="310">
        <f t="shared" si="61"/>
        <v>0</v>
      </c>
      <c r="BB148" s="310">
        <f t="shared" si="61"/>
        <v>0</v>
      </c>
      <c r="BC148" s="310">
        <f t="shared" si="61"/>
        <v>0</v>
      </c>
      <c r="BD148" s="310">
        <f t="shared" si="61"/>
        <v>0</v>
      </c>
      <c r="BE148" s="310">
        <f t="shared" si="61"/>
        <v>0</v>
      </c>
      <c r="BF148" s="310">
        <f t="shared" si="61"/>
        <v>0</v>
      </c>
      <c r="BG148" s="310">
        <f t="shared" si="61"/>
        <v>0</v>
      </c>
      <c r="BI148" s="240">
        <f t="shared" ref="BI148" si="62">SUM(T148:BG148)</f>
        <v>-13868.631732942196</v>
      </c>
      <c r="BK148" s="334"/>
    </row>
    <row r="149" spans="2:63">
      <c r="C149" s="268"/>
      <c r="E149" s="268"/>
      <c r="G149" s="268"/>
      <c r="I149" s="268"/>
      <c r="K149" s="268"/>
      <c r="BI149" s="268"/>
      <c r="BK149" s="268"/>
    </row>
    <row r="150" spans="2:63" s="90" customFormat="1">
      <c r="B150" s="91">
        <f ca="1">MAX(A$1:$B149)+1</f>
        <v>19</v>
      </c>
      <c r="C150" s="92" t="s">
        <v>675</v>
      </c>
    </row>
    <row r="152" spans="2:63" ht="30">
      <c r="C152" s="97" t="s">
        <v>4</v>
      </c>
      <c r="E152" s="97" t="s">
        <v>6</v>
      </c>
      <c r="G152" s="101" t="s">
        <v>272</v>
      </c>
      <c r="I152" s="101" t="s">
        <v>150</v>
      </c>
      <c r="K152" s="97" t="s">
        <v>674</v>
      </c>
      <c r="BI152" s="327" t="s">
        <v>152</v>
      </c>
      <c r="BK152" s="332"/>
    </row>
    <row r="153" spans="2:63">
      <c r="C153" s="99">
        <f>AA!C13</f>
        <v>1</v>
      </c>
      <c r="E153" s="93" t="str">
        <f>INDEX(AA!$AC$13:$AC$15,MATCH($C153,AA!$C$13:$C$15,0))</f>
        <v>backup</v>
      </c>
      <c r="G153" s="1324">
        <f>INDEX(AA!$E$13:$E$15,MATCH($C153,AA!$C$13:$C$15,0))</f>
        <v>1</v>
      </c>
      <c r="I153" s="72" t="s">
        <v>654</v>
      </c>
      <c r="K153" s="415">
        <f>GA!$G$125</f>
        <v>50000</v>
      </c>
      <c r="T153" s="310">
        <f t="shared" ref="T153:BG153" si="63">-IFERROR($K$153/4*(T36/SUM(T$36:T$38))*T$14,0)</f>
        <v>-12562.036644665048</v>
      </c>
      <c r="U153" s="310">
        <f t="shared" si="63"/>
        <v>-6312.1905864763003</v>
      </c>
      <c r="V153" s="310">
        <f t="shared" si="63"/>
        <v>-4229.0117042893344</v>
      </c>
      <c r="W153" s="310">
        <f t="shared" si="63"/>
        <v>-4250</v>
      </c>
      <c r="X153" s="310">
        <f t="shared" si="63"/>
        <v>-4271.0924591861167</v>
      </c>
      <c r="Y153" s="310">
        <f t="shared" si="63"/>
        <v>-4292.2895988038845</v>
      </c>
      <c r="Z153" s="310">
        <f t="shared" si="63"/>
        <v>-4313.5919383751234</v>
      </c>
      <c r="AA153" s="310">
        <f t="shared" si="63"/>
        <v>-4335.0000000000027</v>
      </c>
      <c r="AB153" s="310">
        <f t="shared" si="63"/>
        <v>-4356.5143083698413</v>
      </c>
      <c r="AC153" s="310">
        <f t="shared" si="63"/>
        <v>-4378.1353907799639</v>
      </c>
      <c r="AD153" s="310">
        <f t="shared" si="63"/>
        <v>-4399.8637771426265</v>
      </c>
      <c r="AE153" s="310">
        <f t="shared" si="63"/>
        <v>-4421.7000000000035</v>
      </c>
      <c r="AF153" s="310">
        <f t="shared" si="63"/>
        <v>0</v>
      </c>
      <c r="AG153" s="310">
        <f t="shared" si="63"/>
        <v>0</v>
      </c>
      <c r="AH153" s="310">
        <f t="shared" si="63"/>
        <v>0</v>
      </c>
      <c r="AI153" s="310">
        <f t="shared" si="63"/>
        <v>0</v>
      </c>
      <c r="AJ153" s="310">
        <f t="shared" si="63"/>
        <v>0</v>
      </c>
      <c r="AK153" s="310">
        <f t="shared" si="63"/>
        <v>0</v>
      </c>
      <c r="AL153" s="310">
        <f t="shared" si="63"/>
        <v>0</v>
      </c>
      <c r="AM153" s="310">
        <f t="shared" si="63"/>
        <v>0</v>
      </c>
      <c r="AN153" s="310">
        <f t="shared" si="63"/>
        <v>0</v>
      </c>
      <c r="AO153" s="310">
        <f t="shared" si="63"/>
        <v>0</v>
      </c>
      <c r="AP153" s="310">
        <f t="shared" si="63"/>
        <v>0</v>
      </c>
      <c r="AQ153" s="310">
        <f t="shared" si="63"/>
        <v>0</v>
      </c>
      <c r="AR153" s="310">
        <f t="shared" si="63"/>
        <v>0</v>
      </c>
      <c r="AS153" s="310">
        <f t="shared" si="63"/>
        <v>0</v>
      </c>
      <c r="AT153" s="310">
        <f t="shared" si="63"/>
        <v>0</v>
      </c>
      <c r="AU153" s="310">
        <f t="shared" si="63"/>
        <v>0</v>
      </c>
      <c r="AV153" s="310">
        <f t="shared" si="63"/>
        <v>0</v>
      </c>
      <c r="AW153" s="310">
        <f t="shared" si="63"/>
        <v>0</v>
      </c>
      <c r="AX153" s="310">
        <f t="shared" si="63"/>
        <v>0</v>
      </c>
      <c r="AY153" s="310">
        <f t="shared" si="63"/>
        <v>0</v>
      </c>
      <c r="AZ153" s="310">
        <f t="shared" si="63"/>
        <v>0</v>
      </c>
      <c r="BA153" s="310">
        <f t="shared" si="63"/>
        <v>0</v>
      </c>
      <c r="BB153" s="310">
        <f t="shared" si="63"/>
        <v>0</v>
      </c>
      <c r="BC153" s="310">
        <f t="shared" si="63"/>
        <v>0</v>
      </c>
      <c r="BD153" s="310">
        <f t="shared" si="63"/>
        <v>0</v>
      </c>
      <c r="BE153" s="310">
        <f t="shared" si="63"/>
        <v>0</v>
      </c>
      <c r="BF153" s="310">
        <f t="shared" si="63"/>
        <v>0</v>
      </c>
      <c r="BG153" s="310">
        <f t="shared" si="63"/>
        <v>0</v>
      </c>
      <c r="BI153" s="238">
        <f>SUM(T153:BG153)</f>
        <v>-62121.426408088249</v>
      </c>
      <c r="BK153" s="333"/>
    </row>
    <row r="154" spans="2:63">
      <c r="C154" s="99">
        <f>AA!C14</f>
        <v>2</v>
      </c>
      <c r="E154" s="94" t="str">
        <f>INDEX(AA!$AC$13:$AC$15,MATCH($C154,AA!$C$13:$C$15,0))</f>
        <v>backup</v>
      </c>
      <c r="G154" s="1325">
        <f>INDEX(AA!$E$13:$E$15,MATCH($C154,AA!$C$13:$C$15,0))</f>
        <v>1</v>
      </c>
      <c r="I154" s="73" t="s">
        <v>654</v>
      </c>
      <c r="T154" s="310">
        <f t="shared" ref="T154:BG154" si="64">-IFERROR($K$153/4*(T37/SUM(T$36:T$38))*T$14,0)</f>
        <v>0</v>
      </c>
      <c r="U154" s="310">
        <f t="shared" si="64"/>
        <v>-6312.1905864763003</v>
      </c>
      <c r="V154" s="310">
        <f t="shared" si="64"/>
        <v>-4229.0117042893344</v>
      </c>
      <c r="W154" s="310">
        <f t="shared" si="64"/>
        <v>-4250</v>
      </c>
      <c r="X154" s="310">
        <f t="shared" si="64"/>
        <v>-4271.0924591861167</v>
      </c>
      <c r="Y154" s="310">
        <f t="shared" si="64"/>
        <v>-4292.2895988038845</v>
      </c>
      <c r="Z154" s="310">
        <f t="shared" si="64"/>
        <v>-4313.5919383751234</v>
      </c>
      <c r="AA154" s="310">
        <f t="shared" si="64"/>
        <v>-4335.0000000000027</v>
      </c>
      <c r="AB154" s="310">
        <f t="shared" si="64"/>
        <v>-4356.5143083698413</v>
      </c>
      <c r="AC154" s="310">
        <f t="shared" si="64"/>
        <v>-4378.1353907799639</v>
      </c>
      <c r="AD154" s="310">
        <f t="shared" si="64"/>
        <v>-4399.8637771426265</v>
      </c>
      <c r="AE154" s="310">
        <f t="shared" si="64"/>
        <v>-4421.7000000000035</v>
      </c>
      <c r="AF154" s="310">
        <f t="shared" si="64"/>
        <v>0</v>
      </c>
      <c r="AG154" s="310">
        <f t="shared" si="64"/>
        <v>0</v>
      </c>
      <c r="AH154" s="310">
        <f t="shared" si="64"/>
        <v>0</v>
      </c>
      <c r="AI154" s="310">
        <f t="shared" si="64"/>
        <v>0</v>
      </c>
      <c r="AJ154" s="310">
        <f t="shared" si="64"/>
        <v>0</v>
      </c>
      <c r="AK154" s="310">
        <f t="shared" si="64"/>
        <v>0</v>
      </c>
      <c r="AL154" s="310">
        <f t="shared" si="64"/>
        <v>0</v>
      </c>
      <c r="AM154" s="310">
        <f t="shared" si="64"/>
        <v>0</v>
      </c>
      <c r="AN154" s="310">
        <f t="shared" si="64"/>
        <v>0</v>
      </c>
      <c r="AO154" s="310">
        <f t="shared" si="64"/>
        <v>0</v>
      </c>
      <c r="AP154" s="310">
        <f t="shared" si="64"/>
        <v>0</v>
      </c>
      <c r="AQ154" s="310">
        <f t="shared" si="64"/>
        <v>0</v>
      </c>
      <c r="AR154" s="310">
        <f t="shared" si="64"/>
        <v>0</v>
      </c>
      <c r="AS154" s="310">
        <f t="shared" si="64"/>
        <v>0</v>
      </c>
      <c r="AT154" s="310">
        <f t="shared" si="64"/>
        <v>0</v>
      </c>
      <c r="AU154" s="310">
        <f t="shared" si="64"/>
        <v>0</v>
      </c>
      <c r="AV154" s="310">
        <f t="shared" si="64"/>
        <v>0</v>
      </c>
      <c r="AW154" s="310">
        <f t="shared" si="64"/>
        <v>0</v>
      </c>
      <c r="AX154" s="310">
        <f t="shared" si="64"/>
        <v>0</v>
      </c>
      <c r="AY154" s="310">
        <f t="shared" si="64"/>
        <v>0</v>
      </c>
      <c r="AZ154" s="310">
        <f t="shared" si="64"/>
        <v>0</v>
      </c>
      <c r="BA154" s="310">
        <f t="shared" si="64"/>
        <v>0</v>
      </c>
      <c r="BB154" s="310">
        <f t="shared" si="64"/>
        <v>0</v>
      </c>
      <c r="BC154" s="310">
        <f t="shared" si="64"/>
        <v>0</v>
      </c>
      <c r="BD154" s="310">
        <f t="shared" si="64"/>
        <v>0</v>
      </c>
      <c r="BE154" s="310">
        <f t="shared" si="64"/>
        <v>0</v>
      </c>
      <c r="BF154" s="310">
        <f t="shared" si="64"/>
        <v>0</v>
      </c>
      <c r="BG154" s="310">
        <f t="shared" si="64"/>
        <v>0</v>
      </c>
      <c r="BI154" s="240">
        <f t="shared" ref="BI154" si="65">SUM(T154:BG154)</f>
        <v>-49559.389763423205</v>
      </c>
      <c r="BK154" s="334"/>
    </row>
    <row r="155" spans="2:63">
      <c r="C155" s="99">
        <f>AA!C15</f>
        <v>3</v>
      </c>
      <c r="E155" s="94" t="str">
        <f>INDEX(AA!$AC$13:$AC$15,MATCH($C155,AA!$C$13:$C$15,0))</f>
        <v>backup</v>
      </c>
      <c r="G155" s="1325">
        <f>INDEX(AA!$E$13:$E$15,MATCH($C155,AA!$C$13:$C$15,0))</f>
        <v>1</v>
      </c>
      <c r="I155" s="73" t="s">
        <v>654</v>
      </c>
      <c r="T155" s="310">
        <f t="shared" ref="T155:BG155" si="66">-IFERROR($K$153/4*(T38/SUM(T$36:T$38))*T$14,0)</f>
        <v>0</v>
      </c>
      <c r="U155" s="310">
        <f t="shared" si="66"/>
        <v>0</v>
      </c>
      <c r="V155" s="310">
        <f t="shared" si="66"/>
        <v>-4229.0117042893344</v>
      </c>
      <c r="W155" s="310">
        <f t="shared" si="66"/>
        <v>-4250</v>
      </c>
      <c r="X155" s="310">
        <f t="shared" si="66"/>
        <v>-4271.0924591861167</v>
      </c>
      <c r="Y155" s="310">
        <f t="shared" si="66"/>
        <v>-4292.2895988038845</v>
      </c>
      <c r="Z155" s="310">
        <f t="shared" si="66"/>
        <v>-4313.5919383751234</v>
      </c>
      <c r="AA155" s="310">
        <f t="shared" si="66"/>
        <v>-4335.0000000000027</v>
      </c>
      <c r="AB155" s="310">
        <f t="shared" si="66"/>
        <v>-4356.5143083698413</v>
      </c>
      <c r="AC155" s="310">
        <f t="shared" si="66"/>
        <v>-4378.1353907799639</v>
      </c>
      <c r="AD155" s="310">
        <f t="shared" si="66"/>
        <v>-4399.8637771426265</v>
      </c>
      <c r="AE155" s="310">
        <f t="shared" si="66"/>
        <v>-4421.7000000000035</v>
      </c>
      <c r="AF155" s="310">
        <f t="shared" si="66"/>
        <v>0</v>
      </c>
      <c r="AG155" s="310">
        <f t="shared" si="66"/>
        <v>0</v>
      </c>
      <c r="AH155" s="310">
        <f t="shared" si="66"/>
        <v>0</v>
      </c>
      <c r="AI155" s="310">
        <f t="shared" si="66"/>
        <v>0</v>
      </c>
      <c r="AJ155" s="310">
        <f t="shared" si="66"/>
        <v>0</v>
      </c>
      <c r="AK155" s="310">
        <f t="shared" si="66"/>
        <v>0</v>
      </c>
      <c r="AL155" s="310">
        <f t="shared" si="66"/>
        <v>0</v>
      </c>
      <c r="AM155" s="310">
        <f t="shared" si="66"/>
        <v>0</v>
      </c>
      <c r="AN155" s="310">
        <f t="shared" si="66"/>
        <v>0</v>
      </c>
      <c r="AO155" s="310">
        <f t="shared" si="66"/>
        <v>0</v>
      </c>
      <c r="AP155" s="310">
        <f t="shared" si="66"/>
        <v>0</v>
      </c>
      <c r="AQ155" s="310">
        <f t="shared" si="66"/>
        <v>0</v>
      </c>
      <c r="AR155" s="310">
        <f t="shared" si="66"/>
        <v>0</v>
      </c>
      <c r="AS155" s="310">
        <f t="shared" si="66"/>
        <v>0</v>
      </c>
      <c r="AT155" s="310">
        <f t="shared" si="66"/>
        <v>0</v>
      </c>
      <c r="AU155" s="310">
        <f t="shared" si="66"/>
        <v>0</v>
      </c>
      <c r="AV155" s="310">
        <f t="shared" si="66"/>
        <v>0</v>
      </c>
      <c r="AW155" s="310">
        <f t="shared" si="66"/>
        <v>0</v>
      </c>
      <c r="AX155" s="310">
        <f t="shared" si="66"/>
        <v>0</v>
      </c>
      <c r="AY155" s="310">
        <f t="shared" si="66"/>
        <v>0</v>
      </c>
      <c r="AZ155" s="310">
        <f t="shared" si="66"/>
        <v>0</v>
      </c>
      <c r="BA155" s="310">
        <f t="shared" si="66"/>
        <v>0</v>
      </c>
      <c r="BB155" s="310">
        <f t="shared" si="66"/>
        <v>0</v>
      </c>
      <c r="BC155" s="310">
        <f t="shared" si="66"/>
        <v>0</v>
      </c>
      <c r="BD155" s="310">
        <f t="shared" si="66"/>
        <v>0</v>
      </c>
      <c r="BE155" s="310">
        <f t="shared" si="66"/>
        <v>0</v>
      </c>
      <c r="BF155" s="310">
        <f t="shared" si="66"/>
        <v>0</v>
      </c>
      <c r="BG155" s="310">
        <f t="shared" si="66"/>
        <v>0</v>
      </c>
      <c r="BI155" s="240">
        <f t="shared" ref="BI155" si="67">SUM(T155:BG155)</f>
        <v>-43247.199176946902</v>
      </c>
      <c r="BK155" s="334"/>
    </row>
    <row r="156" spans="2:63">
      <c r="C156" s="269"/>
      <c r="E156" s="269"/>
      <c r="G156" s="269"/>
      <c r="I156" s="269"/>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BI156" s="269"/>
      <c r="BK156" s="269"/>
    </row>
    <row r="158" spans="2:63" s="90" customFormat="1">
      <c r="B158" s="91">
        <f ca="1">MAX(A$1:$B150)+1</f>
        <v>20</v>
      </c>
      <c r="C158" s="92" t="s">
        <v>673</v>
      </c>
    </row>
    <row r="160" spans="2:63" ht="30">
      <c r="C160" s="97" t="s">
        <v>4</v>
      </c>
      <c r="E160" s="97" t="s">
        <v>6</v>
      </c>
      <c r="G160" s="101" t="s">
        <v>272</v>
      </c>
      <c r="I160" s="101" t="s">
        <v>150</v>
      </c>
      <c r="K160" s="166"/>
      <c r="M160" s="166"/>
      <c r="BI160" s="327" t="s">
        <v>152</v>
      </c>
      <c r="BK160" s="1210" t="s">
        <v>1077</v>
      </c>
    </row>
    <row r="161" spans="2:63">
      <c r="C161" s="99">
        <f>AA!C13</f>
        <v>1</v>
      </c>
      <c r="E161" s="93" t="str">
        <f>INDEX(AA!$AC$13:$AC$15,MATCH($C161,AA!$C$13:$C$15,0))</f>
        <v>backup</v>
      </c>
      <c r="G161" s="1324">
        <f>INDEX(AA!$E$13:$E$15,MATCH($C161,AA!$C$13:$C$15,0))</f>
        <v>1</v>
      </c>
      <c r="I161" s="72" t="s">
        <v>522</v>
      </c>
      <c r="K161" s="259"/>
      <c r="M161" s="259"/>
      <c r="T161" s="310">
        <f t="shared" ref="T161:BG161" si="68">(T132+T139+T146+T153)*T20</f>
        <v>9133.0364048489646</v>
      </c>
      <c r="U161" s="310">
        <f t="shared" si="68"/>
        <v>15422.10582177715</v>
      </c>
      <c r="V161" s="310">
        <f t="shared" si="68"/>
        <v>17544.561344890019</v>
      </c>
      <c r="W161" s="310">
        <f t="shared" si="68"/>
        <v>17562.902972381144</v>
      </c>
      <c r="X161" s="310">
        <f t="shared" si="68"/>
        <v>17581.193718268325</v>
      </c>
      <c r="Y161" s="310">
        <f t="shared" si="68"/>
        <v>17599.43306469376</v>
      </c>
      <c r="Z161" s="310">
        <f t="shared" si="68"/>
        <v>17617.620490733472</v>
      </c>
      <c r="AA161" s="310">
        <f t="shared" si="68"/>
        <v>17635.75547238113</v>
      </c>
      <c r="AB161" s="310">
        <f t="shared" si="68"/>
        <v>17653.837482531813</v>
      </c>
      <c r="AC161" s="310">
        <f t="shared" si="68"/>
        <v>17671.865990965711</v>
      </c>
      <c r="AD161" s="310">
        <f t="shared" si="68"/>
        <v>17689.840464331759</v>
      </c>
      <c r="AE161" s="310">
        <f t="shared" si="68"/>
        <v>17707.760366131122</v>
      </c>
      <c r="AF161" s="310">
        <f t="shared" si="68"/>
        <v>0</v>
      </c>
      <c r="AG161" s="310">
        <f t="shared" si="68"/>
        <v>0</v>
      </c>
      <c r="AH161" s="310">
        <f t="shared" si="68"/>
        <v>0</v>
      </c>
      <c r="AI161" s="310">
        <f t="shared" si="68"/>
        <v>0</v>
      </c>
      <c r="AJ161" s="310">
        <f t="shared" si="68"/>
        <v>0</v>
      </c>
      <c r="AK161" s="310">
        <f t="shared" si="68"/>
        <v>0</v>
      </c>
      <c r="AL161" s="310">
        <f t="shared" si="68"/>
        <v>0</v>
      </c>
      <c r="AM161" s="310">
        <f t="shared" si="68"/>
        <v>0</v>
      </c>
      <c r="AN161" s="310">
        <f t="shared" si="68"/>
        <v>0</v>
      </c>
      <c r="AO161" s="310">
        <f t="shared" si="68"/>
        <v>0</v>
      </c>
      <c r="AP161" s="310">
        <f t="shared" si="68"/>
        <v>0</v>
      </c>
      <c r="AQ161" s="310">
        <f t="shared" si="68"/>
        <v>0</v>
      </c>
      <c r="AR161" s="310">
        <f t="shared" si="68"/>
        <v>0</v>
      </c>
      <c r="AS161" s="310">
        <f t="shared" si="68"/>
        <v>0</v>
      </c>
      <c r="AT161" s="310">
        <f t="shared" si="68"/>
        <v>0</v>
      </c>
      <c r="AU161" s="310">
        <f t="shared" si="68"/>
        <v>0</v>
      </c>
      <c r="AV161" s="310">
        <f t="shared" si="68"/>
        <v>0</v>
      </c>
      <c r="AW161" s="310">
        <f t="shared" si="68"/>
        <v>0</v>
      </c>
      <c r="AX161" s="310">
        <f t="shared" si="68"/>
        <v>0</v>
      </c>
      <c r="AY161" s="310">
        <f t="shared" si="68"/>
        <v>0</v>
      </c>
      <c r="AZ161" s="310">
        <f t="shared" si="68"/>
        <v>0</v>
      </c>
      <c r="BA161" s="310">
        <f t="shared" si="68"/>
        <v>0</v>
      </c>
      <c r="BB161" s="310">
        <f t="shared" si="68"/>
        <v>0</v>
      </c>
      <c r="BC161" s="310">
        <f t="shared" si="68"/>
        <v>0</v>
      </c>
      <c r="BD161" s="310">
        <f t="shared" si="68"/>
        <v>0</v>
      </c>
      <c r="BE161" s="310">
        <f t="shared" si="68"/>
        <v>0</v>
      </c>
      <c r="BF161" s="310">
        <f t="shared" si="68"/>
        <v>0</v>
      </c>
      <c r="BG161" s="310">
        <f t="shared" si="68"/>
        <v>0</v>
      </c>
      <c r="BI161" s="238">
        <f>SUM(T161:BG161)</f>
        <v>200819.91359393438</v>
      </c>
      <c r="BK161" s="321">
        <f>SUMPRODUCT($T161:$BG161,$T28:$BG28)</f>
        <v>17707.760366131122</v>
      </c>
    </row>
    <row r="162" spans="2:63">
      <c r="C162" s="99">
        <f>AA!C14</f>
        <v>2</v>
      </c>
      <c r="E162" s="94" t="str">
        <f>INDEX(AA!$AC$13:$AC$15,MATCH($C162,AA!$C$13:$C$15,0))</f>
        <v>backup</v>
      </c>
      <c r="G162" s="1325">
        <f>INDEX(AA!$E$13:$E$15,MATCH($C162,AA!$C$13:$C$15,0))</f>
        <v>1</v>
      </c>
      <c r="I162" s="73" t="s">
        <v>522</v>
      </c>
      <c r="K162" s="259"/>
      <c r="M162" s="259"/>
      <c r="T162" s="310">
        <f t="shared" ref="T162:BG162" si="69">(T133+T140+T147+T154)*T21</f>
        <v>0</v>
      </c>
      <c r="U162" s="310">
        <f t="shared" si="69"/>
        <v>14905.498027888541</v>
      </c>
      <c r="V162" s="310">
        <f t="shared" si="69"/>
        <v>17027.391674695398</v>
      </c>
      <c r="W162" s="310">
        <f t="shared" si="69"/>
        <v>17045.17270091307</v>
      </c>
      <c r="X162" s="310">
        <f t="shared" si="69"/>
        <v>17062.90413448515</v>
      </c>
      <c r="Y162" s="310">
        <f t="shared" si="69"/>
        <v>17080.585471562943</v>
      </c>
      <c r="Z162" s="310">
        <f t="shared" si="69"/>
        <v>17098.216205315333</v>
      </c>
      <c r="AA162" s="310">
        <f t="shared" si="69"/>
        <v>17115.795825913061</v>
      </c>
      <c r="AB162" s="310">
        <f t="shared" si="69"/>
        <v>17133.323820512906</v>
      </c>
      <c r="AC162" s="310">
        <f t="shared" si="69"/>
        <v>17150.799673241883</v>
      </c>
      <c r="AD162" s="310">
        <f t="shared" si="69"/>
        <v>17168.222865181262</v>
      </c>
      <c r="AE162" s="310">
        <f t="shared" si="69"/>
        <v>17185.592874350546</v>
      </c>
      <c r="AF162" s="310">
        <f t="shared" si="69"/>
        <v>0</v>
      </c>
      <c r="AG162" s="310">
        <f t="shared" si="69"/>
        <v>0</v>
      </c>
      <c r="AH162" s="310">
        <f t="shared" si="69"/>
        <v>0</v>
      </c>
      <c r="AI162" s="310">
        <f t="shared" si="69"/>
        <v>0</v>
      </c>
      <c r="AJ162" s="310">
        <f t="shared" si="69"/>
        <v>0</v>
      </c>
      <c r="AK162" s="310">
        <f t="shared" si="69"/>
        <v>0</v>
      </c>
      <c r="AL162" s="310">
        <f t="shared" si="69"/>
        <v>0</v>
      </c>
      <c r="AM162" s="310">
        <f t="shared" si="69"/>
        <v>0</v>
      </c>
      <c r="AN162" s="310">
        <f t="shared" si="69"/>
        <v>0</v>
      </c>
      <c r="AO162" s="310">
        <f t="shared" si="69"/>
        <v>0</v>
      </c>
      <c r="AP162" s="310">
        <f t="shared" si="69"/>
        <v>0</v>
      </c>
      <c r="AQ162" s="310">
        <f t="shared" si="69"/>
        <v>0</v>
      </c>
      <c r="AR162" s="310">
        <f t="shared" si="69"/>
        <v>0</v>
      </c>
      <c r="AS162" s="310">
        <f t="shared" si="69"/>
        <v>0</v>
      </c>
      <c r="AT162" s="310">
        <f t="shared" si="69"/>
        <v>0</v>
      </c>
      <c r="AU162" s="310">
        <f t="shared" si="69"/>
        <v>0</v>
      </c>
      <c r="AV162" s="310">
        <f t="shared" si="69"/>
        <v>0</v>
      </c>
      <c r="AW162" s="310">
        <f t="shared" si="69"/>
        <v>0</v>
      </c>
      <c r="AX162" s="310">
        <f t="shared" si="69"/>
        <v>0</v>
      </c>
      <c r="AY162" s="310">
        <f t="shared" si="69"/>
        <v>0</v>
      </c>
      <c r="AZ162" s="310">
        <f t="shared" si="69"/>
        <v>0</v>
      </c>
      <c r="BA162" s="310">
        <f t="shared" si="69"/>
        <v>0</v>
      </c>
      <c r="BB162" s="310">
        <f t="shared" si="69"/>
        <v>0</v>
      </c>
      <c r="BC162" s="310">
        <f t="shared" si="69"/>
        <v>0</v>
      </c>
      <c r="BD162" s="310">
        <f t="shared" si="69"/>
        <v>0</v>
      </c>
      <c r="BE162" s="310">
        <f t="shared" si="69"/>
        <v>0</v>
      </c>
      <c r="BF162" s="310">
        <f t="shared" si="69"/>
        <v>0</v>
      </c>
      <c r="BG162" s="310">
        <f t="shared" si="69"/>
        <v>0</v>
      </c>
      <c r="BI162" s="240">
        <f t="shared" ref="BI162" si="70">SUM(T162:BG162)</f>
        <v>185973.50327406009</v>
      </c>
      <c r="BK162" s="321">
        <f>SUMPRODUCT($T162:$BG162,$T29:$BG29)</f>
        <v>17185.592874350546</v>
      </c>
    </row>
    <row r="163" spans="2:63">
      <c r="C163" s="99">
        <f>AA!C15</f>
        <v>3</v>
      </c>
      <c r="E163" s="94" t="str">
        <f>INDEX(AA!$AC$13:$AC$15,MATCH($C163,AA!$C$13:$C$15,0))</f>
        <v>backup</v>
      </c>
      <c r="G163" s="1325">
        <f>INDEX(AA!$E$13:$E$15,MATCH($C163,AA!$C$13:$C$15,0))</f>
        <v>1</v>
      </c>
      <c r="I163" s="73" t="s">
        <v>522</v>
      </c>
      <c r="K163" s="259"/>
      <c r="M163" s="259"/>
      <c r="T163" s="310">
        <f t="shared" ref="T163:BG163" si="71">(T134+T141+T148+T155)*T22</f>
        <v>0</v>
      </c>
      <c r="U163" s="310">
        <f t="shared" si="71"/>
        <v>0</v>
      </c>
      <c r="V163" s="310">
        <f t="shared" si="71"/>
        <v>17432.702255411175</v>
      </c>
      <c r="W163" s="310">
        <f t="shared" si="71"/>
        <v>17453.043076705777</v>
      </c>
      <c r="X163" s="310">
        <f t="shared" si="71"/>
        <v>17473.348245337758</v>
      </c>
      <c r="Y163" s="310">
        <f t="shared" si="71"/>
        <v>17493.617328952452</v>
      </c>
      <c r="Z163" s="310">
        <f t="shared" si="71"/>
        <v>17513.849892571849</v>
      </c>
      <c r="AA163" s="310">
        <f t="shared" si="71"/>
        <v>17534.045498580766</v>
      </c>
      <c r="AB163" s="310">
        <f t="shared" si="71"/>
        <v>17554.203706712789</v>
      </c>
      <c r="AC163" s="310">
        <f t="shared" si="71"/>
        <v>17574.324074036256</v>
      </c>
      <c r="AD163" s="310">
        <f t="shared" si="71"/>
        <v>17594.406154940141</v>
      </c>
      <c r="AE163" s="310">
        <f t="shared" si="71"/>
        <v>17614.449501119816</v>
      </c>
      <c r="AF163" s="310">
        <f t="shared" si="71"/>
        <v>0</v>
      </c>
      <c r="AG163" s="310">
        <f t="shared" si="71"/>
        <v>0</v>
      </c>
      <c r="AH163" s="310">
        <f t="shared" si="71"/>
        <v>0</v>
      </c>
      <c r="AI163" s="310">
        <f t="shared" si="71"/>
        <v>0</v>
      </c>
      <c r="AJ163" s="310">
        <f t="shared" si="71"/>
        <v>0</v>
      </c>
      <c r="AK163" s="310">
        <f t="shared" si="71"/>
        <v>0</v>
      </c>
      <c r="AL163" s="310">
        <f t="shared" si="71"/>
        <v>0</v>
      </c>
      <c r="AM163" s="310">
        <f t="shared" si="71"/>
        <v>0</v>
      </c>
      <c r="AN163" s="310">
        <f t="shared" si="71"/>
        <v>0</v>
      </c>
      <c r="AO163" s="310">
        <f t="shared" si="71"/>
        <v>0</v>
      </c>
      <c r="AP163" s="310">
        <f t="shared" si="71"/>
        <v>0</v>
      </c>
      <c r="AQ163" s="310">
        <f t="shared" si="71"/>
        <v>0</v>
      </c>
      <c r="AR163" s="310">
        <f t="shared" si="71"/>
        <v>0</v>
      </c>
      <c r="AS163" s="310">
        <f t="shared" si="71"/>
        <v>0</v>
      </c>
      <c r="AT163" s="310">
        <f t="shared" si="71"/>
        <v>0</v>
      </c>
      <c r="AU163" s="310">
        <f t="shared" si="71"/>
        <v>0</v>
      </c>
      <c r="AV163" s="310">
        <f t="shared" si="71"/>
        <v>0</v>
      </c>
      <c r="AW163" s="310">
        <f t="shared" si="71"/>
        <v>0</v>
      </c>
      <c r="AX163" s="310">
        <f t="shared" si="71"/>
        <v>0</v>
      </c>
      <c r="AY163" s="310">
        <f t="shared" si="71"/>
        <v>0</v>
      </c>
      <c r="AZ163" s="310">
        <f t="shared" si="71"/>
        <v>0</v>
      </c>
      <c r="BA163" s="310">
        <f t="shared" si="71"/>
        <v>0</v>
      </c>
      <c r="BB163" s="310">
        <f t="shared" si="71"/>
        <v>0</v>
      </c>
      <c r="BC163" s="310">
        <f t="shared" si="71"/>
        <v>0</v>
      </c>
      <c r="BD163" s="310">
        <f t="shared" si="71"/>
        <v>0</v>
      </c>
      <c r="BE163" s="310">
        <f t="shared" si="71"/>
        <v>0</v>
      </c>
      <c r="BF163" s="310">
        <f t="shared" si="71"/>
        <v>0</v>
      </c>
      <c r="BG163" s="310">
        <f t="shared" si="71"/>
        <v>0</v>
      </c>
      <c r="BI163" s="240">
        <f t="shared" ref="BI163" si="72">SUM(T163:BG163)</f>
        <v>175237.98973436878</v>
      </c>
      <c r="BK163" s="321">
        <f>SUMPRODUCT($T163:$BG163,$T30:$BG30)</f>
        <v>17614.449501119816</v>
      </c>
    </row>
    <row r="164" spans="2:63">
      <c r="C164" s="269"/>
      <c r="E164" s="269"/>
      <c r="G164" s="269"/>
      <c r="I164" s="269"/>
      <c r="BI164" s="269"/>
      <c r="BK164" s="269"/>
    </row>
    <row r="166" spans="2:63" s="90" customFormat="1">
      <c r="B166" s="91">
        <f ca="1">MAX(A$1:$B165)+1</f>
        <v>21</v>
      </c>
      <c r="C166" s="92" t="s">
        <v>443</v>
      </c>
    </row>
    <row r="168" spans="2:63" ht="30">
      <c r="C168" s="97" t="s">
        <v>4</v>
      </c>
      <c r="E168" s="97" t="s">
        <v>6</v>
      </c>
      <c r="G168" s="101" t="s">
        <v>272</v>
      </c>
      <c r="I168" s="101" t="s">
        <v>150</v>
      </c>
      <c r="BI168" s="327" t="s">
        <v>152</v>
      </c>
      <c r="BK168" s="328" t="s">
        <v>320</v>
      </c>
    </row>
    <row r="169" spans="2:63">
      <c r="C169" s="99">
        <f>AA!C13</f>
        <v>1</v>
      </c>
      <c r="E169" s="93" t="str">
        <f>INDEX(AA!$AC$13:$AC$15,MATCH($C169,AA!$C$13:$C$15,0))</f>
        <v>backup</v>
      </c>
      <c r="G169" s="1324">
        <f>INDEX(AA!$E$13:$E$15,MATCH($C169,AA!$C$13:$C$15,0))</f>
        <v>1</v>
      </c>
      <c r="I169" s="72" t="s">
        <v>318</v>
      </c>
      <c r="T169" s="403">
        <f>(SUMIFS(IP!T$101:T$103,IP!$C$101:$C$103,$C169)+SUMIFS(RN!T$98:T$100,RN!$C$98:$C$100,$C169)+SUMIFS(RL!T$92:T$94,RL!$C$92:$C$94,$C169)+SUMIFS(LU!T$92:T$94,LU!$C$92:$C$94,$C169))*T20</f>
        <v>0</v>
      </c>
      <c r="U169" s="403">
        <f>(SUMIFS(IP!U$101:U$103,IP!$C$101:$C$103,$C169)+SUMIFS(RN!U$98:U$100,RN!$C$98:$C$100,$C169)+SUMIFS(RL!U$92:U$94,RL!$C$92:$C$94,$C169)+SUMIFS(LU!U$92:U$94,LU!$C$92:$C$94,$C169))*U20</f>
        <v>0</v>
      </c>
      <c r="V169" s="403">
        <f>(SUMIFS(IP!V$101:V$103,IP!$C$101:$C$103,$C169)+SUMIFS(RN!V$98:V$100,RN!$C$98:$C$100,$C169)+SUMIFS(RL!V$92:V$94,RL!$C$92:$C$94,$C169)+SUMIFS(LU!V$92:V$94,LU!$C$92:$C$94,$C169))*V20</f>
        <v>0</v>
      </c>
      <c r="W169" s="403">
        <f>(SUMIFS(IP!W$101:W$103,IP!$C$101:$C$103,$C169)+SUMIFS(RN!W$98:W$100,RN!$C$98:$C$100,$C169)+SUMIFS(RL!W$92:W$94,RL!$C$92:$C$94,$C169)+SUMIFS(LU!W$92:W$94,LU!$C$92:$C$94,$C169))*W20</f>
        <v>0</v>
      </c>
      <c r="X169" s="403">
        <f>(SUMIFS(IP!X$101:X$103,IP!$C$101:$C$103,$C169)+SUMIFS(RN!X$98:X$100,RN!$C$98:$C$100,$C169)+SUMIFS(RL!X$92:X$94,RL!$C$92:$C$94,$C169)+SUMIFS(LU!X$92:X$94,LU!$C$92:$C$94,$C169))*X20</f>
        <v>0</v>
      </c>
      <c r="Y169" s="403">
        <f>(SUMIFS(IP!Y$101:Y$103,IP!$C$101:$C$103,$C169)+SUMIFS(RN!Y$98:Y$100,RN!$C$98:$C$100,$C169)+SUMIFS(RL!Y$92:Y$94,RL!$C$92:$C$94,$C169)+SUMIFS(LU!Y$92:Y$94,LU!$C$92:$C$94,$C169))*Y20</f>
        <v>0</v>
      </c>
      <c r="Z169" s="403">
        <f>(SUMIFS(IP!Z$101:Z$103,IP!$C$101:$C$103,$C169)+SUMIFS(RN!Z$98:Z$100,RN!$C$98:$C$100,$C169)+SUMIFS(RL!Z$92:Z$94,RL!$C$92:$C$94,$C169)+SUMIFS(LU!Z$92:Z$94,LU!$C$92:$C$94,$C169))*Z20</f>
        <v>0</v>
      </c>
      <c r="AA169" s="403">
        <f>(SUMIFS(IP!AA$101:AA$103,IP!$C$101:$C$103,$C169)+SUMIFS(RN!AA$98:AA$100,RN!$C$98:$C$100,$C169)+SUMIFS(RL!AA$92:AA$94,RL!$C$92:$C$94,$C169)+SUMIFS(LU!AA$92:AA$94,LU!$C$92:$C$94,$C169))*AA20</f>
        <v>0</v>
      </c>
      <c r="AB169" s="403">
        <f>(SUMIFS(IP!AB$101:AB$103,IP!$C$101:$C$103,$C169)+SUMIFS(RN!AB$98:AB$100,RN!$C$98:$C$100,$C169)+SUMIFS(RL!AB$92:AB$94,RL!$C$92:$C$94,$C169)+SUMIFS(LU!AB$92:AB$94,LU!$C$92:$C$94,$C169))*AB20</f>
        <v>0</v>
      </c>
      <c r="AC169" s="403">
        <f>(SUMIFS(IP!AC$101:AC$103,IP!$C$101:$C$103,$C169)+SUMIFS(RN!AC$98:AC$100,RN!$C$98:$C$100,$C169)+SUMIFS(RL!AC$92:AC$94,RL!$C$92:$C$94,$C169)+SUMIFS(LU!AC$92:AC$94,LU!$C$92:$C$94,$C169))*AC20</f>
        <v>0</v>
      </c>
      <c r="AD169" s="403">
        <f>(SUMIFS(IP!AD$101:AD$103,IP!$C$101:$C$103,$C169)+SUMIFS(RN!AD$98:AD$100,RN!$C$98:$C$100,$C169)+SUMIFS(RL!AD$92:AD$94,RL!$C$92:$C$94,$C169)+SUMIFS(LU!AD$92:AD$94,LU!$C$92:$C$94,$C169))*AD20</f>
        <v>0</v>
      </c>
      <c r="AE169" s="403">
        <f>(SUMIFS(IP!AE$101:AE$103,IP!$C$101:$C$103,$C169)+SUMIFS(RN!AE$98:AE$100,RN!$C$98:$C$100,$C169)+SUMIFS(RL!AE$92:AE$94,RL!$C$92:$C$94,$C169)+SUMIFS(LU!AE$92:AE$94,LU!$C$92:$C$94,$C169))*AE20</f>
        <v>0</v>
      </c>
      <c r="AF169" s="403">
        <f>(SUMIFS(IP!AF$101:AF$103,IP!$C$101:$C$103,$C169)+SUMIFS(RN!AF$98:AF$100,RN!$C$98:$C$100,$C169)+SUMIFS(RL!AF$92:AF$94,RL!$C$92:$C$94,$C169)+SUMIFS(LU!AF$92:AF$94,LU!$C$92:$C$94,$C169))*AF20</f>
        <v>0</v>
      </c>
      <c r="AG169" s="403">
        <f>(SUMIFS(IP!AG$101:AG$103,IP!$C$101:$C$103,$C169)+SUMIFS(RN!AG$98:AG$100,RN!$C$98:$C$100,$C169)+SUMIFS(RL!AG$92:AG$94,RL!$C$92:$C$94,$C169)+SUMIFS(LU!AG$92:AG$94,LU!$C$92:$C$94,$C169))*AG20</f>
        <v>0</v>
      </c>
      <c r="AH169" s="403">
        <f>(SUMIFS(IP!AH$101:AH$103,IP!$C$101:$C$103,$C169)+SUMIFS(RN!AH$98:AH$100,RN!$C$98:$C$100,$C169)+SUMIFS(RL!AH$92:AH$94,RL!$C$92:$C$94,$C169)+SUMIFS(LU!AH$92:AH$94,LU!$C$92:$C$94,$C169))*AH20</f>
        <v>0</v>
      </c>
      <c r="AI169" s="403">
        <f>(SUMIFS(IP!AI$101:AI$103,IP!$C$101:$C$103,$C169)+SUMIFS(RN!AI$98:AI$100,RN!$C$98:$C$100,$C169)+SUMIFS(RL!AI$92:AI$94,RL!$C$92:$C$94,$C169)+SUMIFS(LU!AI$92:AI$94,LU!$C$92:$C$94,$C169))*AI20</f>
        <v>0</v>
      </c>
      <c r="AJ169" s="403">
        <f>(SUMIFS(IP!AJ$101:AJ$103,IP!$C$101:$C$103,$C169)+SUMIFS(RN!AJ$98:AJ$100,RN!$C$98:$C$100,$C169)+SUMIFS(RL!AJ$92:AJ$94,RL!$C$92:$C$94,$C169)+SUMIFS(LU!AJ$92:AJ$94,LU!$C$92:$C$94,$C169))*AJ20</f>
        <v>0</v>
      </c>
      <c r="AK169" s="403">
        <f>(SUMIFS(IP!AK$101:AK$103,IP!$C$101:$C$103,$C169)+SUMIFS(RN!AK$98:AK$100,RN!$C$98:$C$100,$C169)+SUMIFS(RL!AK$92:AK$94,RL!$C$92:$C$94,$C169)+SUMIFS(LU!AK$92:AK$94,LU!$C$92:$C$94,$C169))*AK20</f>
        <v>0</v>
      </c>
      <c r="AL169" s="403">
        <f>(SUMIFS(IP!AL$101:AL$103,IP!$C$101:$C$103,$C169)+SUMIFS(RN!AL$98:AL$100,RN!$C$98:$C$100,$C169)+SUMIFS(RL!AL$92:AL$94,RL!$C$92:$C$94,$C169)+SUMIFS(LU!AL$92:AL$94,LU!$C$92:$C$94,$C169))*AL20</f>
        <v>0</v>
      </c>
      <c r="AM169" s="403">
        <f>(SUMIFS(IP!AM$101:AM$103,IP!$C$101:$C$103,$C169)+SUMIFS(RN!AM$98:AM$100,RN!$C$98:$C$100,$C169)+SUMIFS(RL!AM$92:AM$94,RL!$C$92:$C$94,$C169)+SUMIFS(LU!AM$92:AM$94,LU!$C$92:$C$94,$C169))*AM20</f>
        <v>0</v>
      </c>
      <c r="AN169" s="403">
        <f>(SUMIFS(IP!AN$101:AN$103,IP!$C$101:$C$103,$C169)+SUMIFS(RN!AN$98:AN$100,RN!$C$98:$C$100,$C169)+SUMIFS(RL!AN$92:AN$94,RL!$C$92:$C$94,$C169)+SUMIFS(LU!AN$92:AN$94,LU!$C$92:$C$94,$C169))*AN20</f>
        <v>0</v>
      </c>
      <c r="AO169" s="403">
        <f>(SUMIFS(IP!AO$101:AO$103,IP!$C$101:$C$103,$C169)+SUMIFS(RN!AO$98:AO$100,RN!$C$98:$C$100,$C169)+SUMIFS(RL!AO$92:AO$94,RL!$C$92:$C$94,$C169)+SUMIFS(LU!AO$92:AO$94,LU!$C$92:$C$94,$C169))*AO20</f>
        <v>0</v>
      </c>
      <c r="AP169" s="403">
        <f>(SUMIFS(IP!AP$101:AP$103,IP!$C$101:$C$103,$C169)+SUMIFS(RN!AP$98:AP$100,RN!$C$98:$C$100,$C169)+SUMIFS(RL!AP$92:AP$94,RL!$C$92:$C$94,$C169)+SUMIFS(LU!AP$92:AP$94,LU!$C$92:$C$94,$C169))*AP20</f>
        <v>0</v>
      </c>
      <c r="AQ169" s="403">
        <f>(SUMIFS(IP!AQ$101:AQ$103,IP!$C$101:$C$103,$C169)+SUMIFS(RN!AQ$98:AQ$100,RN!$C$98:$C$100,$C169)+SUMIFS(RL!AQ$92:AQ$94,RL!$C$92:$C$94,$C169)+SUMIFS(LU!AQ$92:AQ$94,LU!$C$92:$C$94,$C169))*AQ20</f>
        <v>0</v>
      </c>
      <c r="AR169" s="403">
        <f>(SUMIFS(IP!AR$101:AR$103,IP!$C$101:$C$103,$C169)+SUMIFS(RN!AR$98:AR$100,RN!$C$98:$C$100,$C169)+SUMIFS(RL!AR$92:AR$94,RL!$C$92:$C$94,$C169)+SUMIFS(LU!AR$92:AR$94,LU!$C$92:$C$94,$C169))*AR20</f>
        <v>0</v>
      </c>
      <c r="AS169" s="403">
        <f>(SUMIFS(IP!AS$101:AS$103,IP!$C$101:$C$103,$C169)+SUMIFS(RN!AS$98:AS$100,RN!$C$98:$C$100,$C169)+SUMIFS(RL!AS$92:AS$94,RL!$C$92:$C$94,$C169)+SUMIFS(LU!AS$92:AS$94,LU!$C$92:$C$94,$C169))*AS20</f>
        <v>0</v>
      </c>
      <c r="AT169" s="403">
        <f>(SUMIFS(IP!AT$101:AT$103,IP!$C$101:$C$103,$C169)+SUMIFS(RN!AT$98:AT$100,RN!$C$98:$C$100,$C169)+SUMIFS(RL!AT$92:AT$94,RL!$C$92:$C$94,$C169)+SUMIFS(LU!AT$92:AT$94,LU!$C$92:$C$94,$C169))*AT20</f>
        <v>0</v>
      </c>
      <c r="AU169" s="403">
        <f>(SUMIFS(IP!AU$101:AU$103,IP!$C$101:$C$103,$C169)+SUMIFS(RN!AU$98:AU$100,RN!$C$98:$C$100,$C169)+SUMIFS(RL!AU$92:AU$94,RL!$C$92:$C$94,$C169)+SUMIFS(LU!AU$92:AU$94,LU!$C$92:$C$94,$C169))*AU20</f>
        <v>0</v>
      </c>
      <c r="AV169" s="403">
        <f>(SUMIFS(IP!AV$101:AV$103,IP!$C$101:$C$103,$C169)+SUMIFS(RN!AV$98:AV$100,RN!$C$98:$C$100,$C169)+SUMIFS(RL!AV$92:AV$94,RL!$C$92:$C$94,$C169)+SUMIFS(LU!AV$92:AV$94,LU!$C$92:$C$94,$C169))*AV20</f>
        <v>0</v>
      </c>
      <c r="AW169" s="403">
        <f>(SUMIFS(IP!AW$101:AW$103,IP!$C$101:$C$103,$C169)+SUMIFS(RN!AW$98:AW$100,RN!$C$98:$C$100,$C169)+SUMIFS(RL!AW$92:AW$94,RL!$C$92:$C$94,$C169)+SUMIFS(LU!AW$92:AW$94,LU!$C$92:$C$94,$C169))*AW20</f>
        <v>0</v>
      </c>
      <c r="AX169" s="403">
        <f>(SUMIFS(IP!AX$101:AX$103,IP!$C$101:$C$103,$C169)+SUMIFS(RN!AX$98:AX$100,RN!$C$98:$C$100,$C169)+SUMIFS(RL!AX$92:AX$94,RL!$C$92:$C$94,$C169)+SUMIFS(LU!AX$92:AX$94,LU!$C$92:$C$94,$C169))*AX20</f>
        <v>0</v>
      </c>
      <c r="AY169" s="403">
        <f>(SUMIFS(IP!AY$101:AY$103,IP!$C$101:$C$103,$C169)+SUMIFS(RN!AY$98:AY$100,RN!$C$98:$C$100,$C169)+SUMIFS(RL!AY$92:AY$94,RL!$C$92:$C$94,$C169)+SUMIFS(LU!AY$92:AY$94,LU!$C$92:$C$94,$C169))*AY20</f>
        <v>0</v>
      </c>
      <c r="AZ169" s="403">
        <f>(SUMIFS(IP!AZ$101:AZ$103,IP!$C$101:$C$103,$C169)+SUMIFS(RN!AZ$98:AZ$100,RN!$C$98:$C$100,$C169)+SUMIFS(RL!AZ$92:AZ$94,RL!$C$92:$C$94,$C169)+SUMIFS(LU!AZ$92:AZ$94,LU!$C$92:$C$94,$C169))*AZ20</f>
        <v>0</v>
      </c>
      <c r="BA169" s="403">
        <f>(SUMIFS(IP!BA$101:BA$103,IP!$C$101:$C$103,$C169)+SUMIFS(RN!BA$98:BA$100,RN!$C$98:$C$100,$C169)+SUMIFS(RL!BA$92:BA$94,RL!$C$92:$C$94,$C169)+SUMIFS(LU!BA$92:BA$94,LU!$C$92:$C$94,$C169))*BA20</f>
        <v>0</v>
      </c>
      <c r="BB169" s="403">
        <f>(SUMIFS(IP!BB$101:BB$103,IP!$C$101:$C$103,$C169)+SUMIFS(RN!BB$98:BB$100,RN!$C$98:$C$100,$C169)+SUMIFS(RL!BB$92:BB$94,RL!$C$92:$C$94,$C169)+SUMIFS(LU!BB$92:BB$94,LU!$C$92:$C$94,$C169))*BB20</f>
        <v>0</v>
      </c>
      <c r="BC169" s="403">
        <f>(SUMIFS(IP!BC$101:BC$103,IP!$C$101:$C$103,$C169)+SUMIFS(RN!BC$98:BC$100,RN!$C$98:$C$100,$C169)+SUMIFS(RL!BC$92:BC$94,RL!$C$92:$C$94,$C169)+SUMIFS(LU!BC$92:BC$94,LU!$C$92:$C$94,$C169))*BC20</f>
        <v>0</v>
      </c>
      <c r="BD169" s="403">
        <f>(SUMIFS(IP!BD$101:BD$103,IP!$C$101:$C$103,$C169)+SUMIFS(RN!BD$98:BD$100,RN!$C$98:$C$100,$C169)+SUMIFS(RL!BD$92:BD$94,RL!$C$92:$C$94,$C169)+SUMIFS(LU!BD$92:BD$94,LU!$C$92:$C$94,$C169))*BD20</f>
        <v>0</v>
      </c>
      <c r="BE169" s="403">
        <f>(SUMIFS(IP!BE$101:BE$103,IP!$C$101:$C$103,$C169)+SUMIFS(RN!BE$98:BE$100,RN!$C$98:$C$100,$C169)+SUMIFS(RL!BE$92:BE$94,RL!$C$92:$C$94,$C169)+SUMIFS(LU!BE$92:BE$94,LU!$C$92:$C$94,$C169))*BE20</f>
        <v>0</v>
      </c>
      <c r="BF169" s="403">
        <f>(SUMIFS(IP!BF$101:BF$103,IP!$C$101:$C$103,$C169)+SUMIFS(RN!BF$98:BF$100,RN!$C$98:$C$100,$C169)+SUMIFS(RL!BF$92:BF$94,RL!$C$92:$C$94,$C169)+SUMIFS(LU!BF$92:BF$94,LU!$C$92:$C$94,$C169))*BF20</f>
        <v>0</v>
      </c>
      <c r="BG169" s="403">
        <f>(SUMIFS(IP!BG$101:BG$103,IP!$C$101:$C$103,$C169)+SUMIFS(RN!BG$98:BG$100,RN!$C$98:$C$100,$C169)+SUMIFS(RL!BG$92:BG$94,RL!$C$92:$C$94,$C169)+SUMIFS(LU!BG$92:BG$94,LU!$C$92:$C$94,$C169))*BG20</f>
        <v>0</v>
      </c>
      <c r="BI169" s="238">
        <f>SUM(T169:BG169)</f>
        <v>0</v>
      </c>
      <c r="BK169" s="1399">
        <f>SUMIFS(IP!$BK$101:$BK$103,IP!$C$101:$C$103,$C169)+SUMIFS(RN!$BK$98:$BK$100,RN!$C$98:$C$100,$C169)+SUMIFS(RL!$BK$92:$BK$94,RL!$C$92:$C$94,$C169)+SUMIFS(LU!$BK$92:$BK$94,LU!$C$92:$C$94,$C169)</f>
        <v>0</v>
      </c>
    </row>
    <row r="170" spans="2:63">
      <c r="C170" s="99">
        <f>AA!C14</f>
        <v>2</v>
      </c>
      <c r="E170" s="94" t="str">
        <f>INDEX(AA!$AC$13:$AC$15,MATCH($C170,AA!$C$13:$C$15,0))</f>
        <v>backup</v>
      </c>
      <c r="G170" s="1325">
        <f>INDEX(AA!$E$13:$E$15,MATCH($C170,AA!$C$13:$C$15,0))</f>
        <v>1</v>
      </c>
      <c r="I170" s="73" t="s">
        <v>318</v>
      </c>
      <c r="T170" s="403">
        <f>(SUMIFS(IP!T$101:T$103,IP!$C$101:$C$103,$C170)+SUMIFS(RN!T$98:T$100,RN!$C$98:$C$100,$C170)+SUMIFS(RL!T$92:T$94,RL!$C$92:$C$94,$C170)+SUMIFS(LU!T$92:T$94,LU!$C$92:$C$94,$C170))*T21</f>
        <v>0</v>
      </c>
      <c r="U170" s="403">
        <f>(SUMIFS(IP!U$101:U$103,IP!$C$101:$C$103,$C170)+SUMIFS(RN!U$98:U$100,RN!$C$98:$C$100,$C170)+SUMIFS(RL!U$92:U$94,RL!$C$92:$C$94,$C170)+SUMIFS(LU!U$92:U$94,LU!$C$92:$C$94,$C170))*U21</f>
        <v>0</v>
      </c>
      <c r="V170" s="403">
        <f>(SUMIFS(IP!V$101:V$103,IP!$C$101:$C$103,$C170)+SUMIFS(RN!V$98:V$100,RN!$C$98:$C$100,$C170)+SUMIFS(RL!V$92:V$94,RL!$C$92:$C$94,$C170)+SUMIFS(LU!V$92:V$94,LU!$C$92:$C$94,$C170))*V21</f>
        <v>0</v>
      </c>
      <c r="W170" s="403">
        <f>(SUMIFS(IP!W$101:W$103,IP!$C$101:$C$103,$C170)+SUMIFS(RN!W$98:W$100,RN!$C$98:$C$100,$C170)+SUMIFS(RL!W$92:W$94,RL!$C$92:$C$94,$C170)+SUMIFS(LU!W$92:W$94,LU!$C$92:$C$94,$C170))*W21</f>
        <v>0</v>
      </c>
      <c r="X170" s="403">
        <f>(SUMIFS(IP!X$101:X$103,IP!$C$101:$C$103,$C170)+SUMIFS(RN!X$98:X$100,RN!$C$98:$C$100,$C170)+SUMIFS(RL!X$92:X$94,RL!$C$92:$C$94,$C170)+SUMIFS(LU!X$92:X$94,LU!$C$92:$C$94,$C170))*X21</f>
        <v>0</v>
      </c>
      <c r="Y170" s="403">
        <f>(SUMIFS(IP!Y$101:Y$103,IP!$C$101:$C$103,$C170)+SUMIFS(RN!Y$98:Y$100,RN!$C$98:$C$100,$C170)+SUMIFS(RL!Y$92:Y$94,RL!$C$92:$C$94,$C170)+SUMIFS(LU!Y$92:Y$94,LU!$C$92:$C$94,$C170))*Y21</f>
        <v>0</v>
      </c>
      <c r="Z170" s="403">
        <f>(SUMIFS(IP!Z$101:Z$103,IP!$C$101:$C$103,$C170)+SUMIFS(RN!Z$98:Z$100,RN!$C$98:$C$100,$C170)+SUMIFS(RL!Z$92:Z$94,RL!$C$92:$C$94,$C170)+SUMIFS(LU!Z$92:Z$94,LU!$C$92:$C$94,$C170))*Z21</f>
        <v>0</v>
      </c>
      <c r="AA170" s="403">
        <f>(SUMIFS(IP!AA$101:AA$103,IP!$C$101:$C$103,$C170)+SUMIFS(RN!AA$98:AA$100,RN!$C$98:$C$100,$C170)+SUMIFS(RL!AA$92:AA$94,RL!$C$92:$C$94,$C170)+SUMIFS(LU!AA$92:AA$94,LU!$C$92:$C$94,$C170))*AA21</f>
        <v>0</v>
      </c>
      <c r="AB170" s="403">
        <f>(SUMIFS(IP!AB$101:AB$103,IP!$C$101:$C$103,$C170)+SUMIFS(RN!AB$98:AB$100,RN!$C$98:$C$100,$C170)+SUMIFS(RL!AB$92:AB$94,RL!$C$92:$C$94,$C170)+SUMIFS(LU!AB$92:AB$94,LU!$C$92:$C$94,$C170))*AB21</f>
        <v>0</v>
      </c>
      <c r="AC170" s="403">
        <f>(SUMIFS(IP!AC$101:AC$103,IP!$C$101:$C$103,$C170)+SUMIFS(RN!AC$98:AC$100,RN!$C$98:$C$100,$C170)+SUMIFS(RL!AC$92:AC$94,RL!$C$92:$C$94,$C170)+SUMIFS(LU!AC$92:AC$94,LU!$C$92:$C$94,$C170))*AC21</f>
        <v>0</v>
      </c>
      <c r="AD170" s="403">
        <f>(SUMIFS(IP!AD$101:AD$103,IP!$C$101:$C$103,$C170)+SUMIFS(RN!AD$98:AD$100,RN!$C$98:$C$100,$C170)+SUMIFS(RL!AD$92:AD$94,RL!$C$92:$C$94,$C170)+SUMIFS(LU!AD$92:AD$94,LU!$C$92:$C$94,$C170))*AD21</f>
        <v>0</v>
      </c>
      <c r="AE170" s="403">
        <f>(SUMIFS(IP!AE$101:AE$103,IP!$C$101:$C$103,$C170)+SUMIFS(RN!AE$98:AE$100,RN!$C$98:$C$100,$C170)+SUMIFS(RL!AE$92:AE$94,RL!$C$92:$C$94,$C170)+SUMIFS(LU!AE$92:AE$94,LU!$C$92:$C$94,$C170))*AE21</f>
        <v>0</v>
      </c>
      <c r="AF170" s="403">
        <f>(SUMIFS(IP!AF$101:AF$103,IP!$C$101:$C$103,$C170)+SUMIFS(RN!AF$98:AF$100,RN!$C$98:$C$100,$C170)+SUMIFS(RL!AF$92:AF$94,RL!$C$92:$C$94,$C170)+SUMIFS(LU!AF$92:AF$94,LU!$C$92:$C$94,$C170))*AF21</f>
        <v>0</v>
      </c>
      <c r="AG170" s="403">
        <f>(SUMIFS(IP!AG$101:AG$103,IP!$C$101:$C$103,$C170)+SUMIFS(RN!AG$98:AG$100,RN!$C$98:$C$100,$C170)+SUMIFS(RL!AG$92:AG$94,RL!$C$92:$C$94,$C170)+SUMIFS(LU!AG$92:AG$94,LU!$C$92:$C$94,$C170))*AG21</f>
        <v>0</v>
      </c>
      <c r="AH170" s="403">
        <f>(SUMIFS(IP!AH$101:AH$103,IP!$C$101:$C$103,$C170)+SUMIFS(RN!AH$98:AH$100,RN!$C$98:$C$100,$C170)+SUMIFS(RL!AH$92:AH$94,RL!$C$92:$C$94,$C170)+SUMIFS(LU!AH$92:AH$94,LU!$C$92:$C$94,$C170))*AH21</f>
        <v>0</v>
      </c>
      <c r="AI170" s="403">
        <f>(SUMIFS(IP!AI$101:AI$103,IP!$C$101:$C$103,$C170)+SUMIFS(RN!AI$98:AI$100,RN!$C$98:$C$100,$C170)+SUMIFS(RL!AI$92:AI$94,RL!$C$92:$C$94,$C170)+SUMIFS(LU!AI$92:AI$94,LU!$C$92:$C$94,$C170))*AI21</f>
        <v>0</v>
      </c>
      <c r="AJ170" s="403">
        <f>(SUMIFS(IP!AJ$101:AJ$103,IP!$C$101:$C$103,$C170)+SUMIFS(RN!AJ$98:AJ$100,RN!$C$98:$C$100,$C170)+SUMIFS(RL!AJ$92:AJ$94,RL!$C$92:$C$94,$C170)+SUMIFS(LU!AJ$92:AJ$94,LU!$C$92:$C$94,$C170))*AJ21</f>
        <v>0</v>
      </c>
      <c r="AK170" s="403">
        <f>(SUMIFS(IP!AK$101:AK$103,IP!$C$101:$C$103,$C170)+SUMIFS(RN!AK$98:AK$100,RN!$C$98:$C$100,$C170)+SUMIFS(RL!AK$92:AK$94,RL!$C$92:$C$94,$C170)+SUMIFS(LU!AK$92:AK$94,LU!$C$92:$C$94,$C170))*AK21</f>
        <v>0</v>
      </c>
      <c r="AL170" s="403">
        <f>(SUMIFS(IP!AL$101:AL$103,IP!$C$101:$C$103,$C170)+SUMIFS(RN!AL$98:AL$100,RN!$C$98:$C$100,$C170)+SUMIFS(RL!AL$92:AL$94,RL!$C$92:$C$94,$C170)+SUMIFS(LU!AL$92:AL$94,LU!$C$92:$C$94,$C170))*AL21</f>
        <v>0</v>
      </c>
      <c r="AM170" s="403">
        <f>(SUMIFS(IP!AM$101:AM$103,IP!$C$101:$C$103,$C170)+SUMIFS(RN!AM$98:AM$100,RN!$C$98:$C$100,$C170)+SUMIFS(RL!AM$92:AM$94,RL!$C$92:$C$94,$C170)+SUMIFS(LU!AM$92:AM$94,LU!$C$92:$C$94,$C170))*AM21</f>
        <v>0</v>
      </c>
      <c r="AN170" s="403">
        <f>(SUMIFS(IP!AN$101:AN$103,IP!$C$101:$C$103,$C170)+SUMIFS(RN!AN$98:AN$100,RN!$C$98:$C$100,$C170)+SUMIFS(RL!AN$92:AN$94,RL!$C$92:$C$94,$C170)+SUMIFS(LU!AN$92:AN$94,LU!$C$92:$C$94,$C170))*AN21</f>
        <v>0</v>
      </c>
      <c r="AO170" s="403">
        <f>(SUMIFS(IP!AO$101:AO$103,IP!$C$101:$C$103,$C170)+SUMIFS(RN!AO$98:AO$100,RN!$C$98:$C$100,$C170)+SUMIFS(RL!AO$92:AO$94,RL!$C$92:$C$94,$C170)+SUMIFS(LU!AO$92:AO$94,LU!$C$92:$C$94,$C170))*AO21</f>
        <v>0</v>
      </c>
      <c r="AP170" s="403">
        <f>(SUMIFS(IP!AP$101:AP$103,IP!$C$101:$C$103,$C170)+SUMIFS(RN!AP$98:AP$100,RN!$C$98:$C$100,$C170)+SUMIFS(RL!AP$92:AP$94,RL!$C$92:$C$94,$C170)+SUMIFS(LU!AP$92:AP$94,LU!$C$92:$C$94,$C170))*AP21</f>
        <v>0</v>
      </c>
      <c r="AQ170" s="403">
        <f>(SUMIFS(IP!AQ$101:AQ$103,IP!$C$101:$C$103,$C170)+SUMIFS(RN!AQ$98:AQ$100,RN!$C$98:$C$100,$C170)+SUMIFS(RL!AQ$92:AQ$94,RL!$C$92:$C$94,$C170)+SUMIFS(LU!AQ$92:AQ$94,LU!$C$92:$C$94,$C170))*AQ21</f>
        <v>0</v>
      </c>
      <c r="AR170" s="403">
        <f>(SUMIFS(IP!AR$101:AR$103,IP!$C$101:$C$103,$C170)+SUMIFS(RN!AR$98:AR$100,RN!$C$98:$C$100,$C170)+SUMIFS(RL!AR$92:AR$94,RL!$C$92:$C$94,$C170)+SUMIFS(LU!AR$92:AR$94,LU!$C$92:$C$94,$C170))*AR21</f>
        <v>0</v>
      </c>
      <c r="AS170" s="403">
        <f>(SUMIFS(IP!AS$101:AS$103,IP!$C$101:$C$103,$C170)+SUMIFS(RN!AS$98:AS$100,RN!$C$98:$C$100,$C170)+SUMIFS(RL!AS$92:AS$94,RL!$C$92:$C$94,$C170)+SUMIFS(LU!AS$92:AS$94,LU!$C$92:$C$94,$C170))*AS21</f>
        <v>0</v>
      </c>
      <c r="AT170" s="403">
        <f>(SUMIFS(IP!AT$101:AT$103,IP!$C$101:$C$103,$C170)+SUMIFS(RN!AT$98:AT$100,RN!$C$98:$C$100,$C170)+SUMIFS(RL!AT$92:AT$94,RL!$C$92:$C$94,$C170)+SUMIFS(LU!AT$92:AT$94,LU!$C$92:$C$94,$C170))*AT21</f>
        <v>0</v>
      </c>
      <c r="AU170" s="403">
        <f>(SUMIFS(IP!AU$101:AU$103,IP!$C$101:$C$103,$C170)+SUMIFS(RN!AU$98:AU$100,RN!$C$98:$C$100,$C170)+SUMIFS(RL!AU$92:AU$94,RL!$C$92:$C$94,$C170)+SUMIFS(LU!AU$92:AU$94,LU!$C$92:$C$94,$C170))*AU21</f>
        <v>0</v>
      </c>
      <c r="AV170" s="403">
        <f>(SUMIFS(IP!AV$101:AV$103,IP!$C$101:$C$103,$C170)+SUMIFS(RN!AV$98:AV$100,RN!$C$98:$C$100,$C170)+SUMIFS(RL!AV$92:AV$94,RL!$C$92:$C$94,$C170)+SUMIFS(LU!AV$92:AV$94,LU!$C$92:$C$94,$C170))*AV21</f>
        <v>0</v>
      </c>
      <c r="AW170" s="403">
        <f>(SUMIFS(IP!AW$101:AW$103,IP!$C$101:$C$103,$C170)+SUMIFS(RN!AW$98:AW$100,RN!$C$98:$C$100,$C170)+SUMIFS(RL!AW$92:AW$94,RL!$C$92:$C$94,$C170)+SUMIFS(LU!AW$92:AW$94,LU!$C$92:$C$94,$C170))*AW21</f>
        <v>0</v>
      </c>
      <c r="AX170" s="403">
        <f>(SUMIFS(IP!AX$101:AX$103,IP!$C$101:$C$103,$C170)+SUMIFS(RN!AX$98:AX$100,RN!$C$98:$C$100,$C170)+SUMIFS(RL!AX$92:AX$94,RL!$C$92:$C$94,$C170)+SUMIFS(LU!AX$92:AX$94,LU!$C$92:$C$94,$C170))*AX21</f>
        <v>0</v>
      </c>
      <c r="AY170" s="403">
        <f>(SUMIFS(IP!AY$101:AY$103,IP!$C$101:$C$103,$C170)+SUMIFS(RN!AY$98:AY$100,RN!$C$98:$C$100,$C170)+SUMIFS(RL!AY$92:AY$94,RL!$C$92:$C$94,$C170)+SUMIFS(LU!AY$92:AY$94,LU!$C$92:$C$94,$C170))*AY21</f>
        <v>0</v>
      </c>
      <c r="AZ170" s="403">
        <f>(SUMIFS(IP!AZ$101:AZ$103,IP!$C$101:$C$103,$C170)+SUMIFS(RN!AZ$98:AZ$100,RN!$C$98:$C$100,$C170)+SUMIFS(RL!AZ$92:AZ$94,RL!$C$92:$C$94,$C170)+SUMIFS(LU!AZ$92:AZ$94,LU!$C$92:$C$94,$C170))*AZ21</f>
        <v>0</v>
      </c>
      <c r="BA170" s="403">
        <f>(SUMIFS(IP!BA$101:BA$103,IP!$C$101:$C$103,$C170)+SUMIFS(RN!BA$98:BA$100,RN!$C$98:$C$100,$C170)+SUMIFS(RL!BA$92:BA$94,RL!$C$92:$C$94,$C170)+SUMIFS(LU!BA$92:BA$94,LU!$C$92:$C$94,$C170))*BA21</f>
        <v>0</v>
      </c>
      <c r="BB170" s="403">
        <f>(SUMIFS(IP!BB$101:BB$103,IP!$C$101:$C$103,$C170)+SUMIFS(RN!BB$98:BB$100,RN!$C$98:$C$100,$C170)+SUMIFS(RL!BB$92:BB$94,RL!$C$92:$C$94,$C170)+SUMIFS(LU!BB$92:BB$94,LU!$C$92:$C$94,$C170))*BB21</f>
        <v>0</v>
      </c>
      <c r="BC170" s="403">
        <f>(SUMIFS(IP!BC$101:BC$103,IP!$C$101:$C$103,$C170)+SUMIFS(RN!BC$98:BC$100,RN!$C$98:$C$100,$C170)+SUMIFS(RL!BC$92:BC$94,RL!$C$92:$C$94,$C170)+SUMIFS(LU!BC$92:BC$94,LU!$C$92:$C$94,$C170))*BC21</f>
        <v>0</v>
      </c>
      <c r="BD170" s="403">
        <f>(SUMIFS(IP!BD$101:BD$103,IP!$C$101:$C$103,$C170)+SUMIFS(RN!BD$98:BD$100,RN!$C$98:$C$100,$C170)+SUMIFS(RL!BD$92:BD$94,RL!$C$92:$C$94,$C170)+SUMIFS(LU!BD$92:BD$94,LU!$C$92:$C$94,$C170))*BD21</f>
        <v>0</v>
      </c>
      <c r="BE170" s="403">
        <f>(SUMIFS(IP!BE$101:BE$103,IP!$C$101:$C$103,$C170)+SUMIFS(RN!BE$98:BE$100,RN!$C$98:$C$100,$C170)+SUMIFS(RL!BE$92:BE$94,RL!$C$92:$C$94,$C170)+SUMIFS(LU!BE$92:BE$94,LU!$C$92:$C$94,$C170))*BE21</f>
        <v>0</v>
      </c>
      <c r="BF170" s="403">
        <f>(SUMIFS(IP!BF$101:BF$103,IP!$C$101:$C$103,$C170)+SUMIFS(RN!BF$98:BF$100,RN!$C$98:$C$100,$C170)+SUMIFS(RL!BF$92:BF$94,RL!$C$92:$C$94,$C170)+SUMIFS(LU!BF$92:BF$94,LU!$C$92:$C$94,$C170))*BF21</f>
        <v>0</v>
      </c>
      <c r="BG170" s="403">
        <f>(SUMIFS(IP!BG$101:BG$103,IP!$C$101:$C$103,$C170)+SUMIFS(RN!BG$98:BG$100,RN!$C$98:$C$100,$C170)+SUMIFS(RL!BG$92:BG$94,RL!$C$92:$C$94,$C170)+SUMIFS(LU!BG$92:BG$94,LU!$C$92:$C$94,$C170))*BG21</f>
        <v>0</v>
      </c>
      <c r="BI170" s="240">
        <f t="shared" ref="BI170" si="73">SUM(T170:BG170)</f>
        <v>0</v>
      </c>
      <c r="BK170" s="1400">
        <f>SUMIFS(IP!$BK$101:$BK$103,IP!$C$101:$C$103,$C170)+SUMIFS(RN!$BK$98:$BK$100,RN!$C$98:$C$100,$C170)+SUMIFS(RL!$BK$92:$BK$94,RL!$C$92:$C$94,$C170)+SUMIFS(LU!$BK$92:$BK$94,LU!$C$92:$C$94,$C170)</f>
        <v>0</v>
      </c>
    </row>
    <row r="171" spans="2:63">
      <c r="C171" s="99">
        <f>AA!C15</f>
        <v>3</v>
      </c>
      <c r="E171" s="94" t="str">
        <f>INDEX(AA!$AC$13:$AC$15,MATCH($C171,AA!$C$13:$C$15,0))</f>
        <v>backup</v>
      </c>
      <c r="G171" s="1325">
        <f>INDEX(AA!$E$13:$E$15,MATCH($C171,AA!$C$13:$C$15,0))</f>
        <v>1</v>
      </c>
      <c r="I171" s="73" t="s">
        <v>318</v>
      </c>
      <c r="T171" s="403">
        <f>(SUMIFS(IP!T$101:T$103,IP!$C$101:$C$103,$C171)+SUMIFS(RN!T$98:T$100,RN!$C$98:$C$100,$C171)+SUMIFS(RL!T$92:T$94,RL!$C$92:$C$94,$C171)+SUMIFS(LU!T$92:T$94,LU!$C$92:$C$94,$C171))*T22</f>
        <v>0</v>
      </c>
      <c r="U171" s="403">
        <f>(SUMIFS(IP!U$101:U$103,IP!$C$101:$C$103,$C171)+SUMIFS(RN!U$98:U$100,RN!$C$98:$C$100,$C171)+SUMIFS(RL!U$92:U$94,RL!$C$92:$C$94,$C171)+SUMIFS(LU!U$92:U$94,LU!$C$92:$C$94,$C171))*U22</f>
        <v>0</v>
      </c>
      <c r="V171" s="403">
        <f>(SUMIFS(IP!V$101:V$103,IP!$C$101:$C$103,$C171)+SUMIFS(RN!V$98:V$100,RN!$C$98:$C$100,$C171)+SUMIFS(RL!V$92:V$94,RL!$C$92:$C$94,$C171)+SUMIFS(LU!V$92:V$94,LU!$C$92:$C$94,$C171))*V22</f>
        <v>0</v>
      </c>
      <c r="W171" s="403">
        <f>(SUMIFS(IP!W$101:W$103,IP!$C$101:$C$103,$C171)+SUMIFS(RN!W$98:W$100,RN!$C$98:$C$100,$C171)+SUMIFS(RL!W$92:W$94,RL!$C$92:$C$94,$C171)+SUMIFS(LU!W$92:W$94,LU!$C$92:$C$94,$C171))*W22</f>
        <v>0</v>
      </c>
      <c r="X171" s="403">
        <f>(SUMIFS(IP!X$101:X$103,IP!$C$101:$C$103,$C171)+SUMIFS(RN!X$98:X$100,RN!$C$98:$C$100,$C171)+SUMIFS(RL!X$92:X$94,RL!$C$92:$C$94,$C171)+SUMIFS(LU!X$92:X$94,LU!$C$92:$C$94,$C171))*X22</f>
        <v>0</v>
      </c>
      <c r="Y171" s="403">
        <f>(SUMIFS(IP!Y$101:Y$103,IP!$C$101:$C$103,$C171)+SUMIFS(RN!Y$98:Y$100,RN!$C$98:$C$100,$C171)+SUMIFS(RL!Y$92:Y$94,RL!$C$92:$C$94,$C171)+SUMIFS(LU!Y$92:Y$94,LU!$C$92:$C$94,$C171))*Y22</f>
        <v>0</v>
      </c>
      <c r="Z171" s="403">
        <f>(SUMIFS(IP!Z$101:Z$103,IP!$C$101:$C$103,$C171)+SUMIFS(RN!Z$98:Z$100,RN!$C$98:$C$100,$C171)+SUMIFS(RL!Z$92:Z$94,RL!$C$92:$C$94,$C171)+SUMIFS(LU!Z$92:Z$94,LU!$C$92:$C$94,$C171))*Z22</f>
        <v>0</v>
      </c>
      <c r="AA171" s="403">
        <f>(SUMIFS(IP!AA$101:AA$103,IP!$C$101:$C$103,$C171)+SUMIFS(RN!AA$98:AA$100,RN!$C$98:$C$100,$C171)+SUMIFS(RL!AA$92:AA$94,RL!$C$92:$C$94,$C171)+SUMIFS(LU!AA$92:AA$94,LU!$C$92:$C$94,$C171))*AA22</f>
        <v>0</v>
      </c>
      <c r="AB171" s="403">
        <f>(SUMIFS(IP!AB$101:AB$103,IP!$C$101:$C$103,$C171)+SUMIFS(RN!AB$98:AB$100,RN!$C$98:$C$100,$C171)+SUMIFS(RL!AB$92:AB$94,RL!$C$92:$C$94,$C171)+SUMIFS(LU!AB$92:AB$94,LU!$C$92:$C$94,$C171))*AB22</f>
        <v>0</v>
      </c>
      <c r="AC171" s="403">
        <f>(SUMIFS(IP!AC$101:AC$103,IP!$C$101:$C$103,$C171)+SUMIFS(RN!AC$98:AC$100,RN!$C$98:$C$100,$C171)+SUMIFS(RL!AC$92:AC$94,RL!$C$92:$C$94,$C171)+SUMIFS(LU!AC$92:AC$94,LU!$C$92:$C$94,$C171))*AC22</f>
        <v>0</v>
      </c>
      <c r="AD171" s="403">
        <f>(SUMIFS(IP!AD$101:AD$103,IP!$C$101:$C$103,$C171)+SUMIFS(RN!AD$98:AD$100,RN!$C$98:$C$100,$C171)+SUMIFS(RL!AD$92:AD$94,RL!$C$92:$C$94,$C171)+SUMIFS(LU!AD$92:AD$94,LU!$C$92:$C$94,$C171))*AD22</f>
        <v>0</v>
      </c>
      <c r="AE171" s="403">
        <f>(SUMIFS(IP!AE$101:AE$103,IP!$C$101:$C$103,$C171)+SUMIFS(RN!AE$98:AE$100,RN!$C$98:$C$100,$C171)+SUMIFS(RL!AE$92:AE$94,RL!$C$92:$C$94,$C171)+SUMIFS(LU!AE$92:AE$94,LU!$C$92:$C$94,$C171))*AE22</f>
        <v>0</v>
      </c>
      <c r="AF171" s="403">
        <f>(SUMIFS(IP!AF$101:AF$103,IP!$C$101:$C$103,$C171)+SUMIFS(RN!AF$98:AF$100,RN!$C$98:$C$100,$C171)+SUMIFS(RL!AF$92:AF$94,RL!$C$92:$C$94,$C171)+SUMIFS(LU!AF$92:AF$94,LU!$C$92:$C$94,$C171))*AF22</f>
        <v>0</v>
      </c>
      <c r="AG171" s="403">
        <f>(SUMIFS(IP!AG$101:AG$103,IP!$C$101:$C$103,$C171)+SUMIFS(RN!AG$98:AG$100,RN!$C$98:$C$100,$C171)+SUMIFS(RL!AG$92:AG$94,RL!$C$92:$C$94,$C171)+SUMIFS(LU!AG$92:AG$94,LU!$C$92:$C$94,$C171))*AG22</f>
        <v>0</v>
      </c>
      <c r="AH171" s="403">
        <f>(SUMIFS(IP!AH$101:AH$103,IP!$C$101:$C$103,$C171)+SUMIFS(RN!AH$98:AH$100,RN!$C$98:$C$100,$C171)+SUMIFS(RL!AH$92:AH$94,RL!$C$92:$C$94,$C171)+SUMIFS(LU!AH$92:AH$94,LU!$C$92:$C$94,$C171))*AH22</f>
        <v>0</v>
      </c>
      <c r="AI171" s="403">
        <f>(SUMIFS(IP!AI$101:AI$103,IP!$C$101:$C$103,$C171)+SUMIFS(RN!AI$98:AI$100,RN!$C$98:$C$100,$C171)+SUMIFS(RL!AI$92:AI$94,RL!$C$92:$C$94,$C171)+SUMIFS(LU!AI$92:AI$94,LU!$C$92:$C$94,$C171))*AI22</f>
        <v>0</v>
      </c>
      <c r="AJ171" s="403">
        <f>(SUMIFS(IP!AJ$101:AJ$103,IP!$C$101:$C$103,$C171)+SUMIFS(RN!AJ$98:AJ$100,RN!$C$98:$C$100,$C171)+SUMIFS(RL!AJ$92:AJ$94,RL!$C$92:$C$94,$C171)+SUMIFS(LU!AJ$92:AJ$94,LU!$C$92:$C$94,$C171))*AJ22</f>
        <v>0</v>
      </c>
      <c r="AK171" s="403">
        <f>(SUMIFS(IP!AK$101:AK$103,IP!$C$101:$C$103,$C171)+SUMIFS(RN!AK$98:AK$100,RN!$C$98:$C$100,$C171)+SUMIFS(RL!AK$92:AK$94,RL!$C$92:$C$94,$C171)+SUMIFS(LU!AK$92:AK$94,LU!$C$92:$C$94,$C171))*AK22</f>
        <v>0</v>
      </c>
      <c r="AL171" s="403">
        <f>(SUMIFS(IP!AL$101:AL$103,IP!$C$101:$C$103,$C171)+SUMIFS(RN!AL$98:AL$100,RN!$C$98:$C$100,$C171)+SUMIFS(RL!AL$92:AL$94,RL!$C$92:$C$94,$C171)+SUMIFS(LU!AL$92:AL$94,LU!$C$92:$C$94,$C171))*AL22</f>
        <v>0</v>
      </c>
      <c r="AM171" s="403">
        <f>(SUMIFS(IP!AM$101:AM$103,IP!$C$101:$C$103,$C171)+SUMIFS(RN!AM$98:AM$100,RN!$C$98:$C$100,$C171)+SUMIFS(RL!AM$92:AM$94,RL!$C$92:$C$94,$C171)+SUMIFS(LU!AM$92:AM$94,LU!$C$92:$C$94,$C171))*AM22</f>
        <v>0</v>
      </c>
      <c r="AN171" s="403">
        <f>(SUMIFS(IP!AN$101:AN$103,IP!$C$101:$C$103,$C171)+SUMIFS(RN!AN$98:AN$100,RN!$C$98:$C$100,$C171)+SUMIFS(RL!AN$92:AN$94,RL!$C$92:$C$94,$C171)+SUMIFS(LU!AN$92:AN$94,LU!$C$92:$C$94,$C171))*AN22</f>
        <v>0</v>
      </c>
      <c r="AO171" s="403">
        <f>(SUMIFS(IP!AO$101:AO$103,IP!$C$101:$C$103,$C171)+SUMIFS(RN!AO$98:AO$100,RN!$C$98:$C$100,$C171)+SUMIFS(RL!AO$92:AO$94,RL!$C$92:$C$94,$C171)+SUMIFS(LU!AO$92:AO$94,LU!$C$92:$C$94,$C171))*AO22</f>
        <v>0</v>
      </c>
      <c r="AP171" s="403">
        <f>(SUMIFS(IP!AP$101:AP$103,IP!$C$101:$C$103,$C171)+SUMIFS(RN!AP$98:AP$100,RN!$C$98:$C$100,$C171)+SUMIFS(RL!AP$92:AP$94,RL!$C$92:$C$94,$C171)+SUMIFS(LU!AP$92:AP$94,LU!$C$92:$C$94,$C171))*AP22</f>
        <v>0</v>
      </c>
      <c r="AQ171" s="403">
        <f>(SUMIFS(IP!AQ$101:AQ$103,IP!$C$101:$C$103,$C171)+SUMIFS(RN!AQ$98:AQ$100,RN!$C$98:$C$100,$C171)+SUMIFS(RL!AQ$92:AQ$94,RL!$C$92:$C$94,$C171)+SUMIFS(LU!AQ$92:AQ$94,LU!$C$92:$C$94,$C171))*AQ22</f>
        <v>0</v>
      </c>
      <c r="AR171" s="403">
        <f>(SUMIFS(IP!AR$101:AR$103,IP!$C$101:$C$103,$C171)+SUMIFS(RN!AR$98:AR$100,RN!$C$98:$C$100,$C171)+SUMIFS(RL!AR$92:AR$94,RL!$C$92:$C$94,$C171)+SUMIFS(LU!AR$92:AR$94,LU!$C$92:$C$94,$C171))*AR22</f>
        <v>0</v>
      </c>
      <c r="AS171" s="403">
        <f>(SUMIFS(IP!AS$101:AS$103,IP!$C$101:$C$103,$C171)+SUMIFS(RN!AS$98:AS$100,RN!$C$98:$C$100,$C171)+SUMIFS(RL!AS$92:AS$94,RL!$C$92:$C$94,$C171)+SUMIFS(LU!AS$92:AS$94,LU!$C$92:$C$94,$C171))*AS22</f>
        <v>0</v>
      </c>
      <c r="AT171" s="403">
        <f>(SUMIFS(IP!AT$101:AT$103,IP!$C$101:$C$103,$C171)+SUMIFS(RN!AT$98:AT$100,RN!$C$98:$C$100,$C171)+SUMIFS(RL!AT$92:AT$94,RL!$C$92:$C$94,$C171)+SUMIFS(LU!AT$92:AT$94,LU!$C$92:$C$94,$C171))*AT22</f>
        <v>0</v>
      </c>
      <c r="AU171" s="403">
        <f>(SUMIFS(IP!AU$101:AU$103,IP!$C$101:$C$103,$C171)+SUMIFS(RN!AU$98:AU$100,RN!$C$98:$C$100,$C171)+SUMIFS(RL!AU$92:AU$94,RL!$C$92:$C$94,$C171)+SUMIFS(LU!AU$92:AU$94,LU!$C$92:$C$94,$C171))*AU22</f>
        <v>0</v>
      </c>
      <c r="AV171" s="403">
        <f>(SUMIFS(IP!AV$101:AV$103,IP!$C$101:$C$103,$C171)+SUMIFS(RN!AV$98:AV$100,RN!$C$98:$C$100,$C171)+SUMIFS(RL!AV$92:AV$94,RL!$C$92:$C$94,$C171)+SUMIFS(LU!AV$92:AV$94,LU!$C$92:$C$94,$C171))*AV22</f>
        <v>0</v>
      </c>
      <c r="AW171" s="403">
        <f>(SUMIFS(IP!AW$101:AW$103,IP!$C$101:$C$103,$C171)+SUMIFS(RN!AW$98:AW$100,RN!$C$98:$C$100,$C171)+SUMIFS(RL!AW$92:AW$94,RL!$C$92:$C$94,$C171)+SUMIFS(LU!AW$92:AW$94,LU!$C$92:$C$94,$C171))*AW22</f>
        <v>0</v>
      </c>
      <c r="AX171" s="403">
        <f>(SUMIFS(IP!AX$101:AX$103,IP!$C$101:$C$103,$C171)+SUMIFS(RN!AX$98:AX$100,RN!$C$98:$C$100,$C171)+SUMIFS(RL!AX$92:AX$94,RL!$C$92:$C$94,$C171)+SUMIFS(LU!AX$92:AX$94,LU!$C$92:$C$94,$C171))*AX22</f>
        <v>0</v>
      </c>
      <c r="AY171" s="403">
        <f>(SUMIFS(IP!AY$101:AY$103,IP!$C$101:$C$103,$C171)+SUMIFS(RN!AY$98:AY$100,RN!$C$98:$C$100,$C171)+SUMIFS(RL!AY$92:AY$94,RL!$C$92:$C$94,$C171)+SUMIFS(LU!AY$92:AY$94,LU!$C$92:$C$94,$C171))*AY22</f>
        <v>0</v>
      </c>
      <c r="AZ171" s="403">
        <f>(SUMIFS(IP!AZ$101:AZ$103,IP!$C$101:$C$103,$C171)+SUMIFS(RN!AZ$98:AZ$100,RN!$C$98:$C$100,$C171)+SUMIFS(RL!AZ$92:AZ$94,RL!$C$92:$C$94,$C171)+SUMIFS(LU!AZ$92:AZ$94,LU!$C$92:$C$94,$C171))*AZ22</f>
        <v>0</v>
      </c>
      <c r="BA171" s="403">
        <f>(SUMIFS(IP!BA$101:BA$103,IP!$C$101:$C$103,$C171)+SUMIFS(RN!BA$98:BA$100,RN!$C$98:$C$100,$C171)+SUMIFS(RL!BA$92:BA$94,RL!$C$92:$C$94,$C171)+SUMIFS(LU!BA$92:BA$94,LU!$C$92:$C$94,$C171))*BA22</f>
        <v>0</v>
      </c>
      <c r="BB171" s="403">
        <f>(SUMIFS(IP!BB$101:BB$103,IP!$C$101:$C$103,$C171)+SUMIFS(RN!BB$98:BB$100,RN!$C$98:$C$100,$C171)+SUMIFS(RL!BB$92:BB$94,RL!$C$92:$C$94,$C171)+SUMIFS(LU!BB$92:BB$94,LU!$C$92:$C$94,$C171))*BB22</f>
        <v>0</v>
      </c>
      <c r="BC171" s="403">
        <f>(SUMIFS(IP!BC$101:BC$103,IP!$C$101:$C$103,$C171)+SUMIFS(RN!BC$98:BC$100,RN!$C$98:$C$100,$C171)+SUMIFS(RL!BC$92:BC$94,RL!$C$92:$C$94,$C171)+SUMIFS(LU!BC$92:BC$94,LU!$C$92:$C$94,$C171))*BC22</f>
        <v>0</v>
      </c>
      <c r="BD171" s="403">
        <f>(SUMIFS(IP!BD$101:BD$103,IP!$C$101:$C$103,$C171)+SUMIFS(RN!BD$98:BD$100,RN!$C$98:$C$100,$C171)+SUMIFS(RL!BD$92:BD$94,RL!$C$92:$C$94,$C171)+SUMIFS(LU!BD$92:BD$94,LU!$C$92:$C$94,$C171))*BD22</f>
        <v>0</v>
      </c>
      <c r="BE171" s="403">
        <f>(SUMIFS(IP!BE$101:BE$103,IP!$C$101:$C$103,$C171)+SUMIFS(RN!BE$98:BE$100,RN!$C$98:$C$100,$C171)+SUMIFS(RL!BE$92:BE$94,RL!$C$92:$C$94,$C171)+SUMIFS(LU!BE$92:BE$94,LU!$C$92:$C$94,$C171))*BE22</f>
        <v>0</v>
      </c>
      <c r="BF171" s="403">
        <f>(SUMIFS(IP!BF$101:BF$103,IP!$C$101:$C$103,$C171)+SUMIFS(RN!BF$98:BF$100,RN!$C$98:$C$100,$C171)+SUMIFS(RL!BF$92:BF$94,RL!$C$92:$C$94,$C171)+SUMIFS(LU!BF$92:BF$94,LU!$C$92:$C$94,$C171))*BF22</f>
        <v>0</v>
      </c>
      <c r="BG171" s="403">
        <f>(SUMIFS(IP!BG$101:BG$103,IP!$C$101:$C$103,$C171)+SUMIFS(RN!BG$98:BG$100,RN!$C$98:$C$100,$C171)+SUMIFS(RL!BG$92:BG$94,RL!$C$92:$C$94,$C171)+SUMIFS(LU!BG$92:BG$94,LU!$C$92:$C$94,$C171))*BG22</f>
        <v>0</v>
      </c>
      <c r="BI171" s="240">
        <f t="shared" ref="BI171" si="74">SUM(T171:BG171)</f>
        <v>0</v>
      </c>
      <c r="BK171" s="1400">
        <f>SUMIFS(IP!$BK$101:$BK$103,IP!$C$101:$C$103,$C171)+SUMIFS(RN!$BK$98:$BK$100,RN!$C$98:$C$100,$C171)+SUMIFS(RL!$BK$92:$BK$94,RL!$C$92:$C$94,$C171)+SUMIFS(LU!$BK$92:$BK$94,LU!$C$92:$C$94,$C171)</f>
        <v>0</v>
      </c>
    </row>
    <row r="172" spans="2:63">
      <c r="C172" s="1475"/>
      <c r="E172" s="1477"/>
      <c r="G172" s="1476"/>
      <c r="I172" s="1475"/>
      <c r="T172" s="310"/>
      <c r="U172" s="310"/>
      <c r="V172" s="310"/>
      <c r="W172" s="310"/>
      <c r="X172" s="310"/>
      <c r="Y172" s="310"/>
      <c r="Z172" s="310"/>
      <c r="AA172" s="310"/>
      <c r="AB172" s="310"/>
      <c r="AC172" s="310"/>
      <c r="AD172" s="310"/>
      <c r="AE172" s="310"/>
      <c r="AF172" s="310"/>
      <c r="AG172" s="310"/>
      <c r="AH172" s="310"/>
      <c r="AI172" s="310"/>
      <c r="AJ172" s="310"/>
      <c r="AK172" s="310"/>
      <c r="AL172" s="310"/>
      <c r="AM172" s="310"/>
      <c r="AN172" s="310"/>
      <c r="AO172" s="310"/>
      <c r="AP172" s="310"/>
      <c r="AQ172" s="310"/>
      <c r="AR172" s="310"/>
      <c r="AS172" s="310"/>
      <c r="AT172" s="310"/>
      <c r="AU172" s="310"/>
      <c r="AV172" s="310"/>
      <c r="AW172" s="310"/>
      <c r="AX172" s="310"/>
      <c r="AY172" s="310"/>
      <c r="AZ172" s="310"/>
      <c r="BA172" s="310"/>
      <c r="BB172" s="310"/>
      <c r="BC172" s="310"/>
      <c r="BD172" s="310"/>
      <c r="BE172" s="310"/>
      <c r="BF172" s="310"/>
      <c r="BG172" s="310"/>
      <c r="BI172" s="1474"/>
      <c r="BK172" s="1473"/>
    </row>
    <row r="174" spans="2:63" s="90" customFormat="1">
      <c r="B174" s="91">
        <f ca="1">MAX(A$1:$B173)+1</f>
        <v>22</v>
      </c>
      <c r="C174" s="92" t="s">
        <v>444</v>
      </c>
    </row>
    <row r="176" spans="2:63" ht="30">
      <c r="C176" s="97" t="s">
        <v>4</v>
      </c>
      <c r="E176" s="97" t="s">
        <v>6</v>
      </c>
      <c r="G176" s="101" t="s">
        <v>272</v>
      </c>
      <c r="I176" s="101" t="s">
        <v>150</v>
      </c>
      <c r="BI176" s="327" t="s">
        <v>152</v>
      </c>
      <c r="BK176" s="332"/>
    </row>
    <row r="177" spans="2:66">
      <c r="C177" s="99">
        <f>AA!C13</f>
        <v>1</v>
      </c>
      <c r="E177" s="93" t="str">
        <f>INDEX(AA!$AC$13:$AC$15,MATCH($C177,AA!$C$13:$C$15,0))</f>
        <v>backup</v>
      </c>
      <c r="G177" s="1324">
        <f>INDEX(AA!$E$13:$E$15,MATCH($C177,AA!$C$13:$C$15,0))</f>
        <v>1</v>
      </c>
      <c r="I177" s="72" t="s">
        <v>368</v>
      </c>
      <c r="T177" s="403">
        <f>(SUMIFS(RN!T$114:T$116,RN!$C$114:$C$116,$C177)+SUMIFS(RL!T$108:T$110,RL!$C$108:$C$110,$C177)+SUMIFS(LU!T$108:T$110,LU!$C$108:$C$110,$C177))*T20*T$14</f>
        <v>0</v>
      </c>
      <c r="U177" s="403">
        <f>(SUMIFS(RN!U$114:U$116,RN!$C$114:$C$116,$C177)+SUMIFS(RL!U$108:U$110,RL!$C$108:$C$110,$C177)+SUMIFS(LU!U$108:U$110,LU!$C$108:$C$110,$C177))*U20*U$14</f>
        <v>0</v>
      </c>
      <c r="V177" s="403">
        <f>(SUMIFS(RN!V$114:V$116,RN!$C$114:$C$116,$C177)+SUMIFS(RL!V$108:V$110,RL!$C$108:$C$110,$C177)+SUMIFS(LU!V$108:V$110,LU!$C$108:$C$110,$C177))*V20*V$14</f>
        <v>0</v>
      </c>
      <c r="W177" s="403">
        <f>(SUMIFS(RN!W$114:W$116,RN!$C$114:$C$116,$C177)+SUMIFS(RL!W$108:W$110,RL!$C$108:$C$110,$C177)+SUMIFS(LU!W$108:W$110,LU!$C$108:$C$110,$C177))*W20*W$14</f>
        <v>0</v>
      </c>
      <c r="X177" s="403">
        <f>(SUMIFS(RN!X$114:X$116,RN!$C$114:$C$116,$C177)+SUMIFS(RL!X$108:X$110,RL!$C$108:$C$110,$C177)+SUMIFS(LU!X$108:X$110,LU!$C$108:$C$110,$C177))*X20*X$14</f>
        <v>0</v>
      </c>
      <c r="Y177" s="403">
        <f>(SUMIFS(RN!Y$114:Y$116,RN!$C$114:$C$116,$C177)+SUMIFS(RL!Y$108:Y$110,RL!$C$108:$C$110,$C177)+SUMIFS(LU!Y$108:Y$110,LU!$C$108:$C$110,$C177))*Y20*Y$14</f>
        <v>0</v>
      </c>
      <c r="Z177" s="403">
        <f>(SUMIFS(RN!Z$114:Z$116,RN!$C$114:$C$116,$C177)+SUMIFS(RL!Z$108:Z$110,RL!$C$108:$C$110,$C177)+SUMIFS(LU!Z$108:Z$110,LU!$C$108:$C$110,$C177))*Z20*Z$14</f>
        <v>0</v>
      </c>
      <c r="AA177" s="403">
        <f>(SUMIFS(RN!AA$114:AA$116,RN!$C$114:$C$116,$C177)+SUMIFS(RL!AA$108:AA$110,RL!$C$108:$C$110,$C177)+SUMIFS(LU!AA$108:AA$110,LU!$C$108:$C$110,$C177))*AA20*AA$14</f>
        <v>0</v>
      </c>
      <c r="AB177" s="403">
        <f>(SUMIFS(RN!AB$114:AB$116,RN!$C$114:$C$116,$C177)+SUMIFS(RL!AB$108:AB$110,RL!$C$108:$C$110,$C177)+SUMIFS(LU!AB$108:AB$110,LU!$C$108:$C$110,$C177))*AB20*AB$14</f>
        <v>0</v>
      </c>
      <c r="AC177" s="403">
        <f>(SUMIFS(RN!AC$114:AC$116,RN!$C$114:$C$116,$C177)+SUMIFS(RL!AC$108:AC$110,RL!$C$108:$C$110,$C177)+SUMIFS(LU!AC$108:AC$110,LU!$C$108:$C$110,$C177))*AC20*AC$14</f>
        <v>0</v>
      </c>
      <c r="AD177" s="403">
        <f>(SUMIFS(RN!AD$114:AD$116,RN!$C$114:$C$116,$C177)+SUMIFS(RL!AD$108:AD$110,RL!$C$108:$C$110,$C177)+SUMIFS(LU!AD$108:AD$110,LU!$C$108:$C$110,$C177))*AD20*AD$14</f>
        <v>0</v>
      </c>
      <c r="AE177" s="403">
        <f>(SUMIFS(RN!AE$114:AE$116,RN!$C$114:$C$116,$C177)+SUMIFS(RL!AE$108:AE$110,RL!$C$108:$C$110,$C177)+SUMIFS(LU!AE$108:AE$110,LU!$C$108:$C$110,$C177))*AE20*AE$14</f>
        <v>0</v>
      </c>
      <c r="AF177" s="403">
        <f>(SUMIFS(RN!AF$114:AF$116,RN!$C$114:$C$116,$C177)+SUMIFS(RL!AF$108:AF$110,RL!$C$108:$C$110,$C177)+SUMIFS(LU!AF$108:AF$110,LU!$C$108:$C$110,$C177))*AF20*AF$14</f>
        <v>0</v>
      </c>
      <c r="AG177" s="403">
        <f>(SUMIFS(RN!AG$114:AG$116,RN!$C$114:$C$116,$C177)+SUMIFS(RL!AG$108:AG$110,RL!$C$108:$C$110,$C177)+SUMIFS(LU!AG$108:AG$110,LU!$C$108:$C$110,$C177))*AG20*AG$14</f>
        <v>0</v>
      </c>
      <c r="AH177" s="403">
        <f>(SUMIFS(RN!AH$114:AH$116,RN!$C$114:$C$116,$C177)+SUMIFS(RL!AH$108:AH$110,RL!$C$108:$C$110,$C177)+SUMIFS(LU!AH$108:AH$110,LU!$C$108:$C$110,$C177))*AH20*AH$14</f>
        <v>0</v>
      </c>
      <c r="AI177" s="403">
        <f>(SUMIFS(RN!AI$114:AI$116,RN!$C$114:$C$116,$C177)+SUMIFS(RL!AI$108:AI$110,RL!$C$108:$C$110,$C177)+SUMIFS(LU!AI$108:AI$110,LU!$C$108:$C$110,$C177))*AI20*AI$14</f>
        <v>0</v>
      </c>
      <c r="AJ177" s="403">
        <f>(SUMIFS(RN!AJ$114:AJ$116,RN!$C$114:$C$116,$C177)+SUMIFS(RL!AJ$108:AJ$110,RL!$C$108:$C$110,$C177)+SUMIFS(LU!AJ$108:AJ$110,LU!$C$108:$C$110,$C177))*AJ20*AJ$14</f>
        <v>0</v>
      </c>
      <c r="AK177" s="403">
        <f>(SUMIFS(RN!AK$114:AK$116,RN!$C$114:$C$116,$C177)+SUMIFS(RL!AK$108:AK$110,RL!$C$108:$C$110,$C177)+SUMIFS(LU!AK$108:AK$110,LU!$C$108:$C$110,$C177))*AK20*AK$14</f>
        <v>0</v>
      </c>
      <c r="AL177" s="403">
        <f>(SUMIFS(RN!AL$114:AL$116,RN!$C$114:$C$116,$C177)+SUMIFS(RL!AL$108:AL$110,RL!$C$108:$C$110,$C177)+SUMIFS(LU!AL$108:AL$110,LU!$C$108:$C$110,$C177))*AL20*AL$14</f>
        <v>0</v>
      </c>
      <c r="AM177" s="403">
        <f>(SUMIFS(RN!AM$114:AM$116,RN!$C$114:$C$116,$C177)+SUMIFS(RL!AM$108:AM$110,RL!$C$108:$C$110,$C177)+SUMIFS(LU!AM$108:AM$110,LU!$C$108:$C$110,$C177))*AM20*AM$14</f>
        <v>0</v>
      </c>
      <c r="AN177" s="403">
        <f>(SUMIFS(RN!AN$114:AN$116,RN!$C$114:$C$116,$C177)+SUMIFS(RL!AN$108:AN$110,RL!$C$108:$C$110,$C177)+SUMIFS(LU!AN$108:AN$110,LU!$C$108:$C$110,$C177))*AN20*AN$14</f>
        <v>0</v>
      </c>
      <c r="AO177" s="403">
        <f>(SUMIFS(RN!AO$114:AO$116,RN!$C$114:$C$116,$C177)+SUMIFS(RL!AO$108:AO$110,RL!$C$108:$C$110,$C177)+SUMIFS(LU!AO$108:AO$110,LU!$C$108:$C$110,$C177))*AO20*AO$14</f>
        <v>0</v>
      </c>
      <c r="AP177" s="403">
        <f>(SUMIFS(RN!AP$114:AP$116,RN!$C$114:$C$116,$C177)+SUMIFS(RL!AP$108:AP$110,RL!$C$108:$C$110,$C177)+SUMIFS(LU!AP$108:AP$110,LU!$C$108:$C$110,$C177))*AP20*AP$14</f>
        <v>0</v>
      </c>
      <c r="AQ177" s="403">
        <f>(SUMIFS(RN!AQ$114:AQ$116,RN!$C$114:$C$116,$C177)+SUMIFS(RL!AQ$108:AQ$110,RL!$C$108:$C$110,$C177)+SUMIFS(LU!AQ$108:AQ$110,LU!$C$108:$C$110,$C177))*AQ20*AQ$14</f>
        <v>0</v>
      </c>
      <c r="AR177" s="403">
        <f>(SUMIFS(RN!AR$114:AR$116,RN!$C$114:$C$116,$C177)+SUMIFS(RL!AR$108:AR$110,RL!$C$108:$C$110,$C177)+SUMIFS(LU!AR$108:AR$110,LU!$C$108:$C$110,$C177))*AR20*AR$14</f>
        <v>0</v>
      </c>
      <c r="AS177" s="403">
        <f>(SUMIFS(RN!AS$114:AS$116,RN!$C$114:$C$116,$C177)+SUMIFS(RL!AS$108:AS$110,RL!$C$108:$C$110,$C177)+SUMIFS(LU!AS$108:AS$110,LU!$C$108:$C$110,$C177))*AS20*AS$14</f>
        <v>0</v>
      </c>
      <c r="AT177" s="403">
        <f>(SUMIFS(RN!AT$114:AT$116,RN!$C$114:$C$116,$C177)+SUMIFS(RL!AT$108:AT$110,RL!$C$108:$C$110,$C177)+SUMIFS(LU!AT$108:AT$110,LU!$C$108:$C$110,$C177))*AT20*AT$14</f>
        <v>0</v>
      </c>
      <c r="AU177" s="403">
        <f>(SUMIFS(RN!AU$114:AU$116,RN!$C$114:$C$116,$C177)+SUMIFS(RL!AU$108:AU$110,RL!$C$108:$C$110,$C177)+SUMIFS(LU!AU$108:AU$110,LU!$C$108:$C$110,$C177))*AU20*AU$14</f>
        <v>0</v>
      </c>
      <c r="AV177" s="403">
        <f>(SUMIFS(RN!AV$114:AV$116,RN!$C$114:$C$116,$C177)+SUMIFS(RL!AV$108:AV$110,RL!$C$108:$C$110,$C177)+SUMIFS(LU!AV$108:AV$110,LU!$C$108:$C$110,$C177))*AV20*AV$14</f>
        <v>0</v>
      </c>
      <c r="AW177" s="403">
        <f>(SUMIFS(RN!AW$114:AW$116,RN!$C$114:$C$116,$C177)+SUMIFS(RL!AW$108:AW$110,RL!$C$108:$C$110,$C177)+SUMIFS(LU!AW$108:AW$110,LU!$C$108:$C$110,$C177))*AW20*AW$14</f>
        <v>0</v>
      </c>
      <c r="AX177" s="403">
        <f>(SUMIFS(RN!AX$114:AX$116,RN!$C$114:$C$116,$C177)+SUMIFS(RL!AX$108:AX$110,RL!$C$108:$C$110,$C177)+SUMIFS(LU!AX$108:AX$110,LU!$C$108:$C$110,$C177))*AX20*AX$14</f>
        <v>0</v>
      </c>
      <c r="AY177" s="403">
        <f>(SUMIFS(RN!AY$114:AY$116,RN!$C$114:$C$116,$C177)+SUMIFS(RL!AY$108:AY$110,RL!$C$108:$C$110,$C177)+SUMIFS(LU!AY$108:AY$110,LU!$C$108:$C$110,$C177))*AY20*AY$14</f>
        <v>0</v>
      </c>
      <c r="AZ177" s="403">
        <f>(SUMIFS(RN!AZ$114:AZ$116,RN!$C$114:$C$116,$C177)+SUMIFS(RL!AZ$108:AZ$110,RL!$C$108:$C$110,$C177)+SUMIFS(LU!AZ$108:AZ$110,LU!$C$108:$C$110,$C177))*AZ20*AZ$14</f>
        <v>0</v>
      </c>
      <c r="BA177" s="403">
        <f>(SUMIFS(RN!BA$114:BA$116,RN!$C$114:$C$116,$C177)+SUMIFS(RL!BA$108:BA$110,RL!$C$108:$C$110,$C177)+SUMIFS(LU!BA$108:BA$110,LU!$C$108:$C$110,$C177))*BA20*BA$14</f>
        <v>0</v>
      </c>
      <c r="BB177" s="403">
        <f>(SUMIFS(RN!BB$114:BB$116,RN!$C$114:$C$116,$C177)+SUMIFS(RL!BB$108:BB$110,RL!$C$108:$C$110,$C177)+SUMIFS(LU!BB$108:BB$110,LU!$C$108:$C$110,$C177))*BB20*BB$14</f>
        <v>0</v>
      </c>
      <c r="BC177" s="403">
        <f>(SUMIFS(RN!BC$114:BC$116,RN!$C$114:$C$116,$C177)+SUMIFS(RL!BC$108:BC$110,RL!$C$108:$C$110,$C177)+SUMIFS(LU!BC$108:BC$110,LU!$C$108:$C$110,$C177))*BC20*BC$14</f>
        <v>0</v>
      </c>
      <c r="BD177" s="403">
        <f>(SUMIFS(RN!BD$114:BD$116,RN!$C$114:$C$116,$C177)+SUMIFS(RL!BD$108:BD$110,RL!$C$108:$C$110,$C177)+SUMIFS(LU!BD$108:BD$110,LU!$C$108:$C$110,$C177))*BD20*BD$14</f>
        <v>0</v>
      </c>
      <c r="BE177" s="403">
        <f>(SUMIFS(RN!BE$114:BE$116,RN!$C$114:$C$116,$C177)+SUMIFS(RL!BE$108:BE$110,RL!$C$108:$C$110,$C177)+SUMIFS(LU!BE$108:BE$110,LU!$C$108:$C$110,$C177))*BE20*BE$14</f>
        <v>0</v>
      </c>
      <c r="BF177" s="403">
        <f>(SUMIFS(RN!BF$114:BF$116,RN!$C$114:$C$116,$C177)+SUMIFS(RL!BF$108:BF$110,RL!$C$108:$C$110,$C177)+SUMIFS(LU!BF$108:BF$110,LU!$C$108:$C$110,$C177))*BF20*BF$14</f>
        <v>0</v>
      </c>
      <c r="BG177" s="403">
        <f>(SUMIFS(RN!BG$114:BG$116,RN!$C$114:$C$116,$C177)+SUMIFS(RL!BG$108:BG$110,RL!$C$108:$C$110,$C177)+SUMIFS(LU!BG$108:BG$110,LU!$C$108:$C$110,$C177))*BG20*BG$14</f>
        <v>0</v>
      </c>
      <c r="BI177" s="238">
        <f>SUM(T177:BG177)</f>
        <v>0</v>
      </c>
      <c r="BK177" s="333"/>
    </row>
    <row r="178" spans="2:66">
      <c r="C178" s="99">
        <f>AA!C14</f>
        <v>2</v>
      </c>
      <c r="E178" s="94" t="str">
        <f>INDEX(AA!$AC$13:$AC$15,MATCH($C178,AA!$C$13:$C$15,0))</f>
        <v>backup</v>
      </c>
      <c r="G178" s="1325">
        <f>INDEX(AA!$E$13:$E$15,MATCH($C178,AA!$C$13:$C$15,0))</f>
        <v>1</v>
      </c>
      <c r="I178" s="73" t="s">
        <v>368</v>
      </c>
      <c r="T178" s="403">
        <f>(SUMIFS(RN!T$114:T$116,RN!$C$114:$C$116,$C178)+SUMIFS(RL!T$108:T$110,RL!$C$108:$C$110,$C178)+SUMIFS(LU!T$108:T$110,LU!$C$108:$C$110,$C178))*T21*T$14</f>
        <v>0</v>
      </c>
      <c r="U178" s="403">
        <f>(SUMIFS(RN!U$114:U$116,RN!$C$114:$C$116,$C178)+SUMIFS(RL!U$108:U$110,RL!$C$108:$C$110,$C178)+SUMIFS(LU!U$108:U$110,LU!$C$108:$C$110,$C178))*U21*U$14</f>
        <v>0</v>
      </c>
      <c r="V178" s="403">
        <f>(SUMIFS(RN!V$114:V$116,RN!$C$114:$C$116,$C178)+SUMIFS(RL!V$108:V$110,RL!$C$108:$C$110,$C178)+SUMIFS(LU!V$108:V$110,LU!$C$108:$C$110,$C178))*V21*V$14</f>
        <v>0</v>
      </c>
      <c r="W178" s="403">
        <f>(SUMIFS(RN!W$114:W$116,RN!$C$114:$C$116,$C178)+SUMIFS(RL!W$108:W$110,RL!$C$108:$C$110,$C178)+SUMIFS(LU!W$108:W$110,LU!$C$108:$C$110,$C178))*W21*W$14</f>
        <v>0</v>
      </c>
      <c r="X178" s="403">
        <f>(SUMIFS(RN!X$114:X$116,RN!$C$114:$C$116,$C178)+SUMIFS(RL!X$108:X$110,RL!$C$108:$C$110,$C178)+SUMIFS(LU!X$108:X$110,LU!$C$108:$C$110,$C178))*X21*X$14</f>
        <v>0</v>
      </c>
      <c r="Y178" s="403">
        <f>(SUMIFS(RN!Y$114:Y$116,RN!$C$114:$C$116,$C178)+SUMIFS(RL!Y$108:Y$110,RL!$C$108:$C$110,$C178)+SUMIFS(LU!Y$108:Y$110,LU!$C$108:$C$110,$C178))*Y21*Y$14</f>
        <v>0</v>
      </c>
      <c r="Z178" s="403">
        <f>(SUMIFS(RN!Z$114:Z$116,RN!$C$114:$C$116,$C178)+SUMIFS(RL!Z$108:Z$110,RL!$C$108:$C$110,$C178)+SUMIFS(LU!Z$108:Z$110,LU!$C$108:$C$110,$C178))*Z21*Z$14</f>
        <v>0</v>
      </c>
      <c r="AA178" s="403">
        <f>(SUMIFS(RN!AA$114:AA$116,RN!$C$114:$C$116,$C178)+SUMIFS(RL!AA$108:AA$110,RL!$C$108:$C$110,$C178)+SUMIFS(LU!AA$108:AA$110,LU!$C$108:$C$110,$C178))*AA21*AA$14</f>
        <v>0</v>
      </c>
      <c r="AB178" s="403">
        <f>(SUMIFS(RN!AB$114:AB$116,RN!$C$114:$C$116,$C178)+SUMIFS(RL!AB$108:AB$110,RL!$C$108:$C$110,$C178)+SUMIFS(LU!AB$108:AB$110,LU!$C$108:$C$110,$C178))*AB21*AB$14</f>
        <v>0</v>
      </c>
      <c r="AC178" s="403">
        <f>(SUMIFS(RN!AC$114:AC$116,RN!$C$114:$C$116,$C178)+SUMIFS(RL!AC$108:AC$110,RL!$C$108:$C$110,$C178)+SUMIFS(LU!AC$108:AC$110,LU!$C$108:$C$110,$C178))*AC21*AC$14</f>
        <v>0</v>
      </c>
      <c r="AD178" s="403">
        <f>(SUMIFS(RN!AD$114:AD$116,RN!$C$114:$C$116,$C178)+SUMIFS(RL!AD$108:AD$110,RL!$C$108:$C$110,$C178)+SUMIFS(LU!AD$108:AD$110,LU!$C$108:$C$110,$C178))*AD21*AD$14</f>
        <v>0</v>
      </c>
      <c r="AE178" s="403">
        <f>(SUMIFS(RN!AE$114:AE$116,RN!$C$114:$C$116,$C178)+SUMIFS(RL!AE$108:AE$110,RL!$C$108:$C$110,$C178)+SUMIFS(LU!AE$108:AE$110,LU!$C$108:$C$110,$C178))*AE21*AE$14</f>
        <v>0</v>
      </c>
      <c r="AF178" s="403">
        <f>(SUMIFS(RN!AF$114:AF$116,RN!$C$114:$C$116,$C178)+SUMIFS(RL!AF$108:AF$110,RL!$C$108:$C$110,$C178)+SUMIFS(LU!AF$108:AF$110,LU!$C$108:$C$110,$C178))*AF21*AF$14</f>
        <v>0</v>
      </c>
      <c r="AG178" s="403">
        <f>(SUMIFS(RN!AG$114:AG$116,RN!$C$114:$C$116,$C178)+SUMIFS(RL!AG$108:AG$110,RL!$C$108:$C$110,$C178)+SUMIFS(LU!AG$108:AG$110,LU!$C$108:$C$110,$C178))*AG21*AG$14</f>
        <v>0</v>
      </c>
      <c r="AH178" s="403">
        <f>(SUMIFS(RN!AH$114:AH$116,RN!$C$114:$C$116,$C178)+SUMIFS(RL!AH$108:AH$110,RL!$C$108:$C$110,$C178)+SUMIFS(LU!AH$108:AH$110,LU!$C$108:$C$110,$C178))*AH21*AH$14</f>
        <v>0</v>
      </c>
      <c r="AI178" s="403">
        <f>(SUMIFS(RN!AI$114:AI$116,RN!$C$114:$C$116,$C178)+SUMIFS(RL!AI$108:AI$110,RL!$C$108:$C$110,$C178)+SUMIFS(LU!AI$108:AI$110,LU!$C$108:$C$110,$C178))*AI21*AI$14</f>
        <v>0</v>
      </c>
      <c r="AJ178" s="403">
        <f>(SUMIFS(RN!AJ$114:AJ$116,RN!$C$114:$C$116,$C178)+SUMIFS(RL!AJ$108:AJ$110,RL!$C$108:$C$110,$C178)+SUMIFS(LU!AJ$108:AJ$110,LU!$C$108:$C$110,$C178))*AJ21*AJ$14</f>
        <v>0</v>
      </c>
      <c r="AK178" s="403">
        <f>(SUMIFS(RN!AK$114:AK$116,RN!$C$114:$C$116,$C178)+SUMIFS(RL!AK$108:AK$110,RL!$C$108:$C$110,$C178)+SUMIFS(LU!AK$108:AK$110,LU!$C$108:$C$110,$C178))*AK21*AK$14</f>
        <v>0</v>
      </c>
      <c r="AL178" s="403">
        <f>(SUMIFS(RN!AL$114:AL$116,RN!$C$114:$C$116,$C178)+SUMIFS(RL!AL$108:AL$110,RL!$C$108:$C$110,$C178)+SUMIFS(LU!AL$108:AL$110,LU!$C$108:$C$110,$C178))*AL21*AL$14</f>
        <v>0</v>
      </c>
      <c r="AM178" s="403">
        <f>(SUMIFS(RN!AM$114:AM$116,RN!$C$114:$C$116,$C178)+SUMIFS(RL!AM$108:AM$110,RL!$C$108:$C$110,$C178)+SUMIFS(LU!AM$108:AM$110,LU!$C$108:$C$110,$C178))*AM21*AM$14</f>
        <v>0</v>
      </c>
      <c r="AN178" s="403">
        <f>(SUMIFS(RN!AN$114:AN$116,RN!$C$114:$C$116,$C178)+SUMIFS(RL!AN$108:AN$110,RL!$C$108:$C$110,$C178)+SUMIFS(LU!AN$108:AN$110,LU!$C$108:$C$110,$C178))*AN21*AN$14</f>
        <v>0</v>
      </c>
      <c r="AO178" s="403">
        <f>(SUMIFS(RN!AO$114:AO$116,RN!$C$114:$C$116,$C178)+SUMIFS(RL!AO$108:AO$110,RL!$C$108:$C$110,$C178)+SUMIFS(LU!AO$108:AO$110,LU!$C$108:$C$110,$C178))*AO21*AO$14</f>
        <v>0</v>
      </c>
      <c r="AP178" s="403">
        <f>(SUMIFS(RN!AP$114:AP$116,RN!$C$114:$C$116,$C178)+SUMIFS(RL!AP$108:AP$110,RL!$C$108:$C$110,$C178)+SUMIFS(LU!AP$108:AP$110,LU!$C$108:$C$110,$C178))*AP21*AP$14</f>
        <v>0</v>
      </c>
      <c r="AQ178" s="403">
        <f>(SUMIFS(RN!AQ$114:AQ$116,RN!$C$114:$C$116,$C178)+SUMIFS(RL!AQ$108:AQ$110,RL!$C$108:$C$110,$C178)+SUMIFS(LU!AQ$108:AQ$110,LU!$C$108:$C$110,$C178))*AQ21*AQ$14</f>
        <v>0</v>
      </c>
      <c r="AR178" s="403">
        <f>(SUMIFS(RN!AR$114:AR$116,RN!$C$114:$C$116,$C178)+SUMIFS(RL!AR$108:AR$110,RL!$C$108:$C$110,$C178)+SUMIFS(LU!AR$108:AR$110,LU!$C$108:$C$110,$C178))*AR21*AR$14</f>
        <v>0</v>
      </c>
      <c r="AS178" s="403">
        <f>(SUMIFS(RN!AS$114:AS$116,RN!$C$114:$C$116,$C178)+SUMIFS(RL!AS$108:AS$110,RL!$C$108:$C$110,$C178)+SUMIFS(LU!AS$108:AS$110,LU!$C$108:$C$110,$C178))*AS21*AS$14</f>
        <v>0</v>
      </c>
      <c r="AT178" s="403">
        <f>(SUMIFS(RN!AT$114:AT$116,RN!$C$114:$C$116,$C178)+SUMIFS(RL!AT$108:AT$110,RL!$C$108:$C$110,$C178)+SUMIFS(LU!AT$108:AT$110,LU!$C$108:$C$110,$C178))*AT21*AT$14</f>
        <v>0</v>
      </c>
      <c r="AU178" s="403">
        <f>(SUMIFS(RN!AU$114:AU$116,RN!$C$114:$C$116,$C178)+SUMIFS(RL!AU$108:AU$110,RL!$C$108:$C$110,$C178)+SUMIFS(LU!AU$108:AU$110,LU!$C$108:$C$110,$C178))*AU21*AU$14</f>
        <v>0</v>
      </c>
      <c r="AV178" s="403">
        <f>(SUMIFS(RN!AV$114:AV$116,RN!$C$114:$C$116,$C178)+SUMIFS(RL!AV$108:AV$110,RL!$C$108:$C$110,$C178)+SUMIFS(LU!AV$108:AV$110,LU!$C$108:$C$110,$C178))*AV21*AV$14</f>
        <v>0</v>
      </c>
      <c r="AW178" s="403">
        <f>(SUMIFS(RN!AW$114:AW$116,RN!$C$114:$C$116,$C178)+SUMIFS(RL!AW$108:AW$110,RL!$C$108:$C$110,$C178)+SUMIFS(LU!AW$108:AW$110,LU!$C$108:$C$110,$C178))*AW21*AW$14</f>
        <v>0</v>
      </c>
      <c r="AX178" s="403">
        <f>(SUMIFS(RN!AX$114:AX$116,RN!$C$114:$C$116,$C178)+SUMIFS(RL!AX$108:AX$110,RL!$C$108:$C$110,$C178)+SUMIFS(LU!AX$108:AX$110,LU!$C$108:$C$110,$C178))*AX21*AX$14</f>
        <v>0</v>
      </c>
      <c r="AY178" s="403">
        <f>(SUMIFS(RN!AY$114:AY$116,RN!$C$114:$C$116,$C178)+SUMIFS(RL!AY$108:AY$110,RL!$C$108:$C$110,$C178)+SUMIFS(LU!AY$108:AY$110,LU!$C$108:$C$110,$C178))*AY21*AY$14</f>
        <v>0</v>
      </c>
      <c r="AZ178" s="403">
        <f>(SUMIFS(RN!AZ$114:AZ$116,RN!$C$114:$C$116,$C178)+SUMIFS(RL!AZ$108:AZ$110,RL!$C$108:$C$110,$C178)+SUMIFS(LU!AZ$108:AZ$110,LU!$C$108:$C$110,$C178))*AZ21*AZ$14</f>
        <v>0</v>
      </c>
      <c r="BA178" s="403">
        <f>(SUMIFS(RN!BA$114:BA$116,RN!$C$114:$C$116,$C178)+SUMIFS(RL!BA$108:BA$110,RL!$C$108:$C$110,$C178)+SUMIFS(LU!BA$108:BA$110,LU!$C$108:$C$110,$C178))*BA21*BA$14</f>
        <v>0</v>
      </c>
      <c r="BB178" s="403">
        <f>(SUMIFS(RN!BB$114:BB$116,RN!$C$114:$C$116,$C178)+SUMIFS(RL!BB$108:BB$110,RL!$C$108:$C$110,$C178)+SUMIFS(LU!BB$108:BB$110,LU!$C$108:$C$110,$C178))*BB21*BB$14</f>
        <v>0</v>
      </c>
      <c r="BC178" s="403">
        <f>(SUMIFS(RN!BC$114:BC$116,RN!$C$114:$C$116,$C178)+SUMIFS(RL!BC$108:BC$110,RL!$C$108:$C$110,$C178)+SUMIFS(LU!BC$108:BC$110,LU!$C$108:$C$110,$C178))*BC21*BC$14</f>
        <v>0</v>
      </c>
      <c r="BD178" s="403">
        <f>(SUMIFS(RN!BD$114:BD$116,RN!$C$114:$C$116,$C178)+SUMIFS(RL!BD$108:BD$110,RL!$C$108:$C$110,$C178)+SUMIFS(LU!BD$108:BD$110,LU!$C$108:$C$110,$C178))*BD21*BD$14</f>
        <v>0</v>
      </c>
      <c r="BE178" s="403">
        <f>(SUMIFS(RN!BE$114:BE$116,RN!$C$114:$C$116,$C178)+SUMIFS(RL!BE$108:BE$110,RL!$C$108:$C$110,$C178)+SUMIFS(LU!BE$108:BE$110,LU!$C$108:$C$110,$C178))*BE21*BE$14</f>
        <v>0</v>
      </c>
      <c r="BF178" s="403">
        <f>(SUMIFS(RN!BF$114:BF$116,RN!$C$114:$C$116,$C178)+SUMIFS(RL!BF$108:BF$110,RL!$C$108:$C$110,$C178)+SUMIFS(LU!BF$108:BF$110,LU!$C$108:$C$110,$C178))*BF21*BF$14</f>
        <v>0</v>
      </c>
      <c r="BG178" s="403">
        <f>(SUMIFS(RN!BG$114:BG$116,RN!$C$114:$C$116,$C178)+SUMIFS(RL!BG$108:BG$110,RL!$C$108:$C$110,$C178)+SUMIFS(LU!BG$108:BG$110,LU!$C$108:$C$110,$C178))*BG21*BG$14</f>
        <v>0</v>
      </c>
      <c r="BI178" s="240">
        <f t="shared" ref="BI178" si="75">SUM(T178:BG178)</f>
        <v>0</v>
      </c>
      <c r="BK178" s="334"/>
    </row>
    <row r="179" spans="2:66">
      <c r="C179" s="99">
        <f>AA!C15</f>
        <v>3</v>
      </c>
      <c r="E179" s="94" t="str">
        <f>INDEX(AA!$AC$13:$AC$15,MATCH($C179,AA!$C$13:$C$15,0))</f>
        <v>backup</v>
      </c>
      <c r="G179" s="1325">
        <f>INDEX(AA!$E$13:$E$15,MATCH($C179,AA!$C$13:$C$15,0))</f>
        <v>1</v>
      </c>
      <c r="I179" s="73" t="s">
        <v>368</v>
      </c>
      <c r="T179" s="403">
        <f>(SUMIFS(RN!T$114:T$116,RN!$C$114:$C$116,$C179)+SUMIFS(RL!T$108:T$110,RL!$C$108:$C$110,$C179)+SUMIFS(LU!T$108:T$110,LU!$C$108:$C$110,$C179))*T22*T$14</f>
        <v>0</v>
      </c>
      <c r="U179" s="403">
        <f>(SUMIFS(RN!U$114:U$116,RN!$C$114:$C$116,$C179)+SUMIFS(RL!U$108:U$110,RL!$C$108:$C$110,$C179)+SUMIFS(LU!U$108:U$110,LU!$C$108:$C$110,$C179))*U22*U$14</f>
        <v>0</v>
      </c>
      <c r="V179" s="403">
        <f>(SUMIFS(RN!V$114:V$116,RN!$C$114:$C$116,$C179)+SUMIFS(RL!V$108:V$110,RL!$C$108:$C$110,$C179)+SUMIFS(LU!V$108:V$110,LU!$C$108:$C$110,$C179))*V22*V$14</f>
        <v>0</v>
      </c>
      <c r="W179" s="403">
        <f>(SUMIFS(RN!W$114:W$116,RN!$C$114:$C$116,$C179)+SUMIFS(RL!W$108:W$110,RL!$C$108:$C$110,$C179)+SUMIFS(LU!W$108:W$110,LU!$C$108:$C$110,$C179))*W22*W$14</f>
        <v>0</v>
      </c>
      <c r="X179" s="403">
        <f>(SUMIFS(RN!X$114:X$116,RN!$C$114:$C$116,$C179)+SUMIFS(RL!X$108:X$110,RL!$C$108:$C$110,$C179)+SUMIFS(LU!X$108:X$110,LU!$C$108:$C$110,$C179))*X22*X$14</f>
        <v>0</v>
      </c>
      <c r="Y179" s="403">
        <f>(SUMIFS(RN!Y$114:Y$116,RN!$C$114:$C$116,$C179)+SUMIFS(RL!Y$108:Y$110,RL!$C$108:$C$110,$C179)+SUMIFS(LU!Y$108:Y$110,LU!$C$108:$C$110,$C179))*Y22*Y$14</f>
        <v>0</v>
      </c>
      <c r="Z179" s="403">
        <f>(SUMIFS(RN!Z$114:Z$116,RN!$C$114:$C$116,$C179)+SUMIFS(RL!Z$108:Z$110,RL!$C$108:$C$110,$C179)+SUMIFS(LU!Z$108:Z$110,LU!$C$108:$C$110,$C179))*Z22*Z$14</f>
        <v>0</v>
      </c>
      <c r="AA179" s="403">
        <f>(SUMIFS(RN!AA$114:AA$116,RN!$C$114:$C$116,$C179)+SUMIFS(RL!AA$108:AA$110,RL!$C$108:$C$110,$C179)+SUMIFS(LU!AA$108:AA$110,LU!$C$108:$C$110,$C179))*AA22*AA$14</f>
        <v>0</v>
      </c>
      <c r="AB179" s="403">
        <f>(SUMIFS(RN!AB$114:AB$116,RN!$C$114:$C$116,$C179)+SUMIFS(RL!AB$108:AB$110,RL!$C$108:$C$110,$C179)+SUMIFS(LU!AB$108:AB$110,LU!$C$108:$C$110,$C179))*AB22*AB$14</f>
        <v>0</v>
      </c>
      <c r="AC179" s="403">
        <f>(SUMIFS(RN!AC$114:AC$116,RN!$C$114:$C$116,$C179)+SUMIFS(RL!AC$108:AC$110,RL!$C$108:$C$110,$C179)+SUMIFS(LU!AC$108:AC$110,LU!$C$108:$C$110,$C179))*AC22*AC$14</f>
        <v>0</v>
      </c>
      <c r="AD179" s="403">
        <f>(SUMIFS(RN!AD$114:AD$116,RN!$C$114:$C$116,$C179)+SUMIFS(RL!AD$108:AD$110,RL!$C$108:$C$110,$C179)+SUMIFS(LU!AD$108:AD$110,LU!$C$108:$C$110,$C179))*AD22*AD$14</f>
        <v>0</v>
      </c>
      <c r="AE179" s="403">
        <f>(SUMIFS(RN!AE$114:AE$116,RN!$C$114:$C$116,$C179)+SUMIFS(RL!AE$108:AE$110,RL!$C$108:$C$110,$C179)+SUMIFS(LU!AE$108:AE$110,LU!$C$108:$C$110,$C179))*AE22*AE$14</f>
        <v>0</v>
      </c>
      <c r="AF179" s="403">
        <f>(SUMIFS(RN!AF$114:AF$116,RN!$C$114:$C$116,$C179)+SUMIFS(RL!AF$108:AF$110,RL!$C$108:$C$110,$C179)+SUMIFS(LU!AF$108:AF$110,LU!$C$108:$C$110,$C179))*AF22*AF$14</f>
        <v>0</v>
      </c>
      <c r="AG179" s="403">
        <f>(SUMIFS(RN!AG$114:AG$116,RN!$C$114:$C$116,$C179)+SUMIFS(RL!AG$108:AG$110,RL!$C$108:$C$110,$C179)+SUMIFS(LU!AG$108:AG$110,LU!$C$108:$C$110,$C179))*AG22*AG$14</f>
        <v>0</v>
      </c>
      <c r="AH179" s="403">
        <f>(SUMIFS(RN!AH$114:AH$116,RN!$C$114:$C$116,$C179)+SUMIFS(RL!AH$108:AH$110,RL!$C$108:$C$110,$C179)+SUMIFS(LU!AH$108:AH$110,LU!$C$108:$C$110,$C179))*AH22*AH$14</f>
        <v>0</v>
      </c>
      <c r="AI179" s="403">
        <f>(SUMIFS(RN!AI$114:AI$116,RN!$C$114:$C$116,$C179)+SUMIFS(RL!AI$108:AI$110,RL!$C$108:$C$110,$C179)+SUMIFS(LU!AI$108:AI$110,LU!$C$108:$C$110,$C179))*AI22*AI$14</f>
        <v>0</v>
      </c>
      <c r="AJ179" s="403">
        <f>(SUMIFS(RN!AJ$114:AJ$116,RN!$C$114:$C$116,$C179)+SUMIFS(RL!AJ$108:AJ$110,RL!$C$108:$C$110,$C179)+SUMIFS(LU!AJ$108:AJ$110,LU!$C$108:$C$110,$C179))*AJ22*AJ$14</f>
        <v>0</v>
      </c>
      <c r="AK179" s="403">
        <f>(SUMIFS(RN!AK$114:AK$116,RN!$C$114:$C$116,$C179)+SUMIFS(RL!AK$108:AK$110,RL!$C$108:$C$110,$C179)+SUMIFS(LU!AK$108:AK$110,LU!$C$108:$C$110,$C179))*AK22*AK$14</f>
        <v>0</v>
      </c>
      <c r="AL179" s="403">
        <f>(SUMIFS(RN!AL$114:AL$116,RN!$C$114:$C$116,$C179)+SUMIFS(RL!AL$108:AL$110,RL!$C$108:$C$110,$C179)+SUMIFS(LU!AL$108:AL$110,LU!$C$108:$C$110,$C179))*AL22*AL$14</f>
        <v>0</v>
      </c>
      <c r="AM179" s="403">
        <f>(SUMIFS(RN!AM$114:AM$116,RN!$C$114:$C$116,$C179)+SUMIFS(RL!AM$108:AM$110,RL!$C$108:$C$110,$C179)+SUMIFS(LU!AM$108:AM$110,LU!$C$108:$C$110,$C179))*AM22*AM$14</f>
        <v>0</v>
      </c>
      <c r="AN179" s="403">
        <f>(SUMIFS(RN!AN$114:AN$116,RN!$C$114:$C$116,$C179)+SUMIFS(RL!AN$108:AN$110,RL!$C$108:$C$110,$C179)+SUMIFS(LU!AN$108:AN$110,LU!$C$108:$C$110,$C179))*AN22*AN$14</f>
        <v>0</v>
      </c>
      <c r="AO179" s="403">
        <f>(SUMIFS(RN!AO$114:AO$116,RN!$C$114:$C$116,$C179)+SUMIFS(RL!AO$108:AO$110,RL!$C$108:$C$110,$C179)+SUMIFS(LU!AO$108:AO$110,LU!$C$108:$C$110,$C179))*AO22*AO$14</f>
        <v>0</v>
      </c>
      <c r="AP179" s="403">
        <f>(SUMIFS(RN!AP$114:AP$116,RN!$C$114:$C$116,$C179)+SUMIFS(RL!AP$108:AP$110,RL!$C$108:$C$110,$C179)+SUMIFS(LU!AP$108:AP$110,LU!$C$108:$C$110,$C179))*AP22*AP$14</f>
        <v>0</v>
      </c>
      <c r="AQ179" s="403">
        <f>(SUMIFS(RN!AQ$114:AQ$116,RN!$C$114:$C$116,$C179)+SUMIFS(RL!AQ$108:AQ$110,RL!$C$108:$C$110,$C179)+SUMIFS(LU!AQ$108:AQ$110,LU!$C$108:$C$110,$C179))*AQ22*AQ$14</f>
        <v>0</v>
      </c>
      <c r="AR179" s="403">
        <f>(SUMIFS(RN!AR$114:AR$116,RN!$C$114:$C$116,$C179)+SUMIFS(RL!AR$108:AR$110,RL!$C$108:$C$110,$C179)+SUMIFS(LU!AR$108:AR$110,LU!$C$108:$C$110,$C179))*AR22*AR$14</f>
        <v>0</v>
      </c>
      <c r="AS179" s="403">
        <f>(SUMIFS(RN!AS$114:AS$116,RN!$C$114:$C$116,$C179)+SUMIFS(RL!AS$108:AS$110,RL!$C$108:$C$110,$C179)+SUMIFS(LU!AS$108:AS$110,LU!$C$108:$C$110,$C179))*AS22*AS$14</f>
        <v>0</v>
      </c>
      <c r="AT179" s="403">
        <f>(SUMIFS(RN!AT$114:AT$116,RN!$C$114:$C$116,$C179)+SUMIFS(RL!AT$108:AT$110,RL!$C$108:$C$110,$C179)+SUMIFS(LU!AT$108:AT$110,LU!$C$108:$C$110,$C179))*AT22*AT$14</f>
        <v>0</v>
      </c>
      <c r="AU179" s="403">
        <f>(SUMIFS(RN!AU$114:AU$116,RN!$C$114:$C$116,$C179)+SUMIFS(RL!AU$108:AU$110,RL!$C$108:$C$110,$C179)+SUMIFS(LU!AU$108:AU$110,LU!$C$108:$C$110,$C179))*AU22*AU$14</f>
        <v>0</v>
      </c>
      <c r="AV179" s="403">
        <f>(SUMIFS(RN!AV$114:AV$116,RN!$C$114:$C$116,$C179)+SUMIFS(RL!AV$108:AV$110,RL!$C$108:$C$110,$C179)+SUMIFS(LU!AV$108:AV$110,LU!$C$108:$C$110,$C179))*AV22*AV$14</f>
        <v>0</v>
      </c>
      <c r="AW179" s="403">
        <f>(SUMIFS(RN!AW$114:AW$116,RN!$C$114:$C$116,$C179)+SUMIFS(RL!AW$108:AW$110,RL!$C$108:$C$110,$C179)+SUMIFS(LU!AW$108:AW$110,LU!$C$108:$C$110,$C179))*AW22*AW$14</f>
        <v>0</v>
      </c>
      <c r="AX179" s="403">
        <f>(SUMIFS(RN!AX$114:AX$116,RN!$C$114:$C$116,$C179)+SUMIFS(RL!AX$108:AX$110,RL!$C$108:$C$110,$C179)+SUMIFS(LU!AX$108:AX$110,LU!$C$108:$C$110,$C179))*AX22*AX$14</f>
        <v>0</v>
      </c>
      <c r="AY179" s="403">
        <f>(SUMIFS(RN!AY$114:AY$116,RN!$C$114:$C$116,$C179)+SUMIFS(RL!AY$108:AY$110,RL!$C$108:$C$110,$C179)+SUMIFS(LU!AY$108:AY$110,LU!$C$108:$C$110,$C179))*AY22*AY$14</f>
        <v>0</v>
      </c>
      <c r="AZ179" s="403">
        <f>(SUMIFS(RN!AZ$114:AZ$116,RN!$C$114:$C$116,$C179)+SUMIFS(RL!AZ$108:AZ$110,RL!$C$108:$C$110,$C179)+SUMIFS(LU!AZ$108:AZ$110,LU!$C$108:$C$110,$C179))*AZ22*AZ$14</f>
        <v>0</v>
      </c>
      <c r="BA179" s="403">
        <f>(SUMIFS(RN!BA$114:BA$116,RN!$C$114:$C$116,$C179)+SUMIFS(RL!BA$108:BA$110,RL!$C$108:$C$110,$C179)+SUMIFS(LU!BA$108:BA$110,LU!$C$108:$C$110,$C179))*BA22*BA$14</f>
        <v>0</v>
      </c>
      <c r="BB179" s="403">
        <f>(SUMIFS(RN!BB$114:BB$116,RN!$C$114:$C$116,$C179)+SUMIFS(RL!BB$108:BB$110,RL!$C$108:$C$110,$C179)+SUMIFS(LU!BB$108:BB$110,LU!$C$108:$C$110,$C179))*BB22*BB$14</f>
        <v>0</v>
      </c>
      <c r="BC179" s="403">
        <f>(SUMIFS(RN!BC$114:BC$116,RN!$C$114:$C$116,$C179)+SUMIFS(RL!BC$108:BC$110,RL!$C$108:$C$110,$C179)+SUMIFS(LU!BC$108:BC$110,LU!$C$108:$C$110,$C179))*BC22*BC$14</f>
        <v>0</v>
      </c>
      <c r="BD179" s="403">
        <f>(SUMIFS(RN!BD$114:BD$116,RN!$C$114:$C$116,$C179)+SUMIFS(RL!BD$108:BD$110,RL!$C$108:$C$110,$C179)+SUMIFS(LU!BD$108:BD$110,LU!$C$108:$C$110,$C179))*BD22*BD$14</f>
        <v>0</v>
      </c>
      <c r="BE179" s="403">
        <f>(SUMIFS(RN!BE$114:BE$116,RN!$C$114:$C$116,$C179)+SUMIFS(RL!BE$108:BE$110,RL!$C$108:$C$110,$C179)+SUMIFS(LU!BE$108:BE$110,LU!$C$108:$C$110,$C179))*BE22*BE$14</f>
        <v>0</v>
      </c>
      <c r="BF179" s="403">
        <f>(SUMIFS(RN!BF$114:BF$116,RN!$C$114:$C$116,$C179)+SUMIFS(RL!BF$108:BF$110,RL!$C$108:$C$110,$C179)+SUMIFS(LU!BF$108:BF$110,LU!$C$108:$C$110,$C179))*BF22*BF$14</f>
        <v>0</v>
      </c>
      <c r="BG179" s="403">
        <f>(SUMIFS(RN!BG$114:BG$116,RN!$C$114:$C$116,$C179)+SUMIFS(RL!BG$108:BG$110,RL!$C$108:$C$110,$C179)+SUMIFS(LU!BG$108:BG$110,LU!$C$108:$C$110,$C179))*BG22*BG$14</f>
        <v>0</v>
      </c>
      <c r="BI179" s="240">
        <f t="shared" ref="BI179" si="76">SUM(T179:BG179)</f>
        <v>0</v>
      </c>
      <c r="BK179" s="334"/>
    </row>
    <row r="180" spans="2:66">
      <c r="C180" s="268"/>
      <c r="E180" s="268"/>
      <c r="G180" s="268"/>
      <c r="I180" s="268"/>
      <c r="BI180" s="268"/>
      <c r="BK180" s="268"/>
    </row>
    <row r="181" spans="2:66" s="90" customFormat="1">
      <c r="B181" s="91">
        <f ca="1">MAX(A$1:$B180)+1</f>
        <v>23</v>
      </c>
      <c r="C181" s="92" t="s">
        <v>394</v>
      </c>
    </row>
    <row r="183" spans="2:66" ht="30">
      <c r="C183" s="97" t="s">
        <v>4</v>
      </c>
      <c r="E183" s="97" t="s">
        <v>6</v>
      </c>
      <c r="G183" s="101" t="s">
        <v>272</v>
      </c>
      <c r="I183" s="101" t="s">
        <v>150</v>
      </c>
      <c r="BI183" s="327" t="s">
        <v>152</v>
      </c>
      <c r="BK183" s="332"/>
    </row>
    <row r="184" spans="2:66">
      <c r="C184" s="99">
        <f>AA!C13</f>
        <v>1</v>
      </c>
      <c r="E184" s="93" t="str">
        <f>INDEX(AA!$AC$13:$AC$15,MATCH($C184,AA!$C$13:$C$15,0))</f>
        <v>backup</v>
      </c>
      <c r="G184" s="1324">
        <f>INDEX(AA!$E$13:$E$15,MATCH($C184,AA!$C$13:$C$15,0))</f>
        <v>1</v>
      </c>
      <c r="I184" s="72" t="s">
        <v>393</v>
      </c>
      <c r="T184" s="403">
        <f>(SUMIFS(RN!T$122:T$124,RN!$C$122:$C$124,$C184)+SUMIFS(RL!T$116:T$118,RL!$C$116:$C$118,$C184)+SUMIFS(LU!T$116:T$118,LU!$C$116:$C$118,$C184))*T20*T$14</f>
        <v>0</v>
      </c>
      <c r="U184" s="403">
        <f>(SUMIFS(RN!U$122:U$124,RN!$C$122:$C$124,$C184)+SUMIFS(RL!U$116:U$118,RL!$C$116:$C$118,$C184)+SUMIFS(LU!U$116:U$118,LU!$C$116:$C$118,$C184))*U20*U$14</f>
        <v>0</v>
      </c>
      <c r="V184" s="403">
        <f>(SUMIFS(RN!V$122:V$124,RN!$C$122:$C$124,$C184)+SUMIFS(RL!V$116:V$118,RL!$C$116:$C$118,$C184)+SUMIFS(LU!V$116:V$118,LU!$C$116:$C$118,$C184))*V20*V$14</f>
        <v>0</v>
      </c>
      <c r="W184" s="403">
        <f>(SUMIFS(RN!W$122:W$124,RN!$C$122:$C$124,$C184)+SUMIFS(RL!W$116:W$118,RL!$C$116:$C$118,$C184)+SUMIFS(LU!W$116:W$118,LU!$C$116:$C$118,$C184))*W20*W$14</f>
        <v>0</v>
      </c>
      <c r="X184" s="403">
        <f>(SUMIFS(RN!X$122:X$124,RN!$C$122:$C$124,$C184)+SUMIFS(RL!X$116:X$118,RL!$C$116:$C$118,$C184)+SUMIFS(LU!X$116:X$118,LU!$C$116:$C$118,$C184))*X20*X$14</f>
        <v>0</v>
      </c>
      <c r="Y184" s="403">
        <f>(SUMIFS(RN!Y$122:Y$124,RN!$C$122:$C$124,$C184)+SUMIFS(RL!Y$116:Y$118,RL!$C$116:$C$118,$C184)+SUMIFS(LU!Y$116:Y$118,LU!$C$116:$C$118,$C184))*Y20*Y$14</f>
        <v>0</v>
      </c>
      <c r="Z184" s="403">
        <f>(SUMIFS(RN!Z$122:Z$124,RN!$C$122:$C$124,$C184)+SUMIFS(RL!Z$116:Z$118,RL!$C$116:$C$118,$C184)+SUMIFS(LU!Z$116:Z$118,LU!$C$116:$C$118,$C184))*Z20*Z$14</f>
        <v>0</v>
      </c>
      <c r="AA184" s="403">
        <f>(SUMIFS(RN!AA$122:AA$124,RN!$C$122:$C$124,$C184)+SUMIFS(RL!AA$116:AA$118,RL!$C$116:$C$118,$C184)+SUMIFS(LU!AA$116:AA$118,LU!$C$116:$C$118,$C184))*AA20*AA$14</f>
        <v>0</v>
      </c>
      <c r="AB184" s="403">
        <f>(SUMIFS(RN!AB$122:AB$124,RN!$C$122:$C$124,$C184)+SUMIFS(RL!AB$116:AB$118,RL!$C$116:$C$118,$C184)+SUMIFS(LU!AB$116:AB$118,LU!$C$116:$C$118,$C184))*AB20*AB$14</f>
        <v>0</v>
      </c>
      <c r="AC184" s="403">
        <f>(SUMIFS(RN!AC$122:AC$124,RN!$C$122:$C$124,$C184)+SUMIFS(RL!AC$116:AC$118,RL!$C$116:$C$118,$C184)+SUMIFS(LU!AC$116:AC$118,LU!$C$116:$C$118,$C184))*AC20*AC$14</f>
        <v>0</v>
      </c>
      <c r="AD184" s="403">
        <f>(SUMIFS(RN!AD$122:AD$124,RN!$C$122:$C$124,$C184)+SUMIFS(RL!AD$116:AD$118,RL!$C$116:$C$118,$C184)+SUMIFS(LU!AD$116:AD$118,LU!$C$116:$C$118,$C184))*AD20*AD$14</f>
        <v>0</v>
      </c>
      <c r="AE184" s="403">
        <f>(SUMIFS(RN!AE$122:AE$124,RN!$C$122:$C$124,$C184)+SUMIFS(RL!AE$116:AE$118,RL!$C$116:$C$118,$C184)+SUMIFS(LU!AE$116:AE$118,LU!$C$116:$C$118,$C184))*AE20*AE$14</f>
        <v>0</v>
      </c>
      <c r="AF184" s="403">
        <f>(SUMIFS(RN!AF$122:AF$124,RN!$C$122:$C$124,$C184)+SUMIFS(RL!AF$116:AF$118,RL!$C$116:$C$118,$C184)+SUMIFS(LU!AF$116:AF$118,LU!$C$116:$C$118,$C184))*AF20*AF$14</f>
        <v>0</v>
      </c>
      <c r="AG184" s="403">
        <f>(SUMIFS(RN!AG$122:AG$124,RN!$C$122:$C$124,$C184)+SUMIFS(RL!AG$116:AG$118,RL!$C$116:$C$118,$C184)+SUMIFS(LU!AG$116:AG$118,LU!$C$116:$C$118,$C184))*AG20*AG$14</f>
        <v>0</v>
      </c>
      <c r="AH184" s="403">
        <f>(SUMIFS(RN!AH$122:AH$124,RN!$C$122:$C$124,$C184)+SUMIFS(RL!AH$116:AH$118,RL!$C$116:$C$118,$C184)+SUMIFS(LU!AH$116:AH$118,LU!$C$116:$C$118,$C184))*AH20*AH$14</f>
        <v>0</v>
      </c>
      <c r="AI184" s="403">
        <f>(SUMIFS(RN!AI$122:AI$124,RN!$C$122:$C$124,$C184)+SUMIFS(RL!AI$116:AI$118,RL!$C$116:$C$118,$C184)+SUMIFS(LU!AI$116:AI$118,LU!$C$116:$C$118,$C184))*AI20*AI$14</f>
        <v>0</v>
      </c>
      <c r="AJ184" s="403">
        <f>(SUMIFS(RN!AJ$122:AJ$124,RN!$C$122:$C$124,$C184)+SUMIFS(RL!AJ$116:AJ$118,RL!$C$116:$C$118,$C184)+SUMIFS(LU!AJ$116:AJ$118,LU!$C$116:$C$118,$C184))*AJ20*AJ$14</f>
        <v>0</v>
      </c>
      <c r="AK184" s="403">
        <f>(SUMIFS(RN!AK$122:AK$124,RN!$C$122:$C$124,$C184)+SUMIFS(RL!AK$116:AK$118,RL!$C$116:$C$118,$C184)+SUMIFS(LU!AK$116:AK$118,LU!$C$116:$C$118,$C184))*AK20*AK$14</f>
        <v>0</v>
      </c>
      <c r="AL184" s="403">
        <f>(SUMIFS(RN!AL$122:AL$124,RN!$C$122:$C$124,$C184)+SUMIFS(RL!AL$116:AL$118,RL!$C$116:$C$118,$C184)+SUMIFS(LU!AL$116:AL$118,LU!$C$116:$C$118,$C184))*AL20*AL$14</f>
        <v>0</v>
      </c>
      <c r="AM184" s="403">
        <f>(SUMIFS(RN!AM$122:AM$124,RN!$C$122:$C$124,$C184)+SUMIFS(RL!AM$116:AM$118,RL!$C$116:$C$118,$C184)+SUMIFS(LU!AM$116:AM$118,LU!$C$116:$C$118,$C184))*AM20*AM$14</f>
        <v>0</v>
      </c>
      <c r="AN184" s="403">
        <f>(SUMIFS(RN!AN$122:AN$124,RN!$C$122:$C$124,$C184)+SUMIFS(RL!AN$116:AN$118,RL!$C$116:$C$118,$C184)+SUMIFS(LU!AN$116:AN$118,LU!$C$116:$C$118,$C184))*AN20*AN$14</f>
        <v>0</v>
      </c>
      <c r="AO184" s="403">
        <f>(SUMIFS(RN!AO$122:AO$124,RN!$C$122:$C$124,$C184)+SUMIFS(RL!AO$116:AO$118,RL!$C$116:$C$118,$C184)+SUMIFS(LU!AO$116:AO$118,LU!$C$116:$C$118,$C184))*AO20*AO$14</f>
        <v>0</v>
      </c>
      <c r="AP184" s="403">
        <f>(SUMIFS(RN!AP$122:AP$124,RN!$C$122:$C$124,$C184)+SUMIFS(RL!AP$116:AP$118,RL!$C$116:$C$118,$C184)+SUMIFS(LU!AP$116:AP$118,LU!$C$116:$C$118,$C184))*AP20*AP$14</f>
        <v>0</v>
      </c>
      <c r="AQ184" s="403">
        <f>(SUMIFS(RN!AQ$122:AQ$124,RN!$C$122:$C$124,$C184)+SUMIFS(RL!AQ$116:AQ$118,RL!$C$116:$C$118,$C184)+SUMIFS(LU!AQ$116:AQ$118,LU!$C$116:$C$118,$C184))*AQ20*AQ$14</f>
        <v>0</v>
      </c>
      <c r="AR184" s="403">
        <f>(SUMIFS(RN!AR$122:AR$124,RN!$C$122:$C$124,$C184)+SUMIFS(RL!AR$116:AR$118,RL!$C$116:$C$118,$C184)+SUMIFS(LU!AR$116:AR$118,LU!$C$116:$C$118,$C184))*AR20*AR$14</f>
        <v>0</v>
      </c>
      <c r="AS184" s="403">
        <f>(SUMIFS(RN!AS$122:AS$124,RN!$C$122:$C$124,$C184)+SUMIFS(RL!AS$116:AS$118,RL!$C$116:$C$118,$C184)+SUMIFS(LU!AS$116:AS$118,LU!$C$116:$C$118,$C184))*AS20*AS$14</f>
        <v>0</v>
      </c>
      <c r="AT184" s="403">
        <f>(SUMIFS(RN!AT$122:AT$124,RN!$C$122:$C$124,$C184)+SUMIFS(RL!AT$116:AT$118,RL!$C$116:$C$118,$C184)+SUMIFS(LU!AT$116:AT$118,LU!$C$116:$C$118,$C184))*AT20*AT$14</f>
        <v>0</v>
      </c>
      <c r="AU184" s="403">
        <f>(SUMIFS(RN!AU$122:AU$124,RN!$C$122:$C$124,$C184)+SUMIFS(RL!AU$116:AU$118,RL!$C$116:$C$118,$C184)+SUMIFS(LU!AU$116:AU$118,LU!$C$116:$C$118,$C184))*AU20*AU$14</f>
        <v>0</v>
      </c>
      <c r="AV184" s="403">
        <f>(SUMIFS(RN!AV$122:AV$124,RN!$C$122:$C$124,$C184)+SUMIFS(RL!AV$116:AV$118,RL!$C$116:$C$118,$C184)+SUMIFS(LU!AV$116:AV$118,LU!$C$116:$C$118,$C184))*AV20*AV$14</f>
        <v>0</v>
      </c>
      <c r="AW184" s="403">
        <f>(SUMIFS(RN!AW$122:AW$124,RN!$C$122:$C$124,$C184)+SUMIFS(RL!AW$116:AW$118,RL!$C$116:$C$118,$C184)+SUMIFS(LU!AW$116:AW$118,LU!$C$116:$C$118,$C184))*AW20*AW$14</f>
        <v>0</v>
      </c>
      <c r="AX184" s="403">
        <f>(SUMIFS(RN!AX$122:AX$124,RN!$C$122:$C$124,$C184)+SUMIFS(RL!AX$116:AX$118,RL!$C$116:$C$118,$C184)+SUMIFS(LU!AX$116:AX$118,LU!$C$116:$C$118,$C184))*AX20*AX$14</f>
        <v>0</v>
      </c>
      <c r="AY184" s="403">
        <f>(SUMIFS(RN!AY$122:AY$124,RN!$C$122:$C$124,$C184)+SUMIFS(RL!AY$116:AY$118,RL!$C$116:$C$118,$C184)+SUMIFS(LU!AY$116:AY$118,LU!$C$116:$C$118,$C184))*AY20*AY$14</f>
        <v>0</v>
      </c>
      <c r="AZ184" s="403">
        <f>(SUMIFS(RN!AZ$122:AZ$124,RN!$C$122:$C$124,$C184)+SUMIFS(RL!AZ$116:AZ$118,RL!$C$116:$C$118,$C184)+SUMIFS(LU!AZ$116:AZ$118,LU!$C$116:$C$118,$C184))*AZ20*AZ$14</f>
        <v>0</v>
      </c>
      <c r="BA184" s="403">
        <f>(SUMIFS(RN!BA$122:BA$124,RN!$C$122:$C$124,$C184)+SUMIFS(RL!BA$116:BA$118,RL!$C$116:$C$118,$C184)+SUMIFS(LU!BA$116:BA$118,LU!$C$116:$C$118,$C184))*BA20*BA$14</f>
        <v>0</v>
      </c>
      <c r="BB184" s="403">
        <f>(SUMIFS(RN!BB$122:BB$124,RN!$C$122:$C$124,$C184)+SUMIFS(RL!BB$116:BB$118,RL!$C$116:$C$118,$C184)+SUMIFS(LU!BB$116:BB$118,LU!$C$116:$C$118,$C184))*BB20*BB$14</f>
        <v>0</v>
      </c>
      <c r="BC184" s="403">
        <f>(SUMIFS(RN!BC$122:BC$124,RN!$C$122:$C$124,$C184)+SUMIFS(RL!BC$116:BC$118,RL!$C$116:$C$118,$C184)+SUMIFS(LU!BC$116:BC$118,LU!$C$116:$C$118,$C184))*BC20*BC$14</f>
        <v>0</v>
      </c>
      <c r="BD184" s="403">
        <f>(SUMIFS(RN!BD$122:BD$124,RN!$C$122:$C$124,$C184)+SUMIFS(RL!BD$116:BD$118,RL!$C$116:$C$118,$C184)+SUMIFS(LU!BD$116:BD$118,LU!$C$116:$C$118,$C184))*BD20*BD$14</f>
        <v>0</v>
      </c>
      <c r="BE184" s="403">
        <f>(SUMIFS(RN!BE$122:BE$124,RN!$C$122:$C$124,$C184)+SUMIFS(RL!BE$116:BE$118,RL!$C$116:$C$118,$C184)+SUMIFS(LU!BE$116:BE$118,LU!$C$116:$C$118,$C184))*BE20*BE$14</f>
        <v>0</v>
      </c>
      <c r="BF184" s="403">
        <f>(SUMIFS(RN!BF$122:BF$124,RN!$C$122:$C$124,$C184)+SUMIFS(RL!BF$116:BF$118,RL!$C$116:$C$118,$C184)+SUMIFS(LU!BF$116:BF$118,LU!$C$116:$C$118,$C184))*BF20*BF$14</f>
        <v>0</v>
      </c>
      <c r="BG184" s="403">
        <f>(SUMIFS(RN!BG$122:BG$124,RN!$C$122:$C$124,$C184)+SUMIFS(RL!BG$116:BG$118,RL!$C$116:$C$118,$C184)+SUMIFS(LU!BG$116:BG$118,LU!$C$116:$C$118,$C184))*BG20*BG$14</f>
        <v>0</v>
      </c>
      <c r="BI184" s="238">
        <f>SUM(T184:BG184)</f>
        <v>0</v>
      </c>
      <c r="BK184" s="333"/>
    </row>
    <row r="185" spans="2:66">
      <c r="C185" s="99">
        <f>AA!C14</f>
        <v>2</v>
      </c>
      <c r="E185" s="94" t="str">
        <f>INDEX(AA!$AC$13:$AC$15,MATCH($C185,AA!$C$13:$C$15,0))</f>
        <v>backup</v>
      </c>
      <c r="G185" s="1325">
        <f>INDEX(AA!$E$13:$E$15,MATCH($C185,AA!$C$13:$C$15,0))</f>
        <v>1</v>
      </c>
      <c r="I185" s="73" t="s">
        <v>393</v>
      </c>
      <c r="T185" s="403">
        <f>(SUMIFS(RN!T$122:T$124,RN!$C$122:$C$124,$C185)+SUMIFS(RL!T$116:T$118,RL!$C$116:$C$118,$C185)+SUMIFS(LU!T$116:T$118,LU!$C$116:$C$118,$C185))*T21*T$14</f>
        <v>0</v>
      </c>
      <c r="U185" s="403">
        <f>(SUMIFS(RN!U$122:U$124,RN!$C$122:$C$124,$C185)+SUMIFS(RL!U$116:U$118,RL!$C$116:$C$118,$C185)+SUMIFS(LU!U$116:U$118,LU!$C$116:$C$118,$C185))*U21*U$14</f>
        <v>0</v>
      </c>
      <c r="V185" s="403">
        <f>(SUMIFS(RN!V$122:V$124,RN!$C$122:$C$124,$C185)+SUMIFS(RL!V$116:V$118,RL!$C$116:$C$118,$C185)+SUMIFS(LU!V$116:V$118,LU!$C$116:$C$118,$C185))*V21*V$14</f>
        <v>0</v>
      </c>
      <c r="W185" s="403">
        <f>(SUMIFS(RN!W$122:W$124,RN!$C$122:$C$124,$C185)+SUMIFS(RL!W$116:W$118,RL!$C$116:$C$118,$C185)+SUMIFS(LU!W$116:W$118,LU!$C$116:$C$118,$C185))*W21*W$14</f>
        <v>0</v>
      </c>
      <c r="X185" s="403">
        <f>(SUMIFS(RN!X$122:X$124,RN!$C$122:$C$124,$C185)+SUMIFS(RL!X$116:X$118,RL!$C$116:$C$118,$C185)+SUMIFS(LU!X$116:X$118,LU!$C$116:$C$118,$C185))*X21*X$14</f>
        <v>0</v>
      </c>
      <c r="Y185" s="403">
        <f>(SUMIFS(RN!Y$122:Y$124,RN!$C$122:$C$124,$C185)+SUMIFS(RL!Y$116:Y$118,RL!$C$116:$C$118,$C185)+SUMIFS(LU!Y$116:Y$118,LU!$C$116:$C$118,$C185))*Y21*Y$14</f>
        <v>0</v>
      </c>
      <c r="Z185" s="403">
        <f>(SUMIFS(RN!Z$122:Z$124,RN!$C$122:$C$124,$C185)+SUMIFS(RL!Z$116:Z$118,RL!$C$116:$C$118,$C185)+SUMIFS(LU!Z$116:Z$118,LU!$C$116:$C$118,$C185))*Z21*Z$14</f>
        <v>0</v>
      </c>
      <c r="AA185" s="403">
        <f>(SUMIFS(RN!AA$122:AA$124,RN!$C$122:$C$124,$C185)+SUMIFS(RL!AA$116:AA$118,RL!$C$116:$C$118,$C185)+SUMIFS(LU!AA$116:AA$118,LU!$C$116:$C$118,$C185))*AA21*AA$14</f>
        <v>0</v>
      </c>
      <c r="AB185" s="403">
        <f>(SUMIFS(RN!AB$122:AB$124,RN!$C$122:$C$124,$C185)+SUMIFS(RL!AB$116:AB$118,RL!$C$116:$C$118,$C185)+SUMIFS(LU!AB$116:AB$118,LU!$C$116:$C$118,$C185))*AB21*AB$14</f>
        <v>0</v>
      </c>
      <c r="AC185" s="403">
        <f>(SUMIFS(RN!AC$122:AC$124,RN!$C$122:$C$124,$C185)+SUMIFS(RL!AC$116:AC$118,RL!$C$116:$C$118,$C185)+SUMIFS(LU!AC$116:AC$118,LU!$C$116:$C$118,$C185))*AC21*AC$14</f>
        <v>0</v>
      </c>
      <c r="AD185" s="403">
        <f>(SUMIFS(RN!AD$122:AD$124,RN!$C$122:$C$124,$C185)+SUMIFS(RL!AD$116:AD$118,RL!$C$116:$C$118,$C185)+SUMIFS(LU!AD$116:AD$118,LU!$C$116:$C$118,$C185))*AD21*AD$14</f>
        <v>0</v>
      </c>
      <c r="AE185" s="403">
        <f>(SUMIFS(RN!AE$122:AE$124,RN!$C$122:$C$124,$C185)+SUMIFS(RL!AE$116:AE$118,RL!$C$116:$C$118,$C185)+SUMIFS(LU!AE$116:AE$118,LU!$C$116:$C$118,$C185))*AE21*AE$14</f>
        <v>0</v>
      </c>
      <c r="AF185" s="403">
        <f>(SUMIFS(RN!AF$122:AF$124,RN!$C$122:$C$124,$C185)+SUMIFS(RL!AF$116:AF$118,RL!$C$116:$C$118,$C185)+SUMIFS(LU!AF$116:AF$118,LU!$C$116:$C$118,$C185))*AF21*AF$14</f>
        <v>0</v>
      </c>
      <c r="AG185" s="403">
        <f>(SUMIFS(RN!AG$122:AG$124,RN!$C$122:$C$124,$C185)+SUMIFS(RL!AG$116:AG$118,RL!$C$116:$C$118,$C185)+SUMIFS(LU!AG$116:AG$118,LU!$C$116:$C$118,$C185))*AG21*AG$14</f>
        <v>0</v>
      </c>
      <c r="AH185" s="403">
        <f>(SUMIFS(RN!AH$122:AH$124,RN!$C$122:$C$124,$C185)+SUMIFS(RL!AH$116:AH$118,RL!$C$116:$C$118,$C185)+SUMIFS(LU!AH$116:AH$118,LU!$C$116:$C$118,$C185))*AH21*AH$14</f>
        <v>0</v>
      </c>
      <c r="AI185" s="403">
        <f>(SUMIFS(RN!AI$122:AI$124,RN!$C$122:$C$124,$C185)+SUMIFS(RL!AI$116:AI$118,RL!$C$116:$C$118,$C185)+SUMIFS(LU!AI$116:AI$118,LU!$C$116:$C$118,$C185))*AI21*AI$14</f>
        <v>0</v>
      </c>
      <c r="AJ185" s="403">
        <f>(SUMIFS(RN!AJ$122:AJ$124,RN!$C$122:$C$124,$C185)+SUMIFS(RL!AJ$116:AJ$118,RL!$C$116:$C$118,$C185)+SUMIFS(LU!AJ$116:AJ$118,LU!$C$116:$C$118,$C185))*AJ21*AJ$14</f>
        <v>0</v>
      </c>
      <c r="AK185" s="403">
        <f>(SUMIFS(RN!AK$122:AK$124,RN!$C$122:$C$124,$C185)+SUMIFS(RL!AK$116:AK$118,RL!$C$116:$C$118,$C185)+SUMIFS(LU!AK$116:AK$118,LU!$C$116:$C$118,$C185))*AK21*AK$14</f>
        <v>0</v>
      </c>
      <c r="AL185" s="403">
        <f>(SUMIFS(RN!AL$122:AL$124,RN!$C$122:$C$124,$C185)+SUMIFS(RL!AL$116:AL$118,RL!$C$116:$C$118,$C185)+SUMIFS(LU!AL$116:AL$118,LU!$C$116:$C$118,$C185))*AL21*AL$14</f>
        <v>0</v>
      </c>
      <c r="AM185" s="403">
        <f>(SUMIFS(RN!AM$122:AM$124,RN!$C$122:$C$124,$C185)+SUMIFS(RL!AM$116:AM$118,RL!$C$116:$C$118,$C185)+SUMIFS(LU!AM$116:AM$118,LU!$C$116:$C$118,$C185))*AM21*AM$14</f>
        <v>0</v>
      </c>
      <c r="AN185" s="403">
        <f>(SUMIFS(RN!AN$122:AN$124,RN!$C$122:$C$124,$C185)+SUMIFS(RL!AN$116:AN$118,RL!$C$116:$C$118,$C185)+SUMIFS(LU!AN$116:AN$118,LU!$C$116:$C$118,$C185))*AN21*AN$14</f>
        <v>0</v>
      </c>
      <c r="AO185" s="403">
        <f>(SUMIFS(RN!AO$122:AO$124,RN!$C$122:$C$124,$C185)+SUMIFS(RL!AO$116:AO$118,RL!$C$116:$C$118,$C185)+SUMIFS(LU!AO$116:AO$118,LU!$C$116:$C$118,$C185))*AO21*AO$14</f>
        <v>0</v>
      </c>
      <c r="AP185" s="403">
        <f>(SUMIFS(RN!AP$122:AP$124,RN!$C$122:$C$124,$C185)+SUMIFS(RL!AP$116:AP$118,RL!$C$116:$C$118,$C185)+SUMIFS(LU!AP$116:AP$118,LU!$C$116:$C$118,$C185))*AP21*AP$14</f>
        <v>0</v>
      </c>
      <c r="AQ185" s="403">
        <f>(SUMIFS(RN!AQ$122:AQ$124,RN!$C$122:$C$124,$C185)+SUMIFS(RL!AQ$116:AQ$118,RL!$C$116:$C$118,$C185)+SUMIFS(LU!AQ$116:AQ$118,LU!$C$116:$C$118,$C185))*AQ21*AQ$14</f>
        <v>0</v>
      </c>
      <c r="AR185" s="403">
        <f>(SUMIFS(RN!AR$122:AR$124,RN!$C$122:$C$124,$C185)+SUMIFS(RL!AR$116:AR$118,RL!$C$116:$C$118,$C185)+SUMIFS(LU!AR$116:AR$118,LU!$C$116:$C$118,$C185))*AR21*AR$14</f>
        <v>0</v>
      </c>
      <c r="AS185" s="403">
        <f>(SUMIFS(RN!AS$122:AS$124,RN!$C$122:$C$124,$C185)+SUMIFS(RL!AS$116:AS$118,RL!$C$116:$C$118,$C185)+SUMIFS(LU!AS$116:AS$118,LU!$C$116:$C$118,$C185))*AS21*AS$14</f>
        <v>0</v>
      </c>
      <c r="AT185" s="403">
        <f>(SUMIFS(RN!AT$122:AT$124,RN!$C$122:$C$124,$C185)+SUMIFS(RL!AT$116:AT$118,RL!$C$116:$C$118,$C185)+SUMIFS(LU!AT$116:AT$118,LU!$C$116:$C$118,$C185))*AT21*AT$14</f>
        <v>0</v>
      </c>
      <c r="AU185" s="403">
        <f>(SUMIFS(RN!AU$122:AU$124,RN!$C$122:$C$124,$C185)+SUMIFS(RL!AU$116:AU$118,RL!$C$116:$C$118,$C185)+SUMIFS(LU!AU$116:AU$118,LU!$C$116:$C$118,$C185))*AU21*AU$14</f>
        <v>0</v>
      </c>
      <c r="AV185" s="403">
        <f>(SUMIFS(RN!AV$122:AV$124,RN!$C$122:$C$124,$C185)+SUMIFS(RL!AV$116:AV$118,RL!$C$116:$C$118,$C185)+SUMIFS(LU!AV$116:AV$118,LU!$C$116:$C$118,$C185))*AV21*AV$14</f>
        <v>0</v>
      </c>
      <c r="AW185" s="403">
        <f>(SUMIFS(RN!AW$122:AW$124,RN!$C$122:$C$124,$C185)+SUMIFS(RL!AW$116:AW$118,RL!$C$116:$C$118,$C185)+SUMIFS(LU!AW$116:AW$118,LU!$C$116:$C$118,$C185))*AW21*AW$14</f>
        <v>0</v>
      </c>
      <c r="AX185" s="403">
        <f>(SUMIFS(RN!AX$122:AX$124,RN!$C$122:$C$124,$C185)+SUMIFS(RL!AX$116:AX$118,RL!$C$116:$C$118,$C185)+SUMIFS(LU!AX$116:AX$118,LU!$C$116:$C$118,$C185))*AX21*AX$14</f>
        <v>0</v>
      </c>
      <c r="AY185" s="403">
        <f>(SUMIFS(RN!AY$122:AY$124,RN!$C$122:$C$124,$C185)+SUMIFS(RL!AY$116:AY$118,RL!$C$116:$C$118,$C185)+SUMIFS(LU!AY$116:AY$118,LU!$C$116:$C$118,$C185))*AY21*AY$14</f>
        <v>0</v>
      </c>
      <c r="AZ185" s="403">
        <f>(SUMIFS(RN!AZ$122:AZ$124,RN!$C$122:$C$124,$C185)+SUMIFS(RL!AZ$116:AZ$118,RL!$C$116:$C$118,$C185)+SUMIFS(LU!AZ$116:AZ$118,LU!$C$116:$C$118,$C185))*AZ21*AZ$14</f>
        <v>0</v>
      </c>
      <c r="BA185" s="403">
        <f>(SUMIFS(RN!BA$122:BA$124,RN!$C$122:$C$124,$C185)+SUMIFS(RL!BA$116:BA$118,RL!$C$116:$C$118,$C185)+SUMIFS(LU!BA$116:BA$118,LU!$C$116:$C$118,$C185))*BA21*BA$14</f>
        <v>0</v>
      </c>
      <c r="BB185" s="403">
        <f>(SUMIFS(RN!BB$122:BB$124,RN!$C$122:$C$124,$C185)+SUMIFS(RL!BB$116:BB$118,RL!$C$116:$C$118,$C185)+SUMIFS(LU!BB$116:BB$118,LU!$C$116:$C$118,$C185))*BB21*BB$14</f>
        <v>0</v>
      </c>
      <c r="BC185" s="403">
        <f>(SUMIFS(RN!BC$122:BC$124,RN!$C$122:$C$124,$C185)+SUMIFS(RL!BC$116:BC$118,RL!$C$116:$C$118,$C185)+SUMIFS(LU!BC$116:BC$118,LU!$C$116:$C$118,$C185))*BC21*BC$14</f>
        <v>0</v>
      </c>
      <c r="BD185" s="403">
        <f>(SUMIFS(RN!BD$122:BD$124,RN!$C$122:$C$124,$C185)+SUMIFS(RL!BD$116:BD$118,RL!$C$116:$C$118,$C185)+SUMIFS(LU!BD$116:BD$118,LU!$C$116:$C$118,$C185))*BD21*BD$14</f>
        <v>0</v>
      </c>
      <c r="BE185" s="403">
        <f>(SUMIFS(RN!BE$122:BE$124,RN!$C$122:$C$124,$C185)+SUMIFS(RL!BE$116:BE$118,RL!$C$116:$C$118,$C185)+SUMIFS(LU!BE$116:BE$118,LU!$C$116:$C$118,$C185))*BE21*BE$14</f>
        <v>0</v>
      </c>
      <c r="BF185" s="403">
        <f>(SUMIFS(RN!BF$122:BF$124,RN!$C$122:$C$124,$C185)+SUMIFS(RL!BF$116:BF$118,RL!$C$116:$C$118,$C185)+SUMIFS(LU!BF$116:BF$118,LU!$C$116:$C$118,$C185))*BF21*BF$14</f>
        <v>0</v>
      </c>
      <c r="BG185" s="403">
        <f>(SUMIFS(RN!BG$122:BG$124,RN!$C$122:$C$124,$C185)+SUMIFS(RL!BG$116:BG$118,RL!$C$116:$C$118,$C185)+SUMIFS(LU!BG$116:BG$118,LU!$C$116:$C$118,$C185))*BG21*BG$14</f>
        <v>0</v>
      </c>
      <c r="BI185" s="240">
        <f t="shared" ref="BI185" si="77">SUM(T185:BG185)</f>
        <v>0</v>
      </c>
      <c r="BK185" s="334"/>
    </row>
    <row r="186" spans="2:66">
      <c r="C186" s="99">
        <f>AA!C15</f>
        <v>3</v>
      </c>
      <c r="E186" s="94" t="str">
        <f>INDEX(AA!$AC$13:$AC$15,MATCH($C186,AA!$C$13:$C$15,0))</f>
        <v>backup</v>
      </c>
      <c r="G186" s="1325">
        <f>INDEX(AA!$E$13:$E$15,MATCH($C186,AA!$C$13:$C$15,0))</f>
        <v>1</v>
      </c>
      <c r="I186" s="73" t="s">
        <v>393</v>
      </c>
      <c r="T186" s="403">
        <f>(SUMIFS(RN!T$122:T$124,RN!$C$122:$C$124,$C186)+SUMIFS(RL!T$116:T$118,RL!$C$116:$C$118,$C186)+SUMIFS(LU!T$116:T$118,LU!$C$116:$C$118,$C186))*T22*T$14</f>
        <v>0</v>
      </c>
      <c r="U186" s="403">
        <f>(SUMIFS(RN!U$122:U$124,RN!$C$122:$C$124,$C186)+SUMIFS(RL!U$116:U$118,RL!$C$116:$C$118,$C186)+SUMIFS(LU!U$116:U$118,LU!$C$116:$C$118,$C186))*U22*U$14</f>
        <v>0</v>
      </c>
      <c r="V186" s="403">
        <f>(SUMIFS(RN!V$122:V$124,RN!$C$122:$C$124,$C186)+SUMIFS(RL!V$116:V$118,RL!$C$116:$C$118,$C186)+SUMIFS(LU!V$116:V$118,LU!$C$116:$C$118,$C186))*V22*V$14</f>
        <v>0</v>
      </c>
      <c r="W186" s="403">
        <f>(SUMIFS(RN!W$122:W$124,RN!$C$122:$C$124,$C186)+SUMIFS(RL!W$116:W$118,RL!$C$116:$C$118,$C186)+SUMIFS(LU!W$116:W$118,LU!$C$116:$C$118,$C186))*W22*W$14</f>
        <v>0</v>
      </c>
      <c r="X186" s="403">
        <f>(SUMIFS(RN!X$122:X$124,RN!$C$122:$C$124,$C186)+SUMIFS(RL!X$116:X$118,RL!$C$116:$C$118,$C186)+SUMIFS(LU!X$116:X$118,LU!$C$116:$C$118,$C186))*X22*X$14</f>
        <v>0</v>
      </c>
      <c r="Y186" s="403">
        <f>(SUMIFS(RN!Y$122:Y$124,RN!$C$122:$C$124,$C186)+SUMIFS(RL!Y$116:Y$118,RL!$C$116:$C$118,$C186)+SUMIFS(LU!Y$116:Y$118,LU!$C$116:$C$118,$C186))*Y22*Y$14</f>
        <v>0</v>
      </c>
      <c r="Z186" s="403">
        <f>(SUMIFS(RN!Z$122:Z$124,RN!$C$122:$C$124,$C186)+SUMIFS(RL!Z$116:Z$118,RL!$C$116:$C$118,$C186)+SUMIFS(LU!Z$116:Z$118,LU!$C$116:$C$118,$C186))*Z22*Z$14</f>
        <v>0</v>
      </c>
      <c r="AA186" s="403">
        <f>(SUMIFS(RN!AA$122:AA$124,RN!$C$122:$C$124,$C186)+SUMIFS(RL!AA$116:AA$118,RL!$C$116:$C$118,$C186)+SUMIFS(LU!AA$116:AA$118,LU!$C$116:$C$118,$C186))*AA22*AA$14</f>
        <v>0</v>
      </c>
      <c r="AB186" s="403">
        <f>(SUMIFS(RN!AB$122:AB$124,RN!$C$122:$C$124,$C186)+SUMIFS(RL!AB$116:AB$118,RL!$C$116:$C$118,$C186)+SUMIFS(LU!AB$116:AB$118,LU!$C$116:$C$118,$C186))*AB22*AB$14</f>
        <v>0</v>
      </c>
      <c r="AC186" s="403">
        <f>(SUMIFS(RN!AC$122:AC$124,RN!$C$122:$C$124,$C186)+SUMIFS(RL!AC$116:AC$118,RL!$C$116:$C$118,$C186)+SUMIFS(LU!AC$116:AC$118,LU!$C$116:$C$118,$C186))*AC22*AC$14</f>
        <v>0</v>
      </c>
      <c r="AD186" s="403">
        <f>(SUMIFS(RN!AD$122:AD$124,RN!$C$122:$C$124,$C186)+SUMIFS(RL!AD$116:AD$118,RL!$C$116:$C$118,$C186)+SUMIFS(LU!AD$116:AD$118,LU!$C$116:$C$118,$C186))*AD22*AD$14</f>
        <v>0</v>
      </c>
      <c r="AE186" s="403">
        <f>(SUMIFS(RN!AE$122:AE$124,RN!$C$122:$C$124,$C186)+SUMIFS(RL!AE$116:AE$118,RL!$C$116:$C$118,$C186)+SUMIFS(LU!AE$116:AE$118,LU!$C$116:$C$118,$C186))*AE22*AE$14</f>
        <v>0</v>
      </c>
      <c r="AF186" s="403">
        <f>(SUMIFS(RN!AF$122:AF$124,RN!$C$122:$C$124,$C186)+SUMIFS(RL!AF$116:AF$118,RL!$C$116:$C$118,$C186)+SUMIFS(LU!AF$116:AF$118,LU!$C$116:$C$118,$C186))*AF22*AF$14</f>
        <v>0</v>
      </c>
      <c r="AG186" s="403">
        <f>(SUMIFS(RN!AG$122:AG$124,RN!$C$122:$C$124,$C186)+SUMIFS(RL!AG$116:AG$118,RL!$C$116:$C$118,$C186)+SUMIFS(LU!AG$116:AG$118,LU!$C$116:$C$118,$C186))*AG22*AG$14</f>
        <v>0</v>
      </c>
      <c r="AH186" s="403">
        <f>(SUMIFS(RN!AH$122:AH$124,RN!$C$122:$C$124,$C186)+SUMIFS(RL!AH$116:AH$118,RL!$C$116:$C$118,$C186)+SUMIFS(LU!AH$116:AH$118,LU!$C$116:$C$118,$C186))*AH22*AH$14</f>
        <v>0</v>
      </c>
      <c r="AI186" s="403">
        <f>(SUMIFS(RN!AI$122:AI$124,RN!$C$122:$C$124,$C186)+SUMIFS(RL!AI$116:AI$118,RL!$C$116:$C$118,$C186)+SUMIFS(LU!AI$116:AI$118,LU!$C$116:$C$118,$C186))*AI22*AI$14</f>
        <v>0</v>
      </c>
      <c r="AJ186" s="403">
        <f>(SUMIFS(RN!AJ$122:AJ$124,RN!$C$122:$C$124,$C186)+SUMIFS(RL!AJ$116:AJ$118,RL!$C$116:$C$118,$C186)+SUMIFS(LU!AJ$116:AJ$118,LU!$C$116:$C$118,$C186))*AJ22*AJ$14</f>
        <v>0</v>
      </c>
      <c r="AK186" s="403">
        <f>(SUMIFS(RN!AK$122:AK$124,RN!$C$122:$C$124,$C186)+SUMIFS(RL!AK$116:AK$118,RL!$C$116:$C$118,$C186)+SUMIFS(LU!AK$116:AK$118,LU!$C$116:$C$118,$C186))*AK22*AK$14</f>
        <v>0</v>
      </c>
      <c r="AL186" s="403">
        <f>(SUMIFS(RN!AL$122:AL$124,RN!$C$122:$C$124,$C186)+SUMIFS(RL!AL$116:AL$118,RL!$C$116:$C$118,$C186)+SUMIFS(LU!AL$116:AL$118,LU!$C$116:$C$118,$C186))*AL22*AL$14</f>
        <v>0</v>
      </c>
      <c r="AM186" s="403">
        <f>(SUMIFS(RN!AM$122:AM$124,RN!$C$122:$C$124,$C186)+SUMIFS(RL!AM$116:AM$118,RL!$C$116:$C$118,$C186)+SUMIFS(LU!AM$116:AM$118,LU!$C$116:$C$118,$C186))*AM22*AM$14</f>
        <v>0</v>
      </c>
      <c r="AN186" s="403">
        <f>(SUMIFS(RN!AN$122:AN$124,RN!$C$122:$C$124,$C186)+SUMIFS(RL!AN$116:AN$118,RL!$C$116:$C$118,$C186)+SUMIFS(LU!AN$116:AN$118,LU!$C$116:$C$118,$C186))*AN22*AN$14</f>
        <v>0</v>
      </c>
      <c r="AO186" s="403">
        <f>(SUMIFS(RN!AO$122:AO$124,RN!$C$122:$C$124,$C186)+SUMIFS(RL!AO$116:AO$118,RL!$C$116:$C$118,$C186)+SUMIFS(LU!AO$116:AO$118,LU!$C$116:$C$118,$C186))*AO22*AO$14</f>
        <v>0</v>
      </c>
      <c r="AP186" s="403">
        <f>(SUMIFS(RN!AP$122:AP$124,RN!$C$122:$C$124,$C186)+SUMIFS(RL!AP$116:AP$118,RL!$C$116:$C$118,$C186)+SUMIFS(LU!AP$116:AP$118,LU!$C$116:$C$118,$C186))*AP22*AP$14</f>
        <v>0</v>
      </c>
      <c r="AQ186" s="403">
        <f>(SUMIFS(RN!AQ$122:AQ$124,RN!$C$122:$C$124,$C186)+SUMIFS(RL!AQ$116:AQ$118,RL!$C$116:$C$118,$C186)+SUMIFS(LU!AQ$116:AQ$118,LU!$C$116:$C$118,$C186))*AQ22*AQ$14</f>
        <v>0</v>
      </c>
      <c r="AR186" s="403">
        <f>(SUMIFS(RN!AR$122:AR$124,RN!$C$122:$C$124,$C186)+SUMIFS(RL!AR$116:AR$118,RL!$C$116:$C$118,$C186)+SUMIFS(LU!AR$116:AR$118,LU!$C$116:$C$118,$C186))*AR22*AR$14</f>
        <v>0</v>
      </c>
      <c r="AS186" s="403">
        <f>(SUMIFS(RN!AS$122:AS$124,RN!$C$122:$C$124,$C186)+SUMIFS(RL!AS$116:AS$118,RL!$C$116:$C$118,$C186)+SUMIFS(LU!AS$116:AS$118,LU!$C$116:$C$118,$C186))*AS22*AS$14</f>
        <v>0</v>
      </c>
      <c r="AT186" s="403">
        <f>(SUMIFS(RN!AT$122:AT$124,RN!$C$122:$C$124,$C186)+SUMIFS(RL!AT$116:AT$118,RL!$C$116:$C$118,$C186)+SUMIFS(LU!AT$116:AT$118,LU!$C$116:$C$118,$C186))*AT22*AT$14</f>
        <v>0</v>
      </c>
      <c r="AU186" s="403">
        <f>(SUMIFS(RN!AU$122:AU$124,RN!$C$122:$C$124,$C186)+SUMIFS(RL!AU$116:AU$118,RL!$C$116:$C$118,$C186)+SUMIFS(LU!AU$116:AU$118,LU!$C$116:$C$118,$C186))*AU22*AU$14</f>
        <v>0</v>
      </c>
      <c r="AV186" s="403">
        <f>(SUMIFS(RN!AV$122:AV$124,RN!$C$122:$C$124,$C186)+SUMIFS(RL!AV$116:AV$118,RL!$C$116:$C$118,$C186)+SUMIFS(LU!AV$116:AV$118,LU!$C$116:$C$118,$C186))*AV22*AV$14</f>
        <v>0</v>
      </c>
      <c r="AW186" s="403">
        <f>(SUMIFS(RN!AW$122:AW$124,RN!$C$122:$C$124,$C186)+SUMIFS(RL!AW$116:AW$118,RL!$C$116:$C$118,$C186)+SUMIFS(LU!AW$116:AW$118,LU!$C$116:$C$118,$C186))*AW22*AW$14</f>
        <v>0</v>
      </c>
      <c r="AX186" s="403">
        <f>(SUMIFS(RN!AX$122:AX$124,RN!$C$122:$C$124,$C186)+SUMIFS(RL!AX$116:AX$118,RL!$C$116:$C$118,$C186)+SUMIFS(LU!AX$116:AX$118,LU!$C$116:$C$118,$C186))*AX22*AX$14</f>
        <v>0</v>
      </c>
      <c r="AY186" s="403">
        <f>(SUMIFS(RN!AY$122:AY$124,RN!$C$122:$C$124,$C186)+SUMIFS(RL!AY$116:AY$118,RL!$C$116:$C$118,$C186)+SUMIFS(LU!AY$116:AY$118,LU!$C$116:$C$118,$C186))*AY22*AY$14</f>
        <v>0</v>
      </c>
      <c r="AZ186" s="403">
        <f>(SUMIFS(RN!AZ$122:AZ$124,RN!$C$122:$C$124,$C186)+SUMIFS(RL!AZ$116:AZ$118,RL!$C$116:$C$118,$C186)+SUMIFS(LU!AZ$116:AZ$118,LU!$C$116:$C$118,$C186))*AZ22*AZ$14</f>
        <v>0</v>
      </c>
      <c r="BA186" s="403">
        <f>(SUMIFS(RN!BA$122:BA$124,RN!$C$122:$C$124,$C186)+SUMIFS(RL!BA$116:BA$118,RL!$C$116:$C$118,$C186)+SUMIFS(LU!BA$116:BA$118,LU!$C$116:$C$118,$C186))*BA22*BA$14</f>
        <v>0</v>
      </c>
      <c r="BB186" s="403">
        <f>(SUMIFS(RN!BB$122:BB$124,RN!$C$122:$C$124,$C186)+SUMIFS(RL!BB$116:BB$118,RL!$C$116:$C$118,$C186)+SUMIFS(LU!BB$116:BB$118,LU!$C$116:$C$118,$C186))*BB22*BB$14</f>
        <v>0</v>
      </c>
      <c r="BC186" s="403">
        <f>(SUMIFS(RN!BC$122:BC$124,RN!$C$122:$C$124,$C186)+SUMIFS(RL!BC$116:BC$118,RL!$C$116:$C$118,$C186)+SUMIFS(LU!BC$116:BC$118,LU!$C$116:$C$118,$C186))*BC22*BC$14</f>
        <v>0</v>
      </c>
      <c r="BD186" s="403">
        <f>(SUMIFS(RN!BD$122:BD$124,RN!$C$122:$C$124,$C186)+SUMIFS(RL!BD$116:BD$118,RL!$C$116:$C$118,$C186)+SUMIFS(LU!BD$116:BD$118,LU!$C$116:$C$118,$C186))*BD22*BD$14</f>
        <v>0</v>
      </c>
      <c r="BE186" s="403">
        <f>(SUMIFS(RN!BE$122:BE$124,RN!$C$122:$C$124,$C186)+SUMIFS(RL!BE$116:BE$118,RL!$C$116:$C$118,$C186)+SUMIFS(LU!BE$116:BE$118,LU!$C$116:$C$118,$C186))*BE22*BE$14</f>
        <v>0</v>
      </c>
      <c r="BF186" s="403">
        <f>(SUMIFS(RN!BF$122:BF$124,RN!$C$122:$C$124,$C186)+SUMIFS(RL!BF$116:BF$118,RL!$C$116:$C$118,$C186)+SUMIFS(LU!BF$116:BF$118,LU!$C$116:$C$118,$C186))*BF22*BF$14</f>
        <v>0</v>
      </c>
      <c r="BG186" s="403">
        <f>(SUMIFS(RN!BG$122:BG$124,RN!$C$122:$C$124,$C186)+SUMIFS(RL!BG$116:BG$118,RL!$C$116:$C$118,$C186)+SUMIFS(LU!BG$116:BG$118,LU!$C$116:$C$118,$C186))*BG22*BG$14</f>
        <v>0</v>
      </c>
      <c r="BI186" s="240">
        <f t="shared" ref="BI186" si="78">SUM(T186:BG186)</f>
        <v>0</v>
      </c>
      <c r="BK186" s="334"/>
    </row>
    <row r="187" spans="2:66">
      <c r="C187" s="269"/>
      <c r="E187" s="269"/>
      <c r="G187" s="269"/>
      <c r="I187" s="269"/>
      <c r="BI187" s="269"/>
      <c r="BK187" s="269"/>
    </row>
    <row r="189" spans="2:66" s="90" customFormat="1">
      <c r="B189" s="91">
        <f ca="1">MAX(A$1:$B188)+1</f>
        <v>24</v>
      </c>
      <c r="C189" s="92" t="s">
        <v>1157</v>
      </c>
    </row>
    <row r="191" spans="2:66" ht="30">
      <c r="C191" s="97" t="s">
        <v>4</v>
      </c>
      <c r="E191" s="97" t="s">
        <v>6</v>
      </c>
      <c r="G191" s="101" t="s">
        <v>272</v>
      </c>
      <c r="I191" s="101" t="s">
        <v>150</v>
      </c>
      <c r="BI191" s="327" t="s">
        <v>152</v>
      </c>
      <c r="BK191" s="332"/>
    </row>
    <row r="192" spans="2:66">
      <c r="C192" s="99">
        <f>AA!C13</f>
        <v>1</v>
      </c>
      <c r="E192" s="93" t="str">
        <f>INDEX(AA!$AC$13:$AC$15,MATCH($C192,AA!$C$13:$C$15,0))</f>
        <v>backup</v>
      </c>
      <c r="G192" s="1324">
        <f>INDEX(AA!$E$13:$E$15,MATCH($C192,AA!$C$13:$C$15,0))</f>
        <v>1</v>
      </c>
      <c r="I192" s="72" t="s">
        <v>1159</v>
      </c>
      <c r="T192" s="403">
        <f>INDEX(AA!GU$13:GU$15,MATCH($C192,AA!$C$13:$C$15,0))</f>
        <v>0</v>
      </c>
      <c r="U192" s="403">
        <f>INDEX(AA!GV$13:GV$15,MATCH($C192,AA!$C$13:$C$15,0))</f>
        <v>0</v>
      </c>
      <c r="V192" s="403">
        <f>INDEX(AA!GW$13:GW$15,MATCH($C192,AA!$C$13:$C$15,0))</f>
        <v>0</v>
      </c>
      <c r="W192" s="403">
        <f>INDEX(AA!GX$13:GX$15,MATCH($C192,AA!$C$13:$C$15,0))</f>
        <v>0</v>
      </c>
      <c r="X192" s="403">
        <f>INDEX(AA!GY$13:GY$15,MATCH($C192,AA!$C$13:$C$15,0))</f>
        <v>0</v>
      </c>
      <c r="Y192" s="403">
        <f>INDEX(AA!GZ$13:GZ$15,MATCH($C192,AA!$C$13:$C$15,0))</f>
        <v>0</v>
      </c>
      <c r="Z192" s="403">
        <f>INDEX(AA!HA$13:HA$15,MATCH($C192,AA!$C$13:$C$15,0))</f>
        <v>0</v>
      </c>
      <c r="AA192" s="403">
        <f>INDEX(AA!HB$13:HB$15,MATCH($C192,AA!$C$13:$C$15,0))</f>
        <v>0</v>
      </c>
      <c r="AB192" s="403">
        <f>INDEX(AA!HC$13:HC$15,MATCH($C192,AA!$C$13:$C$15,0))</f>
        <v>0</v>
      </c>
      <c r="AC192" s="403">
        <f>INDEX(AA!HD$13:HD$15,MATCH($C192,AA!$C$13:$C$15,0))</f>
        <v>0</v>
      </c>
      <c r="AD192" s="403">
        <f>INDEX(AA!HE$13:HE$15,MATCH($C192,AA!$C$13:$C$15,0))</f>
        <v>0</v>
      </c>
      <c r="AE192" s="403">
        <f>INDEX(AA!HF$13:HF$15,MATCH($C192,AA!$C$13:$C$15,0))</f>
        <v>0</v>
      </c>
      <c r="AF192" s="403">
        <f>INDEX(AA!HG$13:HG$15,MATCH($C192,AA!$C$13:$C$15,0))</f>
        <v>0</v>
      </c>
      <c r="AG192" s="403">
        <f>INDEX(AA!HH$13:HH$15,MATCH($C192,AA!$C$13:$C$15,0))</f>
        <v>0</v>
      </c>
      <c r="AH192" s="403">
        <f>INDEX(AA!HI$13:HI$15,MATCH($C192,AA!$C$13:$C$15,0))</f>
        <v>0</v>
      </c>
      <c r="AI192" s="403">
        <f>INDEX(AA!HJ$13:HJ$15,MATCH($C192,AA!$C$13:$C$15,0))</f>
        <v>0</v>
      </c>
      <c r="AJ192" s="403">
        <f>INDEX(AA!HK$13:HK$15,MATCH($C192,AA!$C$13:$C$15,0))</f>
        <v>0</v>
      </c>
      <c r="AK192" s="403">
        <f>INDEX(AA!HL$13:HL$15,MATCH($C192,AA!$C$13:$C$15,0))</f>
        <v>0</v>
      </c>
      <c r="AL192" s="403">
        <f>INDEX(AA!HM$13:HM$15,MATCH($C192,AA!$C$13:$C$15,0))</f>
        <v>0</v>
      </c>
      <c r="AM192" s="403">
        <f>INDEX(AA!HN$13:HN$15,MATCH($C192,AA!$C$13:$C$15,0))</f>
        <v>0</v>
      </c>
      <c r="AN192" s="403">
        <f>INDEX(AA!HO$13:HO$15,MATCH($C192,AA!$C$13:$C$15,0))</f>
        <v>0</v>
      </c>
      <c r="AO192" s="403">
        <f>INDEX(AA!HP$13:HP$15,MATCH($C192,AA!$C$13:$C$15,0))</f>
        <v>0</v>
      </c>
      <c r="AP192" s="403">
        <f>INDEX(AA!HQ$13:HQ$15,MATCH($C192,AA!$C$13:$C$15,0))</f>
        <v>0</v>
      </c>
      <c r="AQ192" s="403">
        <f>INDEX(AA!HR$13:HR$15,MATCH($C192,AA!$C$13:$C$15,0))</f>
        <v>0</v>
      </c>
      <c r="AR192" s="403">
        <f>INDEX(AA!HS$13:HS$15,MATCH($C192,AA!$C$13:$C$15,0))</f>
        <v>0</v>
      </c>
      <c r="AS192" s="403">
        <f>INDEX(AA!HT$13:HT$15,MATCH($C192,AA!$C$13:$C$15,0))</f>
        <v>0</v>
      </c>
      <c r="AT192" s="403">
        <f>INDEX(AA!HU$13:HU$15,MATCH($C192,AA!$C$13:$C$15,0))</f>
        <v>0</v>
      </c>
      <c r="AU192" s="403">
        <f>INDEX(AA!HV$13:HV$15,MATCH($C192,AA!$C$13:$C$15,0))</f>
        <v>0</v>
      </c>
      <c r="AV192" s="403">
        <f>INDEX(AA!HW$13:HW$15,MATCH($C192,AA!$C$13:$C$15,0))</f>
        <v>0</v>
      </c>
      <c r="AW192" s="403">
        <f>INDEX(AA!HX$13:HX$15,MATCH($C192,AA!$C$13:$C$15,0))</f>
        <v>0</v>
      </c>
      <c r="AX192" s="403">
        <f>INDEX(AA!HY$13:HY$15,MATCH($C192,AA!$C$13:$C$15,0))</f>
        <v>0</v>
      </c>
      <c r="AY192" s="403">
        <f>INDEX(AA!HZ$13:HZ$15,MATCH($C192,AA!$C$13:$C$15,0))</f>
        <v>0</v>
      </c>
      <c r="AZ192" s="403">
        <f>INDEX(AA!IA$13:IA$15,MATCH($C192,AA!$C$13:$C$15,0))</f>
        <v>0</v>
      </c>
      <c r="BA192" s="403">
        <f>INDEX(AA!IB$13:IB$15,MATCH($C192,AA!$C$13:$C$15,0))</f>
        <v>0</v>
      </c>
      <c r="BB192" s="403">
        <f>INDEX(AA!IC$13:IC$15,MATCH($C192,AA!$C$13:$C$15,0))</f>
        <v>0</v>
      </c>
      <c r="BC192" s="403">
        <f>INDEX(AA!ID$13:ID$15,MATCH($C192,AA!$C$13:$C$15,0))</f>
        <v>0</v>
      </c>
      <c r="BD192" s="403">
        <f>INDEX(AA!IE$13:IE$15,MATCH($C192,AA!$C$13:$C$15,0))</f>
        <v>0</v>
      </c>
      <c r="BE192" s="403">
        <f>INDEX(AA!IF$13:IF$15,MATCH($C192,AA!$C$13:$C$15,0))</f>
        <v>0</v>
      </c>
      <c r="BF192" s="403">
        <f>INDEX(AA!IG$13:IG$15,MATCH($C192,AA!$C$13:$C$15,0))</f>
        <v>0</v>
      </c>
      <c r="BG192" s="403">
        <f>INDEX(AA!IH$13:IH$15,MATCH($C192,AA!$C$13:$C$15,0))</f>
        <v>0</v>
      </c>
      <c r="BI192" s="238">
        <f>SUM(T192:BG192)</f>
        <v>0</v>
      </c>
      <c r="BK192" s="333"/>
      <c r="BM192" s="344"/>
      <c r="BN192" s="345"/>
    </row>
    <row r="193" spans="2:66">
      <c r="C193" s="99">
        <f>AA!C14</f>
        <v>2</v>
      </c>
      <c r="E193" s="94" t="str">
        <f>INDEX(AA!$AC$13:$AC$15,MATCH($C193,AA!$C$13:$C$15,0))</f>
        <v>backup</v>
      </c>
      <c r="G193" s="1325">
        <f>INDEX(AA!$E$13:$E$15,MATCH($C193,AA!$C$13:$C$15,0))</f>
        <v>1</v>
      </c>
      <c r="I193" s="73" t="s">
        <v>1159</v>
      </c>
      <c r="T193" s="403">
        <f>INDEX(AA!GU$13:GU$15,MATCH($C193,AA!$C$13:$C$15,0))</f>
        <v>0</v>
      </c>
      <c r="U193" s="403">
        <f>INDEX(AA!GV$13:GV$15,MATCH($C193,AA!$C$13:$C$15,0))</f>
        <v>0</v>
      </c>
      <c r="V193" s="403">
        <f>INDEX(AA!GW$13:GW$15,MATCH($C193,AA!$C$13:$C$15,0))</f>
        <v>0</v>
      </c>
      <c r="W193" s="403">
        <f>INDEX(AA!GX$13:GX$15,MATCH($C193,AA!$C$13:$C$15,0))</f>
        <v>0</v>
      </c>
      <c r="X193" s="403">
        <f>INDEX(AA!GY$13:GY$15,MATCH($C193,AA!$C$13:$C$15,0))</f>
        <v>0</v>
      </c>
      <c r="Y193" s="403">
        <f>INDEX(AA!GZ$13:GZ$15,MATCH($C193,AA!$C$13:$C$15,0))</f>
        <v>0</v>
      </c>
      <c r="Z193" s="403">
        <f>INDEX(AA!HA$13:HA$15,MATCH($C193,AA!$C$13:$C$15,0))</f>
        <v>0</v>
      </c>
      <c r="AA193" s="403">
        <f>INDEX(AA!HB$13:HB$15,MATCH($C193,AA!$C$13:$C$15,0))</f>
        <v>0</v>
      </c>
      <c r="AB193" s="403">
        <f>INDEX(AA!HC$13:HC$15,MATCH($C193,AA!$C$13:$C$15,0))</f>
        <v>0</v>
      </c>
      <c r="AC193" s="403">
        <f>INDEX(AA!HD$13:HD$15,MATCH($C193,AA!$C$13:$C$15,0))</f>
        <v>0</v>
      </c>
      <c r="AD193" s="403">
        <f>INDEX(AA!HE$13:HE$15,MATCH($C193,AA!$C$13:$C$15,0))</f>
        <v>0</v>
      </c>
      <c r="AE193" s="403">
        <f>INDEX(AA!HF$13:HF$15,MATCH($C193,AA!$C$13:$C$15,0))</f>
        <v>0</v>
      </c>
      <c r="AF193" s="403">
        <f>INDEX(AA!HG$13:HG$15,MATCH($C193,AA!$C$13:$C$15,0))</f>
        <v>0</v>
      </c>
      <c r="AG193" s="403">
        <f>INDEX(AA!HH$13:HH$15,MATCH($C193,AA!$C$13:$C$15,0))</f>
        <v>0</v>
      </c>
      <c r="AH193" s="403">
        <f>INDEX(AA!HI$13:HI$15,MATCH($C193,AA!$C$13:$C$15,0))</f>
        <v>0</v>
      </c>
      <c r="AI193" s="403">
        <f>INDEX(AA!HJ$13:HJ$15,MATCH($C193,AA!$C$13:$C$15,0))</f>
        <v>0</v>
      </c>
      <c r="AJ193" s="403">
        <f>INDEX(AA!HK$13:HK$15,MATCH($C193,AA!$C$13:$C$15,0))</f>
        <v>0</v>
      </c>
      <c r="AK193" s="403">
        <f>INDEX(AA!HL$13:HL$15,MATCH($C193,AA!$C$13:$C$15,0))</f>
        <v>0</v>
      </c>
      <c r="AL193" s="403">
        <f>INDEX(AA!HM$13:HM$15,MATCH($C193,AA!$C$13:$C$15,0))</f>
        <v>0</v>
      </c>
      <c r="AM193" s="403">
        <f>INDEX(AA!HN$13:HN$15,MATCH($C193,AA!$C$13:$C$15,0))</f>
        <v>0</v>
      </c>
      <c r="AN193" s="403">
        <f>INDEX(AA!HO$13:HO$15,MATCH($C193,AA!$C$13:$C$15,0))</f>
        <v>0</v>
      </c>
      <c r="AO193" s="403">
        <f>INDEX(AA!HP$13:HP$15,MATCH($C193,AA!$C$13:$C$15,0))</f>
        <v>0</v>
      </c>
      <c r="AP193" s="403">
        <f>INDEX(AA!HQ$13:HQ$15,MATCH($C193,AA!$C$13:$C$15,0))</f>
        <v>0</v>
      </c>
      <c r="AQ193" s="403">
        <f>INDEX(AA!HR$13:HR$15,MATCH($C193,AA!$C$13:$C$15,0))</f>
        <v>0</v>
      </c>
      <c r="AR193" s="403">
        <f>INDEX(AA!HS$13:HS$15,MATCH($C193,AA!$C$13:$C$15,0))</f>
        <v>0</v>
      </c>
      <c r="AS193" s="403">
        <f>INDEX(AA!HT$13:HT$15,MATCH($C193,AA!$C$13:$C$15,0))</f>
        <v>0</v>
      </c>
      <c r="AT193" s="403">
        <f>INDEX(AA!HU$13:HU$15,MATCH($C193,AA!$C$13:$C$15,0))</f>
        <v>0</v>
      </c>
      <c r="AU193" s="403">
        <f>INDEX(AA!HV$13:HV$15,MATCH($C193,AA!$C$13:$C$15,0))</f>
        <v>0</v>
      </c>
      <c r="AV193" s="403">
        <f>INDEX(AA!HW$13:HW$15,MATCH($C193,AA!$C$13:$C$15,0))</f>
        <v>0</v>
      </c>
      <c r="AW193" s="403">
        <f>INDEX(AA!HX$13:HX$15,MATCH($C193,AA!$C$13:$C$15,0))</f>
        <v>0</v>
      </c>
      <c r="AX193" s="403">
        <f>INDEX(AA!HY$13:HY$15,MATCH($C193,AA!$C$13:$C$15,0))</f>
        <v>0</v>
      </c>
      <c r="AY193" s="403">
        <f>INDEX(AA!HZ$13:HZ$15,MATCH($C193,AA!$C$13:$C$15,0))</f>
        <v>0</v>
      </c>
      <c r="AZ193" s="403">
        <f>INDEX(AA!IA$13:IA$15,MATCH($C193,AA!$C$13:$C$15,0))</f>
        <v>0</v>
      </c>
      <c r="BA193" s="403">
        <f>INDEX(AA!IB$13:IB$15,MATCH($C193,AA!$C$13:$C$15,0))</f>
        <v>0</v>
      </c>
      <c r="BB193" s="403">
        <f>INDEX(AA!IC$13:IC$15,MATCH($C193,AA!$C$13:$C$15,0))</f>
        <v>0</v>
      </c>
      <c r="BC193" s="403">
        <f>INDEX(AA!ID$13:ID$15,MATCH($C193,AA!$C$13:$C$15,0))</f>
        <v>0</v>
      </c>
      <c r="BD193" s="403">
        <f>INDEX(AA!IE$13:IE$15,MATCH($C193,AA!$C$13:$C$15,0))</f>
        <v>0</v>
      </c>
      <c r="BE193" s="403">
        <f>INDEX(AA!IF$13:IF$15,MATCH($C193,AA!$C$13:$C$15,0))</f>
        <v>0</v>
      </c>
      <c r="BF193" s="403">
        <f>INDEX(AA!IG$13:IG$15,MATCH($C193,AA!$C$13:$C$15,0))</f>
        <v>0</v>
      </c>
      <c r="BG193" s="403">
        <f>INDEX(AA!IH$13:IH$15,MATCH($C193,AA!$C$13:$C$15,0))</f>
        <v>0</v>
      </c>
      <c r="BI193" s="240">
        <f t="shared" ref="BI193" si="79">SUM(T193:BG193)</f>
        <v>0</v>
      </c>
      <c r="BK193" s="334"/>
      <c r="BM193" s="344"/>
      <c r="BN193" s="345"/>
    </row>
    <row r="194" spans="2:66">
      <c r="C194" s="99">
        <f>AA!C15</f>
        <v>3</v>
      </c>
      <c r="E194" s="94" t="str">
        <f>INDEX(AA!$AC$13:$AC$15,MATCH($C194,AA!$C$13:$C$15,0))</f>
        <v>backup</v>
      </c>
      <c r="G194" s="1325">
        <f>INDEX(AA!$E$13:$E$15,MATCH($C194,AA!$C$13:$C$15,0))</f>
        <v>1</v>
      </c>
      <c r="I194" s="73" t="s">
        <v>1159</v>
      </c>
      <c r="T194" s="403">
        <f>INDEX(AA!GU$13:GU$15,MATCH($C194,AA!$C$13:$C$15,0))</f>
        <v>0</v>
      </c>
      <c r="U194" s="403">
        <f>INDEX(AA!GV$13:GV$15,MATCH($C194,AA!$C$13:$C$15,0))</f>
        <v>0</v>
      </c>
      <c r="V194" s="403">
        <f>INDEX(AA!GW$13:GW$15,MATCH($C194,AA!$C$13:$C$15,0))</f>
        <v>0</v>
      </c>
      <c r="W194" s="403">
        <f>INDEX(AA!GX$13:GX$15,MATCH($C194,AA!$C$13:$C$15,0))</f>
        <v>0</v>
      </c>
      <c r="X194" s="403">
        <f>INDEX(AA!GY$13:GY$15,MATCH($C194,AA!$C$13:$C$15,0))</f>
        <v>0</v>
      </c>
      <c r="Y194" s="403">
        <f>INDEX(AA!GZ$13:GZ$15,MATCH($C194,AA!$C$13:$C$15,0))</f>
        <v>0</v>
      </c>
      <c r="Z194" s="403">
        <f>INDEX(AA!HA$13:HA$15,MATCH($C194,AA!$C$13:$C$15,0))</f>
        <v>0</v>
      </c>
      <c r="AA194" s="403">
        <f>INDEX(AA!HB$13:HB$15,MATCH($C194,AA!$C$13:$C$15,0))</f>
        <v>0</v>
      </c>
      <c r="AB194" s="403">
        <f>INDEX(AA!HC$13:HC$15,MATCH($C194,AA!$C$13:$C$15,0))</f>
        <v>0</v>
      </c>
      <c r="AC194" s="403">
        <f>INDEX(AA!HD$13:HD$15,MATCH($C194,AA!$C$13:$C$15,0))</f>
        <v>0</v>
      </c>
      <c r="AD194" s="403">
        <f>INDEX(AA!HE$13:HE$15,MATCH($C194,AA!$C$13:$C$15,0))</f>
        <v>0</v>
      </c>
      <c r="AE194" s="403">
        <f>INDEX(AA!HF$13:HF$15,MATCH($C194,AA!$C$13:$C$15,0))</f>
        <v>0</v>
      </c>
      <c r="AF194" s="403">
        <f>INDEX(AA!HG$13:HG$15,MATCH($C194,AA!$C$13:$C$15,0))</f>
        <v>0</v>
      </c>
      <c r="AG194" s="403">
        <f>INDEX(AA!HH$13:HH$15,MATCH($C194,AA!$C$13:$C$15,0))</f>
        <v>0</v>
      </c>
      <c r="AH194" s="403">
        <f>INDEX(AA!HI$13:HI$15,MATCH($C194,AA!$C$13:$C$15,0))</f>
        <v>0</v>
      </c>
      <c r="AI194" s="403">
        <f>INDEX(AA!HJ$13:HJ$15,MATCH($C194,AA!$C$13:$C$15,0))</f>
        <v>0</v>
      </c>
      <c r="AJ194" s="403">
        <f>INDEX(AA!HK$13:HK$15,MATCH($C194,AA!$C$13:$C$15,0))</f>
        <v>0</v>
      </c>
      <c r="AK194" s="403">
        <f>INDEX(AA!HL$13:HL$15,MATCH($C194,AA!$C$13:$C$15,0))</f>
        <v>0</v>
      </c>
      <c r="AL194" s="403">
        <f>INDEX(AA!HM$13:HM$15,MATCH($C194,AA!$C$13:$C$15,0))</f>
        <v>0</v>
      </c>
      <c r="AM194" s="403">
        <f>INDEX(AA!HN$13:HN$15,MATCH($C194,AA!$C$13:$C$15,0))</f>
        <v>0</v>
      </c>
      <c r="AN194" s="403">
        <f>INDEX(AA!HO$13:HO$15,MATCH($C194,AA!$C$13:$C$15,0))</f>
        <v>0</v>
      </c>
      <c r="AO194" s="403">
        <f>INDEX(AA!HP$13:HP$15,MATCH($C194,AA!$C$13:$C$15,0))</f>
        <v>0</v>
      </c>
      <c r="AP194" s="403">
        <f>INDEX(AA!HQ$13:HQ$15,MATCH($C194,AA!$C$13:$C$15,0))</f>
        <v>0</v>
      </c>
      <c r="AQ194" s="403">
        <f>INDEX(AA!HR$13:HR$15,MATCH($C194,AA!$C$13:$C$15,0))</f>
        <v>0</v>
      </c>
      <c r="AR194" s="403">
        <f>INDEX(AA!HS$13:HS$15,MATCH($C194,AA!$C$13:$C$15,0))</f>
        <v>0</v>
      </c>
      <c r="AS194" s="403">
        <f>INDEX(AA!HT$13:HT$15,MATCH($C194,AA!$C$13:$C$15,0))</f>
        <v>0</v>
      </c>
      <c r="AT194" s="403">
        <f>INDEX(AA!HU$13:HU$15,MATCH($C194,AA!$C$13:$C$15,0))</f>
        <v>0</v>
      </c>
      <c r="AU194" s="403">
        <f>INDEX(AA!HV$13:HV$15,MATCH($C194,AA!$C$13:$C$15,0))</f>
        <v>0</v>
      </c>
      <c r="AV194" s="403">
        <f>INDEX(AA!HW$13:HW$15,MATCH($C194,AA!$C$13:$C$15,0))</f>
        <v>0</v>
      </c>
      <c r="AW194" s="403">
        <f>INDEX(AA!HX$13:HX$15,MATCH($C194,AA!$C$13:$C$15,0))</f>
        <v>0</v>
      </c>
      <c r="AX194" s="403">
        <f>INDEX(AA!HY$13:HY$15,MATCH($C194,AA!$C$13:$C$15,0))</f>
        <v>0</v>
      </c>
      <c r="AY194" s="403">
        <f>INDEX(AA!HZ$13:HZ$15,MATCH($C194,AA!$C$13:$C$15,0))</f>
        <v>0</v>
      </c>
      <c r="AZ194" s="403">
        <f>INDEX(AA!IA$13:IA$15,MATCH($C194,AA!$C$13:$C$15,0))</f>
        <v>0</v>
      </c>
      <c r="BA194" s="403">
        <f>INDEX(AA!IB$13:IB$15,MATCH($C194,AA!$C$13:$C$15,0))</f>
        <v>0</v>
      </c>
      <c r="BB194" s="403">
        <f>INDEX(AA!IC$13:IC$15,MATCH($C194,AA!$C$13:$C$15,0))</f>
        <v>0</v>
      </c>
      <c r="BC194" s="403">
        <f>INDEX(AA!ID$13:ID$15,MATCH($C194,AA!$C$13:$C$15,0))</f>
        <v>0</v>
      </c>
      <c r="BD194" s="403">
        <f>INDEX(AA!IE$13:IE$15,MATCH($C194,AA!$C$13:$C$15,0))</f>
        <v>0</v>
      </c>
      <c r="BE194" s="403">
        <f>INDEX(AA!IF$13:IF$15,MATCH($C194,AA!$C$13:$C$15,0))</f>
        <v>0</v>
      </c>
      <c r="BF194" s="403">
        <f>INDEX(AA!IG$13:IG$15,MATCH($C194,AA!$C$13:$C$15,0))</f>
        <v>0</v>
      </c>
      <c r="BG194" s="403">
        <f>INDEX(AA!IH$13:IH$15,MATCH($C194,AA!$C$13:$C$15,0))</f>
        <v>0</v>
      </c>
      <c r="BI194" s="240">
        <f t="shared" ref="BI194" si="80">SUM(T194:BG194)</f>
        <v>0</v>
      </c>
      <c r="BK194" s="334"/>
      <c r="BM194" s="344"/>
      <c r="BN194" s="345"/>
    </row>
    <row r="195" spans="2:66">
      <c r="C195" s="268"/>
      <c r="E195" s="268"/>
      <c r="G195" s="268"/>
      <c r="I195" s="268"/>
      <c r="BI195" s="268"/>
      <c r="BK195" s="268"/>
    </row>
    <row r="196" spans="2:66" s="90" customFormat="1">
      <c r="B196" s="91">
        <f ca="1">MAX(A$1:$B195)+1</f>
        <v>25</v>
      </c>
      <c r="C196" s="92" t="s">
        <v>445</v>
      </c>
    </row>
    <row r="198" spans="2:66" ht="30">
      <c r="C198" s="97" t="s">
        <v>4</v>
      </c>
      <c r="E198" s="97" t="s">
        <v>6</v>
      </c>
      <c r="G198" s="101" t="s">
        <v>272</v>
      </c>
      <c r="I198" s="101" t="s">
        <v>150</v>
      </c>
      <c r="K198" s="97" t="s">
        <v>462</v>
      </c>
      <c r="M198" s="101" t="s">
        <v>463</v>
      </c>
      <c r="BI198" s="327" t="s">
        <v>152</v>
      </c>
      <c r="BK198" s="328" t="s">
        <v>464</v>
      </c>
    </row>
    <row r="199" spans="2:66">
      <c r="C199" s="99">
        <f>AA!C13</f>
        <v>1</v>
      </c>
      <c r="E199" s="93" t="str">
        <f>INDEX(AA!$AC$13:$AC$15,MATCH($C199,AA!$C$13:$C$15,0))</f>
        <v>backup</v>
      </c>
      <c r="G199" s="1324">
        <f>INDEX(AA!$E$13:$E$15,MATCH($C199,AA!$C$13:$C$15,0))</f>
        <v>1</v>
      </c>
      <c r="I199" s="347"/>
      <c r="K199" s="1324">
        <f>INDEX(AA!$FG$13:$FG$15,MATCH($C199,AA!$C$13:$C$15,0))</f>
        <v>0</v>
      </c>
      <c r="M199" s="1324">
        <f>INDEX(AA!$FJ$13:$FJ$15,MATCH($C199,AA!$C$13:$C$15,0))</f>
        <v>4</v>
      </c>
      <c r="T199" s="310">
        <f t="shared" ref="T199:BG199" si="81">IFERROR(-(T$5&lt;=$M199)*$K199/$M199*T20,0)</f>
        <v>0</v>
      </c>
      <c r="U199" s="310">
        <f t="shared" si="81"/>
        <v>0</v>
      </c>
      <c r="V199" s="310">
        <f t="shared" si="81"/>
        <v>0</v>
      </c>
      <c r="W199" s="310">
        <f t="shared" si="81"/>
        <v>0</v>
      </c>
      <c r="X199" s="310">
        <f t="shared" si="81"/>
        <v>0</v>
      </c>
      <c r="Y199" s="310">
        <f t="shared" si="81"/>
        <v>0</v>
      </c>
      <c r="Z199" s="310">
        <f t="shared" si="81"/>
        <v>0</v>
      </c>
      <c r="AA199" s="310">
        <f t="shared" si="81"/>
        <v>0</v>
      </c>
      <c r="AB199" s="310">
        <f t="shared" si="81"/>
        <v>0</v>
      </c>
      <c r="AC199" s="310">
        <f t="shared" si="81"/>
        <v>0</v>
      </c>
      <c r="AD199" s="310">
        <f t="shared" si="81"/>
        <v>0</v>
      </c>
      <c r="AE199" s="310">
        <f t="shared" si="81"/>
        <v>0</v>
      </c>
      <c r="AF199" s="310">
        <f t="shared" si="81"/>
        <v>0</v>
      </c>
      <c r="AG199" s="310">
        <f t="shared" si="81"/>
        <v>0</v>
      </c>
      <c r="AH199" s="310">
        <f t="shared" si="81"/>
        <v>0</v>
      </c>
      <c r="AI199" s="310">
        <f t="shared" si="81"/>
        <v>0</v>
      </c>
      <c r="AJ199" s="310">
        <f t="shared" si="81"/>
        <v>0</v>
      </c>
      <c r="AK199" s="310">
        <f t="shared" si="81"/>
        <v>0</v>
      </c>
      <c r="AL199" s="310">
        <f t="shared" si="81"/>
        <v>0</v>
      </c>
      <c r="AM199" s="310">
        <f t="shared" si="81"/>
        <v>0</v>
      </c>
      <c r="AN199" s="310">
        <f t="shared" si="81"/>
        <v>0</v>
      </c>
      <c r="AO199" s="310">
        <f t="shared" si="81"/>
        <v>0</v>
      </c>
      <c r="AP199" s="310">
        <f t="shared" si="81"/>
        <v>0</v>
      </c>
      <c r="AQ199" s="310">
        <f t="shared" si="81"/>
        <v>0</v>
      </c>
      <c r="AR199" s="310">
        <f t="shared" si="81"/>
        <v>0</v>
      </c>
      <c r="AS199" s="310">
        <f t="shared" si="81"/>
        <v>0</v>
      </c>
      <c r="AT199" s="310">
        <f t="shared" si="81"/>
        <v>0</v>
      </c>
      <c r="AU199" s="310">
        <f t="shared" si="81"/>
        <v>0</v>
      </c>
      <c r="AV199" s="310">
        <f t="shared" si="81"/>
        <v>0</v>
      </c>
      <c r="AW199" s="310">
        <f t="shared" si="81"/>
        <v>0</v>
      </c>
      <c r="AX199" s="310">
        <f t="shared" si="81"/>
        <v>0</v>
      </c>
      <c r="AY199" s="310">
        <f t="shared" si="81"/>
        <v>0</v>
      </c>
      <c r="AZ199" s="310">
        <f t="shared" si="81"/>
        <v>0</v>
      </c>
      <c r="BA199" s="310">
        <f t="shared" si="81"/>
        <v>0</v>
      </c>
      <c r="BB199" s="310">
        <f t="shared" si="81"/>
        <v>0</v>
      </c>
      <c r="BC199" s="310">
        <f t="shared" si="81"/>
        <v>0</v>
      </c>
      <c r="BD199" s="310">
        <f t="shared" si="81"/>
        <v>0</v>
      </c>
      <c r="BE199" s="310">
        <f t="shared" si="81"/>
        <v>0</v>
      </c>
      <c r="BF199" s="310">
        <f t="shared" si="81"/>
        <v>0</v>
      </c>
      <c r="BG199" s="310">
        <f t="shared" si="81"/>
        <v>0</v>
      </c>
      <c r="BI199" s="238">
        <f>SUM(T199:BG199)</f>
        <v>0</v>
      </c>
      <c r="BK199" s="320">
        <f>K199+BI199</f>
        <v>0</v>
      </c>
    </row>
    <row r="200" spans="2:66">
      <c r="C200" s="99">
        <f>AA!C14</f>
        <v>2</v>
      </c>
      <c r="E200" s="94" t="str">
        <f>INDEX(AA!$AC$13:$AC$15,MATCH($C200,AA!$C$13:$C$15,0))</f>
        <v>backup</v>
      </c>
      <c r="G200" s="1325">
        <f>INDEX(AA!$E$13:$E$15,MATCH($C200,AA!$C$13:$C$15,0))</f>
        <v>1</v>
      </c>
      <c r="I200" s="348"/>
      <c r="K200" s="1325">
        <f>INDEX(AA!$FG$13:$FG$15,MATCH($C200,AA!$C$13:$C$15,0))</f>
        <v>0</v>
      </c>
      <c r="M200" s="1325">
        <f>INDEX(AA!$FJ$13:$FJ$15,MATCH($C200,AA!$C$13:$C$15,0))</f>
        <v>4</v>
      </c>
      <c r="T200" s="310">
        <f t="shared" ref="T200:BG200" si="82">IFERROR(-(T$5&lt;=$M200)*$K200/$M200*T21,0)</f>
        <v>0</v>
      </c>
      <c r="U200" s="310">
        <f t="shared" si="82"/>
        <v>0</v>
      </c>
      <c r="V200" s="310">
        <f t="shared" si="82"/>
        <v>0</v>
      </c>
      <c r="W200" s="310">
        <f t="shared" si="82"/>
        <v>0</v>
      </c>
      <c r="X200" s="310">
        <f t="shared" si="82"/>
        <v>0</v>
      </c>
      <c r="Y200" s="310">
        <f t="shared" si="82"/>
        <v>0</v>
      </c>
      <c r="Z200" s="310">
        <f t="shared" si="82"/>
        <v>0</v>
      </c>
      <c r="AA200" s="310">
        <f t="shared" si="82"/>
        <v>0</v>
      </c>
      <c r="AB200" s="310">
        <f t="shared" si="82"/>
        <v>0</v>
      </c>
      <c r="AC200" s="310">
        <f t="shared" si="82"/>
        <v>0</v>
      </c>
      <c r="AD200" s="310">
        <f t="shared" si="82"/>
        <v>0</v>
      </c>
      <c r="AE200" s="310">
        <f t="shared" si="82"/>
        <v>0</v>
      </c>
      <c r="AF200" s="310">
        <f t="shared" si="82"/>
        <v>0</v>
      </c>
      <c r="AG200" s="310">
        <f t="shared" si="82"/>
        <v>0</v>
      </c>
      <c r="AH200" s="310">
        <f t="shared" si="82"/>
        <v>0</v>
      </c>
      <c r="AI200" s="310">
        <f t="shared" si="82"/>
        <v>0</v>
      </c>
      <c r="AJ200" s="310">
        <f t="shared" si="82"/>
        <v>0</v>
      </c>
      <c r="AK200" s="310">
        <f t="shared" si="82"/>
        <v>0</v>
      </c>
      <c r="AL200" s="310">
        <f t="shared" si="82"/>
        <v>0</v>
      </c>
      <c r="AM200" s="310">
        <f t="shared" si="82"/>
        <v>0</v>
      </c>
      <c r="AN200" s="310">
        <f t="shared" si="82"/>
        <v>0</v>
      </c>
      <c r="AO200" s="310">
        <f t="shared" si="82"/>
        <v>0</v>
      </c>
      <c r="AP200" s="310">
        <f t="shared" si="82"/>
        <v>0</v>
      </c>
      <c r="AQ200" s="310">
        <f t="shared" si="82"/>
        <v>0</v>
      </c>
      <c r="AR200" s="310">
        <f t="shared" si="82"/>
        <v>0</v>
      </c>
      <c r="AS200" s="310">
        <f t="shared" si="82"/>
        <v>0</v>
      </c>
      <c r="AT200" s="310">
        <f t="shared" si="82"/>
        <v>0</v>
      </c>
      <c r="AU200" s="310">
        <f t="shared" si="82"/>
        <v>0</v>
      </c>
      <c r="AV200" s="310">
        <f t="shared" si="82"/>
        <v>0</v>
      </c>
      <c r="AW200" s="310">
        <f t="shared" si="82"/>
        <v>0</v>
      </c>
      <c r="AX200" s="310">
        <f t="shared" si="82"/>
        <v>0</v>
      </c>
      <c r="AY200" s="310">
        <f t="shared" si="82"/>
        <v>0</v>
      </c>
      <c r="AZ200" s="310">
        <f t="shared" si="82"/>
        <v>0</v>
      </c>
      <c r="BA200" s="310">
        <f t="shared" si="82"/>
        <v>0</v>
      </c>
      <c r="BB200" s="310">
        <f t="shared" si="82"/>
        <v>0</v>
      </c>
      <c r="BC200" s="310">
        <f t="shared" si="82"/>
        <v>0</v>
      </c>
      <c r="BD200" s="310">
        <f t="shared" si="82"/>
        <v>0</v>
      </c>
      <c r="BE200" s="310">
        <f t="shared" si="82"/>
        <v>0</v>
      </c>
      <c r="BF200" s="310">
        <f t="shared" si="82"/>
        <v>0</v>
      </c>
      <c r="BG200" s="310">
        <f t="shared" si="82"/>
        <v>0</v>
      </c>
      <c r="BI200" s="240">
        <f t="shared" ref="BI200" si="83">SUM(T200:BG200)</f>
        <v>0</v>
      </c>
      <c r="BK200" s="321">
        <f t="shared" ref="BK200" si="84">K200+BI200</f>
        <v>0</v>
      </c>
    </row>
    <row r="201" spans="2:66">
      <c r="C201" s="99">
        <f>AA!C15</f>
        <v>3</v>
      </c>
      <c r="E201" s="94" t="str">
        <f>INDEX(AA!$AC$13:$AC$15,MATCH($C201,AA!$C$13:$C$15,0))</f>
        <v>backup</v>
      </c>
      <c r="G201" s="1325">
        <f>INDEX(AA!$E$13:$E$15,MATCH($C201,AA!$C$13:$C$15,0))</f>
        <v>1</v>
      </c>
      <c r="I201" s="348"/>
      <c r="K201" s="1325">
        <f>INDEX(AA!$FG$13:$FG$15,MATCH($C201,AA!$C$13:$C$15,0))</f>
        <v>0</v>
      </c>
      <c r="M201" s="1325">
        <f>INDEX(AA!$FJ$13:$FJ$15,MATCH($C201,AA!$C$13:$C$15,0))</f>
        <v>4</v>
      </c>
      <c r="T201" s="310">
        <f t="shared" ref="T201:BG201" si="85">IFERROR(-(T$5&lt;=$M201)*$K201/$M201*T22,0)</f>
        <v>0</v>
      </c>
      <c r="U201" s="310">
        <f t="shared" si="85"/>
        <v>0</v>
      </c>
      <c r="V201" s="310">
        <f t="shared" si="85"/>
        <v>0</v>
      </c>
      <c r="W201" s="310">
        <f t="shared" si="85"/>
        <v>0</v>
      </c>
      <c r="X201" s="310">
        <f t="shared" si="85"/>
        <v>0</v>
      </c>
      <c r="Y201" s="310">
        <f t="shared" si="85"/>
        <v>0</v>
      </c>
      <c r="Z201" s="310">
        <f t="shared" si="85"/>
        <v>0</v>
      </c>
      <c r="AA201" s="310">
        <f t="shared" si="85"/>
        <v>0</v>
      </c>
      <c r="AB201" s="310">
        <f t="shared" si="85"/>
        <v>0</v>
      </c>
      <c r="AC201" s="310">
        <f t="shared" si="85"/>
        <v>0</v>
      </c>
      <c r="AD201" s="310">
        <f t="shared" si="85"/>
        <v>0</v>
      </c>
      <c r="AE201" s="310">
        <f t="shared" si="85"/>
        <v>0</v>
      </c>
      <c r="AF201" s="310">
        <f t="shared" si="85"/>
        <v>0</v>
      </c>
      <c r="AG201" s="310">
        <f t="shared" si="85"/>
        <v>0</v>
      </c>
      <c r="AH201" s="310">
        <f t="shared" si="85"/>
        <v>0</v>
      </c>
      <c r="AI201" s="310">
        <f t="shared" si="85"/>
        <v>0</v>
      </c>
      <c r="AJ201" s="310">
        <f t="shared" si="85"/>
        <v>0</v>
      </c>
      <c r="AK201" s="310">
        <f t="shared" si="85"/>
        <v>0</v>
      </c>
      <c r="AL201" s="310">
        <f t="shared" si="85"/>
        <v>0</v>
      </c>
      <c r="AM201" s="310">
        <f t="shared" si="85"/>
        <v>0</v>
      </c>
      <c r="AN201" s="310">
        <f t="shared" si="85"/>
        <v>0</v>
      </c>
      <c r="AO201" s="310">
        <f t="shared" si="85"/>
        <v>0</v>
      </c>
      <c r="AP201" s="310">
        <f t="shared" si="85"/>
        <v>0</v>
      </c>
      <c r="AQ201" s="310">
        <f t="shared" si="85"/>
        <v>0</v>
      </c>
      <c r="AR201" s="310">
        <f t="shared" si="85"/>
        <v>0</v>
      </c>
      <c r="AS201" s="310">
        <f t="shared" si="85"/>
        <v>0</v>
      </c>
      <c r="AT201" s="310">
        <f t="shared" si="85"/>
        <v>0</v>
      </c>
      <c r="AU201" s="310">
        <f t="shared" si="85"/>
        <v>0</v>
      </c>
      <c r="AV201" s="310">
        <f t="shared" si="85"/>
        <v>0</v>
      </c>
      <c r="AW201" s="310">
        <f t="shared" si="85"/>
        <v>0</v>
      </c>
      <c r="AX201" s="310">
        <f t="shared" si="85"/>
        <v>0</v>
      </c>
      <c r="AY201" s="310">
        <f t="shared" si="85"/>
        <v>0</v>
      </c>
      <c r="AZ201" s="310">
        <f t="shared" si="85"/>
        <v>0</v>
      </c>
      <c r="BA201" s="310">
        <f t="shared" si="85"/>
        <v>0</v>
      </c>
      <c r="BB201" s="310">
        <f t="shared" si="85"/>
        <v>0</v>
      </c>
      <c r="BC201" s="310">
        <f t="shared" si="85"/>
        <v>0</v>
      </c>
      <c r="BD201" s="310">
        <f t="shared" si="85"/>
        <v>0</v>
      </c>
      <c r="BE201" s="310">
        <f t="shared" si="85"/>
        <v>0</v>
      </c>
      <c r="BF201" s="310">
        <f t="shared" si="85"/>
        <v>0</v>
      </c>
      <c r="BG201" s="310">
        <f t="shared" si="85"/>
        <v>0</v>
      </c>
      <c r="BI201" s="240">
        <f t="shared" ref="BI201" si="86">SUM(T201:BG201)</f>
        <v>0</v>
      </c>
      <c r="BK201" s="321">
        <f t="shared" ref="BK201" si="87">K201+BI201</f>
        <v>0</v>
      </c>
    </row>
    <row r="202" spans="2:66">
      <c r="C202" s="269"/>
      <c r="E202" s="269"/>
      <c r="G202" s="269"/>
      <c r="I202" s="269"/>
      <c r="K202" s="269"/>
      <c r="M202" s="269"/>
      <c r="BI202" s="269"/>
      <c r="BK202" s="269"/>
    </row>
    <row r="204" spans="2:66" s="90" customFormat="1">
      <c r="B204" s="91">
        <f ca="1">MAX(A$1:$B203)+1</f>
        <v>26</v>
      </c>
      <c r="C204" s="92" t="s">
        <v>468</v>
      </c>
    </row>
    <row r="205" spans="2:66">
      <c r="B205" s="228"/>
      <c r="C205" s="229"/>
    </row>
    <row r="206" spans="2:66">
      <c r="B206" s="228"/>
      <c r="C206" s="22" t="s">
        <v>470</v>
      </c>
      <c r="D206" s="353"/>
      <c r="E206" s="353"/>
      <c r="F206" s="353"/>
      <c r="G206" s="353"/>
      <c r="H206" s="353"/>
      <c r="I206" s="353"/>
      <c r="J206" s="353"/>
      <c r="K206" s="353"/>
      <c r="L206" s="353"/>
      <c r="M206" s="353"/>
    </row>
    <row r="208" spans="2:66" ht="30">
      <c r="C208" s="97" t="s">
        <v>4</v>
      </c>
      <c r="E208" s="97" t="s">
        <v>6</v>
      </c>
      <c r="G208" s="101" t="s">
        <v>272</v>
      </c>
      <c r="I208" s="101" t="s">
        <v>150</v>
      </c>
      <c r="K208" s="101" t="s">
        <v>467</v>
      </c>
      <c r="M208" s="101" t="s">
        <v>463</v>
      </c>
      <c r="N208" s="97" t="s">
        <v>469</v>
      </c>
      <c r="BI208" s="327" t="s">
        <v>152</v>
      </c>
      <c r="BK208" s="328" t="s">
        <v>472</v>
      </c>
    </row>
    <row r="209" spans="2:63">
      <c r="C209" s="99">
        <f>AA!C13</f>
        <v>1</v>
      </c>
      <c r="E209" s="93" t="str">
        <f>INDEX(AA!$AC$13:$AC$15,MATCH($C209,AA!$C$13:$C$15,0))</f>
        <v>backup</v>
      </c>
      <c r="G209" s="1324">
        <f>INDEX(AA!$E$13:$E$15,MATCH($C209,AA!$C$13:$C$15,0))</f>
        <v>1</v>
      </c>
      <c r="I209" s="347"/>
      <c r="K209" s="1324">
        <f>INDEX(AA!$FQ$13:$FQ$15,MATCH($C209,AA!$C$13:$C$15,0))+BK199</f>
        <v>0</v>
      </c>
      <c r="M209" s="1324">
        <f>INDEX(AA!$FT$13:$FT$15,MATCH($C209,AA!$C$13:$C$15,0))</f>
        <v>16</v>
      </c>
      <c r="N209" s="293">
        <f>GA!$G$478+1</f>
        <v>5</v>
      </c>
      <c r="T209" s="310">
        <f t="shared" ref="T209:BG209" si="88">IFERROR(-$K209/$M209*(T$5&gt;=$N209)*(T$5&lt;($M209+$N209))*T20,0)</f>
        <v>0</v>
      </c>
      <c r="U209" s="310">
        <f t="shared" si="88"/>
        <v>0</v>
      </c>
      <c r="V209" s="310">
        <f t="shared" si="88"/>
        <v>0</v>
      </c>
      <c r="W209" s="310">
        <f t="shared" si="88"/>
        <v>0</v>
      </c>
      <c r="X209" s="310">
        <f t="shared" si="88"/>
        <v>0</v>
      </c>
      <c r="Y209" s="310">
        <f t="shared" si="88"/>
        <v>0</v>
      </c>
      <c r="Z209" s="310">
        <f t="shared" si="88"/>
        <v>0</v>
      </c>
      <c r="AA209" s="310">
        <f t="shared" si="88"/>
        <v>0</v>
      </c>
      <c r="AB209" s="310">
        <f t="shared" si="88"/>
        <v>0</v>
      </c>
      <c r="AC209" s="310">
        <f t="shared" si="88"/>
        <v>0</v>
      </c>
      <c r="AD209" s="310">
        <f t="shared" si="88"/>
        <v>0</v>
      </c>
      <c r="AE209" s="310">
        <f t="shared" si="88"/>
        <v>0</v>
      </c>
      <c r="AF209" s="310">
        <f t="shared" si="88"/>
        <v>0</v>
      </c>
      <c r="AG209" s="310">
        <f t="shared" si="88"/>
        <v>0</v>
      </c>
      <c r="AH209" s="310">
        <f t="shared" si="88"/>
        <v>0</v>
      </c>
      <c r="AI209" s="310">
        <f t="shared" si="88"/>
        <v>0</v>
      </c>
      <c r="AJ209" s="310">
        <f t="shared" si="88"/>
        <v>0</v>
      </c>
      <c r="AK209" s="310">
        <f t="shared" si="88"/>
        <v>0</v>
      </c>
      <c r="AL209" s="310">
        <f t="shared" si="88"/>
        <v>0</v>
      </c>
      <c r="AM209" s="310">
        <f t="shared" si="88"/>
        <v>0</v>
      </c>
      <c r="AN209" s="310">
        <f t="shared" si="88"/>
        <v>0</v>
      </c>
      <c r="AO209" s="310">
        <f t="shared" si="88"/>
        <v>0</v>
      </c>
      <c r="AP209" s="310">
        <f t="shared" si="88"/>
        <v>0</v>
      </c>
      <c r="AQ209" s="310">
        <f t="shared" si="88"/>
        <v>0</v>
      </c>
      <c r="AR209" s="310">
        <f t="shared" si="88"/>
        <v>0</v>
      </c>
      <c r="AS209" s="310">
        <f t="shared" si="88"/>
        <v>0</v>
      </c>
      <c r="AT209" s="310">
        <f t="shared" si="88"/>
        <v>0</v>
      </c>
      <c r="AU209" s="310">
        <f t="shared" si="88"/>
        <v>0</v>
      </c>
      <c r="AV209" s="310">
        <f t="shared" si="88"/>
        <v>0</v>
      </c>
      <c r="AW209" s="310">
        <f t="shared" si="88"/>
        <v>0</v>
      </c>
      <c r="AX209" s="310">
        <f t="shared" si="88"/>
        <v>0</v>
      </c>
      <c r="AY209" s="310">
        <f t="shared" si="88"/>
        <v>0</v>
      </c>
      <c r="AZ209" s="310">
        <f t="shared" si="88"/>
        <v>0</v>
      </c>
      <c r="BA209" s="310">
        <f t="shared" si="88"/>
        <v>0</v>
      </c>
      <c r="BB209" s="310">
        <f t="shared" si="88"/>
        <v>0</v>
      </c>
      <c r="BC209" s="310">
        <f t="shared" si="88"/>
        <v>0</v>
      </c>
      <c r="BD209" s="310">
        <f t="shared" si="88"/>
        <v>0</v>
      </c>
      <c r="BE209" s="310">
        <f t="shared" si="88"/>
        <v>0</v>
      </c>
      <c r="BF209" s="310">
        <f t="shared" si="88"/>
        <v>0</v>
      </c>
      <c r="BG209" s="310">
        <f t="shared" si="88"/>
        <v>0</v>
      </c>
      <c r="BI209" s="238">
        <f>SUM(T209:BG209)</f>
        <v>0</v>
      </c>
      <c r="BK209" s="320">
        <f>K209+BI209</f>
        <v>0</v>
      </c>
    </row>
    <row r="210" spans="2:63">
      <c r="C210" s="99">
        <f>AA!C14</f>
        <v>2</v>
      </c>
      <c r="E210" s="94" t="str">
        <f>INDEX(AA!$AC$13:$AC$15,MATCH($C210,AA!$C$13:$C$15,0))</f>
        <v>backup</v>
      </c>
      <c r="G210" s="1325">
        <f>INDEX(AA!$E$13:$E$15,MATCH($C210,AA!$C$13:$C$15,0))</f>
        <v>1</v>
      </c>
      <c r="I210" s="348"/>
      <c r="K210" s="1325">
        <f>INDEX(AA!$FQ$13:$FQ$15,MATCH($C210,AA!$C$13:$C$15,0))+BK200</f>
        <v>0</v>
      </c>
      <c r="M210" s="1325">
        <f>INDEX(AA!$FT$13:$FT$15,MATCH($C210,AA!$C$13:$C$15,0))</f>
        <v>16</v>
      </c>
      <c r="N210" s="294">
        <f>GA!$G$478+1</f>
        <v>5</v>
      </c>
      <c r="T210" s="310">
        <f t="shared" ref="T210:BG210" si="89">IFERROR(-$K210/$M210*(T$5&gt;=$N210)*(T$5&lt;($M210+$N210))*T21,0)</f>
        <v>0</v>
      </c>
      <c r="U210" s="310">
        <f t="shared" si="89"/>
        <v>0</v>
      </c>
      <c r="V210" s="310">
        <f t="shared" si="89"/>
        <v>0</v>
      </c>
      <c r="W210" s="310">
        <f t="shared" si="89"/>
        <v>0</v>
      </c>
      <c r="X210" s="310">
        <f t="shared" si="89"/>
        <v>0</v>
      </c>
      <c r="Y210" s="310">
        <f t="shared" si="89"/>
        <v>0</v>
      </c>
      <c r="Z210" s="310">
        <f t="shared" si="89"/>
        <v>0</v>
      </c>
      <c r="AA210" s="310">
        <f t="shared" si="89"/>
        <v>0</v>
      </c>
      <c r="AB210" s="310">
        <f t="shared" si="89"/>
        <v>0</v>
      </c>
      <c r="AC210" s="310">
        <f t="shared" si="89"/>
        <v>0</v>
      </c>
      <c r="AD210" s="310">
        <f t="shared" si="89"/>
        <v>0</v>
      </c>
      <c r="AE210" s="310">
        <f t="shared" si="89"/>
        <v>0</v>
      </c>
      <c r="AF210" s="310">
        <f t="shared" si="89"/>
        <v>0</v>
      </c>
      <c r="AG210" s="310">
        <f t="shared" si="89"/>
        <v>0</v>
      </c>
      <c r="AH210" s="310">
        <f t="shared" si="89"/>
        <v>0</v>
      </c>
      <c r="AI210" s="310">
        <f t="shared" si="89"/>
        <v>0</v>
      </c>
      <c r="AJ210" s="310">
        <f t="shared" si="89"/>
        <v>0</v>
      </c>
      <c r="AK210" s="310">
        <f t="shared" si="89"/>
        <v>0</v>
      </c>
      <c r="AL210" s="310">
        <f t="shared" si="89"/>
        <v>0</v>
      </c>
      <c r="AM210" s="310">
        <f t="shared" si="89"/>
        <v>0</v>
      </c>
      <c r="AN210" s="310">
        <f t="shared" si="89"/>
        <v>0</v>
      </c>
      <c r="AO210" s="310">
        <f t="shared" si="89"/>
        <v>0</v>
      </c>
      <c r="AP210" s="310">
        <f t="shared" si="89"/>
        <v>0</v>
      </c>
      <c r="AQ210" s="310">
        <f t="shared" si="89"/>
        <v>0</v>
      </c>
      <c r="AR210" s="310">
        <f t="shared" si="89"/>
        <v>0</v>
      </c>
      <c r="AS210" s="310">
        <f t="shared" si="89"/>
        <v>0</v>
      </c>
      <c r="AT210" s="310">
        <f t="shared" si="89"/>
        <v>0</v>
      </c>
      <c r="AU210" s="310">
        <f t="shared" si="89"/>
        <v>0</v>
      </c>
      <c r="AV210" s="310">
        <f t="shared" si="89"/>
        <v>0</v>
      </c>
      <c r="AW210" s="310">
        <f t="shared" si="89"/>
        <v>0</v>
      </c>
      <c r="AX210" s="310">
        <f t="shared" si="89"/>
        <v>0</v>
      </c>
      <c r="AY210" s="310">
        <f t="shared" si="89"/>
        <v>0</v>
      </c>
      <c r="AZ210" s="310">
        <f t="shared" si="89"/>
        <v>0</v>
      </c>
      <c r="BA210" s="310">
        <f t="shared" si="89"/>
        <v>0</v>
      </c>
      <c r="BB210" s="310">
        <f t="shared" si="89"/>
        <v>0</v>
      </c>
      <c r="BC210" s="310">
        <f t="shared" si="89"/>
        <v>0</v>
      </c>
      <c r="BD210" s="310">
        <f t="shared" si="89"/>
        <v>0</v>
      </c>
      <c r="BE210" s="310">
        <f t="shared" si="89"/>
        <v>0</v>
      </c>
      <c r="BF210" s="310">
        <f t="shared" si="89"/>
        <v>0</v>
      </c>
      <c r="BG210" s="310">
        <f t="shared" si="89"/>
        <v>0</v>
      </c>
      <c r="BI210" s="240">
        <f t="shared" ref="BI210" si="90">SUM(T210:BG210)</f>
        <v>0</v>
      </c>
      <c r="BK210" s="321">
        <f t="shared" ref="BK210" si="91">K210+BI210</f>
        <v>0</v>
      </c>
    </row>
    <row r="211" spans="2:63">
      <c r="C211" s="99">
        <f>AA!C15</f>
        <v>3</v>
      </c>
      <c r="E211" s="94" t="str">
        <f>INDEX(AA!$AC$13:$AC$15,MATCH($C211,AA!$C$13:$C$15,0))</f>
        <v>backup</v>
      </c>
      <c r="G211" s="1325">
        <f>INDEX(AA!$E$13:$E$15,MATCH($C211,AA!$C$13:$C$15,0))</f>
        <v>1</v>
      </c>
      <c r="I211" s="348"/>
      <c r="K211" s="1325">
        <f>INDEX(AA!$FQ$13:$FQ$15,MATCH($C211,AA!$C$13:$C$15,0))+BK201</f>
        <v>0</v>
      </c>
      <c r="M211" s="1325">
        <f>INDEX(AA!$FT$13:$FT$15,MATCH($C211,AA!$C$13:$C$15,0))</f>
        <v>16</v>
      </c>
      <c r="N211" s="294">
        <f>GA!$G$478+1</f>
        <v>5</v>
      </c>
      <c r="T211" s="310">
        <f t="shared" ref="T211:BG211" si="92">IFERROR(-$K211/$M211*(T$5&gt;=$N211)*(T$5&lt;($M211+$N211))*T22,0)</f>
        <v>0</v>
      </c>
      <c r="U211" s="310">
        <f t="shared" si="92"/>
        <v>0</v>
      </c>
      <c r="V211" s="310">
        <f t="shared" si="92"/>
        <v>0</v>
      </c>
      <c r="W211" s="310">
        <f t="shared" si="92"/>
        <v>0</v>
      </c>
      <c r="X211" s="310">
        <f t="shared" si="92"/>
        <v>0</v>
      </c>
      <c r="Y211" s="310">
        <f t="shared" si="92"/>
        <v>0</v>
      </c>
      <c r="Z211" s="310">
        <f t="shared" si="92"/>
        <v>0</v>
      </c>
      <c r="AA211" s="310">
        <f t="shared" si="92"/>
        <v>0</v>
      </c>
      <c r="AB211" s="310">
        <f t="shared" si="92"/>
        <v>0</v>
      </c>
      <c r="AC211" s="310">
        <f t="shared" si="92"/>
        <v>0</v>
      </c>
      <c r="AD211" s="310">
        <f t="shared" si="92"/>
        <v>0</v>
      </c>
      <c r="AE211" s="310">
        <f t="shared" si="92"/>
        <v>0</v>
      </c>
      <c r="AF211" s="310">
        <f t="shared" si="92"/>
        <v>0</v>
      </c>
      <c r="AG211" s="310">
        <f t="shared" si="92"/>
        <v>0</v>
      </c>
      <c r="AH211" s="310">
        <f t="shared" si="92"/>
        <v>0</v>
      </c>
      <c r="AI211" s="310">
        <f t="shared" si="92"/>
        <v>0</v>
      </c>
      <c r="AJ211" s="310">
        <f t="shared" si="92"/>
        <v>0</v>
      </c>
      <c r="AK211" s="310">
        <f t="shared" si="92"/>
        <v>0</v>
      </c>
      <c r="AL211" s="310">
        <f t="shared" si="92"/>
        <v>0</v>
      </c>
      <c r="AM211" s="310">
        <f t="shared" si="92"/>
        <v>0</v>
      </c>
      <c r="AN211" s="310">
        <f t="shared" si="92"/>
        <v>0</v>
      </c>
      <c r="AO211" s="310">
        <f t="shared" si="92"/>
        <v>0</v>
      </c>
      <c r="AP211" s="310">
        <f t="shared" si="92"/>
        <v>0</v>
      </c>
      <c r="AQ211" s="310">
        <f t="shared" si="92"/>
        <v>0</v>
      </c>
      <c r="AR211" s="310">
        <f t="shared" si="92"/>
        <v>0</v>
      </c>
      <c r="AS211" s="310">
        <f t="shared" si="92"/>
        <v>0</v>
      </c>
      <c r="AT211" s="310">
        <f t="shared" si="92"/>
        <v>0</v>
      </c>
      <c r="AU211" s="310">
        <f t="shared" si="92"/>
        <v>0</v>
      </c>
      <c r="AV211" s="310">
        <f t="shared" si="92"/>
        <v>0</v>
      </c>
      <c r="AW211" s="310">
        <f t="shared" si="92"/>
        <v>0</v>
      </c>
      <c r="AX211" s="310">
        <f t="shared" si="92"/>
        <v>0</v>
      </c>
      <c r="AY211" s="310">
        <f t="shared" si="92"/>
        <v>0</v>
      </c>
      <c r="AZ211" s="310">
        <f t="shared" si="92"/>
        <v>0</v>
      </c>
      <c r="BA211" s="310">
        <f t="shared" si="92"/>
        <v>0</v>
      </c>
      <c r="BB211" s="310">
        <f t="shared" si="92"/>
        <v>0</v>
      </c>
      <c r="BC211" s="310">
        <f t="shared" si="92"/>
        <v>0</v>
      </c>
      <c r="BD211" s="310">
        <f t="shared" si="92"/>
        <v>0</v>
      </c>
      <c r="BE211" s="310">
        <f t="shared" si="92"/>
        <v>0</v>
      </c>
      <c r="BF211" s="310">
        <f t="shared" si="92"/>
        <v>0</v>
      </c>
      <c r="BG211" s="310">
        <f t="shared" si="92"/>
        <v>0</v>
      </c>
      <c r="BI211" s="240">
        <f t="shared" ref="BI211" si="93">SUM(T211:BG211)</f>
        <v>0</v>
      </c>
      <c r="BK211" s="321">
        <f t="shared" ref="BK211" si="94">K211+BI211</f>
        <v>0</v>
      </c>
    </row>
    <row r="212" spans="2:63">
      <c r="C212" s="269"/>
      <c r="E212" s="269"/>
      <c r="G212" s="269"/>
      <c r="I212" s="269"/>
      <c r="K212" s="269"/>
      <c r="M212" s="269"/>
      <c r="N212" s="269"/>
      <c r="BI212" s="269"/>
      <c r="BK212" s="269"/>
    </row>
    <row r="214" spans="2:63" s="90" customFormat="1">
      <c r="B214" s="91">
        <f ca="1">MAX(A$1:$B213)+1</f>
        <v>27</v>
      </c>
      <c r="C214" s="92" t="s">
        <v>471</v>
      </c>
    </row>
    <row r="216" spans="2:63" ht="30">
      <c r="C216" s="97" t="s">
        <v>4</v>
      </c>
      <c r="E216" s="97" t="s">
        <v>6</v>
      </c>
      <c r="G216" s="101" t="s">
        <v>272</v>
      </c>
      <c r="I216" s="101" t="s">
        <v>150</v>
      </c>
      <c r="BI216" s="327" t="s">
        <v>152</v>
      </c>
      <c r="BK216" s="328" t="s">
        <v>472</v>
      </c>
    </row>
    <row r="217" spans="2:63">
      <c r="C217" s="99">
        <f>AA!C13</f>
        <v>1</v>
      </c>
      <c r="E217" s="93" t="str">
        <f>INDEX(AA!$AC$13:$AC$15,MATCH($C217,AA!$C$13:$C$15,0))</f>
        <v>backup</v>
      </c>
      <c r="G217" s="1324">
        <f>INDEX(AA!$E$13:$E$15,MATCH($C217,AA!$C$13:$C$15,0))</f>
        <v>1</v>
      </c>
      <c r="I217" s="72" t="s">
        <v>446</v>
      </c>
      <c r="T217" s="310">
        <f t="shared" ref="T217:BG217" si="95">(T199+T209)*T$14</f>
        <v>0</v>
      </c>
      <c r="U217" s="310">
        <f t="shared" si="95"/>
        <v>0</v>
      </c>
      <c r="V217" s="310">
        <f t="shared" si="95"/>
        <v>0</v>
      </c>
      <c r="W217" s="310">
        <f t="shared" si="95"/>
        <v>0</v>
      </c>
      <c r="X217" s="310">
        <f t="shared" si="95"/>
        <v>0</v>
      </c>
      <c r="Y217" s="310">
        <f t="shared" si="95"/>
        <v>0</v>
      </c>
      <c r="Z217" s="310">
        <f t="shared" si="95"/>
        <v>0</v>
      </c>
      <c r="AA217" s="310">
        <f t="shared" si="95"/>
        <v>0</v>
      </c>
      <c r="AB217" s="310">
        <f t="shared" si="95"/>
        <v>0</v>
      </c>
      <c r="AC217" s="310">
        <f t="shared" si="95"/>
        <v>0</v>
      </c>
      <c r="AD217" s="310">
        <f t="shared" si="95"/>
        <v>0</v>
      </c>
      <c r="AE217" s="310">
        <f t="shared" si="95"/>
        <v>0</v>
      </c>
      <c r="AF217" s="310">
        <f t="shared" si="95"/>
        <v>0</v>
      </c>
      <c r="AG217" s="310">
        <f t="shared" si="95"/>
        <v>0</v>
      </c>
      <c r="AH217" s="310">
        <f t="shared" si="95"/>
        <v>0</v>
      </c>
      <c r="AI217" s="310">
        <f t="shared" si="95"/>
        <v>0</v>
      </c>
      <c r="AJ217" s="310">
        <f t="shared" si="95"/>
        <v>0</v>
      </c>
      <c r="AK217" s="310">
        <f t="shared" si="95"/>
        <v>0</v>
      </c>
      <c r="AL217" s="310">
        <f t="shared" si="95"/>
        <v>0</v>
      </c>
      <c r="AM217" s="310">
        <f t="shared" si="95"/>
        <v>0</v>
      </c>
      <c r="AN217" s="310">
        <f t="shared" si="95"/>
        <v>0</v>
      </c>
      <c r="AO217" s="310">
        <f t="shared" si="95"/>
        <v>0</v>
      </c>
      <c r="AP217" s="310">
        <f t="shared" si="95"/>
        <v>0</v>
      </c>
      <c r="AQ217" s="310">
        <f t="shared" si="95"/>
        <v>0</v>
      </c>
      <c r="AR217" s="310">
        <f t="shared" si="95"/>
        <v>0</v>
      </c>
      <c r="AS217" s="310">
        <f t="shared" si="95"/>
        <v>0</v>
      </c>
      <c r="AT217" s="310">
        <f t="shared" si="95"/>
        <v>0</v>
      </c>
      <c r="AU217" s="310">
        <f t="shared" si="95"/>
        <v>0</v>
      </c>
      <c r="AV217" s="310">
        <f t="shared" si="95"/>
        <v>0</v>
      </c>
      <c r="AW217" s="310">
        <f t="shared" si="95"/>
        <v>0</v>
      </c>
      <c r="AX217" s="310">
        <f t="shared" si="95"/>
        <v>0</v>
      </c>
      <c r="AY217" s="310">
        <f t="shared" si="95"/>
        <v>0</v>
      </c>
      <c r="AZ217" s="310">
        <f t="shared" si="95"/>
        <v>0</v>
      </c>
      <c r="BA217" s="310">
        <f t="shared" si="95"/>
        <v>0</v>
      </c>
      <c r="BB217" s="310">
        <f t="shared" si="95"/>
        <v>0</v>
      </c>
      <c r="BC217" s="310">
        <f t="shared" si="95"/>
        <v>0</v>
      </c>
      <c r="BD217" s="310">
        <f t="shared" si="95"/>
        <v>0</v>
      </c>
      <c r="BE217" s="310">
        <f t="shared" si="95"/>
        <v>0</v>
      </c>
      <c r="BF217" s="310">
        <f t="shared" si="95"/>
        <v>0</v>
      </c>
      <c r="BG217" s="310">
        <f t="shared" si="95"/>
        <v>0</v>
      </c>
      <c r="BI217" s="238">
        <f>SUM(T217:BG217)</f>
        <v>0</v>
      </c>
      <c r="BK217" s="320">
        <f>-BK209</f>
        <v>0</v>
      </c>
    </row>
    <row r="218" spans="2:63">
      <c r="C218" s="99">
        <f>AA!C14</f>
        <v>2</v>
      </c>
      <c r="E218" s="94" t="str">
        <f>INDEX(AA!$AC$13:$AC$15,MATCH($C218,AA!$C$13:$C$15,0))</f>
        <v>backup</v>
      </c>
      <c r="G218" s="1325">
        <f>INDEX(AA!$E$13:$E$15,MATCH($C218,AA!$C$13:$C$15,0))</f>
        <v>1</v>
      </c>
      <c r="I218" s="73" t="s">
        <v>446</v>
      </c>
      <c r="T218" s="310">
        <f t="shared" ref="T218:BG218" si="96">(T200+T210)*T$14</f>
        <v>0</v>
      </c>
      <c r="U218" s="310">
        <f t="shared" si="96"/>
        <v>0</v>
      </c>
      <c r="V218" s="310">
        <f t="shared" si="96"/>
        <v>0</v>
      </c>
      <c r="W218" s="310">
        <f t="shared" si="96"/>
        <v>0</v>
      </c>
      <c r="X218" s="310">
        <f t="shared" si="96"/>
        <v>0</v>
      </c>
      <c r="Y218" s="310">
        <f t="shared" si="96"/>
        <v>0</v>
      </c>
      <c r="Z218" s="310">
        <f t="shared" si="96"/>
        <v>0</v>
      </c>
      <c r="AA218" s="310">
        <f t="shared" si="96"/>
        <v>0</v>
      </c>
      <c r="AB218" s="310">
        <f t="shared" si="96"/>
        <v>0</v>
      </c>
      <c r="AC218" s="310">
        <f t="shared" si="96"/>
        <v>0</v>
      </c>
      <c r="AD218" s="310">
        <f t="shared" si="96"/>
        <v>0</v>
      </c>
      <c r="AE218" s="310">
        <f t="shared" si="96"/>
        <v>0</v>
      </c>
      <c r="AF218" s="310">
        <f t="shared" si="96"/>
        <v>0</v>
      </c>
      <c r="AG218" s="310">
        <f t="shared" si="96"/>
        <v>0</v>
      </c>
      <c r="AH218" s="310">
        <f t="shared" si="96"/>
        <v>0</v>
      </c>
      <c r="AI218" s="310">
        <f t="shared" si="96"/>
        <v>0</v>
      </c>
      <c r="AJ218" s="310">
        <f t="shared" si="96"/>
        <v>0</v>
      </c>
      <c r="AK218" s="310">
        <f t="shared" si="96"/>
        <v>0</v>
      </c>
      <c r="AL218" s="310">
        <f t="shared" si="96"/>
        <v>0</v>
      </c>
      <c r="AM218" s="310">
        <f t="shared" si="96"/>
        <v>0</v>
      </c>
      <c r="AN218" s="310">
        <f t="shared" si="96"/>
        <v>0</v>
      </c>
      <c r="AO218" s="310">
        <f t="shared" si="96"/>
        <v>0</v>
      </c>
      <c r="AP218" s="310">
        <f t="shared" si="96"/>
        <v>0</v>
      </c>
      <c r="AQ218" s="310">
        <f t="shared" si="96"/>
        <v>0</v>
      </c>
      <c r="AR218" s="310">
        <f t="shared" si="96"/>
        <v>0</v>
      </c>
      <c r="AS218" s="310">
        <f t="shared" si="96"/>
        <v>0</v>
      </c>
      <c r="AT218" s="310">
        <f t="shared" si="96"/>
        <v>0</v>
      </c>
      <c r="AU218" s="310">
        <f t="shared" si="96"/>
        <v>0</v>
      </c>
      <c r="AV218" s="310">
        <f t="shared" si="96"/>
        <v>0</v>
      </c>
      <c r="AW218" s="310">
        <f t="shared" si="96"/>
        <v>0</v>
      </c>
      <c r="AX218" s="310">
        <f t="shared" si="96"/>
        <v>0</v>
      </c>
      <c r="AY218" s="310">
        <f t="shared" si="96"/>
        <v>0</v>
      </c>
      <c r="AZ218" s="310">
        <f t="shared" si="96"/>
        <v>0</v>
      </c>
      <c r="BA218" s="310">
        <f t="shared" si="96"/>
        <v>0</v>
      </c>
      <c r="BB218" s="310">
        <f t="shared" si="96"/>
        <v>0</v>
      </c>
      <c r="BC218" s="310">
        <f t="shared" si="96"/>
        <v>0</v>
      </c>
      <c r="BD218" s="310">
        <f t="shared" si="96"/>
        <v>0</v>
      </c>
      <c r="BE218" s="310">
        <f t="shared" si="96"/>
        <v>0</v>
      </c>
      <c r="BF218" s="310">
        <f t="shared" si="96"/>
        <v>0</v>
      </c>
      <c r="BG218" s="310">
        <f t="shared" si="96"/>
        <v>0</v>
      </c>
      <c r="BI218" s="240">
        <f t="shared" ref="BI218" si="97">SUM(T218:BG218)</f>
        <v>0</v>
      </c>
      <c r="BK218" s="321">
        <f>-BK210</f>
        <v>0</v>
      </c>
    </row>
    <row r="219" spans="2:63">
      <c r="C219" s="99">
        <f>AA!C15</f>
        <v>3</v>
      </c>
      <c r="E219" s="94" t="str">
        <f>INDEX(AA!$AC$13:$AC$15,MATCH($C219,AA!$C$13:$C$15,0))</f>
        <v>backup</v>
      </c>
      <c r="G219" s="1325">
        <f>INDEX(AA!$E$13:$E$15,MATCH($C219,AA!$C$13:$C$15,0))</f>
        <v>1</v>
      </c>
      <c r="I219" s="73" t="s">
        <v>446</v>
      </c>
      <c r="T219" s="310">
        <f t="shared" ref="T219:BG219" si="98">(T201+T211)*T$14</f>
        <v>0</v>
      </c>
      <c r="U219" s="310">
        <f t="shared" si="98"/>
        <v>0</v>
      </c>
      <c r="V219" s="310">
        <f t="shared" si="98"/>
        <v>0</v>
      </c>
      <c r="W219" s="310">
        <f t="shared" si="98"/>
        <v>0</v>
      </c>
      <c r="X219" s="310">
        <f t="shared" si="98"/>
        <v>0</v>
      </c>
      <c r="Y219" s="310">
        <f t="shared" si="98"/>
        <v>0</v>
      </c>
      <c r="Z219" s="310">
        <f t="shared" si="98"/>
        <v>0</v>
      </c>
      <c r="AA219" s="310">
        <f t="shared" si="98"/>
        <v>0</v>
      </c>
      <c r="AB219" s="310">
        <f t="shared" si="98"/>
        <v>0</v>
      </c>
      <c r="AC219" s="310">
        <f t="shared" si="98"/>
        <v>0</v>
      </c>
      <c r="AD219" s="310">
        <f t="shared" si="98"/>
        <v>0</v>
      </c>
      <c r="AE219" s="310">
        <f t="shared" si="98"/>
        <v>0</v>
      </c>
      <c r="AF219" s="310">
        <f t="shared" si="98"/>
        <v>0</v>
      </c>
      <c r="AG219" s="310">
        <f t="shared" si="98"/>
        <v>0</v>
      </c>
      <c r="AH219" s="310">
        <f t="shared" si="98"/>
        <v>0</v>
      </c>
      <c r="AI219" s="310">
        <f t="shared" si="98"/>
        <v>0</v>
      </c>
      <c r="AJ219" s="310">
        <f t="shared" si="98"/>
        <v>0</v>
      </c>
      <c r="AK219" s="310">
        <f t="shared" si="98"/>
        <v>0</v>
      </c>
      <c r="AL219" s="310">
        <f t="shared" si="98"/>
        <v>0</v>
      </c>
      <c r="AM219" s="310">
        <f t="shared" si="98"/>
        <v>0</v>
      </c>
      <c r="AN219" s="310">
        <f t="shared" si="98"/>
        <v>0</v>
      </c>
      <c r="AO219" s="310">
        <f t="shared" si="98"/>
        <v>0</v>
      </c>
      <c r="AP219" s="310">
        <f t="shared" si="98"/>
        <v>0</v>
      </c>
      <c r="AQ219" s="310">
        <f t="shared" si="98"/>
        <v>0</v>
      </c>
      <c r="AR219" s="310">
        <f t="shared" si="98"/>
        <v>0</v>
      </c>
      <c r="AS219" s="310">
        <f t="shared" si="98"/>
        <v>0</v>
      </c>
      <c r="AT219" s="310">
        <f t="shared" si="98"/>
        <v>0</v>
      </c>
      <c r="AU219" s="310">
        <f t="shared" si="98"/>
        <v>0</v>
      </c>
      <c r="AV219" s="310">
        <f t="shared" si="98"/>
        <v>0</v>
      </c>
      <c r="AW219" s="310">
        <f t="shared" si="98"/>
        <v>0</v>
      </c>
      <c r="AX219" s="310">
        <f t="shared" si="98"/>
        <v>0</v>
      </c>
      <c r="AY219" s="310">
        <f t="shared" si="98"/>
        <v>0</v>
      </c>
      <c r="AZ219" s="310">
        <f t="shared" si="98"/>
        <v>0</v>
      </c>
      <c r="BA219" s="310">
        <f t="shared" si="98"/>
        <v>0</v>
      </c>
      <c r="BB219" s="310">
        <f t="shared" si="98"/>
        <v>0</v>
      </c>
      <c r="BC219" s="310">
        <f t="shared" si="98"/>
        <v>0</v>
      </c>
      <c r="BD219" s="310">
        <f t="shared" si="98"/>
        <v>0</v>
      </c>
      <c r="BE219" s="310">
        <f t="shared" si="98"/>
        <v>0</v>
      </c>
      <c r="BF219" s="310">
        <f t="shared" si="98"/>
        <v>0</v>
      </c>
      <c r="BG219" s="310">
        <f t="shared" si="98"/>
        <v>0</v>
      </c>
      <c r="BI219" s="240">
        <f t="shared" ref="BI219" si="99">SUM(T219:BG219)</f>
        <v>0</v>
      </c>
      <c r="BK219" s="321">
        <f>-BK211</f>
        <v>0</v>
      </c>
    </row>
    <row r="220" spans="2:63">
      <c r="C220" s="269"/>
      <c r="E220" s="269"/>
      <c r="G220" s="269"/>
      <c r="I220" s="269"/>
      <c r="BI220" s="269"/>
      <c r="BK220" s="269"/>
    </row>
    <row r="222" spans="2:63" s="90" customFormat="1">
      <c r="B222" s="91">
        <f ca="1">MAX(A$1:$B221)+1</f>
        <v>28</v>
      </c>
      <c r="C222" s="92" t="s">
        <v>356</v>
      </c>
    </row>
    <row r="224" spans="2:63" ht="30">
      <c r="C224" s="97" t="s">
        <v>4</v>
      </c>
      <c r="E224" s="97" t="s">
        <v>6</v>
      </c>
      <c r="G224" s="101" t="s">
        <v>272</v>
      </c>
      <c r="I224" s="101" t="s">
        <v>150</v>
      </c>
      <c r="BI224" s="327" t="s">
        <v>152</v>
      </c>
      <c r="BK224" s="332"/>
    </row>
    <row r="225" spans="2:63">
      <c r="C225" s="99">
        <f>AA!C13</f>
        <v>1</v>
      </c>
      <c r="E225" s="93" t="str">
        <f>INDEX(AA!$AC$13:$AC$15,MATCH($C225,AA!$C$13:$C$15,0))</f>
        <v>backup</v>
      </c>
      <c r="G225" s="1324">
        <f>INDEX(AA!$E$13:$E$15,MATCH($C225,AA!$C$13:$C$15,0))</f>
        <v>1</v>
      </c>
      <c r="I225" s="72" t="s">
        <v>379</v>
      </c>
      <c r="T225" s="403">
        <f>(SUMIFS(RN!T$132:T$134,RN!$C$132:$C$134,$C225)+SUMIFS(RL!T$126:T$128,RL!$C$126:$C$128,$C225)+SUMIFS(LU!T$126:T$128,LU!$C$126:$C$128,$C225))*T$14*T20</f>
        <v>0</v>
      </c>
      <c r="U225" s="403">
        <f>(SUMIFS(RN!U$132:U$134,RN!$C$132:$C$134,$C225)+SUMIFS(RL!U$126:U$128,RL!$C$126:$C$128,$C225)+SUMIFS(LU!U$126:U$128,LU!$C$126:$C$128,$C225))*U$14*U20</f>
        <v>0</v>
      </c>
      <c r="V225" s="403">
        <f>(SUMIFS(RN!V$132:V$134,RN!$C$132:$C$134,$C225)+SUMIFS(RL!V$126:V$128,RL!$C$126:$C$128,$C225)+SUMIFS(LU!V$126:V$128,LU!$C$126:$C$128,$C225))*V$14*V20</f>
        <v>0</v>
      </c>
      <c r="W225" s="403">
        <f>(SUMIFS(RN!W$132:W$134,RN!$C$132:$C$134,$C225)+SUMIFS(RL!W$126:W$128,RL!$C$126:$C$128,$C225)+SUMIFS(LU!W$126:W$128,LU!$C$126:$C$128,$C225))*W$14*W20</f>
        <v>0</v>
      </c>
      <c r="X225" s="403">
        <f>(SUMIFS(RN!X$132:X$134,RN!$C$132:$C$134,$C225)+SUMIFS(RL!X$126:X$128,RL!$C$126:$C$128,$C225)+SUMIFS(LU!X$126:X$128,LU!$C$126:$C$128,$C225))*X$14*X20</f>
        <v>0</v>
      </c>
      <c r="Y225" s="403">
        <f>(SUMIFS(RN!Y$132:Y$134,RN!$C$132:$C$134,$C225)+SUMIFS(RL!Y$126:Y$128,RL!$C$126:$C$128,$C225)+SUMIFS(LU!Y$126:Y$128,LU!$C$126:$C$128,$C225))*Y$14*Y20</f>
        <v>0</v>
      </c>
      <c r="Z225" s="403">
        <f>(SUMIFS(RN!Z$132:Z$134,RN!$C$132:$C$134,$C225)+SUMIFS(RL!Z$126:Z$128,RL!$C$126:$C$128,$C225)+SUMIFS(LU!Z$126:Z$128,LU!$C$126:$C$128,$C225))*Z$14*Z20</f>
        <v>0</v>
      </c>
      <c r="AA225" s="403">
        <f>(SUMIFS(RN!AA$132:AA$134,RN!$C$132:$C$134,$C225)+SUMIFS(RL!AA$126:AA$128,RL!$C$126:$C$128,$C225)+SUMIFS(LU!AA$126:AA$128,LU!$C$126:$C$128,$C225))*AA$14*AA20</f>
        <v>0</v>
      </c>
      <c r="AB225" s="403">
        <f>(SUMIFS(RN!AB$132:AB$134,RN!$C$132:$C$134,$C225)+SUMIFS(RL!AB$126:AB$128,RL!$C$126:$C$128,$C225)+SUMIFS(LU!AB$126:AB$128,LU!$C$126:$C$128,$C225))*AB$14*AB20</f>
        <v>0</v>
      </c>
      <c r="AC225" s="403">
        <f>(SUMIFS(RN!AC$132:AC$134,RN!$C$132:$C$134,$C225)+SUMIFS(RL!AC$126:AC$128,RL!$C$126:$C$128,$C225)+SUMIFS(LU!AC$126:AC$128,LU!$C$126:$C$128,$C225))*AC$14*AC20</f>
        <v>0</v>
      </c>
      <c r="AD225" s="403">
        <f>(SUMIFS(RN!AD$132:AD$134,RN!$C$132:$C$134,$C225)+SUMIFS(RL!AD$126:AD$128,RL!$C$126:$C$128,$C225)+SUMIFS(LU!AD$126:AD$128,LU!$C$126:$C$128,$C225))*AD$14*AD20</f>
        <v>0</v>
      </c>
      <c r="AE225" s="403">
        <f>(SUMIFS(RN!AE$132:AE$134,RN!$C$132:$C$134,$C225)+SUMIFS(RL!AE$126:AE$128,RL!$C$126:$C$128,$C225)+SUMIFS(LU!AE$126:AE$128,LU!$C$126:$C$128,$C225))*AE$14*AE20</f>
        <v>0</v>
      </c>
      <c r="AF225" s="403">
        <f>(SUMIFS(RN!AF$132:AF$134,RN!$C$132:$C$134,$C225)+SUMIFS(RL!AF$126:AF$128,RL!$C$126:$C$128,$C225)+SUMIFS(LU!AF$126:AF$128,LU!$C$126:$C$128,$C225))*AF$14*AF20</f>
        <v>0</v>
      </c>
      <c r="AG225" s="403">
        <f>(SUMIFS(RN!AG$132:AG$134,RN!$C$132:$C$134,$C225)+SUMIFS(RL!AG$126:AG$128,RL!$C$126:$C$128,$C225)+SUMIFS(LU!AG$126:AG$128,LU!$C$126:$C$128,$C225))*AG$14*AG20</f>
        <v>0</v>
      </c>
      <c r="AH225" s="403">
        <f>(SUMIFS(RN!AH$132:AH$134,RN!$C$132:$C$134,$C225)+SUMIFS(RL!AH$126:AH$128,RL!$C$126:$C$128,$C225)+SUMIFS(LU!AH$126:AH$128,LU!$C$126:$C$128,$C225))*AH$14*AH20</f>
        <v>0</v>
      </c>
      <c r="AI225" s="403">
        <f>(SUMIFS(RN!AI$132:AI$134,RN!$C$132:$C$134,$C225)+SUMIFS(RL!AI$126:AI$128,RL!$C$126:$C$128,$C225)+SUMIFS(LU!AI$126:AI$128,LU!$C$126:$C$128,$C225))*AI$14*AI20</f>
        <v>0</v>
      </c>
      <c r="AJ225" s="403">
        <f>(SUMIFS(RN!AJ$132:AJ$134,RN!$C$132:$C$134,$C225)+SUMIFS(RL!AJ$126:AJ$128,RL!$C$126:$C$128,$C225)+SUMIFS(LU!AJ$126:AJ$128,LU!$C$126:$C$128,$C225))*AJ$14*AJ20</f>
        <v>0</v>
      </c>
      <c r="AK225" s="403">
        <f>(SUMIFS(RN!AK$132:AK$134,RN!$C$132:$C$134,$C225)+SUMIFS(RL!AK$126:AK$128,RL!$C$126:$C$128,$C225)+SUMIFS(LU!AK$126:AK$128,LU!$C$126:$C$128,$C225))*AK$14*AK20</f>
        <v>0</v>
      </c>
      <c r="AL225" s="403">
        <f>(SUMIFS(RN!AL$132:AL$134,RN!$C$132:$C$134,$C225)+SUMIFS(RL!AL$126:AL$128,RL!$C$126:$C$128,$C225)+SUMIFS(LU!AL$126:AL$128,LU!$C$126:$C$128,$C225))*AL$14*AL20</f>
        <v>0</v>
      </c>
      <c r="AM225" s="403">
        <f>(SUMIFS(RN!AM$132:AM$134,RN!$C$132:$C$134,$C225)+SUMIFS(RL!AM$126:AM$128,RL!$C$126:$C$128,$C225)+SUMIFS(LU!AM$126:AM$128,LU!$C$126:$C$128,$C225))*AM$14*AM20</f>
        <v>0</v>
      </c>
      <c r="AN225" s="403">
        <f>(SUMIFS(RN!AN$132:AN$134,RN!$C$132:$C$134,$C225)+SUMIFS(RL!AN$126:AN$128,RL!$C$126:$C$128,$C225)+SUMIFS(LU!AN$126:AN$128,LU!$C$126:$C$128,$C225))*AN$14*AN20</f>
        <v>0</v>
      </c>
      <c r="AO225" s="403">
        <f>(SUMIFS(RN!AO$132:AO$134,RN!$C$132:$C$134,$C225)+SUMIFS(RL!AO$126:AO$128,RL!$C$126:$C$128,$C225)+SUMIFS(LU!AO$126:AO$128,LU!$C$126:$C$128,$C225))*AO$14*AO20</f>
        <v>0</v>
      </c>
      <c r="AP225" s="403">
        <f>(SUMIFS(RN!AP$132:AP$134,RN!$C$132:$C$134,$C225)+SUMIFS(RL!AP$126:AP$128,RL!$C$126:$C$128,$C225)+SUMIFS(LU!AP$126:AP$128,LU!$C$126:$C$128,$C225))*AP$14*AP20</f>
        <v>0</v>
      </c>
      <c r="AQ225" s="403">
        <f>(SUMIFS(RN!AQ$132:AQ$134,RN!$C$132:$C$134,$C225)+SUMIFS(RL!AQ$126:AQ$128,RL!$C$126:$C$128,$C225)+SUMIFS(LU!AQ$126:AQ$128,LU!$C$126:$C$128,$C225))*AQ$14*AQ20</f>
        <v>0</v>
      </c>
      <c r="AR225" s="403">
        <f>(SUMIFS(RN!AR$132:AR$134,RN!$C$132:$C$134,$C225)+SUMIFS(RL!AR$126:AR$128,RL!$C$126:$C$128,$C225)+SUMIFS(LU!AR$126:AR$128,LU!$C$126:$C$128,$C225))*AR$14*AR20</f>
        <v>0</v>
      </c>
      <c r="AS225" s="403">
        <f>(SUMIFS(RN!AS$132:AS$134,RN!$C$132:$C$134,$C225)+SUMIFS(RL!AS$126:AS$128,RL!$C$126:$C$128,$C225)+SUMIFS(LU!AS$126:AS$128,LU!$C$126:$C$128,$C225))*AS$14*AS20</f>
        <v>0</v>
      </c>
      <c r="AT225" s="403">
        <f>(SUMIFS(RN!AT$132:AT$134,RN!$C$132:$C$134,$C225)+SUMIFS(RL!AT$126:AT$128,RL!$C$126:$C$128,$C225)+SUMIFS(LU!AT$126:AT$128,LU!$C$126:$C$128,$C225))*AT$14*AT20</f>
        <v>0</v>
      </c>
      <c r="AU225" s="403">
        <f>(SUMIFS(RN!AU$132:AU$134,RN!$C$132:$C$134,$C225)+SUMIFS(RL!AU$126:AU$128,RL!$C$126:$C$128,$C225)+SUMIFS(LU!AU$126:AU$128,LU!$C$126:$C$128,$C225))*AU$14*AU20</f>
        <v>0</v>
      </c>
      <c r="AV225" s="403">
        <f>(SUMIFS(RN!AV$132:AV$134,RN!$C$132:$C$134,$C225)+SUMIFS(RL!AV$126:AV$128,RL!$C$126:$C$128,$C225)+SUMIFS(LU!AV$126:AV$128,LU!$C$126:$C$128,$C225))*AV$14*AV20</f>
        <v>0</v>
      </c>
      <c r="AW225" s="403">
        <f>(SUMIFS(RN!AW$132:AW$134,RN!$C$132:$C$134,$C225)+SUMIFS(RL!AW$126:AW$128,RL!$C$126:$C$128,$C225)+SUMIFS(LU!AW$126:AW$128,LU!$C$126:$C$128,$C225))*AW$14*AW20</f>
        <v>0</v>
      </c>
      <c r="AX225" s="403">
        <f>(SUMIFS(RN!AX$132:AX$134,RN!$C$132:$C$134,$C225)+SUMIFS(RL!AX$126:AX$128,RL!$C$126:$C$128,$C225)+SUMIFS(LU!AX$126:AX$128,LU!$C$126:$C$128,$C225))*AX$14*AX20</f>
        <v>0</v>
      </c>
      <c r="AY225" s="403">
        <f>(SUMIFS(RN!AY$132:AY$134,RN!$C$132:$C$134,$C225)+SUMIFS(RL!AY$126:AY$128,RL!$C$126:$C$128,$C225)+SUMIFS(LU!AY$126:AY$128,LU!$C$126:$C$128,$C225))*AY$14*AY20</f>
        <v>0</v>
      </c>
      <c r="AZ225" s="403">
        <f>(SUMIFS(RN!AZ$132:AZ$134,RN!$C$132:$C$134,$C225)+SUMIFS(RL!AZ$126:AZ$128,RL!$C$126:$C$128,$C225)+SUMIFS(LU!AZ$126:AZ$128,LU!$C$126:$C$128,$C225))*AZ$14*AZ20</f>
        <v>0</v>
      </c>
      <c r="BA225" s="403">
        <f>(SUMIFS(RN!BA$132:BA$134,RN!$C$132:$C$134,$C225)+SUMIFS(RL!BA$126:BA$128,RL!$C$126:$C$128,$C225)+SUMIFS(LU!BA$126:BA$128,LU!$C$126:$C$128,$C225))*BA$14*BA20</f>
        <v>0</v>
      </c>
      <c r="BB225" s="403">
        <f>(SUMIFS(RN!BB$132:BB$134,RN!$C$132:$C$134,$C225)+SUMIFS(RL!BB$126:BB$128,RL!$C$126:$C$128,$C225)+SUMIFS(LU!BB$126:BB$128,LU!$C$126:$C$128,$C225))*BB$14*BB20</f>
        <v>0</v>
      </c>
      <c r="BC225" s="403">
        <f>(SUMIFS(RN!BC$132:BC$134,RN!$C$132:$C$134,$C225)+SUMIFS(RL!BC$126:BC$128,RL!$C$126:$C$128,$C225)+SUMIFS(LU!BC$126:BC$128,LU!$C$126:$C$128,$C225))*BC$14*BC20</f>
        <v>0</v>
      </c>
      <c r="BD225" s="403">
        <f>(SUMIFS(RN!BD$132:BD$134,RN!$C$132:$C$134,$C225)+SUMIFS(RL!BD$126:BD$128,RL!$C$126:$C$128,$C225)+SUMIFS(LU!BD$126:BD$128,LU!$C$126:$C$128,$C225))*BD$14*BD20</f>
        <v>0</v>
      </c>
      <c r="BE225" s="403">
        <f>(SUMIFS(RN!BE$132:BE$134,RN!$C$132:$C$134,$C225)+SUMIFS(RL!BE$126:BE$128,RL!$C$126:$C$128,$C225)+SUMIFS(LU!BE$126:BE$128,LU!$C$126:$C$128,$C225))*BE$14*BE20</f>
        <v>0</v>
      </c>
      <c r="BF225" s="403">
        <f>(SUMIFS(RN!BF$132:BF$134,RN!$C$132:$C$134,$C225)+SUMIFS(RL!BF$126:BF$128,RL!$C$126:$C$128,$C225)+SUMIFS(LU!BF$126:BF$128,LU!$C$126:$C$128,$C225))*BF$14*BF20</f>
        <v>0</v>
      </c>
      <c r="BG225" s="403">
        <f>(SUMIFS(RN!BG$132:BG$134,RN!$C$132:$C$134,$C225)+SUMIFS(RL!BG$126:BG$128,RL!$C$126:$C$128,$C225)+SUMIFS(LU!BG$126:BG$128,LU!$C$126:$C$128,$C225))*BG$14*BG20</f>
        <v>0</v>
      </c>
      <c r="BI225" s="238">
        <f>SUM(T225:BG225)</f>
        <v>0</v>
      </c>
      <c r="BK225" s="333"/>
    </row>
    <row r="226" spans="2:63">
      <c r="C226" s="99">
        <f>AA!C14</f>
        <v>2</v>
      </c>
      <c r="E226" s="94" t="str">
        <f>INDEX(AA!$AC$13:$AC$15,MATCH($C226,AA!$C$13:$C$15,0))</f>
        <v>backup</v>
      </c>
      <c r="G226" s="1325">
        <f>INDEX(AA!$E$13:$E$15,MATCH($C226,AA!$C$13:$C$15,0))</f>
        <v>1</v>
      </c>
      <c r="I226" s="73" t="s">
        <v>379</v>
      </c>
      <c r="T226" s="403">
        <f>(SUMIFS(RN!T$132:T$134,RN!$C$132:$C$134,$C226)+SUMIFS(RL!T$126:T$128,RL!$C$126:$C$128,$C226)+SUMIFS(LU!T$126:T$128,LU!$C$126:$C$128,$C226))*T$14*T21</f>
        <v>0</v>
      </c>
      <c r="U226" s="403">
        <f>(SUMIFS(RN!U$132:U$134,RN!$C$132:$C$134,$C226)+SUMIFS(RL!U$126:U$128,RL!$C$126:$C$128,$C226)+SUMIFS(LU!U$126:U$128,LU!$C$126:$C$128,$C226))*U$14*U21</f>
        <v>0</v>
      </c>
      <c r="V226" s="403">
        <f>(SUMIFS(RN!V$132:V$134,RN!$C$132:$C$134,$C226)+SUMIFS(RL!V$126:V$128,RL!$C$126:$C$128,$C226)+SUMIFS(LU!V$126:V$128,LU!$C$126:$C$128,$C226))*V$14*V21</f>
        <v>0</v>
      </c>
      <c r="W226" s="403">
        <f>(SUMIFS(RN!W$132:W$134,RN!$C$132:$C$134,$C226)+SUMIFS(RL!W$126:W$128,RL!$C$126:$C$128,$C226)+SUMIFS(LU!W$126:W$128,LU!$C$126:$C$128,$C226))*W$14*W21</f>
        <v>0</v>
      </c>
      <c r="X226" s="403">
        <f>(SUMIFS(RN!X$132:X$134,RN!$C$132:$C$134,$C226)+SUMIFS(RL!X$126:X$128,RL!$C$126:$C$128,$C226)+SUMIFS(LU!X$126:X$128,LU!$C$126:$C$128,$C226))*X$14*X21</f>
        <v>0</v>
      </c>
      <c r="Y226" s="403">
        <f>(SUMIFS(RN!Y$132:Y$134,RN!$C$132:$C$134,$C226)+SUMIFS(RL!Y$126:Y$128,RL!$C$126:$C$128,$C226)+SUMIFS(LU!Y$126:Y$128,LU!$C$126:$C$128,$C226))*Y$14*Y21</f>
        <v>0</v>
      </c>
      <c r="Z226" s="403">
        <f>(SUMIFS(RN!Z$132:Z$134,RN!$C$132:$C$134,$C226)+SUMIFS(RL!Z$126:Z$128,RL!$C$126:$C$128,$C226)+SUMIFS(LU!Z$126:Z$128,LU!$C$126:$C$128,$C226))*Z$14*Z21</f>
        <v>0</v>
      </c>
      <c r="AA226" s="403">
        <f>(SUMIFS(RN!AA$132:AA$134,RN!$C$132:$C$134,$C226)+SUMIFS(RL!AA$126:AA$128,RL!$C$126:$C$128,$C226)+SUMIFS(LU!AA$126:AA$128,LU!$C$126:$C$128,$C226))*AA$14*AA21</f>
        <v>0</v>
      </c>
      <c r="AB226" s="403">
        <f>(SUMIFS(RN!AB$132:AB$134,RN!$C$132:$C$134,$C226)+SUMIFS(RL!AB$126:AB$128,RL!$C$126:$C$128,$C226)+SUMIFS(LU!AB$126:AB$128,LU!$C$126:$C$128,$C226))*AB$14*AB21</f>
        <v>0</v>
      </c>
      <c r="AC226" s="403">
        <f>(SUMIFS(RN!AC$132:AC$134,RN!$C$132:$C$134,$C226)+SUMIFS(RL!AC$126:AC$128,RL!$C$126:$C$128,$C226)+SUMIFS(LU!AC$126:AC$128,LU!$C$126:$C$128,$C226))*AC$14*AC21</f>
        <v>0</v>
      </c>
      <c r="AD226" s="403">
        <f>(SUMIFS(RN!AD$132:AD$134,RN!$C$132:$C$134,$C226)+SUMIFS(RL!AD$126:AD$128,RL!$C$126:$C$128,$C226)+SUMIFS(LU!AD$126:AD$128,LU!$C$126:$C$128,$C226))*AD$14*AD21</f>
        <v>0</v>
      </c>
      <c r="AE226" s="403">
        <f>(SUMIFS(RN!AE$132:AE$134,RN!$C$132:$C$134,$C226)+SUMIFS(RL!AE$126:AE$128,RL!$C$126:$C$128,$C226)+SUMIFS(LU!AE$126:AE$128,LU!$C$126:$C$128,$C226))*AE$14*AE21</f>
        <v>0</v>
      </c>
      <c r="AF226" s="403">
        <f>(SUMIFS(RN!AF$132:AF$134,RN!$C$132:$C$134,$C226)+SUMIFS(RL!AF$126:AF$128,RL!$C$126:$C$128,$C226)+SUMIFS(LU!AF$126:AF$128,LU!$C$126:$C$128,$C226))*AF$14*AF21</f>
        <v>0</v>
      </c>
      <c r="AG226" s="403">
        <f>(SUMIFS(RN!AG$132:AG$134,RN!$C$132:$C$134,$C226)+SUMIFS(RL!AG$126:AG$128,RL!$C$126:$C$128,$C226)+SUMIFS(LU!AG$126:AG$128,LU!$C$126:$C$128,$C226))*AG$14*AG21</f>
        <v>0</v>
      </c>
      <c r="AH226" s="403">
        <f>(SUMIFS(RN!AH$132:AH$134,RN!$C$132:$C$134,$C226)+SUMIFS(RL!AH$126:AH$128,RL!$C$126:$C$128,$C226)+SUMIFS(LU!AH$126:AH$128,LU!$C$126:$C$128,$C226))*AH$14*AH21</f>
        <v>0</v>
      </c>
      <c r="AI226" s="403">
        <f>(SUMIFS(RN!AI$132:AI$134,RN!$C$132:$C$134,$C226)+SUMIFS(RL!AI$126:AI$128,RL!$C$126:$C$128,$C226)+SUMIFS(LU!AI$126:AI$128,LU!$C$126:$C$128,$C226))*AI$14*AI21</f>
        <v>0</v>
      </c>
      <c r="AJ226" s="403">
        <f>(SUMIFS(RN!AJ$132:AJ$134,RN!$C$132:$C$134,$C226)+SUMIFS(RL!AJ$126:AJ$128,RL!$C$126:$C$128,$C226)+SUMIFS(LU!AJ$126:AJ$128,LU!$C$126:$C$128,$C226))*AJ$14*AJ21</f>
        <v>0</v>
      </c>
      <c r="AK226" s="403">
        <f>(SUMIFS(RN!AK$132:AK$134,RN!$C$132:$C$134,$C226)+SUMIFS(RL!AK$126:AK$128,RL!$C$126:$C$128,$C226)+SUMIFS(LU!AK$126:AK$128,LU!$C$126:$C$128,$C226))*AK$14*AK21</f>
        <v>0</v>
      </c>
      <c r="AL226" s="403">
        <f>(SUMIFS(RN!AL$132:AL$134,RN!$C$132:$C$134,$C226)+SUMIFS(RL!AL$126:AL$128,RL!$C$126:$C$128,$C226)+SUMIFS(LU!AL$126:AL$128,LU!$C$126:$C$128,$C226))*AL$14*AL21</f>
        <v>0</v>
      </c>
      <c r="AM226" s="403">
        <f>(SUMIFS(RN!AM$132:AM$134,RN!$C$132:$C$134,$C226)+SUMIFS(RL!AM$126:AM$128,RL!$C$126:$C$128,$C226)+SUMIFS(LU!AM$126:AM$128,LU!$C$126:$C$128,$C226))*AM$14*AM21</f>
        <v>0</v>
      </c>
      <c r="AN226" s="403">
        <f>(SUMIFS(RN!AN$132:AN$134,RN!$C$132:$C$134,$C226)+SUMIFS(RL!AN$126:AN$128,RL!$C$126:$C$128,$C226)+SUMIFS(LU!AN$126:AN$128,LU!$C$126:$C$128,$C226))*AN$14*AN21</f>
        <v>0</v>
      </c>
      <c r="AO226" s="403">
        <f>(SUMIFS(RN!AO$132:AO$134,RN!$C$132:$C$134,$C226)+SUMIFS(RL!AO$126:AO$128,RL!$C$126:$C$128,$C226)+SUMIFS(LU!AO$126:AO$128,LU!$C$126:$C$128,$C226))*AO$14*AO21</f>
        <v>0</v>
      </c>
      <c r="AP226" s="403">
        <f>(SUMIFS(RN!AP$132:AP$134,RN!$C$132:$C$134,$C226)+SUMIFS(RL!AP$126:AP$128,RL!$C$126:$C$128,$C226)+SUMIFS(LU!AP$126:AP$128,LU!$C$126:$C$128,$C226))*AP$14*AP21</f>
        <v>0</v>
      </c>
      <c r="AQ226" s="403">
        <f>(SUMIFS(RN!AQ$132:AQ$134,RN!$C$132:$C$134,$C226)+SUMIFS(RL!AQ$126:AQ$128,RL!$C$126:$C$128,$C226)+SUMIFS(LU!AQ$126:AQ$128,LU!$C$126:$C$128,$C226))*AQ$14*AQ21</f>
        <v>0</v>
      </c>
      <c r="AR226" s="403">
        <f>(SUMIFS(RN!AR$132:AR$134,RN!$C$132:$C$134,$C226)+SUMIFS(RL!AR$126:AR$128,RL!$C$126:$C$128,$C226)+SUMIFS(LU!AR$126:AR$128,LU!$C$126:$C$128,$C226))*AR$14*AR21</f>
        <v>0</v>
      </c>
      <c r="AS226" s="403">
        <f>(SUMIFS(RN!AS$132:AS$134,RN!$C$132:$C$134,$C226)+SUMIFS(RL!AS$126:AS$128,RL!$C$126:$C$128,$C226)+SUMIFS(LU!AS$126:AS$128,LU!$C$126:$C$128,$C226))*AS$14*AS21</f>
        <v>0</v>
      </c>
      <c r="AT226" s="403">
        <f>(SUMIFS(RN!AT$132:AT$134,RN!$C$132:$C$134,$C226)+SUMIFS(RL!AT$126:AT$128,RL!$C$126:$C$128,$C226)+SUMIFS(LU!AT$126:AT$128,LU!$C$126:$C$128,$C226))*AT$14*AT21</f>
        <v>0</v>
      </c>
      <c r="AU226" s="403">
        <f>(SUMIFS(RN!AU$132:AU$134,RN!$C$132:$C$134,$C226)+SUMIFS(RL!AU$126:AU$128,RL!$C$126:$C$128,$C226)+SUMIFS(LU!AU$126:AU$128,LU!$C$126:$C$128,$C226))*AU$14*AU21</f>
        <v>0</v>
      </c>
      <c r="AV226" s="403">
        <f>(SUMIFS(RN!AV$132:AV$134,RN!$C$132:$C$134,$C226)+SUMIFS(RL!AV$126:AV$128,RL!$C$126:$C$128,$C226)+SUMIFS(LU!AV$126:AV$128,LU!$C$126:$C$128,$C226))*AV$14*AV21</f>
        <v>0</v>
      </c>
      <c r="AW226" s="403">
        <f>(SUMIFS(RN!AW$132:AW$134,RN!$C$132:$C$134,$C226)+SUMIFS(RL!AW$126:AW$128,RL!$C$126:$C$128,$C226)+SUMIFS(LU!AW$126:AW$128,LU!$C$126:$C$128,$C226))*AW$14*AW21</f>
        <v>0</v>
      </c>
      <c r="AX226" s="403">
        <f>(SUMIFS(RN!AX$132:AX$134,RN!$C$132:$C$134,$C226)+SUMIFS(RL!AX$126:AX$128,RL!$C$126:$C$128,$C226)+SUMIFS(LU!AX$126:AX$128,LU!$C$126:$C$128,$C226))*AX$14*AX21</f>
        <v>0</v>
      </c>
      <c r="AY226" s="403">
        <f>(SUMIFS(RN!AY$132:AY$134,RN!$C$132:$C$134,$C226)+SUMIFS(RL!AY$126:AY$128,RL!$C$126:$C$128,$C226)+SUMIFS(LU!AY$126:AY$128,LU!$C$126:$C$128,$C226))*AY$14*AY21</f>
        <v>0</v>
      </c>
      <c r="AZ226" s="403">
        <f>(SUMIFS(RN!AZ$132:AZ$134,RN!$C$132:$C$134,$C226)+SUMIFS(RL!AZ$126:AZ$128,RL!$C$126:$C$128,$C226)+SUMIFS(LU!AZ$126:AZ$128,LU!$C$126:$C$128,$C226))*AZ$14*AZ21</f>
        <v>0</v>
      </c>
      <c r="BA226" s="403">
        <f>(SUMIFS(RN!BA$132:BA$134,RN!$C$132:$C$134,$C226)+SUMIFS(RL!BA$126:BA$128,RL!$C$126:$C$128,$C226)+SUMIFS(LU!BA$126:BA$128,LU!$C$126:$C$128,$C226))*BA$14*BA21</f>
        <v>0</v>
      </c>
      <c r="BB226" s="403">
        <f>(SUMIFS(RN!BB$132:BB$134,RN!$C$132:$C$134,$C226)+SUMIFS(RL!BB$126:BB$128,RL!$C$126:$C$128,$C226)+SUMIFS(LU!BB$126:BB$128,LU!$C$126:$C$128,$C226))*BB$14*BB21</f>
        <v>0</v>
      </c>
      <c r="BC226" s="403">
        <f>(SUMIFS(RN!BC$132:BC$134,RN!$C$132:$C$134,$C226)+SUMIFS(RL!BC$126:BC$128,RL!$C$126:$C$128,$C226)+SUMIFS(LU!BC$126:BC$128,LU!$C$126:$C$128,$C226))*BC$14*BC21</f>
        <v>0</v>
      </c>
      <c r="BD226" s="403">
        <f>(SUMIFS(RN!BD$132:BD$134,RN!$C$132:$C$134,$C226)+SUMIFS(RL!BD$126:BD$128,RL!$C$126:$C$128,$C226)+SUMIFS(LU!BD$126:BD$128,LU!$C$126:$C$128,$C226))*BD$14*BD21</f>
        <v>0</v>
      </c>
      <c r="BE226" s="403">
        <f>(SUMIFS(RN!BE$132:BE$134,RN!$C$132:$C$134,$C226)+SUMIFS(RL!BE$126:BE$128,RL!$C$126:$C$128,$C226)+SUMIFS(LU!BE$126:BE$128,LU!$C$126:$C$128,$C226))*BE$14*BE21</f>
        <v>0</v>
      </c>
      <c r="BF226" s="403">
        <f>(SUMIFS(RN!BF$132:BF$134,RN!$C$132:$C$134,$C226)+SUMIFS(RL!BF$126:BF$128,RL!$C$126:$C$128,$C226)+SUMIFS(LU!BF$126:BF$128,LU!$C$126:$C$128,$C226))*BF$14*BF21</f>
        <v>0</v>
      </c>
      <c r="BG226" s="403">
        <f>(SUMIFS(RN!BG$132:BG$134,RN!$C$132:$C$134,$C226)+SUMIFS(RL!BG$126:BG$128,RL!$C$126:$C$128,$C226)+SUMIFS(LU!BG$126:BG$128,LU!$C$126:$C$128,$C226))*BG$14*BG21</f>
        <v>0</v>
      </c>
      <c r="BI226" s="240">
        <f t="shared" ref="BI226" si="100">SUM(T226:BG226)</f>
        <v>0</v>
      </c>
      <c r="BK226" s="334"/>
    </row>
    <row r="227" spans="2:63">
      <c r="C227" s="99">
        <f>AA!C15</f>
        <v>3</v>
      </c>
      <c r="E227" s="94" t="str">
        <f>INDEX(AA!$AC$13:$AC$15,MATCH($C227,AA!$C$13:$C$15,0))</f>
        <v>backup</v>
      </c>
      <c r="G227" s="1325">
        <f>INDEX(AA!$E$13:$E$15,MATCH($C227,AA!$C$13:$C$15,0))</f>
        <v>1</v>
      </c>
      <c r="I227" s="73" t="s">
        <v>379</v>
      </c>
      <c r="T227" s="403">
        <f>(SUMIFS(RN!T$132:T$134,RN!$C$132:$C$134,$C227)+SUMIFS(RL!T$126:T$128,RL!$C$126:$C$128,$C227)+SUMIFS(LU!T$126:T$128,LU!$C$126:$C$128,$C227))*T$14*T22</f>
        <v>0</v>
      </c>
      <c r="U227" s="403">
        <f>(SUMIFS(RN!U$132:U$134,RN!$C$132:$C$134,$C227)+SUMIFS(RL!U$126:U$128,RL!$C$126:$C$128,$C227)+SUMIFS(LU!U$126:U$128,LU!$C$126:$C$128,$C227))*U$14*U22</f>
        <v>0</v>
      </c>
      <c r="V227" s="403">
        <f>(SUMIFS(RN!V$132:V$134,RN!$C$132:$C$134,$C227)+SUMIFS(RL!V$126:V$128,RL!$C$126:$C$128,$C227)+SUMIFS(LU!V$126:V$128,LU!$C$126:$C$128,$C227))*V$14*V22</f>
        <v>0</v>
      </c>
      <c r="W227" s="403">
        <f>(SUMIFS(RN!W$132:W$134,RN!$C$132:$C$134,$C227)+SUMIFS(RL!W$126:W$128,RL!$C$126:$C$128,$C227)+SUMIFS(LU!W$126:W$128,LU!$C$126:$C$128,$C227))*W$14*W22</f>
        <v>0</v>
      </c>
      <c r="X227" s="403">
        <f>(SUMIFS(RN!X$132:X$134,RN!$C$132:$C$134,$C227)+SUMIFS(RL!X$126:X$128,RL!$C$126:$C$128,$C227)+SUMIFS(LU!X$126:X$128,LU!$C$126:$C$128,$C227))*X$14*X22</f>
        <v>0</v>
      </c>
      <c r="Y227" s="403">
        <f>(SUMIFS(RN!Y$132:Y$134,RN!$C$132:$C$134,$C227)+SUMIFS(RL!Y$126:Y$128,RL!$C$126:$C$128,$C227)+SUMIFS(LU!Y$126:Y$128,LU!$C$126:$C$128,$C227))*Y$14*Y22</f>
        <v>0</v>
      </c>
      <c r="Z227" s="403">
        <f>(SUMIFS(RN!Z$132:Z$134,RN!$C$132:$C$134,$C227)+SUMIFS(RL!Z$126:Z$128,RL!$C$126:$C$128,$C227)+SUMIFS(LU!Z$126:Z$128,LU!$C$126:$C$128,$C227))*Z$14*Z22</f>
        <v>0</v>
      </c>
      <c r="AA227" s="403">
        <f>(SUMIFS(RN!AA$132:AA$134,RN!$C$132:$C$134,$C227)+SUMIFS(RL!AA$126:AA$128,RL!$C$126:$C$128,$C227)+SUMIFS(LU!AA$126:AA$128,LU!$C$126:$C$128,$C227))*AA$14*AA22</f>
        <v>0</v>
      </c>
      <c r="AB227" s="403">
        <f>(SUMIFS(RN!AB$132:AB$134,RN!$C$132:$C$134,$C227)+SUMIFS(RL!AB$126:AB$128,RL!$C$126:$C$128,$C227)+SUMIFS(LU!AB$126:AB$128,LU!$C$126:$C$128,$C227))*AB$14*AB22</f>
        <v>0</v>
      </c>
      <c r="AC227" s="403">
        <f>(SUMIFS(RN!AC$132:AC$134,RN!$C$132:$C$134,$C227)+SUMIFS(RL!AC$126:AC$128,RL!$C$126:$C$128,$C227)+SUMIFS(LU!AC$126:AC$128,LU!$C$126:$C$128,$C227))*AC$14*AC22</f>
        <v>0</v>
      </c>
      <c r="AD227" s="403">
        <f>(SUMIFS(RN!AD$132:AD$134,RN!$C$132:$C$134,$C227)+SUMIFS(RL!AD$126:AD$128,RL!$C$126:$C$128,$C227)+SUMIFS(LU!AD$126:AD$128,LU!$C$126:$C$128,$C227))*AD$14*AD22</f>
        <v>0</v>
      </c>
      <c r="AE227" s="403">
        <f>(SUMIFS(RN!AE$132:AE$134,RN!$C$132:$C$134,$C227)+SUMIFS(RL!AE$126:AE$128,RL!$C$126:$C$128,$C227)+SUMIFS(LU!AE$126:AE$128,LU!$C$126:$C$128,$C227))*AE$14*AE22</f>
        <v>0</v>
      </c>
      <c r="AF227" s="403">
        <f>(SUMIFS(RN!AF$132:AF$134,RN!$C$132:$C$134,$C227)+SUMIFS(RL!AF$126:AF$128,RL!$C$126:$C$128,$C227)+SUMIFS(LU!AF$126:AF$128,LU!$C$126:$C$128,$C227))*AF$14*AF22</f>
        <v>0</v>
      </c>
      <c r="AG227" s="403">
        <f>(SUMIFS(RN!AG$132:AG$134,RN!$C$132:$C$134,$C227)+SUMIFS(RL!AG$126:AG$128,RL!$C$126:$C$128,$C227)+SUMIFS(LU!AG$126:AG$128,LU!$C$126:$C$128,$C227))*AG$14*AG22</f>
        <v>0</v>
      </c>
      <c r="AH227" s="403">
        <f>(SUMIFS(RN!AH$132:AH$134,RN!$C$132:$C$134,$C227)+SUMIFS(RL!AH$126:AH$128,RL!$C$126:$C$128,$C227)+SUMIFS(LU!AH$126:AH$128,LU!$C$126:$C$128,$C227))*AH$14*AH22</f>
        <v>0</v>
      </c>
      <c r="AI227" s="403">
        <f>(SUMIFS(RN!AI$132:AI$134,RN!$C$132:$C$134,$C227)+SUMIFS(RL!AI$126:AI$128,RL!$C$126:$C$128,$C227)+SUMIFS(LU!AI$126:AI$128,LU!$C$126:$C$128,$C227))*AI$14*AI22</f>
        <v>0</v>
      </c>
      <c r="AJ227" s="403">
        <f>(SUMIFS(RN!AJ$132:AJ$134,RN!$C$132:$C$134,$C227)+SUMIFS(RL!AJ$126:AJ$128,RL!$C$126:$C$128,$C227)+SUMIFS(LU!AJ$126:AJ$128,LU!$C$126:$C$128,$C227))*AJ$14*AJ22</f>
        <v>0</v>
      </c>
      <c r="AK227" s="403">
        <f>(SUMIFS(RN!AK$132:AK$134,RN!$C$132:$C$134,$C227)+SUMIFS(RL!AK$126:AK$128,RL!$C$126:$C$128,$C227)+SUMIFS(LU!AK$126:AK$128,LU!$C$126:$C$128,$C227))*AK$14*AK22</f>
        <v>0</v>
      </c>
      <c r="AL227" s="403">
        <f>(SUMIFS(RN!AL$132:AL$134,RN!$C$132:$C$134,$C227)+SUMIFS(RL!AL$126:AL$128,RL!$C$126:$C$128,$C227)+SUMIFS(LU!AL$126:AL$128,LU!$C$126:$C$128,$C227))*AL$14*AL22</f>
        <v>0</v>
      </c>
      <c r="AM227" s="403">
        <f>(SUMIFS(RN!AM$132:AM$134,RN!$C$132:$C$134,$C227)+SUMIFS(RL!AM$126:AM$128,RL!$C$126:$C$128,$C227)+SUMIFS(LU!AM$126:AM$128,LU!$C$126:$C$128,$C227))*AM$14*AM22</f>
        <v>0</v>
      </c>
      <c r="AN227" s="403">
        <f>(SUMIFS(RN!AN$132:AN$134,RN!$C$132:$C$134,$C227)+SUMIFS(RL!AN$126:AN$128,RL!$C$126:$C$128,$C227)+SUMIFS(LU!AN$126:AN$128,LU!$C$126:$C$128,$C227))*AN$14*AN22</f>
        <v>0</v>
      </c>
      <c r="AO227" s="403">
        <f>(SUMIFS(RN!AO$132:AO$134,RN!$C$132:$C$134,$C227)+SUMIFS(RL!AO$126:AO$128,RL!$C$126:$C$128,$C227)+SUMIFS(LU!AO$126:AO$128,LU!$C$126:$C$128,$C227))*AO$14*AO22</f>
        <v>0</v>
      </c>
      <c r="AP227" s="403">
        <f>(SUMIFS(RN!AP$132:AP$134,RN!$C$132:$C$134,$C227)+SUMIFS(RL!AP$126:AP$128,RL!$C$126:$C$128,$C227)+SUMIFS(LU!AP$126:AP$128,LU!$C$126:$C$128,$C227))*AP$14*AP22</f>
        <v>0</v>
      </c>
      <c r="AQ227" s="403">
        <f>(SUMIFS(RN!AQ$132:AQ$134,RN!$C$132:$C$134,$C227)+SUMIFS(RL!AQ$126:AQ$128,RL!$C$126:$C$128,$C227)+SUMIFS(LU!AQ$126:AQ$128,LU!$C$126:$C$128,$C227))*AQ$14*AQ22</f>
        <v>0</v>
      </c>
      <c r="AR227" s="403">
        <f>(SUMIFS(RN!AR$132:AR$134,RN!$C$132:$C$134,$C227)+SUMIFS(RL!AR$126:AR$128,RL!$C$126:$C$128,$C227)+SUMIFS(LU!AR$126:AR$128,LU!$C$126:$C$128,$C227))*AR$14*AR22</f>
        <v>0</v>
      </c>
      <c r="AS227" s="403">
        <f>(SUMIFS(RN!AS$132:AS$134,RN!$C$132:$C$134,$C227)+SUMIFS(RL!AS$126:AS$128,RL!$C$126:$C$128,$C227)+SUMIFS(LU!AS$126:AS$128,LU!$C$126:$C$128,$C227))*AS$14*AS22</f>
        <v>0</v>
      </c>
      <c r="AT227" s="403">
        <f>(SUMIFS(RN!AT$132:AT$134,RN!$C$132:$C$134,$C227)+SUMIFS(RL!AT$126:AT$128,RL!$C$126:$C$128,$C227)+SUMIFS(LU!AT$126:AT$128,LU!$C$126:$C$128,$C227))*AT$14*AT22</f>
        <v>0</v>
      </c>
      <c r="AU227" s="403">
        <f>(SUMIFS(RN!AU$132:AU$134,RN!$C$132:$C$134,$C227)+SUMIFS(RL!AU$126:AU$128,RL!$C$126:$C$128,$C227)+SUMIFS(LU!AU$126:AU$128,LU!$C$126:$C$128,$C227))*AU$14*AU22</f>
        <v>0</v>
      </c>
      <c r="AV227" s="403">
        <f>(SUMIFS(RN!AV$132:AV$134,RN!$C$132:$C$134,$C227)+SUMIFS(RL!AV$126:AV$128,RL!$C$126:$C$128,$C227)+SUMIFS(LU!AV$126:AV$128,LU!$C$126:$C$128,$C227))*AV$14*AV22</f>
        <v>0</v>
      </c>
      <c r="AW227" s="403">
        <f>(SUMIFS(RN!AW$132:AW$134,RN!$C$132:$C$134,$C227)+SUMIFS(RL!AW$126:AW$128,RL!$C$126:$C$128,$C227)+SUMIFS(LU!AW$126:AW$128,LU!$C$126:$C$128,$C227))*AW$14*AW22</f>
        <v>0</v>
      </c>
      <c r="AX227" s="403">
        <f>(SUMIFS(RN!AX$132:AX$134,RN!$C$132:$C$134,$C227)+SUMIFS(RL!AX$126:AX$128,RL!$C$126:$C$128,$C227)+SUMIFS(LU!AX$126:AX$128,LU!$C$126:$C$128,$C227))*AX$14*AX22</f>
        <v>0</v>
      </c>
      <c r="AY227" s="403">
        <f>(SUMIFS(RN!AY$132:AY$134,RN!$C$132:$C$134,$C227)+SUMIFS(RL!AY$126:AY$128,RL!$C$126:$C$128,$C227)+SUMIFS(LU!AY$126:AY$128,LU!$C$126:$C$128,$C227))*AY$14*AY22</f>
        <v>0</v>
      </c>
      <c r="AZ227" s="403">
        <f>(SUMIFS(RN!AZ$132:AZ$134,RN!$C$132:$C$134,$C227)+SUMIFS(RL!AZ$126:AZ$128,RL!$C$126:$C$128,$C227)+SUMIFS(LU!AZ$126:AZ$128,LU!$C$126:$C$128,$C227))*AZ$14*AZ22</f>
        <v>0</v>
      </c>
      <c r="BA227" s="403">
        <f>(SUMIFS(RN!BA$132:BA$134,RN!$C$132:$C$134,$C227)+SUMIFS(RL!BA$126:BA$128,RL!$C$126:$C$128,$C227)+SUMIFS(LU!BA$126:BA$128,LU!$C$126:$C$128,$C227))*BA$14*BA22</f>
        <v>0</v>
      </c>
      <c r="BB227" s="403">
        <f>(SUMIFS(RN!BB$132:BB$134,RN!$C$132:$C$134,$C227)+SUMIFS(RL!BB$126:BB$128,RL!$C$126:$C$128,$C227)+SUMIFS(LU!BB$126:BB$128,LU!$C$126:$C$128,$C227))*BB$14*BB22</f>
        <v>0</v>
      </c>
      <c r="BC227" s="403">
        <f>(SUMIFS(RN!BC$132:BC$134,RN!$C$132:$C$134,$C227)+SUMIFS(RL!BC$126:BC$128,RL!$C$126:$C$128,$C227)+SUMIFS(LU!BC$126:BC$128,LU!$C$126:$C$128,$C227))*BC$14*BC22</f>
        <v>0</v>
      </c>
      <c r="BD227" s="403">
        <f>(SUMIFS(RN!BD$132:BD$134,RN!$C$132:$C$134,$C227)+SUMIFS(RL!BD$126:BD$128,RL!$C$126:$C$128,$C227)+SUMIFS(LU!BD$126:BD$128,LU!$C$126:$C$128,$C227))*BD$14*BD22</f>
        <v>0</v>
      </c>
      <c r="BE227" s="403">
        <f>(SUMIFS(RN!BE$132:BE$134,RN!$C$132:$C$134,$C227)+SUMIFS(RL!BE$126:BE$128,RL!$C$126:$C$128,$C227)+SUMIFS(LU!BE$126:BE$128,LU!$C$126:$C$128,$C227))*BE$14*BE22</f>
        <v>0</v>
      </c>
      <c r="BF227" s="403">
        <f>(SUMIFS(RN!BF$132:BF$134,RN!$C$132:$C$134,$C227)+SUMIFS(RL!BF$126:BF$128,RL!$C$126:$C$128,$C227)+SUMIFS(LU!BF$126:BF$128,LU!$C$126:$C$128,$C227))*BF$14*BF22</f>
        <v>0</v>
      </c>
      <c r="BG227" s="403">
        <f>(SUMIFS(RN!BG$132:BG$134,RN!$C$132:$C$134,$C227)+SUMIFS(RL!BG$126:BG$128,RL!$C$126:$C$128,$C227)+SUMIFS(LU!BG$126:BG$128,LU!$C$126:$C$128,$C227))*BG$14*BG22</f>
        <v>0</v>
      </c>
      <c r="BI227" s="240">
        <f t="shared" ref="BI227" si="101">SUM(T227:BG227)</f>
        <v>0</v>
      </c>
      <c r="BK227" s="334"/>
    </row>
    <row r="228" spans="2:63">
      <c r="C228" s="269"/>
      <c r="E228" s="269"/>
      <c r="G228" s="269"/>
      <c r="I228" s="269"/>
      <c r="BI228" s="269"/>
      <c r="BK228" s="269"/>
    </row>
    <row r="230" spans="2:63" s="90" customFormat="1">
      <c r="B230" s="91">
        <f ca="1">MAX(A$1:$B229)+1</f>
        <v>29</v>
      </c>
      <c r="C230" s="92" t="s">
        <v>473</v>
      </c>
    </row>
    <row r="232" spans="2:63" ht="30">
      <c r="C232" s="97" t="s">
        <v>4</v>
      </c>
      <c r="E232" s="97" t="s">
        <v>6</v>
      </c>
      <c r="G232" s="101" t="s">
        <v>272</v>
      </c>
      <c r="I232" s="101" t="s">
        <v>150</v>
      </c>
      <c r="K232" s="101" t="s">
        <v>475</v>
      </c>
      <c r="M232" s="97" t="s">
        <v>476</v>
      </c>
      <c r="N232" s="97" t="s">
        <v>474</v>
      </c>
      <c r="O232" s="101" t="s">
        <v>477</v>
      </c>
      <c r="P232" s="97" t="s">
        <v>478</v>
      </c>
      <c r="BI232" s="327" t="s">
        <v>152</v>
      </c>
      <c r="BK232" s="332"/>
    </row>
    <row r="233" spans="2:63">
      <c r="C233" s="99">
        <f>AA!C13</f>
        <v>1</v>
      </c>
      <c r="E233" s="93" t="str">
        <f>INDEX(AA!$AC$13:$AC$15,MATCH($C233,AA!$C$13:$C$15,0))</f>
        <v>backup</v>
      </c>
      <c r="G233" s="1324">
        <f>INDEX(AA!$E$13:$E$15,MATCH($C233,AA!$C$13:$C$15,0))</f>
        <v>1</v>
      </c>
      <c r="I233" s="72" t="s">
        <v>474</v>
      </c>
      <c r="K233" s="1324">
        <f>BK52+BK76+BK124</f>
        <v>102266.91718749992</v>
      </c>
      <c r="M233" s="1329">
        <f>INDEX(AA!$M$13:$M$15,MATCH($C233,AA!$C$13:$C$15,0))</f>
        <v>12</v>
      </c>
      <c r="N233" s="1324">
        <f>M233*K233</f>
        <v>1227203.0062499989</v>
      </c>
      <c r="O233" s="1324">
        <f>INDEX(AA!$P$13:$P$15,MATCH($C233,AA!$C$13:$C$15,0))</f>
        <v>0</v>
      </c>
      <c r="P233" s="1324">
        <f>IF(O233&lt;&gt;0,O233,N233)*GA!$G$718</f>
        <v>1227203.0062499989</v>
      </c>
      <c r="T233" s="310">
        <f t="shared" ref="T233:BG233" si="102">$P233*T28</f>
        <v>0</v>
      </c>
      <c r="U233" s="310">
        <f t="shared" si="102"/>
        <v>0</v>
      </c>
      <c r="V233" s="310">
        <f t="shared" si="102"/>
        <v>0</v>
      </c>
      <c r="W233" s="310">
        <f t="shared" si="102"/>
        <v>0</v>
      </c>
      <c r="X233" s="310">
        <f t="shared" si="102"/>
        <v>0</v>
      </c>
      <c r="Y233" s="310">
        <f t="shared" si="102"/>
        <v>0</v>
      </c>
      <c r="Z233" s="310">
        <f t="shared" si="102"/>
        <v>0</v>
      </c>
      <c r="AA233" s="310">
        <f t="shared" si="102"/>
        <v>0</v>
      </c>
      <c r="AB233" s="310">
        <f t="shared" si="102"/>
        <v>0</v>
      </c>
      <c r="AC233" s="310">
        <f t="shared" si="102"/>
        <v>0</v>
      </c>
      <c r="AD233" s="310">
        <f t="shared" si="102"/>
        <v>0</v>
      </c>
      <c r="AE233" s="310">
        <f t="shared" si="102"/>
        <v>1227203.0062499989</v>
      </c>
      <c r="AF233" s="310">
        <f t="shared" si="102"/>
        <v>0</v>
      </c>
      <c r="AG233" s="310">
        <f t="shared" si="102"/>
        <v>0</v>
      </c>
      <c r="AH233" s="310">
        <f t="shared" si="102"/>
        <v>0</v>
      </c>
      <c r="AI233" s="310">
        <f t="shared" si="102"/>
        <v>0</v>
      </c>
      <c r="AJ233" s="310">
        <f t="shared" si="102"/>
        <v>0</v>
      </c>
      <c r="AK233" s="310">
        <f t="shared" si="102"/>
        <v>0</v>
      </c>
      <c r="AL233" s="310">
        <f t="shared" si="102"/>
        <v>0</v>
      </c>
      <c r="AM233" s="310">
        <f t="shared" si="102"/>
        <v>0</v>
      </c>
      <c r="AN233" s="310">
        <f t="shared" si="102"/>
        <v>0</v>
      </c>
      <c r="AO233" s="310">
        <f t="shared" si="102"/>
        <v>0</v>
      </c>
      <c r="AP233" s="310">
        <f t="shared" si="102"/>
        <v>0</v>
      </c>
      <c r="AQ233" s="310">
        <f t="shared" si="102"/>
        <v>0</v>
      </c>
      <c r="AR233" s="310">
        <f t="shared" si="102"/>
        <v>0</v>
      </c>
      <c r="AS233" s="310">
        <f t="shared" si="102"/>
        <v>0</v>
      </c>
      <c r="AT233" s="310">
        <f t="shared" si="102"/>
        <v>0</v>
      </c>
      <c r="AU233" s="310">
        <f t="shared" si="102"/>
        <v>0</v>
      </c>
      <c r="AV233" s="310">
        <f t="shared" si="102"/>
        <v>0</v>
      </c>
      <c r="AW233" s="310">
        <f t="shared" si="102"/>
        <v>0</v>
      </c>
      <c r="AX233" s="310">
        <f t="shared" si="102"/>
        <v>0</v>
      </c>
      <c r="AY233" s="310">
        <f t="shared" si="102"/>
        <v>0</v>
      </c>
      <c r="AZ233" s="310">
        <f t="shared" si="102"/>
        <v>0</v>
      </c>
      <c r="BA233" s="310">
        <f t="shared" si="102"/>
        <v>0</v>
      </c>
      <c r="BB233" s="310">
        <f t="shared" si="102"/>
        <v>0</v>
      </c>
      <c r="BC233" s="310">
        <f t="shared" si="102"/>
        <v>0</v>
      </c>
      <c r="BD233" s="310">
        <f t="shared" si="102"/>
        <v>0</v>
      </c>
      <c r="BE233" s="310">
        <f t="shared" si="102"/>
        <v>0</v>
      </c>
      <c r="BF233" s="310">
        <f t="shared" si="102"/>
        <v>0</v>
      </c>
      <c r="BG233" s="310">
        <f t="shared" si="102"/>
        <v>0</v>
      </c>
      <c r="BI233" s="238">
        <f>SUM(T233:BG233)</f>
        <v>1227203.0062499989</v>
      </c>
      <c r="BK233" s="333"/>
    </row>
    <row r="234" spans="2:63">
      <c r="C234" s="99">
        <f>AA!C14</f>
        <v>2</v>
      </c>
      <c r="E234" s="94" t="str">
        <f>INDEX(AA!$AC$13:$AC$15,MATCH($C234,AA!$C$13:$C$15,0))</f>
        <v>backup</v>
      </c>
      <c r="G234" s="1325">
        <f>INDEX(AA!$E$13:$E$15,MATCH($C234,AA!$C$13:$C$15,0))</f>
        <v>1</v>
      </c>
      <c r="I234" s="73" t="s">
        <v>474</v>
      </c>
      <c r="K234" s="1325">
        <f>BK53+BK77+BK125</f>
        <v>102266.91718749992</v>
      </c>
      <c r="M234" s="1330">
        <f>INDEX(AA!$M$13:$M$15,MATCH($C234,AA!$C$13:$C$15,0))</f>
        <v>12</v>
      </c>
      <c r="N234" s="1325">
        <f t="shared" ref="N234" si="103">M234*K234</f>
        <v>1227203.0062499989</v>
      </c>
      <c r="O234" s="1325">
        <f>INDEX(AA!$P$13:$P$15,MATCH($C234,AA!$C$13:$C$15,0))</f>
        <v>0</v>
      </c>
      <c r="P234" s="1325">
        <f>IF(O234&lt;&gt;0,O234,N234)*GA!$G$718</f>
        <v>1227203.0062499989</v>
      </c>
      <c r="T234" s="310">
        <f t="shared" ref="T234:BG234" si="104">$P234*T29</f>
        <v>0</v>
      </c>
      <c r="U234" s="310">
        <f t="shared" si="104"/>
        <v>0</v>
      </c>
      <c r="V234" s="310">
        <f t="shared" si="104"/>
        <v>0</v>
      </c>
      <c r="W234" s="310">
        <f t="shared" si="104"/>
        <v>0</v>
      </c>
      <c r="X234" s="310">
        <f t="shared" si="104"/>
        <v>0</v>
      </c>
      <c r="Y234" s="310">
        <f t="shared" si="104"/>
        <v>0</v>
      </c>
      <c r="Z234" s="310">
        <f t="shared" si="104"/>
        <v>0</v>
      </c>
      <c r="AA234" s="310">
        <f t="shared" si="104"/>
        <v>0</v>
      </c>
      <c r="AB234" s="310">
        <f t="shared" si="104"/>
        <v>0</v>
      </c>
      <c r="AC234" s="310">
        <f t="shared" si="104"/>
        <v>0</v>
      </c>
      <c r="AD234" s="310">
        <f t="shared" si="104"/>
        <v>0</v>
      </c>
      <c r="AE234" s="310">
        <f t="shared" si="104"/>
        <v>1227203.0062499989</v>
      </c>
      <c r="AF234" s="310">
        <f t="shared" si="104"/>
        <v>0</v>
      </c>
      <c r="AG234" s="310">
        <f t="shared" si="104"/>
        <v>0</v>
      </c>
      <c r="AH234" s="310">
        <f t="shared" si="104"/>
        <v>0</v>
      </c>
      <c r="AI234" s="310">
        <f t="shared" si="104"/>
        <v>0</v>
      </c>
      <c r="AJ234" s="310">
        <f t="shared" si="104"/>
        <v>0</v>
      </c>
      <c r="AK234" s="310">
        <f t="shared" si="104"/>
        <v>0</v>
      </c>
      <c r="AL234" s="310">
        <f t="shared" si="104"/>
        <v>0</v>
      </c>
      <c r="AM234" s="310">
        <f t="shared" si="104"/>
        <v>0</v>
      </c>
      <c r="AN234" s="310">
        <f t="shared" si="104"/>
        <v>0</v>
      </c>
      <c r="AO234" s="310">
        <f t="shared" si="104"/>
        <v>0</v>
      </c>
      <c r="AP234" s="310">
        <f t="shared" si="104"/>
        <v>0</v>
      </c>
      <c r="AQ234" s="310">
        <f t="shared" si="104"/>
        <v>0</v>
      </c>
      <c r="AR234" s="310">
        <f t="shared" si="104"/>
        <v>0</v>
      </c>
      <c r="AS234" s="310">
        <f t="shared" si="104"/>
        <v>0</v>
      </c>
      <c r="AT234" s="310">
        <f t="shared" si="104"/>
        <v>0</v>
      </c>
      <c r="AU234" s="310">
        <f t="shared" si="104"/>
        <v>0</v>
      </c>
      <c r="AV234" s="310">
        <f t="shared" si="104"/>
        <v>0</v>
      </c>
      <c r="AW234" s="310">
        <f t="shared" si="104"/>
        <v>0</v>
      </c>
      <c r="AX234" s="310">
        <f t="shared" si="104"/>
        <v>0</v>
      </c>
      <c r="AY234" s="310">
        <f t="shared" si="104"/>
        <v>0</v>
      </c>
      <c r="AZ234" s="310">
        <f t="shared" si="104"/>
        <v>0</v>
      </c>
      <c r="BA234" s="310">
        <f t="shared" si="104"/>
        <v>0</v>
      </c>
      <c r="BB234" s="310">
        <f t="shared" si="104"/>
        <v>0</v>
      </c>
      <c r="BC234" s="310">
        <f t="shared" si="104"/>
        <v>0</v>
      </c>
      <c r="BD234" s="310">
        <f t="shared" si="104"/>
        <v>0</v>
      </c>
      <c r="BE234" s="310">
        <f t="shared" si="104"/>
        <v>0</v>
      </c>
      <c r="BF234" s="310">
        <f t="shared" si="104"/>
        <v>0</v>
      </c>
      <c r="BG234" s="310">
        <f t="shared" si="104"/>
        <v>0</v>
      </c>
      <c r="BI234" s="240">
        <f t="shared" ref="BI234" si="105">SUM(T234:BG234)</f>
        <v>1227203.0062499989</v>
      </c>
      <c r="BK234" s="334"/>
    </row>
    <row r="235" spans="2:63">
      <c r="C235" s="99">
        <f>AA!C15</f>
        <v>3</v>
      </c>
      <c r="E235" s="94" t="str">
        <f>INDEX(AA!$AC$13:$AC$15,MATCH($C235,AA!$C$13:$C$15,0))</f>
        <v>backup</v>
      </c>
      <c r="G235" s="1325">
        <f>INDEX(AA!$E$13:$E$15,MATCH($C235,AA!$C$13:$C$15,0))</f>
        <v>1</v>
      </c>
      <c r="I235" s="73" t="s">
        <v>474</v>
      </c>
      <c r="K235" s="1325">
        <f>BK54+BK78+BK126</f>
        <v>102266.91718749992</v>
      </c>
      <c r="M235" s="1330">
        <f>INDEX(AA!$M$13:$M$15,MATCH($C235,AA!$C$13:$C$15,0))</f>
        <v>12</v>
      </c>
      <c r="N235" s="1325">
        <f t="shared" ref="N235" si="106">M235*K235</f>
        <v>1227203.0062499989</v>
      </c>
      <c r="O235" s="1325">
        <f>INDEX(AA!$P$13:$P$15,MATCH($C235,AA!$C$13:$C$15,0))</f>
        <v>0</v>
      </c>
      <c r="P235" s="1325">
        <f>IF(O235&lt;&gt;0,O235,N235)*GA!$G$718</f>
        <v>1227203.0062499989</v>
      </c>
      <c r="T235" s="310">
        <f t="shared" ref="T235:BG235" si="107">$P235*T30</f>
        <v>0</v>
      </c>
      <c r="U235" s="310">
        <f t="shared" si="107"/>
        <v>0</v>
      </c>
      <c r="V235" s="310">
        <f t="shared" si="107"/>
        <v>0</v>
      </c>
      <c r="W235" s="310">
        <f t="shared" si="107"/>
        <v>0</v>
      </c>
      <c r="X235" s="310">
        <f t="shared" si="107"/>
        <v>0</v>
      </c>
      <c r="Y235" s="310">
        <f t="shared" si="107"/>
        <v>0</v>
      </c>
      <c r="Z235" s="310">
        <f t="shared" si="107"/>
        <v>0</v>
      </c>
      <c r="AA235" s="310">
        <f t="shared" si="107"/>
        <v>0</v>
      </c>
      <c r="AB235" s="310">
        <f t="shared" si="107"/>
        <v>0</v>
      </c>
      <c r="AC235" s="310">
        <f t="shared" si="107"/>
        <v>0</v>
      </c>
      <c r="AD235" s="310">
        <f t="shared" si="107"/>
        <v>0</v>
      </c>
      <c r="AE235" s="310">
        <f t="shared" si="107"/>
        <v>1227203.0062499989</v>
      </c>
      <c r="AF235" s="310">
        <f t="shared" si="107"/>
        <v>0</v>
      </c>
      <c r="AG235" s="310">
        <f t="shared" si="107"/>
        <v>0</v>
      </c>
      <c r="AH235" s="310">
        <f t="shared" si="107"/>
        <v>0</v>
      </c>
      <c r="AI235" s="310">
        <f t="shared" si="107"/>
        <v>0</v>
      </c>
      <c r="AJ235" s="310">
        <f t="shared" si="107"/>
        <v>0</v>
      </c>
      <c r="AK235" s="310">
        <f t="shared" si="107"/>
        <v>0</v>
      </c>
      <c r="AL235" s="310">
        <f t="shared" si="107"/>
        <v>0</v>
      </c>
      <c r="AM235" s="310">
        <f t="shared" si="107"/>
        <v>0</v>
      </c>
      <c r="AN235" s="310">
        <f t="shared" si="107"/>
        <v>0</v>
      </c>
      <c r="AO235" s="310">
        <f t="shared" si="107"/>
        <v>0</v>
      </c>
      <c r="AP235" s="310">
        <f t="shared" si="107"/>
        <v>0</v>
      </c>
      <c r="AQ235" s="310">
        <f t="shared" si="107"/>
        <v>0</v>
      </c>
      <c r="AR235" s="310">
        <f t="shared" si="107"/>
        <v>0</v>
      </c>
      <c r="AS235" s="310">
        <f t="shared" si="107"/>
        <v>0</v>
      </c>
      <c r="AT235" s="310">
        <f t="shared" si="107"/>
        <v>0</v>
      </c>
      <c r="AU235" s="310">
        <f t="shared" si="107"/>
        <v>0</v>
      </c>
      <c r="AV235" s="310">
        <f t="shared" si="107"/>
        <v>0</v>
      </c>
      <c r="AW235" s="310">
        <f t="shared" si="107"/>
        <v>0</v>
      </c>
      <c r="AX235" s="310">
        <f t="shared" si="107"/>
        <v>0</v>
      </c>
      <c r="AY235" s="310">
        <f t="shared" si="107"/>
        <v>0</v>
      </c>
      <c r="AZ235" s="310">
        <f t="shared" si="107"/>
        <v>0</v>
      </c>
      <c r="BA235" s="310">
        <f t="shared" si="107"/>
        <v>0</v>
      </c>
      <c r="BB235" s="310">
        <f t="shared" si="107"/>
        <v>0</v>
      </c>
      <c r="BC235" s="310">
        <f t="shared" si="107"/>
        <v>0</v>
      </c>
      <c r="BD235" s="310">
        <f t="shared" si="107"/>
        <v>0</v>
      </c>
      <c r="BE235" s="310">
        <f t="shared" si="107"/>
        <v>0</v>
      </c>
      <c r="BF235" s="310">
        <f t="shared" si="107"/>
        <v>0</v>
      </c>
      <c r="BG235" s="310">
        <f t="shared" si="107"/>
        <v>0</v>
      </c>
      <c r="BI235" s="240">
        <f t="shared" ref="BI235" si="108">SUM(T235:BG235)</f>
        <v>1227203.0062499989</v>
      </c>
      <c r="BK235" s="334"/>
    </row>
    <row r="236" spans="2:63">
      <c r="C236" s="269"/>
      <c r="E236" s="269"/>
      <c r="G236" s="269"/>
      <c r="I236" s="269"/>
      <c r="K236" s="269"/>
      <c r="M236" s="269"/>
      <c r="N236" s="269"/>
      <c r="O236" s="269"/>
      <c r="P236" s="269"/>
      <c r="BI236" s="269"/>
      <c r="BK236" s="269"/>
    </row>
    <row r="238" spans="2:63" s="90" customFormat="1">
      <c r="B238" s="91">
        <f ca="1">MAX(A$1:$B237)+1</f>
        <v>30</v>
      </c>
      <c r="C238" s="92" t="s">
        <v>481</v>
      </c>
    </row>
    <row r="240" spans="2:63">
      <c r="C240" s="255" t="s">
        <v>482</v>
      </c>
    </row>
    <row r="242" spans="2:63" ht="30">
      <c r="C242" s="97" t="s">
        <v>4</v>
      </c>
      <c r="E242" s="97" t="s">
        <v>6</v>
      </c>
      <c r="G242" s="101" t="s">
        <v>272</v>
      </c>
      <c r="I242" s="101" t="s">
        <v>150</v>
      </c>
      <c r="K242" s="101" t="s">
        <v>484</v>
      </c>
      <c r="BI242" s="327" t="s">
        <v>152</v>
      </c>
      <c r="BK242" s="332"/>
    </row>
    <row r="243" spans="2:63">
      <c r="C243" s="99">
        <f>AA!C13</f>
        <v>1</v>
      </c>
      <c r="E243" s="93" t="str">
        <f>INDEX(AA!$AC$13:$AC$15,MATCH($C243,AA!$C$13:$C$15,0))</f>
        <v>backup</v>
      </c>
      <c r="G243" s="1324">
        <f>INDEX(AA!$E$13:$E$15,MATCH($C243,AA!$C$13:$C$15,0))</f>
        <v>1</v>
      </c>
      <c r="I243" s="72" t="s">
        <v>483</v>
      </c>
      <c r="K243" s="1324">
        <f>BK217</f>
        <v>0</v>
      </c>
      <c r="T243" s="310">
        <f t="shared" ref="T243:BG243" si="109">$K243*T28*T$14</f>
        <v>0</v>
      </c>
      <c r="U243" s="310">
        <f t="shared" si="109"/>
        <v>0</v>
      </c>
      <c r="V243" s="310">
        <f t="shared" si="109"/>
        <v>0</v>
      </c>
      <c r="W243" s="310">
        <f t="shared" si="109"/>
        <v>0</v>
      </c>
      <c r="X243" s="310">
        <f t="shared" si="109"/>
        <v>0</v>
      </c>
      <c r="Y243" s="310">
        <f t="shared" si="109"/>
        <v>0</v>
      </c>
      <c r="Z243" s="310">
        <f t="shared" si="109"/>
        <v>0</v>
      </c>
      <c r="AA243" s="310">
        <f t="shared" si="109"/>
        <v>0</v>
      </c>
      <c r="AB243" s="310">
        <f t="shared" si="109"/>
        <v>0</v>
      </c>
      <c r="AC243" s="310">
        <f t="shared" si="109"/>
        <v>0</v>
      </c>
      <c r="AD243" s="310">
        <f t="shared" si="109"/>
        <v>0</v>
      </c>
      <c r="AE243" s="310">
        <f t="shared" si="109"/>
        <v>0</v>
      </c>
      <c r="AF243" s="310">
        <f t="shared" si="109"/>
        <v>0</v>
      </c>
      <c r="AG243" s="310">
        <f t="shared" si="109"/>
        <v>0</v>
      </c>
      <c r="AH243" s="310">
        <f t="shared" si="109"/>
        <v>0</v>
      </c>
      <c r="AI243" s="310">
        <f t="shared" si="109"/>
        <v>0</v>
      </c>
      <c r="AJ243" s="310">
        <f t="shared" si="109"/>
        <v>0</v>
      </c>
      <c r="AK243" s="310">
        <f t="shared" si="109"/>
        <v>0</v>
      </c>
      <c r="AL243" s="310">
        <f t="shared" si="109"/>
        <v>0</v>
      </c>
      <c r="AM243" s="310">
        <f t="shared" si="109"/>
        <v>0</v>
      </c>
      <c r="AN243" s="310">
        <f t="shared" si="109"/>
        <v>0</v>
      </c>
      <c r="AO243" s="310">
        <f t="shared" si="109"/>
        <v>0</v>
      </c>
      <c r="AP243" s="310">
        <f t="shared" si="109"/>
        <v>0</v>
      </c>
      <c r="AQ243" s="310">
        <f t="shared" si="109"/>
        <v>0</v>
      </c>
      <c r="AR243" s="310">
        <f t="shared" si="109"/>
        <v>0</v>
      </c>
      <c r="AS243" s="310">
        <f t="shared" si="109"/>
        <v>0</v>
      </c>
      <c r="AT243" s="310">
        <f t="shared" si="109"/>
        <v>0</v>
      </c>
      <c r="AU243" s="310">
        <f t="shared" si="109"/>
        <v>0</v>
      </c>
      <c r="AV243" s="310">
        <f t="shared" si="109"/>
        <v>0</v>
      </c>
      <c r="AW243" s="310">
        <f t="shared" si="109"/>
        <v>0</v>
      </c>
      <c r="AX243" s="310">
        <f t="shared" si="109"/>
        <v>0</v>
      </c>
      <c r="AY243" s="310">
        <f t="shared" si="109"/>
        <v>0</v>
      </c>
      <c r="AZ243" s="310">
        <f t="shared" si="109"/>
        <v>0</v>
      </c>
      <c r="BA243" s="310">
        <f t="shared" si="109"/>
        <v>0</v>
      </c>
      <c r="BB243" s="310">
        <f t="shared" si="109"/>
        <v>0</v>
      </c>
      <c r="BC243" s="310">
        <f t="shared" si="109"/>
        <v>0</v>
      </c>
      <c r="BD243" s="310">
        <f t="shared" si="109"/>
        <v>0</v>
      </c>
      <c r="BE243" s="310">
        <f t="shared" si="109"/>
        <v>0</v>
      </c>
      <c r="BF243" s="310">
        <f t="shared" si="109"/>
        <v>0</v>
      </c>
      <c r="BG243" s="310">
        <f t="shared" si="109"/>
        <v>0</v>
      </c>
      <c r="BI243" s="238">
        <f>SUM(T243:BG243)</f>
        <v>0</v>
      </c>
      <c r="BK243" s="333"/>
    </row>
    <row r="244" spans="2:63">
      <c r="C244" s="99">
        <f>AA!C14</f>
        <v>2</v>
      </c>
      <c r="E244" s="94" t="str">
        <f>INDEX(AA!$AC$13:$AC$15,MATCH($C244,AA!$C$13:$C$15,0))</f>
        <v>backup</v>
      </c>
      <c r="G244" s="1325">
        <f>INDEX(AA!$E$13:$E$15,MATCH($C244,AA!$C$13:$C$15,0))</f>
        <v>1</v>
      </c>
      <c r="I244" s="73" t="s">
        <v>483</v>
      </c>
      <c r="K244" s="1325">
        <f>BK218</f>
        <v>0</v>
      </c>
      <c r="T244" s="310">
        <f t="shared" ref="T244:BG244" si="110">$K244*T29*T$14</f>
        <v>0</v>
      </c>
      <c r="U244" s="310">
        <f t="shared" si="110"/>
        <v>0</v>
      </c>
      <c r="V244" s="310">
        <f t="shared" si="110"/>
        <v>0</v>
      </c>
      <c r="W244" s="310">
        <f t="shared" si="110"/>
        <v>0</v>
      </c>
      <c r="X244" s="310">
        <f t="shared" si="110"/>
        <v>0</v>
      </c>
      <c r="Y244" s="310">
        <f t="shared" si="110"/>
        <v>0</v>
      </c>
      <c r="Z244" s="310">
        <f t="shared" si="110"/>
        <v>0</v>
      </c>
      <c r="AA244" s="310">
        <f t="shared" si="110"/>
        <v>0</v>
      </c>
      <c r="AB244" s="310">
        <f t="shared" si="110"/>
        <v>0</v>
      </c>
      <c r="AC244" s="310">
        <f t="shared" si="110"/>
        <v>0</v>
      </c>
      <c r="AD244" s="310">
        <f t="shared" si="110"/>
        <v>0</v>
      </c>
      <c r="AE244" s="310">
        <f t="shared" si="110"/>
        <v>0</v>
      </c>
      <c r="AF244" s="310">
        <f t="shared" si="110"/>
        <v>0</v>
      </c>
      <c r="AG244" s="310">
        <f t="shared" si="110"/>
        <v>0</v>
      </c>
      <c r="AH244" s="310">
        <f t="shared" si="110"/>
        <v>0</v>
      </c>
      <c r="AI244" s="310">
        <f t="shared" si="110"/>
        <v>0</v>
      </c>
      <c r="AJ244" s="310">
        <f t="shared" si="110"/>
        <v>0</v>
      </c>
      <c r="AK244" s="310">
        <f t="shared" si="110"/>
        <v>0</v>
      </c>
      <c r="AL244" s="310">
        <f t="shared" si="110"/>
        <v>0</v>
      </c>
      <c r="AM244" s="310">
        <f t="shared" si="110"/>
        <v>0</v>
      </c>
      <c r="AN244" s="310">
        <f t="shared" si="110"/>
        <v>0</v>
      </c>
      <c r="AO244" s="310">
        <f t="shared" si="110"/>
        <v>0</v>
      </c>
      <c r="AP244" s="310">
        <f t="shared" si="110"/>
        <v>0</v>
      </c>
      <c r="AQ244" s="310">
        <f t="shared" si="110"/>
        <v>0</v>
      </c>
      <c r="AR244" s="310">
        <f t="shared" si="110"/>
        <v>0</v>
      </c>
      <c r="AS244" s="310">
        <f t="shared" si="110"/>
        <v>0</v>
      </c>
      <c r="AT244" s="310">
        <f t="shared" si="110"/>
        <v>0</v>
      </c>
      <c r="AU244" s="310">
        <f t="shared" si="110"/>
        <v>0</v>
      </c>
      <c r="AV244" s="310">
        <f t="shared" si="110"/>
        <v>0</v>
      </c>
      <c r="AW244" s="310">
        <f t="shared" si="110"/>
        <v>0</v>
      </c>
      <c r="AX244" s="310">
        <f t="shared" si="110"/>
        <v>0</v>
      </c>
      <c r="AY244" s="310">
        <f t="shared" si="110"/>
        <v>0</v>
      </c>
      <c r="AZ244" s="310">
        <f t="shared" si="110"/>
        <v>0</v>
      </c>
      <c r="BA244" s="310">
        <f t="shared" si="110"/>
        <v>0</v>
      </c>
      <c r="BB244" s="310">
        <f t="shared" si="110"/>
        <v>0</v>
      </c>
      <c r="BC244" s="310">
        <f t="shared" si="110"/>
        <v>0</v>
      </c>
      <c r="BD244" s="310">
        <f t="shared" si="110"/>
        <v>0</v>
      </c>
      <c r="BE244" s="310">
        <f t="shared" si="110"/>
        <v>0</v>
      </c>
      <c r="BF244" s="310">
        <f t="shared" si="110"/>
        <v>0</v>
      </c>
      <c r="BG244" s="310">
        <f t="shared" si="110"/>
        <v>0</v>
      </c>
      <c r="BI244" s="240">
        <f t="shared" ref="BI244" si="111">SUM(T244:BG244)</f>
        <v>0</v>
      </c>
      <c r="BK244" s="334"/>
    </row>
    <row r="245" spans="2:63">
      <c r="C245" s="99">
        <f>AA!C15</f>
        <v>3</v>
      </c>
      <c r="E245" s="94" t="str">
        <f>INDEX(AA!$AC$13:$AC$15,MATCH($C245,AA!$C$13:$C$15,0))</f>
        <v>backup</v>
      </c>
      <c r="G245" s="1325">
        <f>INDEX(AA!$E$13:$E$15,MATCH($C245,AA!$C$13:$C$15,0))</f>
        <v>1</v>
      </c>
      <c r="I245" s="73" t="s">
        <v>483</v>
      </c>
      <c r="K245" s="1325">
        <f>BK219</f>
        <v>0</v>
      </c>
      <c r="T245" s="310">
        <f t="shared" ref="T245:BG245" si="112">$K245*T30*T$14</f>
        <v>0</v>
      </c>
      <c r="U245" s="310">
        <f t="shared" si="112"/>
        <v>0</v>
      </c>
      <c r="V245" s="310">
        <f t="shared" si="112"/>
        <v>0</v>
      </c>
      <c r="W245" s="310">
        <f t="shared" si="112"/>
        <v>0</v>
      </c>
      <c r="X245" s="310">
        <f t="shared" si="112"/>
        <v>0</v>
      </c>
      <c r="Y245" s="310">
        <f t="shared" si="112"/>
        <v>0</v>
      </c>
      <c r="Z245" s="310">
        <f t="shared" si="112"/>
        <v>0</v>
      </c>
      <c r="AA245" s="310">
        <f t="shared" si="112"/>
        <v>0</v>
      </c>
      <c r="AB245" s="310">
        <f t="shared" si="112"/>
        <v>0</v>
      </c>
      <c r="AC245" s="310">
        <f t="shared" si="112"/>
        <v>0</v>
      </c>
      <c r="AD245" s="310">
        <f t="shared" si="112"/>
        <v>0</v>
      </c>
      <c r="AE245" s="310">
        <f t="shared" si="112"/>
        <v>0</v>
      </c>
      <c r="AF245" s="310">
        <f t="shared" si="112"/>
        <v>0</v>
      </c>
      <c r="AG245" s="310">
        <f t="shared" si="112"/>
        <v>0</v>
      </c>
      <c r="AH245" s="310">
        <f t="shared" si="112"/>
        <v>0</v>
      </c>
      <c r="AI245" s="310">
        <f t="shared" si="112"/>
        <v>0</v>
      </c>
      <c r="AJ245" s="310">
        <f t="shared" si="112"/>
        <v>0</v>
      </c>
      <c r="AK245" s="310">
        <f t="shared" si="112"/>
        <v>0</v>
      </c>
      <c r="AL245" s="310">
        <f t="shared" si="112"/>
        <v>0</v>
      </c>
      <c r="AM245" s="310">
        <f t="shared" si="112"/>
        <v>0</v>
      </c>
      <c r="AN245" s="310">
        <f t="shared" si="112"/>
        <v>0</v>
      </c>
      <c r="AO245" s="310">
        <f t="shared" si="112"/>
        <v>0</v>
      </c>
      <c r="AP245" s="310">
        <f t="shared" si="112"/>
        <v>0</v>
      </c>
      <c r="AQ245" s="310">
        <f t="shared" si="112"/>
        <v>0</v>
      </c>
      <c r="AR245" s="310">
        <f t="shared" si="112"/>
        <v>0</v>
      </c>
      <c r="AS245" s="310">
        <f t="shared" si="112"/>
        <v>0</v>
      </c>
      <c r="AT245" s="310">
        <f t="shared" si="112"/>
        <v>0</v>
      </c>
      <c r="AU245" s="310">
        <f t="shared" si="112"/>
        <v>0</v>
      </c>
      <c r="AV245" s="310">
        <f t="shared" si="112"/>
        <v>0</v>
      </c>
      <c r="AW245" s="310">
        <f t="shared" si="112"/>
        <v>0</v>
      </c>
      <c r="AX245" s="310">
        <f t="shared" si="112"/>
        <v>0</v>
      </c>
      <c r="AY245" s="310">
        <f t="shared" si="112"/>
        <v>0</v>
      </c>
      <c r="AZ245" s="310">
        <f t="shared" si="112"/>
        <v>0</v>
      </c>
      <c r="BA245" s="310">
        <f t="shared" si="112"/>
        <v>0</v>
      </c>
      <c r="BB245" s="310">
        <f t="shared" si="112"/>
        <v>0</v>
      </c>
      <c r="BC245" s="310">
        <f t="shared" si="112"/>
        <v>0</v>
      </c>
      <c r="BD245" s="310">
        <f t="shared" si="112"/>
        <v>0</v>
      </c>
      <c r="BE245" s="310">
        <f t="shared" si="112"/>
        <v>0</v>
      </c>
      <c r="BF245" s="310">
        <f t="shared" si="112"/>
        <v>0</v>
      </c>
      <c r="BG245" s="310">
        <f t="shared" si="112"/>
        <v>0</v>
      </c>
      <c r="BI245" s="240">
        <f t="shared" ref="BI245" si="113">SUM(T245:BG245)</f>
        <v>0</v>
      </c>
      <c r="BK245" s="334"/>
    </row>
    <row r="246" spans="2:63">
      <c r="C246" s="269"/>
      <c r="E246" s="269"/>
      <c r="G246" s="269"/>
      <c r="I246" s="269"/>
      <c r="K246" s="269"/>
      <c r="BI246" s="269"/>
      <c r="BK246" s="269"/>
    </row>
    <row r="248" spans="2:63" s="90" customFormat="1">
      <c r="B248" s="91">
        <f ca="1">MAX(A$1:$B247)+1</f>
        <v>31</v>
      </c>
      <c r="C248" s="92" t="s">
        <v>320</v>
      </c>
    </row>
    <row r="250" spans="2:63">
      <c r="C250" s="255" t="s">
        <v>482</v>
      </c>
    </row>
    <row r="252" spans="2:63" ht="30">
      <c r="C252" s="97" t="s">
        <v>4</v>
      </c>
      <c r="E252" s="97" t="s">
        <v>6</v>
      </c>
      <c r="G252" s="101" t="s">
        <v>272</v>
      </c>
      <c r="I252" s="101" t="s">
        <v>150</v>
      </c>
      <c r="K252" s="101" t="s">
        <v>485</v>
      </c>
      <c r="BI252" s="327" t="s">
        <v>152</v>
      </c>
      <c r="BK252" s="332"/>
    </row>
    <row r="253" spans="2:63">
      <c r="C253" s="99">
        <f>AA!C13</f>
        <v>1</v>
      </c>
      <c r="E253" s="93" t="str">
        <f>INDEX(AA!$AC$13:$AC$15,MATCH($C253,AA!$C$13:$C$15,0))</f>
        <v>backup</v>
      </c>
      <c r="G253" s="1324">
        <f>INDEX(AA!$E$13:$E$15,MATCH($C253,AA!$C$13:$C$15,0))</f>
        <v>1</v>
      </c>
      <c r="I253" s="72" t="s">
        <v>527</v>
      </c>
      <c r="K253" s="1324">
        <f>BK169</f>
        <v>0</v>
      </c>
      <c r="T253" s="310">
        <f t="shared" ref="T253:BG253" si="114">$K253*T28</f>
        <v>0</v>
      </c>
      <c r="U253" s="310">
        <f t="shared" si="114"/>
        <v>0</v>
      </c>
      <c r="V253" s="310">
        <f t="shared" si="114"/>
        <v>0</v>
      </c>
      <c r="W253" s="310">
        <f t="shared" si="114"/>
        <v>0</v>
      </c>
      <c r="X253" s="310">
        <f t="shared" si="114"/>
        <v>0</v>
      </c>
      <c r="Y253" s="310">
        <f t="shared" si="114"/>
        <v>0</v>
      </c>
      <c r="Z253" s="310">
        <f t="shared" si="114"/>
        <v>0</v>
      </c>
      <c r="AA253" s="310">
        <f t="shared" si="114"/>
        <v>0</v>
      </c>
      <c r="AB253" s="310">
        <f t="shared" si="114"/>
        <v>0</v>
      </c>
      <c r="AC253" s="310">
        <f t="shared" si="114"/>
        <v>0</v>
      </c>
      <c r="AD253" s="310">
        <f t="shared" si="114"/>
        <v>0</v>
      </c>
      <c r="AE253" s="310">
        <f t="shared" si="114"/>
        <v>0</v>
      </c>
      <c r="AF253" s="310">
        <f t="shared" si="114"/>
        <v>0</v>
      </c>
      <c r="AG253" s="310">
        <f t="shared" si="114"/>
        <v>0</v>
      </c>
      <c r="AH253" s="310">
        <f t="shared" si="114"/>
        <v>0</v>
      </c>
      <c r="AI253" s="310">
        <f t="shared" si="114"/>
        <v>0</v>
      </c>
      <c r="AJ253" s="310">
        <f t="shared" si="114"/>
        <v>0</v>
      </c>
      <c r="AK253" s="310">
        <f t="shared" si="114"/>
        <v>0</v>
      </c>
      <c r="AL253" s="310">
        <f t="shared" si="114"/>
        <v>0</v>
      </c>
      <c r="AM253" s="310">
        <f t="shared" si="114"/>
        <v>0</v>
      </c>
      <c r="AN253" s="310">
        <f t="shared" si="114"/>
        <v>0</v>
      </c>
      <c r="AO253" s="310">
        <f t="shared" si="114"/>
        <v>0</v>
      </c>
      <c r="AP253" s="310">
        <f t="shared" si="114"/>
        <v>0</v>
      </c>
      <c r="AQ253" s="310">
        <f t="shared" si="114"/>
        <v>0</v>
      </c>
      <c r="AR253" s="310">
        <f t="shared" si="114"/>
        <v>0</v>
      </c>
      <c r="AS253" s="310">
        <f t="shared" si="114"/>
        <v>0</v>
      </c>
      <c r="AT253" s="310">
        <f t="shared" si="114"/>
        <v>0</v>
      </c>
      <c r="AU253" s="310">
        <f t="shared" si="114"/>
        <v>0</v>
      </c>
      <c r="AV253" s="310">
        <f t="shared" si="114"/>
        <v>0</v>
      </c>
      <c r="AW253" s="310">
        <f t="shared" si="114"/>
        <v>0</v>
      </c>
      <c r="AX253" s="310">
        <f t="shared" si="114"/>
        <v>0</v>
      </c>
      <c r="AY253" s="310">
        <f t="shared" si="114"/>
        <v>0</v>
      </c>
      <c r="AZ253" s="310">
        <f t="shared" si="114"/>
        <v>0</v>
      </c>
      <c r="BA253" s="310">
        <f t="shared" si="114"/>
        <v>0</v>
      </c>
      <c r="BB253" s="310">
        <f t="shared" si="114"/>
        <v>0</v>
      </c>
      <c r="BC253" s="310">
        <f t="shared" si="114"/>
        <v>0</v>
      </c>
      <c r="BD253" s="310">
        <f t="shared" si="114"/>
        <v>0</v>
      </c>
      <c r="BE253" s="310">
        <f t="shared" si="114"/>
        <v>0</v>
      </c>
      <c r="BF253" s="310">
        <f t="shared" si="114"/>
        <v>0</v>
      </c>
      <c r="BG253" s="310">
        <f t="shared" si="114"/>
        <v>0</v>
      </c>
      <c r="BI253" s="238">
        <f>SUM(T253:BG253)</f>
        <v>0</v>
      </c>
      <c r="BK253" s="333"/>
    </row>
    <row r="254" spans="2:63">
      <c r="C254" s="99">
        <f>AA!C14</f>
        <v>2</v>
      </c>
      <c r="E254" s="94" t="str">
        <f>INDEX(AA!$AC$13:$AC$15,MATCH($C254,AA!$C$13:$C$15,0))</f>
        <v>backup</v>
      </c>
      <c r="G254" s="1325">
        <f>INDEX(AA!$E$13:$E$15,MATCH($C254,AA!$C$13:$C$15,0))</f>
        <v>1</v>
      </c>
      <c r="I254" s="73" t="s">
        <v>527</v>
      </c>
      <c r="K254" s="1325">
        <f>BK170</f>
        <v>0</v>
      </c>
      <c r="T254" s="310">
        <f t="shared" ref="T254:BG254" si="115">$K254*T29</f>
        <v>0</v>
      </c>
      <c r="U254" s="310">
        <f t="shared" si="115"/>
        <v>0</v>
      </c>
      <c r="V254" s="310">
        <f t="shared" si="115"/>
        <v>0</v>
      </c>
      <c r="W254" s="310">
        <f t="shared" si="115"/>
        <v>0</v>
      </c>
      <c r="X254" s="310">
        <f t="shared" si="115"/>
        <v>0</v>
      </c>
      <c r="Y254" s="310">
        <f t="shared" si="115"/>
        <v>0</v>
      </c>
      <c r="Z254" s="310">
        <f t="shared" si="115"/>
        <v>0</v>
      </c>
      <c r="AA254" s="310">
        <f t="shared" si="115"/>
        <v>0</v>
      </c>
      <c r="AB254" s="310">
        <f t="shared" si="115"/>
        <v>0</v>
      </c>
      <c r="AC254" s="310">
        <f t="shared" si="115"/>
        <v>0</v>
      </c>
      <c r="AD254" s="310">
        <f t="shared" si="115"/>
        <v>0</v>
      </c>
      <c r="AE254" s="310">
        <f t="shared" si="115"/>
        <v>0</v>
      </c>
      <c r="AF254" s="310">
        <f t="shared" si="115"/>
        <v>0</v>
      </c>
      <c r="AG254" s="310">
        <f t="shared" si="115"/>
        <v>0</v>
      </c>
      <c r="AH254" s="310">
        <f t="shared" si="115"/>
        <v>0</v>
      </c>
      <c r="AI254" s="310">
        <f t="shared" si="115"/>
        <v>0</v>
      </c>
      <c r="AJ254" s="310">
        <f t="shared" si="115"/>
        <v>0</v>
      </c>
      <c r="AK254" s="310">
        <f t="shared" si="115"/>
        <v>0</v>
      </c>
      <c r="AL254" s="310">
        <f t="shared" si="115"/>
        <v>0</v>
      </c>
      <c r="AM254" s="310">
        <f t="shared" si="115"/>
        <v>0</v>
      </c>
      <c r="AN254" s="310">
        <f t="shared" si="115"/>
        <v>0</v>
      </c>
      <c r="AO254" s="310">
        <f t="shared" si="115"/>
        <v>0</v>
      </c>
      <c r="AP254" s="310">
        <f t="shared" si="115"/>
        <v>0</v>
      </c>
      <c r="AQ254" s="310">
        <f t="shared" si="115"/>
        <v>0</v>
      </c>
      <c r="AR254" s="310">
        <f t="shared" si="115"/>
        <v>0</v>
      </c>
      <c r="AS254" s="310">
        <f t="shared" si="115"/>
        <v>0</v>
      </c>
      <c r="AT254" s="310">
        <f t="shared" si="115"/>
        <v>0</v>
      </c>
      <c r="AU254" s="310">
        <f t="shared" si="115"/>
        <v>0</v>
      </c>
      <c r="AV254" s="310">
        <f t="shared" si="115"/>
        <v>0</v>
      </c>
      <c r="AW254" s="310">
        <f t="shared" si="115"/>
        <v>0</v>
      </c>
      <c r="AX254" s="310">
        <f t="shared" si="115"/>
        <v>0</v>
      </c>
      <c r="AY254" s="310">
        <f t="shared" si="115"/>
        <v>0</v>
      </c>
      <c r="AZ254" s="310">
        <f t="shared" si="115"/>
        <v>0</v>
      </c>
      <c r="BA254" s="310">
        <f t="shared" si="115"/>
        <v>0</v>
      </c>
      <c r="BB254" s="310">
        <f t="shared" si="115"/>
        <v>0</v>
      </c>
      <c r="BC254" s="310">
        <f t="shared" si="115"/>
        <v>0</v>
      </c>
      <c r="BD254" s="310">
        <f t="shared" si="115"/>
        <v>0</v>
      </c>
      <c r="BE254" s="310">
        <f t="shared" si="115"/>
        <v>0</v>
      </c>
      <c r="BF254" s="310">
        <f t="shared" si="115"/>
        <v>0</v>
      </c>
      <c r="BG254" s="310">
        <f t="shared" si="115"/>
        <v>0</v>
      </c>
      <c r="BI254" s="240">
        <f t="shared" ref="BI254" si="116">SUM(T254:BG254)</f>
        <v>0</v>
      </c>
      <c r="BK254" s="334"/>
    </row>
    <row r="255" spans="2:63">
      <c r="C255" s="99">
        <f>AA!C15</f>
        <v>3</v>
      </c>
      <c r="E255" s="94" t="str">
        <f>INDEX(AA!$AC$13:$AC$15,MATCH($C255,AA!$C$13:$C$15,0))</f>
        <v>backup</v>
      </c>
      <c r="G255" s="1325">
        <f>INDEX(AA!$E$13:$E$15,MATCH($C255,AA!$C$13:$C$15,0))</f>
        <v>1</v>
      </c>
      <c r="I255" s="73" t="s">
        <v>527</v>
      </c>
      <c r="K255" s="1325">
        <f>BK171</f>
        <v>0</v>
      </c>
      <c r="T255" s="310">
        <f t="shared" ref="T255:BG255" si="117">$K255*T30</f>
        <v>0</v>
      </c>
      <c r="U255" s="310">
        <f t="shared" si="117"/>
        <v>0</v>
      </c>
      <c r="V255" s="310">
        <f t="shared" si="117"/>
        <v>0</v>
      </c>
      <c r="W255" s="310">
        <f t="shared" si="117"/>
        <v>0</v>
      </c>
      <c r="X255" s="310">
        <f t="shared" si="117"/>
        <v>0</v>
      </c>
      <c r="Y255" s="310">
        <f t="shared" si="117"/>
        <v>0</v>
      </c>
      <c r="Z255" s="310">
        <f t="shared" si="117"/>
        <v>0</v>
      </c>
      <c r="AA255" s="310">
        <f t="shared" si="117"/>
        <v>0</v>
      </c>
      <c r="AB255" s="310">
        <f t="shared" si="117"/>
        <v>0</v>
      </c>
      <c r="AC255" s="310">
        <f t="shared" si="117"/>
        <v>0</v>
      </c>
      <c r="AD255" s="310">
        <f t="shared" si="117"/>
        <v>0</v>
      </c>
      <c r="AE255" s="310">
        <f t="shared" si="117"/>
        <v>0</v>
      </c>
      <c r="AF255" s="310">
        <f t="shared" si="117"/>
        <v>0</v>
      </c>
      <c r="AG255" s="310">
        <f t="shared" si="117"/>
        <v>0</v>
      </c>
      <c r="AH255" s="310">
        <f t="shared" si="117"/>
        <v>0</v>
      </c>
      <c r="AI255" s="310">
        <f t="shared" si="117"/>
        <v>0</v>
      </c>
      <c r="AJ255" s="310">
        <f t="shared" si="117"/>
        <v>0</v>
      </c>
      <c r="AK255" s="310">
        <f t="shared" si="117"/>
        <v>0</v>
      </c>
      <c r="AL255" s="310">
        <f t="shared" si="117"/>
        <v>0</v>
      </c>
      <c r="AM255" s="310">
        <f t="shared" si="117"/>
        <v>0</v>
      </c>
      <c r="AN255" s="310">
        <f t="shared" si="117"/>
        <v>0</v>
      </c>
      <c r="AO255" s="310">
        <f t="shared" si="117"/>
        <v>0</v>
      </c>
      <c r="AP255" s="310">
        <f t="shared" si="117"/>
        <v>0</v>
      </c>
      <c r="AQ255" s="310">
        <f t="shared" si="117"/>
        <v>0</v>
      </c>
      <c r="AR255" s="310">
        <f t="shared" si="117"/>
        <v>0</v>
      </c>
      <c r="AS255" s="310">
        <f t="shared" si="117"/>
        <v>0</v>
      </c>
      <c r="AT255" s="310">
        <f t="shared" si="117"/>
        <v>0</v>
      </c>
      <c r="AU255" s="310">
        <f t="shared" si="117"/>
        <v>0</v>
      </c>
      <c r="AV255" s="310">
        <f t="shared" si="117"/>
        <v>0</v>
      </c>
      <c r="AW255" s="310">
        <f t="shared" si="117"/>
        <v>0</v>
      </c>
      <c r="AX255" s="310">
        <f t="shared" si="117"/>
        <v>0</v>
      </c>
      <c r="AY255" s="310">
        <f t="shared" si="117"/>
        <v>0</v>
      </c>
      <c r="AZ255" s="310">
        <f t="shared" si="117"/>
        <v>0</v>
      </c>
      <c r="BA255" s="310">
        <f t="shared" si="117"/>
        <v>0</v>
      </c>
      <c r="BB255" s="310">
        <f t="shared" si="117"/>
        <v>0</v>
      </c>
      <c r="BC255" s="310">
        <f t="shared" si="117"/>
        <v>0</v>
      </c>
      <c r="BD255" s="310">
        <f t="shared" si="117"/>
        <v>0</v>
      </c>
      <c r="BE255" s="310">
        <f t="shared" si="117"/>
        <v>0</v>
      </c>
      <c r="BF255" s="310">
        <f t="shared" si="117"/>
        <v>0</v>
      </c>
      <c r="BG255" s="310">
        <f t="shared" si="117"/>
        <v>0</v>
      </c>
      <c r="BI255" s="240">
        <f t="shared" ref="BI255" si="118">SUM(T255:BG255)</f>
        <v>0</v>
      </c>
      <c r="BK255" s="334"/>
    </row>
    <row r="256" spans="2:63">
      <c r="C256" s="269"/>
      <c r="E256" s="269"/>
      <c r="G256" s="269"/>
      <c r="I256" s="269"/>
      <c r="K256" s="269"/>
      <c r="BI256" s="269"/>
      <c r="BK256" s="269"/>
    </row>
    <row r="258" spans="2:77" s="90" customFormat="1">
      <c r="B258" s="91">
        <f ca="1">MAX(A$1:$B257)+1</f>
        <v>32</v>
      </c>
      <c r="C258" s="92" t="s">
        <v>676</v>
      </c>
    </row>
    <row r="259" spans="2:77">
      <c r="BR259" s="360">
        <f>PP</f>
        <v>5000000</v>
      </c>
      <c r="BV259" s="361">
        <f>GA!$G$24+GA!H24</f>
        <v>8.0809999999999993E-2</v>
      </c>
    </row>
    <row r="260" spans="2:77" ht="30">
      <c r="C260" s="97" t="s">
        <v>4</v>
      </c>
      <c r="E260" s="97" t="s">
        <v>6</v>
      </c>
      <c r="G260" s="101" t="s">
        <v>272</v>
      </c>
      <c r="I260" s="101" t="s">
        <v>150</v>
      </c>
      <c r="S260" s="310"/>
      <c r="BI260" s="357" t="s">
        <v>152</v>
      </c>
      <c r="BK260" s="357" t="s">
        <v>490</v>
      </c>
      <c r="BM260" s="357" t="s">
        <v>494</v>
      </c>
      <c r="BN260" s="358" t="s">
        <v>495</v>
      </c>
      <c r="BO260" s="359" t="s">
        <v>266</v>
      </c>
      <c r="BP260" s="358" t="s">
        <v>496</v>
      </c>
      <c r="BQ260" s="357" t="s">
        <v>135</v>
      </c>
      <c r="BR260" s="358" t="s">
        <v>497</v>
      </c>
      <c r="BS260" s="358" t="s">
        <v>498</v>
      </c>
      <c r="BT260" s="358" t="s">
        <v>429</v>
      </c>
      <c r="BU260" s="358" t="s">
        <v>114</v>
      </c>
      <c r="BV260" s="358" t="s">
        <v>499</v>
      </c>
      <c r="BW260" s="358" t="s">
        <v>500</v>
      </c>
    </row>
    <row r="261" spans="2:77">
      <c r="C261" s="99">
        <f>AA!C13</f>
        <v>1</v>
      </c>
      <c r="E261" s="93" t="str">
        <f>INDEX(AA!$AC$13:$AC$15,MATCH($C261,AA!$C$13:$C$15,0))</f>
        <v>backup</v>
      </c>
      <c r="G261" s="1324">
        <f>INDEX(AA!$E$13:$E$15,MATCH($C261,AA!$C$13:$C$15,0))</f>
        <v>1</v>
      </c>
      <c r="I261" s="347"/>
      <c r="S261" s="354">
        <v>0</v>
      </c>
      <c r="T261" s="403">
        <f>T132+T139+T169+T177+T184+T217+T225+T192+(T233+T243+T253)*(1-GA!$G$484)</f>
        <v>23139.170077132865</v>
      </c>
      <c r="U261" s="403">
        <f>U132+U139+U169+U177+U184+U217+U225+U192+(U233+U243+U253)*(1-GA!$G$484)</f>
        <v>23178.393435872302</v>
      </c>
      <c r="V261" s="403">
        <f>V132+V139+V169+V177+V184+V217+V225+V192+(V233+V243+V253)*(1-GA!$G$484)</f>
        <v>23217.670076798207</v>
      </c>
      <c r="W261" s="403">
        <f>W132+W139+W169+W177+W184+W217+W225+W192+(W233+W243+W253)*(1-GA!$G$484)</f>
        <v>23256.999999999996</v>
      </c>
      <c r="X261" s="403">
        <f>X132+X139+X169+X177+X184+X217+X225+X192+(X233+X243+X253)*(1-GA!$G$484)</f>
        <v>23296.383205073293</v>
      </c>
      <c r="Y261" s="403">
        <f>Y132+Y139+Y169+Y177+Y184+Y217+Y225+Y192+(Y233+Y243+Y253)*(1-GA!$G$484)</f>
        <v>23335.819691116496</v>
      </c>
      <c r="Z261" s="403">
        <f>Z132+Z139+Z169+Z177+Z184+Z217+Z225+Z192+(Z233+Z243+Z253)*(1-GA!$G$484)</f>
        <v>23375.309456727449</v>
      </c>
      <c r="AA261" s="403">
        <f>AA132+AA139+AA169+AA177+AA184+AA217+AA225+AA192+(AA233+AA243+AA253)*(1-GA!$G$484)</f>
        <v>23414.852499999986</v>
      </c>
      <c r="AB261" s="403">
        <f>AB132+AB139+AB169+AB177+AB184+AB217+AB225+AB192+(AB233+AB243+AB253)*(1-GA!$G$484)</f>
        <v>23454.448818520508</v>
      </c>
      <c r="AC261" s="403">
        <f>AC132+AC139+AC169+AC177+AC184+AC217+AC225+AC192+(AC233+AC243+AC253)*(1-GA!$G$484)</f>
        <v>23494.098409364527</v>
      </c>
      <c r="AD261" s="403">
        <f>AD132+AD139+AD169+AD177+AD184+AD217+AD225+AD192+(AD233+AD243+AD253)*(1-GA!$G$484)</f>
        <v>23533.801269093237</v>
      </c>
      <c r="AE261" s="403">
        <f>AE132+AE139+AE169+AE177+AE184+AE217+AE225+AE192+(AE233+AE243+AE253)*(1-GA!$G$484)</f>
        <v>1249181.199735624</v>
      </c>
      <c r="AF261" s="403">
        <f>AF132+AF139+AF169+AF177+AF184+AF217+AF225+AF192+(AF233+AF243+AF253)*(1-GA!$G$484)</f>
        <v>0</v>
      </c>
      <c r="AG261" s="403">
        <f>AG132+AG139+AG169+AG177+AG184+AG217+AG225+AG192+(AG233+AG243+AG253)*(1-GA!$G$484)</f>
        <v>0</v>
      </c>
      <c r="AH261" s="403">
        <f>AH132+AH139+AH169+AH177+AH184+AH217+AH225+AH192+(AH233+AH243+AH253)*(1-GA!$G$484)</f>
        <v>0</v>
      </c>
      <c r="AI261" s="403">
        <f>AI132+AI139+AI169+AI177+AI184+AI217+AI225+AI192+(AI233+AI243+AI253)*(1-GA!$G$484)</f>
        <v>0</v>
      </c>
      <c r="AJ261" s="403">
        <f>AJ132+AJ139+AJ169+AJ177+AJ184+AJ217+AJ225+AJ192+(AJ233+AJ243+AJ253)*(1-GA!$G$484)</f>
        <v>0</v>
      </c>
      <c r="AK261" s="403">
        <f>AK132+AK139+AK169+AK177+AK184+AK217+AK225+AK192+(AK233+AK243+AK253)*(1-GA!$G$484)</f>
        <v>0</v>
      </c>
      <c r="AL261" s="403">
        <f>AL132+AL139+AL169+AL177+AL184+AL217+AL225+AL192+(AL233+AL243+AL253)*(1-GA!$G$484)</f>
        <v>0</v>
      </c>
      <c r="AM261" s="403">
        <f>AM132+AM139+AM169+AM177+AM184+AM217+AM225+AM192+(AM233+AM243+AM253)*(1-GA!$G$484)</f>
        <v>0</v>
      </c>
      <c r="AN261" s="403">
        <f>AN132+AN139+AN169+AN177+AN184+AN217+AN225+AN192+(AN233+AN243+AN253)*(1-GA!$G$484)</f>
        <v>0</v>
      </c>
      <c r="AO261" s="403">
        <f>AO132+AO139+AO169+AO177+AO184+AO217+AO225+AO192+(AO233+AO243+AO253)*(1-GA!$G$484)</f>
        <v>0</v>
      </c>
      <c r="AP261" s="403">
        <f>AP132+AP139+AP169+AP177+AP184+AP217+AP225+AP192+(AP233+AP243+AP253)*(1-GA!$G$484)</f>
        <v>0</v>
      </c>
      <c r="AQ261" s="403">
        <f>AQ132+AQ139+AQ169+AQ177+AQ184+AQ217+AQ225+AQ192+(AQ233+AQ243+AQ253)*(1-GA!$G$484)</f>
        <v>0</v>
      </c>
      <c r="AR261" s="403">
        <f>AR132+AR139+AR169+AR177+AR184+AR217+AR225+AR192+(AR233+AR243+AR253)*(1-GA!$G$484)</f>
        <v>0</v>
      </c>
      <c r="AS261" s="403">
        <f>AS132+AS139+AS169+AS177+AS184+AS217+AS225+AS192+(AS233+AS243+AS253)*(1-GA!$G$484)</f>
        <v>0</v>
      </c>
      <c r="AT261" s="403">
        <f>AT132+AT139+AT169+AT177+AT184+AT217+AT225+AT192+(AT233+AT243+AT253)*(1-GA!$G$484)</f>
        <v>0</v>
      </c>
      <c r="AU261" s="403">
        <f>AU132+AU139+AU169+AU177+AU184+AU217+AU225+AU192+(AU233+AU243+AU253)*(1-GA!$G$484)</f>
        <v>0</v>
      </c>
      <c r="AV261" s="403">
        <f>AV132+AV139+AV169+AV177+AV184+AV217+AV225+AV192+(AV233+AV243+AV253)*(1-GA!$G$484)</f>
        <v>0</v>
      </c>
      <c r="AW261" s="403">
        <f>AW132+AW139+AW169+AW177+AW184+AW217+AW225+AW192+(AW233+AW243+AW253)*(1-GA!$G$484)</f>
        <v>0</v>
      </c>
      <c r="AX261" s="403">
        <f>AX132+AX139+AX169+AX177+AX184+AX217+AX225+AX192+(AX233+AX243+AX253)*(1-GA!$G$484)</f>
        <v>0</v>
      </c>
      <c r="AY261" s="403">
        <f>AY132+AY139+AY169+AY177+AY184+AY217+AY225+AY192+(AY233+AY243+AY253)*(1-GA!$G$484)</f>
        <v>0</v>
      </c>
      <c r="AZ261" s="403">
        <f>AZ132+AZ139+AZ169+AZ177+AZ184+AZ217+AZ225+AZ192+(AZ233+AZ243+AZ253)*(1-GA!$G$484)</f>
        <v>0</v>
      </c>
      <c r="BA261" s="403">
        <f>BA132+BA139+BA169+BA177+BA184+BA217+BA225+BA192+(BA233+BA243+BA253)*(1-GA!$G$484)</f>
        <v>0</v>
      </c>
      <c r="BB261" s="403">
        <f>BB132+BB139+BB169+BB177+BB184+BB217+BB225+BB192+(BB233+BB243+BB253)*(1-GA!$G$484)</f>
        <v>0</v>
      </c>
      <c r="BC261" s="403">
        <f>BC132+BC139+BC169+BC177+BC184+BC217+BC225+BC192+(BC233+BC243+BC253)*(1-GA!$G$484)</f>
        <v>0</v>
      </c>
      <c r="BD261" s="403">
        <f>BD132+BD139+BD169+BD177+BD184+BD217+BD225+BD192+(BD233+BD243+BD253)*(1-GA!$G$484)</f>
        <v>0</v>
      </c>
      <c r="BE261" s="403">
        <f>BE132+BE139+BE169+BE177+BE184+BE217+BE225+BE192+(BE233+BE243+BE253)*(1-GA!$G$484)</f>
        <v>0</v>
      </c>
      <c r="BF261" s="403">
        <f>BF132+BF139+BF169+BF177+BF184+BF217+BF225+BF192+(BF233+BF243+BF253)*(1-GA!$G$484)</f>
        <v>0</v>
      </c>
      <c r="BG261" s="403">
        <f>BG132+BG139+BG169+BG177+BG184+BG217+BG225+BG192+(BG233+BG243+BG253)*(1-GA!$G$484)</f>
        <v>0</v>
      </c>
      <c r="BI261" s="1401">
        <f>SUM(T261:BG261)</f>
        <v>1505878.1466753229</v>
      </c>
      <c r="BK261" s="1403">
        <f>INDEX(AA!$EL$13:$EL$15,MATCH($C261,AA!$C$13:$C$15,0))</f>
        <v>0.1</v>
      </c>
      <c r="BM261" s="1405">
        <f>IFERROR(XNPV($BK261,$S261:$BG261,$S$4:$BG$4),0)</f>
        <v>1161271.0665564688</v>
      </c>
      <c r="BN261" s="1405">
        <f>MAX(BM261,0)</f>
        <v>1161271.0665564688</v>
      </c>
      <c r="BO261" s="1408">
        <f>INDEX(AA!$ES$13:$ES$15,MATCH($C261,AA!$C$13:$C$15,0))</f>
        <v>0</v>
      </c>
      <c r="BP261" s="1406">
        <f>CHOOSE(GA!$G$429,BN261,BO261)</f>
        <v>1161271.0665564688</v>
      </c>
      <c r="BQ261" s="1408">
        <f>INDEX(AA!$AO$13:$AO$15,MATCH($C261,AA!$C$13:$C$15,0))*G261</f>
        <v>0</v>
      </c>
      <c r="BR261" s="1407">
        <f>IFERROR(IF(BQ261&lt;&gt;0,BQ261,$BP261/SUMPRODUCT($BP$261:$BP$263,--($BQ$261:$BQ$263=0))*($BR$259-SUM($BQ$261:$BQ$263))),0)</f>
        <v>1702728.7550444414</v>
      </c>
      <c r="BS261" s="1408">
        <f>INDEX(AA!$EZ$13:$EZ$15,MATCH($C261,AA!$C$13:$C$15,0))*$G261</f>
        <v>0</v>
      </c>
      <c r="BT261" s="1405">
        <f>SUM(BR261:BS261)</f>
        <v>1702728.7550444414</v>
      </c>
      <c r="BU261" s="1408">
        <f>INDEX(AA!$AH$13:$AH$15,MATCH($C261,AA!$C$13:$C$15,0))*$BT261</f>
        <v>85136.437752222075</v>
      </c>
      <c r="BV261" s="1405">
        <f>$BV$259*$BR261</f>
        <v>137597.5106951413</v>
      </c>
      <c r="BW261" s="1405">
        <f>SUM(BU261:BV261)+BR261</f>
        <v>1925462.7034918049</v>
      </c>
      <c r="BX261" s="362"/>
      <c r="BY261" s="259"/>
    </row>
    <row r="262" spans="2:77">
      <c r="C262" s="99">
        <f>AA!C14</f>
        <v>2</v>
      </c>
      <c r="E262" s="94" t="str">
        <f>INDEX(AA!$AC$13:$AC$15,MATCH($C262,AA!$C$13:$C$15,0))</f>
        <v>backup</v>
      </c>
      <c r="G262" s="1325">
        <f>INDEX(AA!$E$13:$E$15,MATCH($C262,AA!$C$13:$C$15,0))</f>
        <v>1</v>
      </c>
      <c r="I262" s="348"/>
      <c r="S262" s="355">
        <v>0</v>
      </c>
      <c r="T262" s="403">
        <f>T133+T140+T170+T178+T185+T218+T226+T193+(T234+T244+T254)*(1-GA!$G$484)</f>
        <v>0</v>
      </c>
      <c r="U262" s="403">
        <f>U133+U140+U170+U178+U185+U218+U226+U193+(U234+U244+U254)*(1-GA!$G$484)</f>
        <v>22627.265913451767</v>
      </c>
      <c r="V262" s="403">
        <f>V133+V140+V170+V178+V185+V218+V226+V193+(V234+V244+V254)*(1-GA!$G$484)</f>
        <v>22665.980678071657</v>
      </c>
      <c r="W262" s="403">
        <f>W133+W140+W170+W178+W185+W218+W226+W193+(W234+W244+W254)*(1-GA!$G$484)</f>
        <v>22704.749999999996</v>
      </c>
      <c r="X262" s="403">
        <f>X133+X140+X170+X178+X185+X218+X226+X193+(X234+X244+X254)*(1-GA!$G$484)</f>
        <v>22743.573892758192</v>
      </c>
      <c r="Y262" s="403">
        <f>Y133+Y140+Y170+Y178+Y185+Y218+Y226+Y193+(Y234+Y244+Y254)*(1-GA!$G$484)</f>
        <v>22782.452369453753</v>
      </c>
      <c r="Z262" s="403">
        <f>Z133+Z140+Z170+Z178+Z185+Z218+Z226+Z193+(Z234+Z244+Z254)*(1-GA!$G$484)</f>
        <v>22821.385442777384</v>
      </c>
      <c r="AA262" s="403">
        <f>AA133+AA140+AA170+AA178+AA185+AA218+AA226+AA193+(AA234+AA244+AA254)*(1-GA!$G$484)</f>
        <v>22860.373124999991</v>
      </c>
      <c r="AB262" s="403">
        <f>AB133+AB140+AB170+AB178+AB185+AB218+AB226+AB193+(AB234+AB244+AB254)*(1-GA!$G$484)</f>
        <v>22899.415427969674</v>
      </c>
      <c r="AC262" s="403">
        <f>AC133+AC140+AC170+AC178+AC185+AC218+AC226+AC193+(AC234+AC244+AC254)*(1-GA!$G$484)</f>
        <v>22938.512363108774</v>
      </c>
      <c r="AD262" s="403">
        <f>AD133+AD140+AD170+AD178+AD185+AD218+AD226+AD193+(AD234+AD244+AD254)*(1-GA!$G$484)</f>
        <v>22977.663941410814</v>
      </c>
      <c r="AE262" s="403">
        <f>AE133+AE140+AE170+AE178+AE185+AE218+AE226+AE193+(AE234+AE244+AE254)*(1-GA!$G$484)</f>
        <v>1248624.5125153116</v>
      </c>
      <c r="AF262" s="403">
        <f>AF133+AF140+AF170+AF178+AF185+AF218+AF226+AF193+(AF234+AF244+AF254)*(1-GA!$G$484)</f>
        <v>0</v>
      </c>
      <c r="AG262" s="403">
        <f>AG133+AG140+AG170+AG178+AG185+AG218+AG226+AG193+(AG234+AG244+AG254)*(1-GA!$G$484)</f>
        <v>0</v>
      </c>
      <c r="AH262" s="403">
        <f>AH133+AH140+AH170+AH178+AH185+AH218+AH226+AH193+(AH234+AH244+AH254)*(1-GA!$G$484)</f>
        <v>0</v>
      </c>
      <c r="AI262" s="403">
        <f>AI133+AI140+AI170+AI178+AI185+AI218+AI226+AI193+(AI234+AI244+AI254)*(1-GA!$G$484)</f>
        <v>0</v>
      </c>
      <c r="AJ262" s="403">
        <f>AJ133+AJ140+AJ170+AJ178+AJ185+AJ218+AJ226+AJ193+(AJ234+AJ244+AJ254)*(1-GA!$G$484)</f>
        <v>0</v>
      </c>
      <c r="AK262" s="403">
        <f>AK133+AK140+AK170+AK178+AK185+AK218+AK226+AK193+(AK234+AK244+AK254)*(1-GA!$G$484)</f>
        <v>0</v>
      </c>
      <c r="AL262" s="403">
        <f>AL133+AL140+AL170+AL178+AL185+AL218+AL226+AL193+(AL234+AL244+AL254)*(1-GA!$G$484)</f>
        <v>0</v>
      </c>
      <c r="AM262" s="403">
        <f>AM133+AM140+AM170+AM178+AM185+AM218+AM226+AM193+(AM234+AM244+AM254)*(1-GA!$G$484)</f>
        <v>0</v>
      </c>
      <c r="AN262" s="403">
        <f>AN133+AN140+AN170+AN178+AN185+AN218+AN226+AN193+(AN234+AN244+AN254)*(1-GA!$G$484)</f>
        <v>0</v>
      </c>
      <c r="AO262" s="403">
        <f>AO133+AO140+AO170+AO178+AO185+AO218+AO226+AO193+(AO234+AO244+AO254)*(1-GA!$G$484)</f>
        <v>0</v>
      </c>
      <c r="AP262" s="403">
        <f>AP133+AP140+AP170+AP178+AP185+AP218+AP226+AP193+(AP234+AP244+AP254)*(1-GA!$G$484)</f>
        <v>0</v>
      </c>
      <c r="AQ262" s="403">
        <f>AQ133+AQ140+AQ170+AQ178+AQ185+AQ218+AQ226+AQ193+(AQ234+AQ244+AQ254)*(1-GA!$G$484)</f>
        <v>0</v>
      </c>
      <c r="AR262" s="403">
        <f>AR133+AR140+AR170+AR178+AR185+AR218+AR226+AR193+(AR234+AR244+AR254)*(1-GA!$G$484)</f>
        <v>0</v>
      </c>
      <c r="AS262" s="403">
        <f>AS133+AS140+AS170+AS178+AS185+AS218+AS226+AS193+(AS234+AS244+AS254)*(1-GA!$G$484)</f>
        <v>0</v>
      </c>
      <c r="AT262" s="403">
        <f>AT133+AT140+AT170+AT178+AT185+AT218+AT226+AT193+(AT234+AT244+AT254)*(1-GA!$G$484)</f>
        <v>0</v>
      </c>
      <c r="AU262" s="403">
        <f>AU133+AU140+AU170+AU178+AU185+AU218+AU226+AU193+(AU234+AU244+AU254)*(1-GA!$G$484)</f>
        <v>0</v>
      </c>
      <c r="AV262" s="403">
        <f>AV133+AV140+AV170+AV178+AV185+AV218+AV226+AV193+(AV234+AV244+AV254)*(1-GA!$G$484)</f>
        <v>0</v>
      </c>
      <c r="AW262" s="403">
        <f>AW133+AW140+AW170+AW178+AW185+AW218+AW226+AW193+(AW234+AW244+AW254)*(1-GA!$G$484)</f>
        <v>0</v>
      </c>
      <c r="AX262" s="403">
        <f>AX133+AX140+AX170+AX178+AX185+AX218+AX226+AX193+(AX234+AX244+AX254)*(1-GA!$G$484)</f>
        <v>0</v>
      </c>
      <c r="AY262" s="403">
        <f>AY133+AY140+AY170+AY178+AY185+AY218+AY226+AY193+(AY234+AY244+AY254)*(1-GA!$G$484)</f>
        <v>0</v>
      </c>
      <c r="AZ262" s="403">
        <f>AZ133+AZ140+AZ170+AZ178+AZ185+AZ218+AZ226+AZ193+(AZ234+AZ244+AZ254)*(1-GA!$G$484)</f>
        <v>0</v>
      </c>
      <c r="BA262" s="403">
        <f>BA133+BA140+BA170+BA178+BA185+BA218+BA226+BA193+(BA234+BA244+BA254)*(1-GA!$G$484)</f>
        <v>0</v>
      </c>
      <c r="BB262" s="403">
        <f>BB133+BB140+BB170+BB178+BB185+BB218+BB226+BB193+(BB234+BB244+BB254)*(1-GA!$G$484)</f>
        <v>0</v>
      </c>
      <c r="BC262" s="403">
        <f>BC133+BC140+BC170+BC178+BC185+BC218+BC226+BC193+(BC234+BC244+BC254)*(1-GA!$G$484)</f>
        <v>0</v>
      </c>
      <c r="BD262" s="403">
        <f>BD133+BD140+BD170+BD178+BD185+BD218+BD226+BD193+(BD234+BD244+BD254)*(1-GA!$G$484)</f>
        <v>0</v>
      </c>
      <c r="BE262" s="403">
        <f>BE133+BE140+BE170+BE178+BE185+BE218+BE226+BE193+(BE234+BE244+BE254)*(1-GA!$G$484)</f>
        <v>0</v>
      </c>
      <c r="BF262" s="403">
        <f>BF133+BF140+BF170+BF178+BF185+BF218+BF226+BF193+(BF234+BF244+BF254)*(1-GA!$G$484)</f>
        <v>0</v>
      </c>
      <c r="BG262" s="403">
        <f>BG133+BG140+BG170+BG178+BG185+BG218+BG226+BG193+(BG234+BG244+BG254)*(1-GA!$G$484)</f>
        <v>0</v>
      </c>
      <c r="BI262" s="1402">
        <f t="shared" ref="BI262" si="119">SUM(T262:BG262)</f>
        <v>1476645.8856693136</v>
      </c>
      <c r="BK262" s="1404">
        <f>INDEX(AA!$EL$13:$EL$15,MATCH($C262,AA!$C$13:$C$15,0))</f>
        <v>0.1</v>
      </c>
      <c r="BM262" s="1317">
        <f t="shared" ref="BM262:BM263" si="120">IFERROR(XNPV($BK262,$S262:$BG262,$S$4:$BG$4),0)</f>
        <v>1133512.0162967998</v>
      </c>
      <c r="BN262" s="1317">
        <f t="shared" ref="BN262" si="121">MAX(BM262,0)</f>
        <v>1133512.0162967998</v>
      </c>
      <c r="BO262" s="1409">
        <f>INDEX(AA!$ES$13:$ES$15,MATCH($C262,AA!$C$13:$C$15,0))</f>
        <v>0</v>
      </c>
      <c r="BP262" s="1217">
        <f>CHOOSE(GA!$G$429,BN262,BO262)</f>
        <v>1133512.0162967998</v>
      </c>
      <c r="BQ262" s="1409">
        <f>INDEX(AA!$AO$13:$AO$15,MATCH($C262,AA!$C$13:$C$15,0))*G262</f>
        <v>0</v>
      </c>
      <c r="BR262" s="1234">
        <f>IFERROR(IF(BQ262&lt;&gt;0,BQ262,$BP262/SUMPRODUCT($BP$261:$BP$263,--($BQ$261:$BQ$263=0))*($BR$259-SUM($BQ$261:$BQ$263))),0)</f>
        <v>1662026.6877570669</v>
      </c>
      <c r="BS262" s="1409">
        <f>INDEX(AA!$EZ$13:$EZ$15,MATCH($C262,AA!$C$13:$C$15,0))*$G262</f>
        <v>0</v>
      </c>
      <c r="BT262" s="1317">
        <f t="shared" ref="BT262" si="122">SUM(BR262:BS262)</f>
        <v>1662026.6877570669</v>
      </c>
      <c r="BU262" s="1409">
        <f>INDEX(AA!$AH$13:$AH$15,MATCH($C262,AA!$C$13:$C$15,0))*$BT262</f>
        <v>83101.334387853349</v>
      </c>
      <c r="BV262" s="1317">
        <f t="shared" ref="BV262:BV263" si="123">$BV$259*$BR262</f>
        <v>134308.37663764856</v>
      </c>
      <c r="BW262" s="1317">
        <f t="shared" ref="BW262" si="124">SUM(BU262:BV262)+BR262</f>
        <v>1879436.3987825688</v>
      </c>
      <c r="BX262" s="362"/>
      <c r="BY262" s="259"/>
    </row>
    <row r="263" spans="2:77">
      <c r="C263" s="99">
        <f>AA!C15</f>
        <v>3</v>
      </c>
      <c r="E263" s="94" t="str">
        <f>INDEX(AA!$AC$13:$AC$15,MATCH($C263,AA!$C$13:$C$15,0))</f>
        <v>backup</v>
      </c>
      <c r="G263" s="1325">
        <f>INDEX(AA!$E$13:$E$15,MATCH($C263,AA!$C$13:$C$15,0))</f>
        <v>1</v>
      </c>
      <c r="I263" s="348"/>
      <c r="S263" s="355">
        <v>0</v>
      </c>
      <c r="T263" s="403">
        <f>T134+T141+T171+T179+T186+T219+T227+T194+(T235+T245+T255)*(1-GA!$G$484)</f>
        <v>0</v>
      </c>
      <c r="U263" s="403">
        <f>U134+U141+U171+U179+U186+U219+U227+U194+(U235+U245+U255)*(1-GA!$G$484)</f>
        <v>0</v>
      </c>
      <c r="V263" s="403">
        <f>V134+V141+V171+V179+V186+V219+V227+V194+(V235+V245+V255)*(1-GA!$G$484)</f>
        <v>23048.577132994727</v>
      </c>
      <c r="W263" s="403">
        <f>W134+W141+W171+W179+W186+W219+W227+W194+(W235+W245+W255)*(1-GA!$G$484)</f>
        <v>23089.906249999996</v>
      </c>
      <c r="X263" s="403">
        <f>X134+X141+X171+X179+X186+X219+X227+X194+(X235+X245+X255)*(1-GA!$G$484)</f>
        <v>23131.303877818096</v>
      </c>
      <c r="Y263" s="403">
        <f>Y134+Y141+Y171+Y179+Y186+Y219+Y227+Y194+(Y235+Y245+Y255)*(1-GA!$G$484)</f>
        <v>23172.770101050555</v>
      </c>
      <c r="Z263" s="403">
        <f>Z134+Z141+Z171+Z179+Z186+Z219+Z227+Z194+(Z235+Z245+Z255)*(1-GA!$G$484)</f>
        <v>23214.305004241192</v>
      </c>
      <c r="AA263" s="403">
        <f>AA134+AA141+AA171+AA179+AA186+AA219+AA227+AA194+(AA235+AA245+AA255)*(1-GA!$G$484)</f>
        <v>23255.90867187499</v>
      </c>
      <c r="AB263" s="403">
        <f>AB134+AB141+AB171+AB179+AB186+AB219+AB227+AB194+(AB235+AB245+AB255)*(1-GA!$G$484)</f>
        <v>23297.581188376851</v>
      </c>
      <c r="AC263" s="403">
        <f>AC134+AC141+AC171+AC179+AC186+AC219+AC227+AC194+(AC235+AC245+AC255)*(1-GA!$G$484)</f>
        <v>23339.32263811044</v>
      </c>
      <c r="AD263" s="403">
        <f>AD134+AD141+AD171+AD179+AD186+AD219+AD227+AD194+(AD235+AD245+AD255)*(1-GA!$G$484)</f>
        <v>23381.133105376986</v>
      </c>
      <c r="AE263" s="403">
        <f>AE134+AE141+AE171+AE179+AE186+AE219+AE227+AE194+(AE235+AE245+AE255)*(1-GA!$G$484)</f>
        <v>1249030.6550162882</v>
      </c>
      <c r="AF263" s="403">
        <f>AF134+AF141+AF171+AF179+AF186+AF219+AF227+AF194+(AF235+AF245+AF255)*(1-GA!$G$484)</f>
        <v>0</v>
      </c>
      <c r="AG263" s="403">
        <f>AG134+AG141+AG171+AG179+AG186+AG219+AG227+AG194+(AG235+AG245+AG255)*(1-GA!$G$484)</f>
        <v>0</v>
      </c>
      <c r="AH263" s="403">
        <f>AH134+AH141+AH171+AH179+AH186+AH219+AH227+AH194+(AH235+AH245+AH255)*(1-GA!$G$484)</f>
        <v>0</v>
      </c>
      <c r="AI263" s="403">
        <f>AI134+AI141+AI171+AI179+AI186+AI219+AI227+AI194+(AI235+AI245+AI255)*(1-GA!$G$484)</f>
        <v>0</v>
      </c>
      <c r="AJ263" s="403">
        <f>AJ134+AJ141+AJ171+AJ179+AJ186+AJ219+AJ227+AJ194+(AJ235+AJ245+AJ255)*(1-GA!$G$484)</f>
        <v>0</v>
      </c>
      <c r="AK263" s="403">
        <f>AK134+AK141+AK171+AK179+AK186+AK219+AK227+AK194+(AK235+AK245+AK255)*(1-GA!$G$484)</f>
        <v>0</v>
      </c>
      <c r="AL263" s="403">
        <f>AL134+AL141+AL171+AL179+AL186+AL219+AL227+AL194+(AL235+AL245+AL255)*(1-GA!$G$484)</f>
        <v>0</v>
      </c>
      <c r="AM263" s="403">
        <f>AM134+AM141+AM171+AM179+AM186+AM219+AM227+AM194+(AM235+AM245+AM255)*(1-GA!$G$484)</f>
        <v>0</v>
      </c>
      <c r="AN263" s="403">
        <f>AN134+AN141+AN171+AN179+AN186+AN219+AN227+AN194+(AN235+AN245+AN255)*(1-GA!$G$484)</f>
        <v>0</v>
      </c>
      <c r="AO263" s="403">
        <f>AO134+AO141+AO171+AO179+AO186+AO219+AO227+AO194+(AO235+AO245+AO255)*(1-GA!$G$484)</f>
        <v>0</v>
      </c>
      <c r="AP263" s="403">
        <f>AP134+AP141+AP171+AP179+AP186+AP219+AP227+AP194+(AP235+AP245+AP255)*(1-GA!$G$484)</f>
        <v>0</v>
      </c>
      <c r="AQ263" s="403">
        <f>AQ134+AQ141+AQ171+AQ179+AQ186+AQ219+AQ227+AQ194+(AQ235+AQ245+AQ255)*(1-GA!$G$484)</f>
        <v>0</v>
      </c>
      <c r="AR263" s="403">
        <f>AR134+AR141+AR171+AR179+AR186+AR219+AR227+AR194+(AR235+AR245+AR255)*(1-GA!$G$484)</f>
        <v>0</v>
      </c>
      <c r="AS263" s="403">
        <f>AS134+AS141+AS171+AS179+AS186+AS219+AS227+AS194+(AS235+AS245+AS255)*(1-GA!$G$484)</f>
        <v>0</v>
      </c>
      <c r="AT263" s="403">
        <f>AT134+AT141+AT171+AT179+AT186+AT219+AT227+AT194+(AT235+AT245+AT255)*(1-GA!$G$484)</f>
        <v>0</v>
      </c>
      <c r="AU263" s="403">
        <f>AU134+AU141+AU171+AU179+AU186+AU219+AU227+AU194+(AU235+AU245+AU255)*(1-GA!$G$484)</f>
        <v>0</v>
      </c>
      <c r="AV263" s="403">
        <f>AV134+AV141+AV171+AV179+AV186+AV219+AV227+AV194+(AV235+AV245+AV255)*(1-GA!$G$484)</f>
        <v>0</v>
      </c>
      <c r="AW263" s="403">
        <f>AW134+AW141+AW171+AW179+AW186+AW219+AW227+AW194+(AW235+AW245+AW255)*(1-GA!$G$484)</f>
        <v>0</v>
      </c>
      <c r="AX263" s="403">
        <f>AX134+AX141+AX171+AX179+AX186+AX219+AX227+AX194+(AX235+AX245+AX255)*(1-GA!$G$484)</f>
        <v>0</v>
      </c>
      <c r="AY263" s="403">
        <f>AY134+AY141+AY171+AY179+AY186+AY219+AY227+AY194+(AY235+AY245+AY255)*(1-GA!$G$484)</f>
        <v>0</v>
      </c>
      <c r="AZ263" s="403">
        <f>AZ134+AZ141+AZ171+AZ179+AZ186+AZ219+AZ227+AZ194+(AZ235+AZ245+AZ255)*(1-GA!$G$484)</f>
        <v>0</v>
      </c>
      <c r="BA263" s="403">
        <f>BA134+BA141+BA171+BA179+BA186+BA219+BA227+BA194+(BA235+BA245+BA255)*(1-GA!$G$484)</f>
        <v>0</v>
      </c>
      <c r="BB263" s="403">
        <f>BB134+BB141+BB171+BB179+BB186+BB219+BB227+BB194+(BB235+BB245+BB255)*(1-GA!$G$484)</f>
        <v>0</v>
      </c>
      <c r="BC263" s="403">
        <f>BC134+BC141+BC171+BC179+BC186+BC219+BC227+BC194+(BC235+BC245+BC255)*(1-GA!$G$484)</f>
        <v>0</v>
      </c>
      <c r="BD263" s="403">
        <f>BD134+BD141+BD171+BD179+BD186+BD219+BD227+BD194+(BD235+BD245+BD255)*(1-GA!$G$484)</f>
        <v>0</v>
      </c>
      <c r="BE263" s="403">
        <f>BE134+BE141+BE171+BE179+BE186+BE219+BE227+BE194+(BE235+BE245+BE255)*(1-GA!$G$484)</f>
        <v>0</v>
      </c>
      <c r="BF263" s="403">
        <f>BF134+BF141+BF171+BF179+BF186+BF219+BF227+BF194+(BF235+BF245+BF255)*(1-GA!$G$484)</f>
        <v>0</v>
      </c>
      <c r="BG263" s="403">
        <f>BG134+BG141+BG171+BG179+BG186+BG219+BG227+BG194+(BG235+BG245+BG255)*(1-GA!$G$484)</f>
        <v>0</v>
      </c>
      <c r="BI263" s="1402">
        <f t="shared" ref="BI263" si="125">SUM(T263:BG263)</f>
        <v>1457961.4629861321</v>
      </c>
      <c r="BK263" s="1404">
        <f>INDEX(AA!$EL$13:$EL$15,MATCH($C263,AA!$C$13:$C$15,0))</f>
        <v>0.1</v>
      </c>
      <c r="BM263" s="1317">
        <f t="shared" si="120"/>
        <v>1115246.4450915963</v>
      </c>
      <c r="BN263" s="1317">
        <f t="shared" ref="BN263" si="126">MAX(BM263,0)</f>
        <v>1115246.4450915963</v>
      </c>
      <c r="BO263" s="1409">
        <f>INDEX(AA!$ES$13:$ES$15,MATCH($C263,AA!$C$13:$C$15,0))</f>
        <v>0</v>
      </c>
      <c r="BP263" s="1217">
        <f>CHOOSE(GA!$G$429,BN263,BO263)</f>
        <v>1115246.4450915963</v>
      </c>
      <c r="BQ263" s="1409">
        <f>INDEX(AA!$AO$13:$AO$15,MATCH($C263,AA!$C$13:$C$15,0))*G263</f>
        <v>0</v>
      </c>
      <c r="BR263" s="1234">
        <f>IFERROR(IF(BQ263&lt;&gt;0,BQ263,$BP263/SUMPRODUCT($BP$261:$BP$263,--($BQ$261:$BQ$263=0))*($BR$259-SUM($BQ$261:$BQ$263))),0)</f>
        <v>1635244.5571984914</v>
      </c>
      <c r="BS263" s="1409">
        <f>INDEX(AA!$EZ$13:$EZ$15,MATCH($C263,AA!$C$13:$C$15,0))*$G263</f>
        <v>0</v>
      </c>
      <c r="BT263" s="1317">
        <f t="shared" ref="BT263" si="127">SUM(BR263:BS263)</f>
        <v>1635244.5571984914</v>
      </c>
      <c r="BU263" s="1409">
        <f>INDEX(AA!$AH$13:$AH$15,MATCH($C263,AA!$C$13:$C$15,0))*$BT263</f>
        <v>81762.227859924576</v>
      </c>
      <c r="BV263" s="1317">
        <f t="shared" si="123"/>
        <v>132144.11266721008</v>
      </c>
      <c r="BW263" s="1317">
        <f t="shared" ref="BW263" si="128">SUM(BU263:BV263)+BR263</f>
        <v>1849150.8977256261</v>
      </c>
      <c r="BX263" s="362"/>
      <c r="BY263" s="259"/>
    </row>
    <row r="264" spans="2:77">
      <c r="C264" s="269"/>
      <c r="E264" s="269"/>
      <c r="G264" s="269"/>
      <c r="I264" s="269"/>
      <c r="BI264" s="269"/>
      <c r="BK264" s="269"/>
      <c r="BM264" s="269"/>
      <c r="BN264" s="269"/>
      <c r="BO264" s="269"/>
      <c r="BP264" s="269"/>
      <c r="BQ264" s="269"/>
      <c r="BR264" s="269"/>
      <c r="BS264" s="269"/>
      <c r="BT264" s="269"/>
      <c r="BU264" s="269"/>
      <c r="BV264" s="269"/>
      <c r="BW264" s="269"/>
    </row>
    <row r="266" spans="2:77" s="90" customFormat="1">
      <c r="B266" s="91">
        <f ca="1">MAX(A$1:$B259)+1</f>
        <v>33</v>
      </c>
      <c r="C266" s="92" t="s">
        <v>502</v>
      </c>
    </row>
    <row r="268" spans="2:77" ht="30">
      <c r="C268" s="97" t="s">
        <v>4</v>
      </c>
      <c r="E268" s="97" t="s">
        <v>6</v>
      </c>
      <c r="G268" s="101" t="s">
        <v>272</v>
      </c>
      <c r="I268" s="101" t="s">
        <v>150</v>
      </c>
      <c r="K268" s="101" t="s">
        <v>442</v>
      </c>
      <c r="BI268" s="327" t="s">
        <v>152</v>
      </c>
      <c r="BK268" s="332"/>
    </row>
    <row r="269" spans="2:77">
      <c r="C269" s="99">
        <f>AA!C13</f>
        <v>1</v>
      </c>
      <c r="E269" s="93" t="str">
        <f>INDEX(AA!$AC$13:$AC$15,MATCH($C269,AA!$C$13:$C$15,0))</f>
        <v>backup</v>
      </c>
      <c r="G269" s="1324">
        <f>INDEX(AA!$E$13:$E$15,MATCH($C269,AA!$C$13:$C$15,0))</f>
        <v>1</v>
      </c>
      <c r="I269" s="72" t="s">
        <v>442</v>
      </c>
      <c r="K269" s="1324">
        <f>BW261</f>
        <v>1925462.7034918049</v>
      </c>
      <c r="S269" s="310">
        <f>K269</f>
        <v>1925462.7034918049</v>
      </c>
      <c r="T269" s="310">
        <f>(IF(S269&gt;0,S269,$S269)-T177-T184-T217)*T20</f>
        <v>1925462.7034918049</v>
      </c>
      <c r="U269" s="310">
        <f t="shared" ref="U269:BG269" si="129">(IF(T269&gt;0,T269,$S269)-U177-U184-U217)*U20</f>
        <v>1925462.7034918049</v>
      </c>
      <c r="V269" s="310">
        <f t="shared" si="129"/>
        <v>1925462.7034918049</v>
      </c>
      <c r="W269" s="310">
        <f t="shared" si="129"/>
        <v>1925462.7034918049</v>
      </c>
      <c r="X269" s="310">
        <f t="shared" si="129"/>
        <v>1925462.7034918049</v>
      </c>
      <c r="Y269" s="310">
        <f t="shared" si="129"/>
        <v>1925462.7034918049</v>
      </c>
      <c r="Z269" s="310">
        <f t="shared" si="129"/>
        <v>1925462.7034918049</v>
      </c>
      <c r="AA269" s="310">
        <f t="shared" si="129"/>
        <v>1925462.7034918049</v>
      </c>
      <c r="AB269" s="310">
        <f t="shared" si="129"/>
        <v>1925462.7034918049</v>
      </c>
      <c r="AC269" s="310">
        <f t="shared" si="129"/>
        <v>1925462.7034918049</v>
      </c>
      <c r="AD269" s="310">
        <f t="shared" si="129"/>
        <v>1925462.7034918049</v>
      </c>
      <c r="AE269" s="310">
        <f t="shared" si="129"/>
        <v>1925462.7034918049</v>
      </c>
      <c r="AF269" s="310">
        <f t="shared" si="129"/>
        <v>0</v>
      </c>
      <c r="AG269" s="310">
        <f t="shared" si="129"/>
        <v>0</v>
      </c>
      <c r="AH269" s="310">
        <f t="shared" si="129"/>
        <v>0</v>
      </c>
      <c r="AI269" s="310">
        <f t="shared" si="129"/>
        <v>0</v>
      </c>
      <c r="AJ269" s="310">
        <f t="shared" si="129"/>
        <v>0</v>
      </c>
      <c r="AK269" s="310">
        <f t="shared" si="129"/>
        <v>0</v>
      </c>
      <c r="AL269" s="310">
        <f t="shared" si="129"/>
        <v>0</v>
      </c>
      <c r="AM269" s="310">
        <f t="shared" si="129"/>
        <v>0</v>
      </c>
      <c r="AN269" s="310">
        <f t="shared" si="129"/>
        <v>0</v>
      </c>
      <c r="AO269" s="310">
        <f t="shared" si="129"/>
        <v>0</v>
      </c>
      <c r="AP269" s="310">
        <f t="shared" si="129"/>
        <v>0</v>
      </c>
      <c r="AQ269" s="310">
        <f t="shared" si="129"/>
        <v>0</v>
      </c>
      <c r="AR269" s="310">
        <f t="shared" si="129"/>
        <v>0</v>
      </c>
      <c r="AS269" s="310">
        <f t="shared" si="129"/>
        <v>0</v>
      </c>
      <c r="AT269" s="310">
        <f t="shared" si="129"/>
        <v>0</v>
      </c>
      <c r="AU269" s="310">
        <f t="shared" si="129"/>
        <v>0</v>
      </c>
      <c r="AV269" s="310">
        <f t="shared" si="129"/>
        <v>0</v>
      </c>
      <c r="AW269" s="310">
        <f t="shared" si="129"/>
        <v>0</v>
      </c>
      <c r="AX269" s="310">
        <f t="shared" si="129"/>
        <v>0</v>
      </c>
      <c r="AY269" s="310">
        <f t="shared" si="129"/>
        <v>0</v>
      </c>
      <c r="AZ269" s="310">
        <f t="shared" si="129"/>
        <v>0</v>
      </c>
      <c r="BA269" s="310">
        <f t="shared" si="129"/>
        <v>0</v>
      </c>
      <c r="BB269" s="310">
        <f t="shared" si="129"/>
        <v>0</v>
      </c>
      <c r="BC269" s="310">
        <f t="shared" si="129"/>
        <v>0</v>
      </c>
      <c r="BD269" s="310">
        <f t="shared" si="129"/>
        <v>0</v>
      </c>
      <c r="BE269" s="310">
        <f t="shared" si="129"/>
        <v>0</v>
      </c>
      <c r="BF269" s="310">
        <f t="shared" si="129"/>
        <v>0</v>
      </c>
      <c r="BG269" s="310">
        <f t="shared" si="129"/>
        <v>0</v>
      </c>
      <c r="BI269" s="238" t="s">
        <v>153</v>
      </c>
      <c r="BK269" s="333"/>
    </row>
    <row r="270" spans="2:77">
      <c r="C270" s="99">
        <f>AA!C14</f>
        <v>2</v>
      </c>
      <c r="E270" s="94" t="str">
        <f>INDEX(AA!$AC$13:$AC$15,MATCH($C270,AA!$C$13:$C$15,0))</f>
        <v>backup</v>
      </c>
      <c r="G270" s="1325">
        <f>INDEX(AA!$E$13:$E$15,MATCH($C270,AA!$C$13:$C$15,0))</f>
        <v>1</v>
      </c>
      <c r="I270" s="73" t="s">
        <v>442</v>
      </c>
      <c r="K270" s="1325">
        <f>BW262</f>
        <v>1879436.3987825688</v>
      </c>
      <c r="S270" s="310">
        <f t="shared" ref="S270:S271" si="130">K270</f>
        <v>1879436.3987825688</v>
      </c>
      <c r="T270" s="310">
        <f t="shared" ref="T270:BG270" si="131">(IF(S270&gt;0,S270,$S270)-T178-T185-T218)*T21</f>
        <v>0</v>
      </c>
      <c r="U270" s="310">
        <f t="shared" si="131"/>
        <v>1879436.3987825688</v>
      </c>
      <c r="V270" s="310">
        <f t="shared" si="131"/>
        <v>1879436.3987825688</v>
      </c>
      <c r="W270" s="310">
        <f t="shared" si="131"/>
        <v>1879436.3987825688</v>
      </c>
      <c r="X270" s="310">
        <f t="shared" si="131"/>
        <v>1879436.3987825688</v>
      </c>
      <c r="Y270" s="310">
        <f t="shared" si="131"/>
        <v>1879436.3987825688</v>
      </c>
      <c r="Z270" s="310">
        <f t="shared" si="131"/>
        <v>1879436.3987825688</v>
      </c>
      <c r="AA270" s="310">
        <f t="shared" si="131"/>
        <v>1879436.3987825688</v>
      </c>
      <c r="AB270" s="310">
        <f t="shared" si="131"/>
        <v>1879436.3987825688</v>
      </c>
      <c r="AC270" s="310">
        <f t="shared" si="131"/>
        <v>1879436.3987825688</v>
      </c>
      <c r="AD270" s="310">
        <f t="shared" si="131"/>
        <v>1879436.3987825688</v>
      </c>
      <c r="AE270" s="310">
        <f t="shared" si="131"/>
        <v>1879436.3987825688</v>
      </c>
      <c r="AF270" s="310">
        <f t="shared" si="131"/>
        <v>0</v>
      </c>
      <c r="AG270" s="310">
        <f t="shared" si="131"/>
        <v>0</v>
      </c>
      <c r="AH270" s="310">
        <f t="shared" si="131"/>
        <v>0</v>
      </c>
      <c r="AI270" s="310">
        <f t="shared" si="131"/>
        <v>0</v>
      </c>
      <c r="AJ270" s="310">
        <f t="shared" si="131"/>
        <v>0</v>
      </c>
      <c r="AK270" s="310">
        <f t="shared" si="131"/>
        <v>0</v>
      </c>
      <c r="AL270" s="310">
        <f t="shared" si="131"/>
        <v>0</v>
      </c>
      <c r="AM270" s="310">
        <f t="shared" si="131"/>
        <v>0</v>
      </c>
      <c r="AN270" s="310">
        <f t="shared" si="131"/>
        <v>0</v>
      </c>
      <c r="AO270" s="310">
        <f t="shared" si="131"/>
        <v>0</v>
      </c>
      <c r="AP270" s="310">
        <f t="shared" si="131"/>
        <v>0</v>
      </c>
      <c r="AQ270" s="310">
        <f t="shared" si="131"/>
        <v>0</v>
      </c>
      <c r="AR270" s="310">
        <f t="shared" si="131"/>
        <v>0</v>
      </c>
      <c r="AS270" s="310">
        <f t="shared" si="131"/>
        <v>0</v>
      </c>
      <c r="AT270" s="310">
        <f t="shared" si="131"/>
        <v>0</v>
      </c>
      <c r="AU270" s="310">
        <f t="shared" si="131"/>
        <v>0</v>
      </c>
      <c r="AV270" s="310">
        <f t="shared" si="131"/>
        <v>0</v>
      </c>
      <c r="AW270" s="310">
        <f t="shared" si="131"/>
        <v>0</v>
      </c>
      <c r="AX270" s="310">
        <f t="shared" si="131"/>
        <v>0</v>
      </c>
      <c r="AY270" s="310">
        <f t="shared" si="131"/>
        <v>0</v>
      </c>
      <c r="AZ270" s="310">
        <f t="shared" si="131"/>
        <v>0</v>
      </c>
      <c r="BA270" s="310">
        <f t="shared" si="131"/>
        <v>0</v>
      </c>
      <c r="BB270" s="310">
        <f t="shared" si="131"/>
        <v>0</v>
      </c>
      <c r="BC270" s="310">
        <f t="shared" si="131"/>
        <v>0</v>
      </c>
      <c r="BD270" s="310">
        <f t="shared" si="131"/>
        <v>0</v>
      </c>
      <c r="BE270" s="310">
        <f t="shared" si="131"/>
        <v>0</v>
      </c>
      <c r="BF270" s="310">
        <f t="shared" si="131"/>
        <v>0</v>
      </c>
      <c r="BG270" s="310">
        <f t="shared" si="131"/>
        <v>0</v>
      </c>
      <c r="BI270" s="240" t="s">
        <v>153</v>
      </c>
      <c r="BK270" s="334"/>
    </row>
    <row r="271" spans="2:77">
      <c r="C271" s="99">
        <f>AA!C15</f>
        <v>3</v>
      </c>
      <c r="E271" s="94" t="str">
        <f>INDEX(AA!$AC$13:$AC$15,MATCH($C271,AA!$C$13:$C$15,0))</f>
        <v>backup</v>
      </c>
      <c r="G271" s="1325">
        <f>INDEX(AA!$E$13:$E$15,MATCH($C271,AA!$C$13:$C$15,0))</f>
        <v>1</v>
      </c>
      <c r="I271" s="73" t="s">
        <v>442</v>
      </c>
      <c r="K271" s="1325">
        <f>BW263</f>
        <v>1849150.8977256261</v>
      </c>
      <c r="S271" s="310">
        <f t="shared" si="130"/>
        <v>1849150.8977256261</v>
      </c>
      <c r="T271" s="310">
        <f t="shared" ref="T271:BG271" si="132">(IF(S271&gt;0,S271,$S271)-T179-T186-T219)*T22</f>
        <v>0</v>
      </c>
      <c r="U271" s="310">
        <f t="shared" si="132"/>
        <v>0</v>
      </c>
      <c r="V271" s="310">
        <f t="shared" si="132"/>
        <v>1849150.8977256261</v>
      </c>
      <c r="W271" s="310">
        <f t="shared" si="132"/>
        <v>1849150.8977256261</v>
      </c>
      <c r="X271" s="310">
        <f t="shared" si="132"/>
        <v>1849150.8977256261</v>
      </c>
      <c r="Y271" s="310">
        <f t="shared" si="132"/>
        <v>1849150.8977256261</v>
      </c>
      <c r="Z271" s="310">
        <f t="shared" si="132"/>
        <v>1849150.8977256261</v>
      </c>
      <c r="AA271" s="310">
        <f t="shared" si="132"/>
        <v>1849150.8977256261</v>
      </c>
      <c r="AB271" s="310">
        <f t="shared" si="132"/>
        <v>1849150.8977256261</v>
      </c>
      <c r="AC271" s="310">
        <f t="shared" si="132"/>
        <v>1849150.8977256261</v>
      </c>
      <c r="AD271" s="310">
        <f t="shared" si="132"/>
        <v>1849150.8977256261</v>
      </c>
      <c r="AE271" s="310">
        <f t="shared" si="132"/>
        <v>1849150.8977256261</v>
      </c>
      <c r="AF271" s="310">
        <f t="shared" si="132"/>
        <v>0</v>
      </c>
      <c r="AG271" s="310">
        <f t="shared" si="132"/>
        <v>0</v>
      </c>
      <c r="AH271" s="310">
        <f t="shared" si="132"/>
        <v>0</v>
      </c>
      <c r="AI271" s="310">
        <f t="shared" si="132"/>
        <v>0</v>
      </c>
      <c r="AJ271" s="310">
        <f t="shared" si="132"/>
        <v>0</v>
      </c>
      <c r="AK271" s="310">
        <f t="shared" si="132"/>
        <v>0</v>
      </c>
      <c r="AL271" s="310">
        <f t="shared" si="132"/>
        <v>0</v>
      </c>
      <c r="AM271" s="310">
        <f t="shared" si="132"/>
        <v>0</v>
      </c>
      <c r="AN271" s="310">
        <f t="shared" si="132"/>
        <v>0</v>
      </c>
      <c r="AO271" s="310">
        <f t="shared" si="132"/>
        <v>0</v>
      </c>
      <c r="AP271" s="310">
        <f t="shared" si="132"/>
        <v>0</v>
      </c>
      <c r="AQ271" s="310">
        <f t="shared" si="132"/>
        <v>0</v>
      </c>
      <c r="AR271" s="310">
        <f t="shared" si="132"/>
        <v>0</v>
      </c>
      <c r="AS271" s="310">
        <f t="shared" si="132"/>
        <v>0</v>
      </c>
      <c r="AT271" s="310">
        <f t="shared" si="132"/>
        <v>0</v>
      </c>
      <c r="AU271" s="310">
        <f t="shared" si="132"/>
        <v>0</v>
      </c>
      <c r="AV271" s="310">
        <f t="shared" si="132"/>
        <v>0</v>
      </c>
      <c r="AW271" s="310">
        <f t="shared" si="132"/>
        <v>0</v>
      </c>
      <c r="AX271" s="310">
        <f t="shared" si="132"/>
        <v>0</v>
      </c>
      <c r="AY271" s="310">
        <f t="shared" si="132"/>
        <v>0</v>
      </c>
      <c r="AZ271" s="310">
        <f t="shared" si="132"/>
        <v>0</v>
      </c>
      <c r="BA271" s="310">
        <f t="shared" si="132"/>
        <v>0</v>
      </c>
      <c r="BB271" s="310">
        <f t="shared" si="132"/>
        <v>0</v>
      </c>
      <c r="BC271" s="310">
        <f t="shared" si="132"/>
        <v>0</v>
      </c>
      <c r="BD271" s="310">
        <f t="shared" si="132"/>
        <v>0</v>
      </c>
      <c r="BE271" s="310">
        <f t="shared" si="132"/>
        <v>0</v>
      </c>
      <c r="BF271" s="310">
        <f t="shared" si="132"/>
        <v>0</v>
      </c>
      <c r="BG271" s="310">
        <f t="shared" si="132"/>
        <v>0</v>
      </c>
      <c r="BI271" s="240" t="s">
        <v>153</v>
      </c>
      <c r="BK271" s="334"/>
    </row>
    <row r="272" spans="2:77">
      <c r="C272" s="1478"/>
      <c r="E272" s="1480"/>
      <c r="G272" s="1479"/>
      <c r="I272" s="1478"/>
      <c r="K272" s="367"/>
      <c r="BI272" s="268"/>
      <c r="BK272" s="268"/>
    </row>
    <row r="273" spans="2:63" s="90" customFormat="1">
      <c r="B273" s="91">
        <f ca="1">MAX(A$1:$B271)+1</f>
        <v>34</v>
      </c>
      <c r="C273" s="92" t="s">
        <v>501</v>
      </c>
    </row>
    <row r="275" spans="2:63" ht="30">
      <c r="C275" s="97" t="s">
        <v>4</v>
      </c>
      <c r="E275" s="97" t="s">
        <v>6</v>
      </c>
      <c r="G275" s="101" t="s">
        <v>272</v>
      </c>
      <c r="I275" s="101" t="s">
        <v>150</v>
      </c>
      <c r="BI275" s="327" t="s">
        <v>152</v>
      </c>
      <c r="BK275" s="332"/>
    </row>
    <row r="276" spans="2:63">
      <c r="C276" s="99">
        <f>AA!C13</f>
        <v>1</v>
      </c>
      <c r="E276" s="93" t="str">
        <f>INDEX(AA!$AC$13:$AC$15,MATCH($C276,AA!$C$13:$C$15,0))</f>
        <v>backup</v>
      </c>
      <c r="G276" s="1324">
        <f>INDEX(AA!$E$13:$E$15,MATCH($C276,AA!$C$13:$C$15,0))</f>
        <v>1</v>
      </c>
      <c r="I276" s="72" t="s">
        <v>503</v>
      </c>
      <c r="T276" s="403">
        <f>T132+T139+T146+T153+T169+T177+T184+T217+T225+T192+(T233+T243+T253)*(1-GA!$G$484)</f>
        <v>9133.0364048489646</v>
      </c>
      <c r="U276" s="403">
        <f>U132+U139+U146+U153+U169+U177+U184+U217+U225+U192+(U233+U243+U253)*(1-GA!$G$484)</f>
        <v>15422.10582177715</v>
      </c>
      <c r="V276" s="403">
        <f>V132+V139+V146+V153+V169+V177+V184+V217+V225+V192+(V233+V243+V253)*(1-GA!$G$484)</f>
        <v>17544.561344890019</v>
      </c>
      <c r="W276" s="403">
        <f>W132+W139+W146+W153+W169+W177+W184+W217+W225+W192+(W233+W243+W253)*(1-GA!$G$484)</f>
        <v>17562.902972381144</v>
      </c>
      <c r="X276" s="403">
        <f>X132+X139+X146+X153+X169+X177+X184+X217+X225+X192+(X233+X243+X253)*(1-GA!$G$484)</f>
        <v>17581.193718268325</v>
      </c>
      <c r="Y276" s="403">
        <f>Y132+Y139+Y146+Y153+Y169+Y177+Y184+Y217+Y225+Y192+(Y233+Y243+Y253)*(1-GA!$G$484)</f>
        <v>17599.43306469376</v>
      </c>
      <c r="Z276" s="403">
        <f>Z132+Z139+Z146+Z153+Z169+Z177+Z184+Z217+Z225+Z192+(Z233+Z243+Z253)*(1-GA!$G$484)</f>
        <v>17617.620490733472</v>
      </c>
      <c r="AA276" s="403">
        <f>AA132+AA139+AA146+AA153+AA169+AA177+AA184+AA217+AA225+AA192+(AA233+AA243+AA253)*(1-GA!$G$484)</f>
        <v>17635.75547238113</v>
      </c>
      <c r="AB276" s="403">
        <f>AB132+AB139+AB146+AB153+AB169+AB177+AB184+AB217+AB225+AB192+(AB233+AB243+AB253)*(1-GA!$G$484)</f>
        <v>17653.837482531813</v>
      </c>
      <c r="AC276" s="403">
        <f>AC132+AC139+AC146+AC153+AC169+AC177+AC184+AC217+AC225+AC192+(AC233+AC243+AC253)*(1-GA!$G$484)</f>
        <v>17671.865990965711</v>
      </c>
      <c r="AD276" s="403">
        <f>AD132+AD139+AD146+AD153+AD169+AD177+AD184+AD217+AD225+AD192+(AD233+AD243+AD253)*(1-GA!$G$484)</f>
        <v>17689.840464331759</v>
      </c>
      <c r="AE276" s="403">
        <f>AE132+AE139+AE146+AE153+AE169+AE177+AE184+AE217+AE225+AE192+(AE233+AE243+AE253)*(1-GA!$G$484)</f>
        <v>1243315.4027080052</v>
      </c>
      <c r="AF276" s="403">
        <f>AF132+AF139+AF146+AF153+AF169+AF177+AF184+AF217+AF225+AF192+(AF233+AF243+AF253)*(1-GA!$G$484)</f>
        <v>0</v>
      </c>
      <c r="AG276" s="403">
        <f>AG132+AG139+AG146+AG153+AG169+AG177+AG184+AG217+AG225+AG192+(AG233+AG243+AG253)*(1-GA!$G$484)</f>
        <v>0</v>
      </c>
      <c r="AH276" s="403">
        <f>AH132+AH139+AH146+AH153+AH169+AH177+AH184+AH217+AH225+AH192+(AH233+AH243+AH253)*(1-GA!$G$484)</f>
        <v>0</v>
      </c>
      <c r="AI276" s="403">
        <f>AI132+AI139+AI146+AI153+AI169+AI177+AI184+AI217+AI225+AI192+(AI233+AI243+AI253)*(1-GA!$G$484)</f>
        <v>0</v>
      </c>
      <c r="AJ276" s="403">
        <f>AJ132+AJ139+AJ146+AJ153+AJ169+AJ177+AJ184+AJ217+AJ225+AJ192+(AJ233+AJ243+AJ253)*(1-GA!$G$484)</f>
        <v>0</v>
      </c>
      <c r="AK276" s="403">
        <f>AK132+AK139+AK146+AK153+AK169+AK177+AK184+AK217+AK225+AK192+(AK233+AK243+AK253)*(1-GA!$G$484)</f>
        <v>0</v>
      </c>
      <c r="AL276" s="403">
        <f>AL132+AL139+AL146+AL153+AL169+AL177+AL184+AL217+AL225+AL192+(AL233+AL243+AL253)*(1-GA!$G$484)</f>
        <v>0</v>
      </c>
      <c r="AM276" s="403">
        <f>AM132+AM139+AM146+AM153+AM169+AM177+AM184+AM217+AM225+AM192+(AM233+AM243+AM253)*(1-GA!$G$484)</f>
        <v>0</v>
      </c>
      <c r="AN276" s="403">
        <f>AN132+AN139+AN146+AN153+AN169+AN177+AN184+AN217+AN225+AN192+(AN233+AN243+AN253)*(1-GA!$G$484)</f>
        <v>0</v>
      </c>
      <c r="AO276" s="403">
        <f>AO132+AO139+AO146+AO153+AO169+AO177+AO184+AO217+AO225+AO192+(AO233+AO243+AO253)*(1-GA!$G$484)</f>
        <v>0</v>
      </c>
      <c r="AP276" s="403">
        <f>AP132+AP139+AP146+AP153+AP169+AP177+AP184+AP217+AP225+AP192+(AP233+AP243+AP253)*(1-GA!$G$484)</f>
        <v>0</v>
      </c>
      <c r="AQ276" s="403">
        <f>AQ132+AQ139+AQ146+AQ153+AQ169+AQ177+AQ184+AQ217+AQ225+AQ192+(AQ233+AQ243+AQ253)*(1-GA!$G$484)</f>
        <v>0</v>
      </c>
      <c r="AR276" s="403">
        <f>AR132+AR139+AR146+AR153+AR169+AR177+AR184+AR217+AR225+AR192+(AR233+AR243+AR253)*(1-GA!$G$484)</f>
        <v>0</v>
      </c>
      <c r="AS276" s="403">
        <f>AS132+AS139+AS146+AS153+AS169+AS177+AS184+AS217+AS225+AS192+(AS233+AS243+AS253)*(1-GA!$G$484)</f>
        <v>0</v>
      </c>
      <c r="AT276" s="403">
        <f>AT132+AT139+AT146+AT153+AT169+AT177+AT184+AT217+AT225+AT192+(AT233+AT243+AT253)*(1-GA!$G$484)</f>
        <v>0</v>
      </c>
      <c r="AU276" s="403">
        <f>AU132+AU139+AU146+AU153+AU169+AU177+AU184+AU217+AU225+AU192+(AU233+AU243+AU253)*(1-GA!$G$484)</f>
        <v>0</v>
      </c>
      <c r="AV276" s="403">
        <f>AV132+AV139+AV146+AV153+AV169+AV177+AV184+AV217+AV225+AV192+(AV233+AV243+AV253)*(1-GA!$G$484)</f>
        <v>0</v>
      </c>
      <c r="AW276" s="403">
        <f>AW132+AW139+AW146+AW153+AW169+AW177+AW184+AW217+AW225+AW192+(AW233+AW243+AW253)*(1-GA!$G$484)</f>
        <v>0</v>
      </c>
      <c r="AX276" s="403">
        <f>AX132+AX139+AX146+AX153+AX169+AX177+AX184+AX217+AX225+AX192+(AX233+AX243+AX253)*(1-GA!$G$484)</f>
        <v>0</v>
      </c>
      <c r="AY276" s="403">
        <f>AY132+AY139+AY146+AY153+AY169+AY177+AY184+AY217+AY225+AY192+(AY233+AY243+AY253)*(1-GA!$G$484)</f>
        <v>0</v>
      </c>
      <c r="AZ276" s="403">
        <f>AZ132+AZ139+AZ146+AZ153+AZ169+AZ177+AZ184+AZ217+AZ225+AZ192+(AZ233+AZ243+AZ253)*(1-GA!$G$484)</f>
        <v>0</v>
      </c>
      <c r="BA276" s="403">
        <f>BA132+BA139+BA146+BA153+BA169+BA177+BA184+BA217+BA225+BA192+(BA233+BA243+BA253)*(1-GA!$G$484)</f>
        <v>0</v>
      </c>
      <c r="BB276" s="403">
        <f>BB132+BB139+BB146+BB153+BB169+BB177+BB184+BB217+BB225+BB192+(BB233+BB243+BB253)*(1-GA!$G$484)</f>
        <v>0</v>
      </c>
      <c r="BC276" s="403">
        <f>BC132+BC139+BC146+BC153+BC169+BC177+BC184+BC217+BC225+BC192+(BC233+BC243+BC253)*(1-GA!$G$484)</f>
        <v>0</v>
      </c>
      <c r="BD276" s="403">
        <f>BD132+BD139+BD146+BD153+BD169+BD177+BD184+BD217+BD225+BD192+(BD233+BD243+BD253)*(1-GA!$G$484)</f>
        <v>0</v>
      </c>
      <c r="BE276" s="403">
        <f>BE132+BE139+BE146+BE153+BE169+BE177+BE184+BE217+BE225+BE192+(BE233+BE243+BE253)*(1-GA!$G$484)</f>
        <v>0</v>
      </c>
      <c r="BF276" s="403">
        <f>BF132+BF139+BF146+BF153+BF169+BF177+BF184+BF217+BF225+BF192+(BF233+BF243+BF253)*(1-GA!$G$484)</f>
        <v>0</v>
      </c>
      <c r="BG276" s="403">
        <f>BG132+BG139+BG146+BG153+BG169+BG177+BG184+BG217+BG225+BG192+(BG233+BG243+BG253)*(1-GA!$G$484)</f>
        <v>0</v>
      </c>
      <c r="BI276" s="238">
        <f t="shared" ref="BI276:BI277" si="133">SUM(T276:BG276)</f>
        <v>1426427.5559358085</v>
      </c>
      <c r="BK276" s="333"/>
    </row>
    <row r="277" spans="2:63">
      <c r="C277" s="99">
        <f>AA!C14</f>
        <v>2</v>
      </c>
      <c r="E277" s="94" t="str">
        <f>INDEX(AA!$AC$13:$AC$15,MATCH($C277,AA!$C$13:$C$15,0))</f>
        <v>backup</v>
      </c>
      <c r="G277" s="1325">
        <f>INDEX(AA!$E$13:$E$15,MATCH($C277,AA!$C$13:$C$15,0))</f>
        <v>1</v>
      </c>
      <c r="I277" s="73" t="s">
        <v>503</v>
      </c>
      <c r="T277" s="403">
        <f>T133+T140+T147+T154+T170+T178+T185+T218+T226+T193+(T234+T244+T254)*(1-GA!$G$484)</f>
        <v>0</v>
      </c>
      <c r="U277" s="403">
        <f>U133+U140+U147+U154+U170+U178+U185+U218+U226+U193+(U234+U244+U254)*(1-GA!$G$484)</f>
        <v>14905.498027888541</v>
      </c>
      <c r="V277" s="403">
        <f>V133+V140+V147+V154+V170+V178+V185+V218+V226+V193+(V234+V244+V254)*(1-GA!$G$484)</f>
        <v>17027.391674695398</v>
      </c>
      <c r="W277" s="403">
        <f>W133+W140+W147+W154+W170+W178+W185+W218+W226+W193+(W234+W244+W254)*(1-GA!$G$484)</f>
        <v>17045.17270091307</v>
      </c>
      <c r="X277" s="403">
        <f>X133+X140+X147+X154+X170+X178+X185+X218+X226+X193+(X234+X244+X254)*(1-GA!$G$484)</f>
        <v>17062.90413448515</v>
      </c>
      <c r="Y277" s="403">
        <f>Y133+Y140+Y147+Y154+Y170+Y178+Y185+Y218+Y226+Y193+(Y234+Y244+Y254)*(1-GA!$G$484)</f>
        <v>17080.585471562943</v>
      </c>
      <c r="Z277" s="403">
        <f>Z133+Z140+Z147+Z154+Z170+Z178+Z185+Z218+Z226+Z193+(Z234+Z244+Z254)*(1-GA!$G$484)</f>
        <v>17098.216205315333</v>
      </c>
      <c r="AA277" s="403">
        <f>AA133+AA140+AA147+AA154+AA170+AA178+AA185+AA218+AA226+AA193+(AA234+AA244+AA254)*(1-GA!$G$484)</f>
        <v>17115.795825913061</v>
      </c>
      <c r="AB277" s="403">
        <f>AB133+AB140+AB147+AB154+AB170+AB178+AB185+AB218+AB226+AB193+(AB234+AB244+AB254)*(1-GA!$G$484)</f>
        <v>17133.323820512906</v>
      </c>
      <c r="AC277" s="403">
        <f>AC133+AC140+AC147+AC154+AC170+AC178+AC185+AC218+AC226+AC193+(AC234+AC244+AC254)*(1-GA!$G$484)</f>
        <v>17150.799673241883</v>
      </c>
      <c r="AD277" s="403">
        <f>AD133+AD140+AD147+AD154+AD170+AD178+AD185+AD218+AD226+AD193+(AD234+AD244+AD254)*(1-GA!$G$484)</f>
        <v>17168.222865181262</v>
      </c>
      <c r="AE277" s="403">
        <f>AE133+AE140+AE147+AE154+AE170+AE178+AE185+AE218+AE226+AE193+(AE234+AE244+AE254)*(1-GA!$G$484)</f>
        <v>1242793.2352162246</v>
      </c>
      <c r="AF277" s="403">
        <f>AF133+AF140+AF147+AF154+AF170+AF178+AF185+AF218+AF226+AF193+(AF234+AF244+AF254)*(1-GA!$G$484)</f>
        <v>0</v>
      </c>
      <c r="AG277" s="403">
        <f>AG133+AG140+AG147+AG154+AG170+AG178+AG185+AG218+AG226+AG193+(AG234+AG244+AG254)*(1-GA!$G$484)</f>
        <v>0</v>
      </c>
      <c r="AH277" s="403">
        <f>AH133+AH140+AH147+AH154+AH170+AH178+AH185+AH218+AH226+AH193+(AH234+AH244+AH254)*(1-GA!$G$484)</f>
        <v>0</v>
      </c>
      <c r="AI277" s="403">
        <f>AI133+AI140+AI147+AI154+AI170+AI178+AI185+AI218+AI226+AI193+(AI234+AI244+AI254)*(1-GA!$G$484)</f>
        <v>0</v>
      </c>
      <c r="AJ277" s="403">
        <f>AJ133+AJ140+AJ147+AJ154+AJ170+AJ178+AJ185+AJ218+AJ226+AJ193+(AJ234+AJ244+AJ254)*(1-GA!$G$484)</f>
        <v>0</v>
      </c>
      <c r="AK277" s="403">
        <f>AK133+AK140+AK147+AK154+AK170+AK178+AK185+AK218+AK226+AK193+(AK234+AK244+AK254)*(1-GA!$G$484)</f>
        <v>0</v>
      </c>
      <c r="AL277" s="403">
        <f>AL133+AL140+AL147+AL154+AL170+AL178+AL185+AL218+AL226+AL193+(AL234+AL244+AL254)*(1-GA!$G$484)</f>
        <v>0</v>
      </c>
      <c r="AM277" s="403">
        <f>AM133+AM140+AM147+AM154+AM170+AM178+AM185+AM218+AM226+AM193+(AM234+AM244+AM254)*(1-GA!$G$484)</f>
        <v>0</v>
      </c>
      <c r="AN277" s="403">
        <f>AN133+AN140+AN147+AN154+AN170+AN178+AN185+AN218+AN226+AN193+(AN234+AN244+AN254)*(1-GA!$G$484)</f>
        <v>0</v>
      </c>
      <c r="AO277" s="403">
        <f>AO133+AO140+AO147+AO154+AO170+AO178+AO185+AO218+AO226+AO193+(AO234+AO244+AO254)*(1-GA!$G$484)</f>
        <v>0</v>
      </c>
      <c r="AP277" s="403">
        <f>AP133+AP140+AP147+AP154+AP170+AP178+AP185+AP218+AP226+AP193+(AP234+AP244+AP254)*(1-GA!$G$484)</f>
        <v>0</v>
      </c>
      <c r="AQ277" s="403">
        <f>AQ133+AQ140+AQ147+AQ154+AQ170+AQ178+AQ185+AQ218+AQ226+AQ193+(AQ234+AQ244+AQ254)*(1-GA!$G$484)</f>
        <v>0</v>
      </c>
      <c r="AR277" s="403">
        <f>AR133+AR140+AR147+AR154+AR170+AR178+AR185+AR218+AR226+AR193+(AR234+AR244+AR254)*(1-GA!$G$484)</f>
        <v>0</v>
      </c>
      <c r="AS277" s="403">
        <f>AS133+AS140+AS147+AS154+AS170+AS178+AS185+AS218+AS226+AS193+(AS234+AS244+AS254)*(1-GA!$G$484)</f>
        <v>0</v>
      </c>
      <c r="AT277" s="403">
        <f>AT133+AT140+AT147+AT154+AT170+AT178+AT185+AT218+AT226+AT193+(AT234+AT244+AT254)*(1-GA!$G$484)</f>
        <v>0</v>
      </c>
      <c r="AU277" s="403">
        <f>AU133+AU140+AU147+AU154+AU170+AU178+AU185+AU218+AU226+AU193+(AU234+AU244+AU254)*(1-GA!$G$484)</f>
        <v>0</v>
      </c>
      <c r="AV277" s="403">
        <f>AV133+AV140+AV147+AV154+AV170+AV178+AV185+AV218+AV226+AV193+(AV234+AV244+AV254)*(1-GA!$G$484)</f>
        <v>0</v>
      </c>
      <c r="AW277" s="403">
        <f>AW133+AW140+AW147+AW154+AW170+AW178+AW185+AW218+AW226+AW193+(AW234+AW244+AW254)*(1-GA!$G$484)</f>
        <v>0</v>
      </c>
      <c r="AX277" s="403">
        <f>AX133+AX140+AX147+AX154+AX170+AX178+AX185+AX218+AX226+AX193+(AX234+AX244+AX254)*(1-GA!$G$484)</f>
        <v>0</v>
      </c>
      <c r="AY277" s="403">
        <f>AY133+AY140+AY147+AY154+AY170+AY178+AY185+AY218+AY226+AY193+(AY234+AY244+AY254)*(1-GA!$G$484)</f>
        <v>0</v>
      </c>
      <c r="AZ277" s="403">
        <f>AZ133+AZ140+AZ147+AZ154+AZ170+AZ178+AZ185+AZ218+AZ226+AZ193+(AZ234+AZ244+AZ254)*(1-GA!$G$484)</f>
        <v>0</v>
      </c>
      <c r="BA277" s="403">
        <f>BA133+BA140+BA147+BA154+BA170+BA178+BA185+BA218+BA226+BA193+(BA234+BA244+BA254)*(1-GA!$G$484)</f>
        <v>0</v>
      </c>
      <c r="BB277" s="403">
        <f>BB133+BB140+BB147+BB154+BB170+BB178+BB185+BB218+BB226+BB193+(BB234+BB244+BB254)*(1-GA!$G$484)</f>
        <v>0</v>
      </c>
      <c r="BC277" s="403">
        <f>BC133+BC140+BC147+BC154+BC170+BC178+BC185+BC218+BC226+BC193+(BC234+BC244+BC254)*(1-GA!$G$484)</f>
        <v>0</v>
      </c>
      <c r="BD277" s="403">
        <f>BD133+BD140+BD147+BD154+BD170+BD178+BD185+BD218+BD226+BD193+(BD234+BD244+BD254)*(1-GA!$G$484)</f>
        <v>0</v>
      </c>
      <c r="BE277" s="403">
        <f>BE133+BE140+BE147+BE154+BE170+BE178+BE185+BE218+BE226+BE193+(BE234+BE244+BE254)*(1-GA!$G$484)</f>
        <v>0</v>
      </c>
      <c r="BF277" s="403">
        <f>BF133+BF140+BF147+BF154+BF170+BF178+BF185+BF218+BF226+BF193+(BF234+BF244+BF254)*(1-GA!$G$484)</f>
        <v>0</v>
      </c>
      <c r="BG277" s="403">
        <f>BG133+BG140+BG147+BG154+BG170+BG178+BG185+BG218+BG226+BG193+(BG234+BG244+BG254)*(1-GA!$G$484)</f>
        <v>0</v>
      </c>
      <c r="BI277" s="240">
        <f t="shared" si="133"/>
        <v>1411581.1456159342</v>
      </c>
      <c r="BK277" s="334"/>
    </row>
    <row r="278" spans="2:63">
      <c r="C278" s="99">
        <f>AA!C15</f>
        <v>3</v>
      </c>
      <c r="E278" s="94" t="str">
        <f>INDEX(AA!$AC$13:$AC$15,MATCH($C278,AA!$C$13:$C$15,0))</f>
        <v>backup</v>
      </c>
      <c r="G278" s="1325">
        <f>INDEX(AA!$E$13:$E$15,MATCH($C278,AA!$C$13:$C$15,0))</f>
        <v>1</v>
      </c>
      <c r="I278" s="73" t="s">
        <v>503</v>
      </c>
      <c r="T278" s="403">
        <f>T134+T141+T148+T155+T171+T179+T186+T219+T227+T194+(T235+T245+T255)*(1-GA!$G$484)</f>
        <v>0</v>
      </c>
      <c r="U278" s="403">
        <f>U134+U141+U148+U155+U171+U179+U186+U219+U227+U194+(U235+U245+U255)*(1-GA!$G$484)</f>
        <v>0</v>
      </c>
      <c r="V278" s="403">
        <f>V134+V141+V148+V155+V171+V179+V186+V219+V227+V194+(V235+V245+V255)*(1-GA!$G$484)</f>
        <v>17432.702255411175</v>
      </c>
      <c r="W278" s="403">
        <f>W134+W141+W148+W155+W171+W179+W186+W219+W227+W194+(W235+W245+W255)*(1-GA!$G$484)</f>
        <v>17453.043076705777</v>
      </c>
      <c r="X278" s="403">
        <f>X134+X141+X148+X155+X171+X179+X186+X219+X227+X194+(X235+X245+X255)*(1-GA!$G$484)</f>
        <v>17473.348245337758</v>
      </c>
      <c r="Y278" s="403">
        <f>Y134+Y141+Y148+Y155+Y171+Y179+Y186+Y219+Y227+Y194+(Y235+Y245+Y255)*(1-GA!$G$484)</f>
        <v>17493.617328952452</v>
      </c>
      <c r="Z278" s="403">
        <f>Z134+Z141+Z148+Z155+Z171+Z179+Z186+Z219+Z227+Z194+(Z235+Z245+Z255)*(1-GA!$G$484)</f>
        <v>17513.849892571849</v>
      </c>
      <c r="AA278" s="403">
        <f>AA134+AA141+AA148+AA155+AA171+AA179+AA186+AA219+AA227+AA194+(AA235+AA245+AA255)*(1-GA!$G$484)</f>
        <v>17534.045498580766</v>
      </c>
      <c r="AB278" s="403">
        <f>AB134+AB141+AB148+AB155+AB171+AB179+AB186+AB219+AB227+AB194+(AB235+AB245+AB255)*(1-GA!$G$484)</f>
        <v>17554.203706712789</v>
      </c>
      <c r="AC278" s="403">
        <f>AC134+AC141+AC148+AC155+AC171+AC179+AC186+AC219+AC227+AC194+(AC235+AC245+AC255)*(1-GA!$G$484)</f>
        <v>17574.324074036256</v>
      </c>
      <c r="AD278" s="403">
        <f>AD134+AD141+AD148+AD155+AD171+AD179+AD186+AD219+AD227+AD194+(AD235+AD245+AD255)*(1-GA!$G$484)</f>
        <v>17594.406154940141</v>
      </c>
      <c r="AE278" s="403">
        <f>AE134+AE141+AE148+AE155+AE171+AE179+AE186+AE219+AE227+AE194+(AE235+AE245+AE255)*(1-GA!$G$484)</f>
        <v>1243222.0918429939</v>
      </c>
      <c r="AF278" s="403">
        <f>AF134+AF141+AF148+AF155+AF171+AF179+AF186+AF219+AF227+AF194+(AF235+AF245+AF255)*(1-GA!$G$484)</f>
        <v>0</v>
      </c>
      <c r="AG278" s="403">
        <f>AG134+AG141+AG148+AG155+AG171+AG179+AG186+AG219+AG227+AG194+(AG235+AG245+AG255)*(1-GA!$G$484)</f>
        <v>0</v>
      </c>
      <c r="AH278" s="403">
        <f>AH134+AH141+AH148+AH155+AH171+AH179+AH186+AH219+AH227+AH194+(AH235+AH245+AH255)*(1-GA!$G$484)</f>
        <v>0</v>
      </c>
      <c r="AI278" s="403">
        <f>AI134+AI141+AI148+AI155+AI171+AI179+AI186+AI219+AI227+AI194+(AI235+AI245+AI255)*(1-GA!$G$484)</f>
        <v>0</v>
      </c>
      <c r="AJ278" s="403">
        <f>AJ134+AJ141+AJ148+AJ155+AJ171+AJ179+AJ186+AJ219+AJ227+AJ194+(AJ235+AJ245+AJ255)*(1-GA!$G$484)</f>
        <v>0</v>
      </c>
      <c r="AK278" s="403">
        <f>AK134+AK141+AK148+AK155+AK171+AK179+AK186+AK219+AK227+AK194+(AK235+AK245+AK255)*(1-GA!$G$484)</f>
        <v>0</v>
      </c>
      <c r="AL278" s="403">
        <f>AL134+AL141+AL148+AL155+AL171+AL179+AL186+AL219+AL227+AL194+(AL235+AL245+AL255)*(1-GA!$G$484)</f>
        <v>0</v>
      </c>
      <c r="AM278" s="403">
        <f>AM134+AM141+AM148+AM155+AM171+AM179+AM186+AM219+AM227+AM194+(AM235+AM245+AM255)*(1-GA!$G$484)</f>
        <v>0</v>
      </c>
      <c r="AN278" s="403">
        <f>AN134+AN141+AN148+AN155+AN171+AN179+AN186+AN219+AN227+AN194+(AN235+AN245+AN255)*(1-GA!$G$484)</f>
        <v>0</v>
      </c>
      <c r="AO278" s="403">
        <f>AO134+AO141+AO148+AO155+AO171+AO179+AO186+AO219+AO227+AO194+(AO235+AO245+AO255)*(1-GA!$G$484)</f>
        <v>0</v>
      </c>
      <c r="AP278" s="403">
        <f>AP134+AP141+AP148+AP155+AP171+AP179+AP186+AP219+AP227+AP194+(AP235+AP245+AP255)*(1-GA!$G$484)</f>
        <v>0</v>
      </c>
      <c r="AQ278" s="403">
        <f>AQ134+AQ141+AQ148+AQ155+AQ171+AQ179+AQ186+AQ219+AQ227+AQ194+(AQ235+AQ245+AQ255)*(1-GA!$G$484)</f>
        <v>0</v>
      </c>
      <c r="AR278" s="403">
        <f>AR134+AR141+AR148+AR155+AR171+AR179+AR186+AR219+AR227+AR194+(AR235+AR245+AR255)*(1-GA!$G$484)</f>
        <v>0</v>
      </c>
      <c r="AS278" s="403">
        <f>AS134+AS141+AS148+AS155+AS171+AS179+AS186+AS219+AS227+AS194+(AS235+AS245+AS255)*(1-GA!$G$484)</f>
        <v>0</v>
      </c>
      <c r="AT278" s="403">
        <f>AT134+AT141+AT148+AT155+AT171+AT179+AT186+AT219+AT227+AT194+(AT235+AT245+AT255)*(1-GA!$G$484)</f>
        <v>0</v>
      </c>
      <c r="AU278" s="403">
        <f>AU134+AU141+AU148+AU155+AU171+AU179+AU186+AU219+AU227+AU194+(AU235+AU245+AU255)*(1-GA!$G$484)</f>
        <v>0</v>
      </c>
      <c r="AV278" s="403">
        <f>AV134+AV141+AV148+AV155+AV171+AV179+AV186+AV219+AV227+AV194+(AV235+AV245+AV255)*(1-GA!$G$484)</f>
        <v>0</v>
      </c>
      <c r="AW278" s="403">
        <f>AW134+AW141+AW148+AW155+AW171+AW179+AW186+AW219+AW227+AW194+(AW235+AW245+AW255)*(1-GA!$G$484)</f>
        <v>0</v>
      </c>
      <c r="AX278" s="403">
        <f>AX134+AX141+AX148+AX155+AX171+AX179+AX186+AX219+AX227+AX194+(AX235+AX245+AX255)*(1-GA!$G$484)</f>
        <v>0</v>
      </c>
      <c r="AY278" s="403">
        <f>AY134+AY141+AY148+AY155+AY171+AY179+AY186+AY219+AY227+AY194+(AY235+AY245+AY255)*(1-GA!$G$484)</f>
        <v>0</v>
      </c>
      <c r="AZ278" s="403">
        <f>AZ134+AZ141+AZ148+AZ155+AZ171+AZ179+AZ186+AZ219+AZ227+AZ194+(AZ235+AZ245+AZ255)*(1-GA!$G$484)</f>
        <v>0</v>
      </c>
      <c r="BA278" s="403">
        <f>BA134+BA141+BA148+BA155+BA171+BA179+BA186+BA219+BA227+BA194+(BA235+BA245+BA255)*(1-GA!$G$484)</f>
        <v>0</v>
      </c>
      <c r="BB278" s="403">
        <f>BB134+BB141+BB148+BB155+BB171+BB179+BB186+BB219+BB227+BB194+(BB235+BB245+BB255)*(1-GA!$G$484)</f>
        <v>0</v>
      </c>
      <c r="BC278" s="403">
        <f>BC134+BC141+BC148+BC155+BC171+BC179+BC186+BC219+BC227+BC194+(BC235+BC245+BC255)*(1-GA!$G$484)</f>
        <v>0</v>
      </c>
      <c r="BD278" s="403">
        <f>BD134+BD141+BD148+BD155+BD171+BD179+BD186+BD219+BD227+BD194+(BD235+BD245+BD255)*(1-GA!$G$484)</f>
        <v>0</v>
      </c>
      <c r="BE278" s="403">
        <f>BE134+BE141+BE148+BE155+BE171+BE179+BE186+BE219+BE227+BE194+(BE235+BE245+BE255)*(1-GA!$G$484)</f>
        <v>0</v>
      </c>
      <c r="BF278" s="403">
        <f>BF134+BF141+BF148+BF155+BF171+BF179+BF186+BF219+BF227+BF194+(BF235+BF245+BF255)*(1-GA!$G$484)</f>
        <v>0</v>
      </c>
      <c r="BG278" s="403">
        <f>BG134+BG141+BG148+BG155+BG171+BG179+BG186+BG219+BG227+BG194+(BG235+BG245+BG255)*(1-GA!$G$484)</f>
        <v>0</v>
      </c>
      <c r="BI278" s="240">
        <f t="shared" ref="BI278" si="134">SUM(T278:BG278)</f>
        <v>1400845.6320762429</v>
      </c>
      <c r="BK278" s="334"/>
    </row>
    <row r="279" spans="2:63">
      <c r="C279" s="269"/>
      <c r="E279" s="269"/>
      <c r="G279" s="269"/>
      <c r="I279" s="269"/>
      <c r="BI279" s="269"/>
      <c r="BK279" s="269"/>
    </row>
    <row r="281" spans="2:63" s="90" customFormat="1">
      <c r="B281" s="91">
        <f ca="1">MAX(A$1:$B273)+1</f>
        <v>35</v>
      </c>
      <c r="C281" s="92" t="s">
        <v>504</v>
      </c>
    </row>
    <row r="283" spans="2:63">
      <c r="I283" s="363" t="s">
        <v>147</v>
      </c>
      <c r="K283" t="s">
        <v>505</v>
      </c>
      <c r="T283" s="310">
        <f t="shared" ref="T283:BG283" si="135">SUMIFS(T$20:T$278,$I$20:$I$278,$I283)</f>
        <v>1</v>
      </c>
      <c r="U283" s="310">
        <f t="shared" si="135"/>
        <v>2</v>
      </c>
      <c r="V283" s="310">
        <f t="shared" si="135"/>
        <v>3</v>
      </c>
      <c r="W283" s="310">
        <f t="shared" si="135"/>
        <v>3</v>
      </c>
      <c r="X283" s="310">
        <f t="shared" si="135"/>
        <v>3</v>
      </c>
      <c r="Y283" s="310">
        <f t="shared" si="135"/>
        <v>3</v>
      </c>
      <c r="Z283" s="310">
        <f t="shared" si="135"/>
        <v>3</v>
      </c>
      <c r="AA283" s="310">
        <f t="shared" si="135"/>
        <v>3</v>
      </c>
      <c r="AB283" s="310">
        <f t="shared" si="135"/>
        <v>3</v>
      </c>
      <c r="AC283" s="310">
        <f t="shared" si="135"/>
        <v>3</v>
      </c>
      <c r="AD283" s="310">
        <f t="shared" si="135"/>
        <v>3</v>
      </c>
      <c r="AE283" s="310">
        <f t="shared" si="135"/>
        <v>3</v>
      </c>
      <c r="AF283" s="310">
        <f t="shared" si="135"/>
        <v>0</v>
      </c>
      <c r="AG283" s="310">
        <f t="shared" si="135"/>
        <v>0</v>
      </c>
      <c r="AH283" s="310">
        <f t="shared" si="135"/>
        <v>0</v>
      </c>
      <c r="AI283" s="310">
        <f t="shared" si="135"/>
        <v>0</v>
      </c>
      <c r="AJ283" s="310">
        <f t="shared" si="135"/>
        <v>0</v>
      </c>
      <c r="AK283" s="310">
        <f t="shared" si="135"/>
        <v>0</v>
      </c>
      <c r="AL283" s="310">
        <f t="shared" si="135"/>
        <v>0</v>
      </c>
      <c r="AM283" s="310">
        <f t="shared" si="135"/>
        <v>0</v>
      </c>
      <c r="AN283" s="310">
        <f t="shared" si="135"/>
        <v>0</v>
      </c>
      <c r="AO283" s="310">
        <f t="shared" si="135"/>
        <v>0</v>
      </c>
      <c r="AP283" s="310">
        <f t="shared" si="135"/>
        <v>0</v>
      </c>
      <c r="AQ283" s="310">
        <f t="shared" si="135"/>
        <v>0</v>
      </c>
      <c r="AR283" s="310">
        <f t="shared" si="135"/>
        <v>0</v>
      </c>
      <c r="AS283" s="310">
        <f t="shared" si="135"/>
        <v>0</v>
      </c>
      <c r="AT283" s="310">
        <f t="shared" si="135"/>
        <v>0</v>
      </c>
      <c r="AU283" s="310">
        <f t="shared" si="135"/>
        <v>0</v>
      </c>
      <c r="AV283" s="310">
        <f t="shared" si="135"/>
        <v>0</v>
      </c>
      <c r="AW283" s="310">
        <f t="shared" si="135"/>
        <v>0</v>
      </c>
      <c r="AX283" s="310">
        <f t="shared" si="135"/>
        <v>0</v>
      </c>
      <c r="AY283" s="310">
        <f t="shared" si="135"/>
        <v>0</v>
      </c>
      <c r="AZ283" s="310">
        <f t="shared" si="135"/>
        <v>0</v>
      </c>
      <c r="BA283" s="310">
        <f t="shared" si="135"/>
        <v>0</v>
      </c>
      <c r="BB283" s="310">
        <f t="shared" si="135"/>
        <v>0</v>
      </c>
      <c r="BC283" s="310">
        <f t="shared" si="135"/>
        <v>0</v>
      </c>
      <c r="BD283" s="310">
        <f t="shared" si="135"/>
        <v>0</v>
      </c>
      <c r="BE283" s="310">
        <f t="shared" si="135"/>
        <v>0</v>
      </c>
      <c r="BF283" s="310">
        <f t="shared" si="135"/>
        <v>0</v>
      </c>
      <c r="BG283" s="310">
        <f t="shared" si="135"/>
        <v>0</v>
      </c>
    </row>
    <row r="284" spans="2:63">
      <c r="K284" t="s">
        <v>506</v>
      </c>
      <c r="T284" s="310">
        <f>U283</f>
        <v>2</v>
      </c>
      <c r="U284" s="310">
        <f t="shared" ref="U284:BG284" si="136">V283</f>
        <v>3</v>
      </c>
      <c r="V284" s="310">
        <f t="shared" si="136"/>
        <v>3</v>
      </c>
      <c r="W284" s="310">
        <f t="shared" si="136"/>
        <v>3</v>
      </c>
      <c r="X284" s="310">
        <f t="shared" si="136"/>
        <v>3</v>
      </c>
      <c r="Y284" s="310">
        <f t="shared" si="136"/>
        <v>3</v>
      </c>
      <c r="Z284" s="310">
        <f t="shared" si="136"/>
        <v>3</v>
      </c>
      <c r="AA284" s="310">
        <f t="shared" si="136"/>
        <v>3</v>
      </c>
      <c r="AB284" s="310">
        <f t="shared" si="136"/>
        <v>3</v>
      </c>
      <c r="AC284" s="310">
        <f t="shared" si="136"/>
        <v>3</v>
      </c>
      <c r="AD284" s="310">
        <f t="shared" si="136"/>
        <v>3</v>
      </c>
      <c r="AE284" s="310">
        <f t="shared" si="136"/>
        <v>0</v>
      </c>
      <c r="AF284" s="310">
        <f t="shared" si="136"/>
        <v>0</v>
      </c>
      <c r="AG284" s="310">
        <f t="shared" si="136"/>
        <v>0</v>
      </c>
      <c r="AH284" s="310">
        <f t="shared" si="136"/>
        <v>0</v>
      </c>
      <c r="AI284" s="310">
        <f t="shared" si="136"/>
        <v>0</v>
      </c>
      <c r="AJ284" s="310">
        <f t="shared" si="136"/>
        <v>0</v>
      </c>
      <c r="AK284" s="310">
        <f t="shared" si="136"/>
        <v>0</v>
      </c>
      <c r="AL284" s="310">
        <f t="shared" si="136"/>
        <v>0</v>
      </c>
      <c r="AM284" s="310">
        <f t="shared" si="136"/>
        <v>0</v>
      </c>
      <c r="AN284" s="310">
        <f t="shared" si="136"/>
        <v>0</v>
      </c>
      <c r="AO284" s="310">
        <f t="shared" si="136"/>
        <v>0</v>
      </c>
      <c r="AP284" s="310">
        <f t="shared" si="136"/>
        <v>0</v>
      </c>
      <c r="AQ284" s="310">
        <f t="shared" si="136"/>
        <v>0</v>
      </c>
      <c r="AR284" s="310">
        <f t="shared" si="136"/>
        <v>0</v>
      </c>
      <c r="AS284" s="310">
        <f t="shared" si="136"/>
        <v>0</v>
      </c>
      <c r="AT284" s="310">
        <f t="shared" si="136"/>
        <v>0</v>
      </c>
      <c r="AU284" s="310">
        <f t="shared" si="136"/>
        <v>0</v>
      </c>
      <c r="AV284" s="310">
        <f t="shared" si="136"/>
        <v>0</v>
      </c>
      <c r="AW284" s="310">
        <f t="shared" si="136"/>
        <v>0</v>
      </c>
      <c r="AX284" s="310">
        <f t="shared" si="136"/>
        <v>0</v>
      </c>
      <c r="AY284" s="310">
        <f t="shared" si="136"/>
        <v>0</v>
      </c>
      <c r="AZ284" s="310">
        <f t="shared" si="136"/>
        <v>0</v>
      </c>
      <c r="BA284" s="310">
        <f t="shared" si="136"/>
        <v>0</v>
      </c>
      <c r="BB284" s="310">
        <f t="shared" si="136"/>
        <v>0</v>
      </c>
      <c r="BC284" s="310">
        <f t="shared" si="136"/>
        <v>0</v>
      </c>
      <c r="BD284" s="310">
        <f t="shared" si="136"/>
        <v>0</v>
      </c>
      <c r="BE284" s="310">
        <f t="shared" si="136"/>
        <v>0</v>
      </c>
      <c r="BF284" s="310">
        <f t="shared" si="136"/>
        <v>0</v>
      </c>
      <c r="BG284" s="310">
        <f t="shared" si="136"/>
        <v>0</v>
      </c>
    </row>
    <row r="286" spans="2:63">
      <c r="I286" s="363" t="s">
        <v>266</v>
      </c>
      <c r="K286" t="s">
        <v>507</v>
      </c>
      <c r="T286" s="310">
        <f t="shared" ref="T286:BG286" si="137">SUMPRODUCT($M$20:$M$22,T$20:T$22)</f>
        <v>0</v>
      </c>
      <c r="U286" s="310">
        <f t="shared" si="137"/>
        <v>0</v>
      </c>
      <c r="V286" s="310">
        <f t="shared" si="137"/>
        <v>0</v>
      </c>
      <c r="W286" s="310">
        <f t="shared" si="137"/>
        <v>0</v>
      </c>
      <c r="X286" s="310">
        <f t="shared" si="137"/>
        <v>0</v>
      </c>
      <c r="Y286" s="310">
        <f t="shared" si="137"/>
        <v>0</v>
      </c>
      <c r="Z286" s="310">
        <f t="shared" si="137"/>
        <v>0</v>
      </c>
      <c r="AA286" s="310">
        <f t="shared" si="137"/>
        <v>0</v>
      </c>
      <c r="AB286" s="310">
        <f t="shared" si="137"/>
        <v>0</v>
      </c>
      <c r="AC286" s="310">
        <f t="shared" si="137"/>
        <v>0</v>
      </c>
      <c r="AD286" s="310">
        <f t="shared" si="137"/>
        <v>0</v>
      </c>
      <c r="AE286" s="310">
        <f t="shared" si="137"/>
        <v>0</v>
      </c>
      <c r="AF286" s="310">
        <f t="shared" si="137"/>
        <v>0</v>
      </c>
      <c r="AG286" s="310">
        <f t="shared" si="137"/>
        <v>0</v>
      </c>
      <c r="AH286" s="310">
        <f t="shared" si="137"/>
        <v>0</v>
      </c>
      <c r="AI286" s="310">
        <f t="shared" si="137"/>
        <v>0</v>
      </c>
      <c r="AJ286" s="310">
        <f t="shared" si="137"/>
        <v>0</v>
      </c>
      <c r="AK286" s="310">
        <f t="shared" si="137"/>
        <v>0</v>
      </c>
      <c r="AL286" s="310">
        <f t="shared" si="137"/>
        <v>0</v>
      </c>
      <c r="AM286" s="310">
        <f t="shared" si="137"/>
        <v>0</v>
      </c>
      <c r="AN286" s="310">
        <f t="shared" si="137"/>
        <v>0</v>
      </c>
      <c r="AO286" s="310">
        <f t="shared" si="137"/>
        <v>0</v>
      </c>
      <c r="AP286" s="310">
        <f t="shared" si="137"/>
        <v>0</v>
      </c>
      <c r="AQ286" s="310">
        <f t="shared" si="137"/>
        <v>0</v>
      </c>
      <c r="AR286" s="310">
        <f t="shared" si="137"/>
        <v>0</v>
      </c>
      <c r="AS286" s="310">
        <f t="shared" si="137"/>
        <v>0</v>
      </c>
      <c r="AT286" s="310">
        <f t="shared" si="137"/>
        <v>0</v>
      </c>
      <c r="AU286" s="310">
        <f t="shared" si="137"/>
        <v>0</v>
      </c>
      <c r="AV286" s="310">
        <f t="shared" si="137"/>
        <v>0</v>
      </c>
      <c r="AW286" s="310">
        <f t="shared" si="137"/>
        <v>0</v>
      </c>
      <c r="AX286" s="310">
        <f t="shared" si="137"/>
        <v>0</v>
      </c>
      <c r="AY286" s="310">
        <f t="shared" si="137"/>
        <v>0</v>
      </c>
      <c r="AZ286" s="310">
        <f t="shared" si="137"/>
        <v>0</v>
      </c>
      <c r="BA286" s="310">
        <f t="shared" si="137"/>
        <v>0</v>
      </c>
      <c r="BB286" s="310">
        <f t="shared" si="137"/>
        <v>0</v>
      </c>
      <c r="BC286" s="310">
        <f t="shared" si="137"/>
        <v>0</v>
      </c>
      <c r="BD286" s="310">
        <f t="shared" si="137"/>
        <v>0</v>
      </c>
      <c r="BE286" s="310">
        <f t="shared" si="137"/>
        <v>0</v>
      </c>
      <c r="BF286" s="310">
        <f t="shared" si="137"/>
        <v>0</v>
      </c>
      <c r="BG286" s="310">
        <f t="shared" si="137"/>
        <v>0</v>
      </c>
    </row>
    <row r="287" spans="2:63">
      <c r="K287" t="s">
        <v>508</v>
      </c>
      <c r="T287" s="310">
        <f>U286</f>
        <v>0</v>
      </c>
      <c r="U287" s="310">
        <f t="shared" ref="U287:BG287" si="138">V286</f>
        <v>0</v>
      </c>
      <c r="V287" s="310">
        <f t="shared" si="138"/>
        <v>0</v>
      </c>
      <c r="W287" s="310">
        <f t="shared" si="138"/>
        <v>0</v>
      </c>
      <c r="X287" s="310">
        <f t="shared" si="138"/>
        <v>0</v>
      </c>
      <c r="Y287" s="310">
        <f t="shared" si="138"/>
        <v>0</v>
      </c>
      <c r="Z287" s="310">
        <f t="shared" si="138"/>
        <v>0</v>
      </c>
      <c r="AA287" s="310">
        <f t="shared" si="138"/>
        <v>0</v>
      </c>
      <c r="AB287" s="310">
        <f t="shared" si="138"/>
        <v>0</v>
      </c>
      <c r="AC287" s="310">
        <f t="shared" si="138"/>
        <v>0</v>
      </c>
      <c r="AD287" s="310">
        <f t="shared" si="138"/>
        <v>0</v>
      </c>
      <c r="AE287" s="310">
        <f t="shared" si="138"/>
        <v>0</v>
      </c>
      <c r="AF287" s="310">
        <f t="shared" si="138"/>
        <v>0</v>
      </c>
      <c r="AG287" s="310">
        <f t="shared" si="138"/>
        <v>0</v>
      </c>
      <c r="AH287" s="310">
        <f t="shared" si="138"/>
        <v>0</v>
      </c>
      <c r="AI287" s="310">
        <f t="shared" si="138"/>
        <v>0</v>
      </c>
      <c r="AJ287" s="310">
        <f t="shared" si="138"/>
        <v>0</v>
      </c>
      <c r="AK287" s="310">
        <f t="shared" si="138"/>
        <v>0</v>
      </c>
      <c r="AL287" s="310">
        <f t="shared" si="138"/>
        <v>0</v>
      </c>
      <c r="AM287" s="310">
        <f t="shared" si="138"/>
        <v>0</v>
      </c>
      <c r="AN287" s="310">
        <f t="shared" si="138"/>
        <v>0</v>
      </c>
      <c r="AO287" s="310">
        <f t="shared" si="138"/>
        <v>0</v>
      </c>
      <c r="AP287" s="310">
        <f t="shared" si="138"/>
        <v>0</v>
      </c>
      <c r="AQ287" s="310">
        <f t="shared" si="138"/>
        <v>0</v>
      </c>
      <c r="AR287" s="310">
        <f t="shared" si="138"/>
        <v>0</v>
      </c>
      <c r="AS287" s="310">
        <f t="shared" si="138"/>
        <v>0</v>
      </c>
      <c r="AT287" s="310">
        <f t="shared" si="138"/>
        <v>0</v>
      </c>
      <c r="AU287" s="310">
        <f t="shared" si="138"/>
        <v>0</v>
      </c>
      <c r="AV287" s="310">
        <f t="shared" si="138"/>
        <v>0</v>
      </c>
      <c r="AW287" s="310">
        <f t="shared" si="138"/>
        <v>0</v>
      </c>
      <c r="AX287" s="310">
        <f t="shared" si="138"/>
        <v>0</v>
      </c>
      <c r="AY287" s="310">
        <f t="shared" si="138"/>
        <v>0</v>
      </c>
      <c r="AZ287" s="310">
        <f t="shared" si="138"/>
        <v>0</v>
      </c>
      <c r="BA287" s="310">
        <f t="shared" si="138"/>
        <v>0</v>
      </c>
      <c r="BB287" s="310">
        <f t="shared" si="138"/>
        <v>0</v>
      </c>
      <c r="BC287" s="310">
        <f t="shared" si="138"/>
        <v>0</v>
      </c>
      <c r="BD287" s="310">
        <f t="shared" si="138"/>
        <v>0</v>
      </c>
      <c r="BE287" s="310">
        <f t="shared" si="138"/>
        <v>0</v>
      </c>
      <c r="BF287" s="310">
        <f t="shared" si="138"/>
        <v>0</v>
      </c>
      <c r="BG287" s="310">
        <f t="shared" si="138"/>
        <v>0</v>
      </c>
    </row>
    <row r="289" spans="9:59">
      <c r="I289" s="363" t="s">
        <v>300</v>
      </c>
      <c r="K289" t="s">
        <v>509</v>
      </c>
      <c r="T289" s="921">
        <f t="shared" ref="T289:BG289" si="139">IFERROR(SUMPRODUCT(T$60:T$62,T$52:T$54)/SUM(T$52:T$54),0)</f>
        <v>17.597260273972601</v>
      </c>
      <c r="U289" s="921">
        <f t="shared" si="139"/>
        <v>17.345205479452055</v>
      </c>
      <c r="V289" s="921">
        <f t="shared" si="139"/>
        <v>17.095890410958905</v>
      </c>
      <c r="W289" s="921">
        <f t="shared" si="139"/>
        <v>16.849315068493151</v>
      </c>
      <c r="X289" s="921">
        <f t="shared" si="139"/>
        <v>16.597260273972601</v>
      </c>
      <c r="Y289" s="921">
        <f t="shared" si="139"/>
        <v>16.345205479452055</v>
      </c>
      <c r="Z289" s="921">
        <f t="shared" si="139"/>
        <v>16.095890410958908</v>
      </c>
      <c r="AA289" s="921">
        <f t="shared" si="139"/>
        <v>15.84931506849315</v>
      </c>
      <c r="AB289" s="921">
        <f t="shared" si="139"/>
        <v>15.597260273972601</v>
      </c>
      <c r="AC289" s="921">
        <f t="shared" si="139"/>
        <v>15.345205479452053</v>
      </c>
      <c r="AD289" s="921">
        <f t="shared" si="139"/>
        <v>15.095890410958903</v>
      </c>
      <c r="AE289" s="921">
        <f t="shared" si="139"/>
        <v>14.846575342465755</v>
      </c>
      <c r="AF289" s="921">
        <f t="shared" si="139"/>
        <v>0</v>
      </c>
      <c r="AG289" s="921">
        <f t="shared" si="139"/>
        <v>0</v>
      </c>
      <c r="AH289" s="921">
        <f t="shared" si="139"/>
        <v>0</v>
      </c>
      <c r="AI289" s="921">
        <f t="shared" si="139"/>
        <v>0</v>
      </c>
      <c r="AJ289" s="921">
        <f t="shared" si="139"/>
        <v>0</v>
      </c>
      <c r="AK289" s="921">
        <f t="shared" si="139"/>
        <v>0</v>
      </c>
      <c r="AL289" s="921">
        <f t="shared" si="139"/>
        <v>0</v>
      </c>
      <c r="AM289" s="921">
        <f t="shared" si="139"/>
        <v>0</v>
      </c>
      <c r="AN289" s="921">
        <f t="shared" si="139"/>
        <v>0</v>
      </c>
      <c r="AO289" s="921">
        <f t="shared" si="139"/>
        <v>0</v>
      </c>
      <c r="AP289" s="921">
        <f t="shared" si="139"/>
        <v>0</v>
      </c>
      <c r="AQ289" s="921">
        <f t="shared" si="139"/>
        <v>0</v>
      </c>
      <c r="AR289" s="921">
        <f t="shared" si="139"/>
        <v>0</v>
      </c>
      <c r="AS289" s="921">
        <f t="shared" si="139"/>
        <v>0</v>
      </c>
      <c r="AT289" s="921">
        <f t="shared" si="139"/>
        <v>0</v>
      </c>
      <c r="AU289" s="921">
        <f t="shared" si="139"/>
        <v>0</v>
      </c>
      <c r="AV289" s="921">
        <f t="shared" si="139"/>
        <v>0</v>
      </c>
      <c r="AW289" s="921">
        <f t="shared" si="139"/>
        <v>0</v>
      </c>
      <c r="AX289" s="921">
        <f t="shared" si="139"/>
        <v>0</v>
      </c>
      <c r="AY289" s="921">
        <f t="shared" si="139"/>
        <v>0</v>
      </c>
      <c r="AZ289" s="921">
        <f t="shared" si="139"/>
        <v>0</v>
      </c>
      <c r="BA289" s="921">
        <f t="shared" si="139"/>
        <v>0</v>
      </c>
      <c r="BB289" s="921">
        <f t="shared" si="139"/>
        <v>0</v>
      </c>
      <c r="BC289" s="921">
        <f t="shared" si="139"/>
        <v>0</v>
      </c>
      <c r="BD289" s="921">
        <f t="shared" si="139"/>
        <v>0</v>
      </c>
      <c r="BE289" s="921">
        <f t="shared" si="139"/>
        <v>0</v>
      </c>
      <c r="BF289" s="921">
        <f t="shared" si="139"/>
        <v>0</v>
      </c>
      <c r="BG289" s="921">
        <f t="shared" si="139"/>
        <v>0</v>
      </c>
    </row>
    <row r="291" spans="9:59">
      <c r="K291" s="364" t="s">
        <v>330</v>
      </c>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row>
    <row r="292" spans="9:59">
      <c r="K292" s="98" t="str">
        <f>IP!F132</f>
        <v>FMCG-F</v>
      </c>
      <c r="T292" s="403">
        <f>IP!T132</f>
        <v>1000</v>
      </c>
      <c r="U292" s="403">
        <f>IP!U132</f>
        <v>2000</v>
      </c>
      <c r="V292" s="403">
        <f>IP!V132</f>
        <v>3000</v>
      </c>
      <c r="W292" s="403">
        <f>IP!W132</f>
        <v>3000</v>
      </c>
      <c r="X292" s="403">
        <f>IP!X132</f>
        <v>3000</v>
      </c>
      <c r="Y292" s="403">
        <f>IP!Y132</f>
        <v>3000</v>
      </c>
      <c r="Z292" s="403">
        <f>IP!Z132</f>
        <v>3000</v>
      </c>
      <c r="AA292" s="403">
        <f>IP!AA132</f>
        <v>3000</v>
      </c>
      <c r="AB292" s="403">
        <f>IP!AB132</f>
        <v>3000</v>
      </c>
      <c r="AC292" s="403">
        <f>IP!AC132</f>
        <v>3000</v>
      </c>
      <c r="AD292" s="403">
        <f>IP!AD132</f>
        <v>3000</v>
      </c>
      <c r="AE292" s="403">
        <f>IP!AE132</f>
        <v>3000</v>
      </c>
      <c r="AF292" s="403">
        <f>IP!AF132</f>
        <v>0</v>
      </c>
      <c r="AG292" s="403">
        <f>IP!AG132</f>
        <v>0</v>
      </c>
      <c r="AH292" s="403">
        <f>IP!AH132</f>
        <v>0</v>
      </c>
      <c r="AI292" s="403">
        <f>IP!AI132</f>
        <v>0</v>
      </c>
      <c r="AJ292" s="403">
        <f>IP!AJ132</f>
        <v>0</v>
      </c>
      <c r="AK292" s="403">
        <f>IP!AK132</f>
        <v>0</v>
      </c>
      <c r="AL292" s="403">
        <f>IP!AL132</f>
        <v>0</v>
      </c>
      <c r="AM292" s="403">
        <f>IP!AM132</f>
        <v>0</v>
      </c>
      <c r="AN292" s="403">
        <f>IP!AN132</f>
        <v>0</v>
      </c>
      <c r="AO292" s="403">
        <f>IP!AO132</f>
        <v>0</v>
      </c>
      <c r="AP292" s="403">
        <f>IP!AP132</f>
        <v>0</v>
      </c>
      <c r="AQ292" s="403">
        <f>IP!AQ132</f>
        <v>0</v>
      </c>
      <c r="AR292" s="403">
        <f>IP!AR132</f>
        <v>0</v>
      </c>
      <c r="AS292" s="403">
        <f>IP!AS132</f>
        <v>0</v>
      </c>
      <c r="AT292" s="403">
        <f>IP!AT132</f>
        <v>0</v>
      </c>
      <c r="AU292" s="403">
        <f>IP!AU132</f>
        <v>0</v>
      </c>
      <c r="AV292" s="403">
        <f>IP!AV132</f>
        <v>0</v>
      </c>
      <c r="AW292" s="403">
        <f>IP!AW132</f>
        <v>0</v>
      </c>
      <c r="AX292" s="403">
        <f>IP!AX132</f>
        <v>0</v>
      </c>
      <c r="AY292" s="403">
        <f>IP!AY132</f>
        <v>0</v>
      </c>
      <c r="AZ292" s="403">
        <f>IP!AZ132</f>
        <v>0</v>
      </c>
      <c r="BA292" s="403">
        <f>IP!BA132</f>
        <v>0</v>
      </c>
      <c r="BB292" s="403">
        <f>IP!BB132</f>
        <v>0</v>
      </c>
      <c r="BC292" s="403">
        <f>IP!BC132</f>
        <v>0</v>
      </c>
      <c r="BD292" s="403">
        <f>IP!BD132</f>
        <v>0</v>
      </c>
      <c r="BE292" s="403">
        <f>IP!BE132</f>
        <v>0</v>
      </c>
      <c r="BF292" s="403">
        <f>IP!BF132</f>
        <v>0</v>
      </c>
      <c r="BG292" s="403">
        <f>IP!BG132</f>
        <v>0</v>
      </c>
    </row>
    <row r="293" spans="9:59">
      <c r="K293" s="99" t="str">
        <f>IP!F133</f>
        <v>FMCG-N</v>
      </c>
      <c r="T293" s="403">
        <f>IP!T133</f>
        <v>0</v>
      </c>
      <c r="U293" s="403">
        <f>IP!U133</f>
        <v>0</v>
      </c>
      <c r="V293" s="403">
        <f>IP!V133</f>
        <v>0</v>
      </c>
      <c r="W293" s="403">
        <f>IP!W133</f>
        <v>0</v>
      </c>
      <c r="X293" s="403">
        <f>IP!X133</f>
        <v>0</v>
      </c>
      <c r="Y293" s="403">
        <f>IP!Y133</f>
        <v>0</v>
      </c>
      <c r="Z293" s="403">
        <f>IP!Z133</f>
        <v>0</v>
      </c>
      <c r="AA293" s="403">
        <f>IP!AA133</f>
        <v>0</v>
      </c>
      <c r="AB293" s="403">
        <f>IP!AB133</f>
        <v>0</v>
      </c>
      <c r="AC293" s="403">
        <f>IP!AC133</f>
        <v>0</v>
      </c>
      <c r="AD293" s="403">
        <f>IP!AD133</f>
        <v>0</v>
      </c>
      <c r="AE293" s="403">
        <f>IP!AE133</f>
        <v>0</v>
      </c>
      <c r="AF293" s="403">
        <f>IP!AF133</f>
        <v>0</v>
      </c>
      <c r="AG293" s="403">
        <f>IP!AG133</f>
        <v>0</v>
      </c>
      <c r="AH293" s="403">
        <f>IP!AH133</f>
        <v>0</v>
      </c>
      <c r="AI293" s="403">
        <f>IP!AI133</f>
        <v>0</v>
      </c>
      <c r="AJ293" s="403">
        <f>IP!AJ133</f>
        <v>0</v>
      </c>
      <c r="AK293" s="403">
        <f>IP!AK133</f>
        <v>0</v>
      </c>
      <c r="AL293" s="403">
        <f>IP!AL133</f>
        <v>0</v>
      </c>
      <c r="AM293" s="403">
        <f>IP!AM133</f>
        <v>0</v>
      </c>
      <c r="AN293" s="403">
        <f>IP!AN133</f>
        <v>0</v>
      </c>
      <c r="AO293" s="403">
        <f>IP!AO133</f>
        <v>0</v>
      </c>
      <c r="AP293" s="403">
        <f>IP!AP133</f>
        <v>0</v>
      </c>
      <c r="AQ293" s="403">
        <f>IP!AQ133</f>
        <v>0</v>
      </c>
      <c r="AR293" s="403">
        <f>IP!AR133</f>
        <v>0</v>
      </c>
      <c r="AS293" s="403">
        <f>IP!AS133</f>
        <v>0</v>
      </c>
      <c r="AT293" s="403">
        <f>IP!AT133</f>
        <v>0</v>
      </c>
      <c r="AU293" s="403">
        <f>IP!AU133</f>
        <v>0</v>
      </c>
      <c r="AV293" s="403">
        <f>IP!AV133</f>
        <v>0</v>
      </c>
      <c r="AW293" s="403">
        <f>IP!AW133</f>
        <v>0</v>
      </c>
      <c r="AX293" s="403">
        <f>IP!AX133</f>
        <v>0</v>
      </c>
      <c r="AY293" s="403">
        <f>IP!AY133</f>
        <v>0</v>
      </c>
      <c r="AZ293" s="403">
        <f>IP!AZ133</f>
        <v>0</v>
      </c>
      <c r="BA293" s="403">
        <f>IP!BA133</f>
        <v>0</v>
      </c>
      <c r="BB293" s="403">
        <f>IP!BB133</f>
        <v>0</v>
      </c>
      <c r="BC293" s="403">
        <f>IP!BC133</f>
        <v>0</v>
      </c>
      <c r="BD293" s="403">
        <f>IP!BD133</f>
        <v>0</v>
      </c>
      <c r="BE293" s="403">
        <f>IP!BE133</f>
        <v>0</v>
      </c>
      <c r="BF293" s="403">
        <f>IP!BF133</f>
        <v>0</v>
      </c>
      <c r="BG293" s="403">
        <f>IP!BG133</f>
        <v>0</v>
      </c>
    </row>
    <row r="294" spans="9:59">
      <c r="K294" s="99" t="str">
        <f>IP!F134</f>
        <v>Non-food retail</v>
      </c>
      <c r="T294" s="403">
        <f>IP!T134</f>
        <v>0</v>
      </c>
      <c r="U294" s="403">
        <f>IP!U134</f>
        <v>0</v>
      </c>
      <c r="V294" s="403">
        <f>IP!V134</f>
        <v>0</v>
      </c>
      <c r="W294" s="403">
        <f>IP!W134</f>
        <v>0</v>
      </c>
      <c r="X294" s="403">
        <f>IP!X134</f>
        <v>0</v>
      </c>
      <c r="Y294" s="403">
        <f>IP!Y134</f>
        <v>0</v>
      </c>
      <c r="Z294" s="403">
        <f>IP!Z134</f>
        <v>0</v>
      </c>
      <c r="AA294" s="403">
        <f>IP!AA134</f>
        <v>0</v>
      </c>
      <c r="AB294" s="403">
        <f>IP!AB134</f>
        <v>0</v>
      </c>
      <c r="AC294" s="403">
        <f>IP!AC134</f>
        <v>0</v>
      </c>
      <c r="AD294" s="403">
        <f>IP!AD134</f>
        <v>0</v>
      </c>
      <c r="AE294" s="403">
        <f>IP!AE134</f>
        <v>0</v>
      </c>
      <c r="AF294" s="403">
        <f>IP!AF134</f>
        <v>0</v>
      </c>
      <c r="AG294" s="403">
        <f>IP!AG134</f>
        <v>0</v>
      </c>
      <c r="AH294" s="403">
        <f>IP!AH134</f>
        <v>0</v>
      </c>
      <c r="AI294" s="403">
        <f>IP!AI134</f>
        <v>0</v>
      </c>
      <c r="AJ294" s="403">
        <f>IP!AJ134</f>
        <v>0</v>
      </c>
      <c r="AK294" s="403">
        <f>IP!AK134</f>
        <v>0</v>
      </c>
      <c r="AL294" s="403">
        <f>IP!AL134</f>
        <v>0</v>
      </c>
      <c r="AM294" s="403">
        <f>IP!AM134</f>
        <v>0</v>
      </c>
      <c r="AN294" s="403">
        <f>IP!AN134</f>
        <v>0</v>
      </c>
      <c r="AO294" s="403">
        <f>IP!AO134</f>
        <v>0</v>
      </c>
      <c r="AP294" s="403">
        <f>IP!AP134</f>
        <v>0</v>
      </c>
      <c r="AQ294" s="403">
        <f>IP!AQ134</f>
        <v>0</v>
      </c>
      <c r="AR294" s="403">
        <f>IP!AR134</f>
        <v>0</v>
      </c>
      <c r="AS294" s="403">
        <f>IP!AS134</f>
        <v>0</v>
      </c>
      <c r="AT294" s="403">
        <f>IP!AT134</f>
        <v>0</v>
      </c>
      <c r="AU294" s="403">
        <f>IP!AU134</f>
        <v>0</v>
      </c>
      <c r="AV294" s="403">
        <f>IP!AV134</f>
        <v>0</v>
      </c>
      <c r="AW294" s="403">
        <f>IP!AW134</f>
        <v>0</v>
      </c>
      <c r="AX294" s="403">
        <f>IP!AX134</f>
        <v>0</v>
      </c>
      <c r="AY294" s="403">
        <f>IP!AY134</f>
        <v>0</v>
      </c>
      <c r="AZ294" s="403">
        <f>IP!AZ134</f>
        <v>0</v>
      </c>
      <c r="BA294" s="403">
        <f>IP!BA134</f>
        <v>0</v>
      </c>
      <c r="BB294" s="403">
        <f>IP!BB134</f>
        <v>0</v>
      </c>
      <c r="BC294" s="403">
        <f>IP!BC134</f>
        <v>0</v>
      </c>
      <c r="BD294" s="403">
        <f>IP!BD134</f>
        <v>0</v>
      </c>
      <c r="BE294" s="403">
        <f>IP!BE134</f>
        <v>0</v>
      </c>
      <c r="BF294" s="403">
        <f>IP!BF134</f>
        <v>0</v>
      </c>
      <c r="BG294" s="403">
        <f>IP!BG134</f>
        <v>0</v>
      </c>
    </row>
    <row r="295" spans="9:59">
      <c r="K295" s="99" t="str">
        <f>IP!F135</f>
        <v>Gastronomy</v>
      </c>
      <c r="T295" s="403">
        <f>IP!T135</f>
        <v>0</v>
      </c>
      <c r="U295" s="403">
        <f>IP!U135</f>
        <v>0</v>
      </c>
      <c r="V295" s="403">
        <f>IP!V135</f>
        <v>0</v>
      </c>
      <c r="W295" s="403">
        <f>IP!W135</f>
        <v>0</v>
      </c>
      <c r="X295" s="403">
        <f>IP!X135</f>
        <v>0</v>
      </c>
      <c r="Y295" s="403">
        <f>IP!Y135</f>
        <v>0</v>
      </c>
      <c r="Z295" s="403">
        <f>IP!Z135</f>
        <v>0</v>
      </c>
      <c r="AA295" s="403">
        <f>IP!AA135</f>
        <v>0</v>
      </c>
      <c r="AB295" s="403">
        <f>IP!AB135</f>
        <v>0</v>
      </c>
      <c r="AC295" s="403">
        <f>IP!AC135</f>
        <v>0</v>
      </c>
      <c r="AD295" s="403">
        <f>IP!AD135</f>
        <v>0</v>
      </c>
      <c r="AE295" s="403">
        <f>IP!AE135</f>
        <v>0</v>
      </c>
      <c r="AF295" s="403">
        <f>IP!AF135</f>
        <v>0</v>
      </c>
      <c r="AG295" s="403">
        <f>IP!AG135</f>
        <v>0</v>
      </c>
      <c r="AH295" s="403">
        <f>IP!AH135</f>
        <v>0</v>
      </c>
      <c r="AI295" s="403">
        <f>IP!AI135</f>
        <v>0</v>
      </c>
      <c r="AJ295" s="403">
        <f>IP!AJ135</f>
        <v>0</v>
      </c>
      <c r="AK295" s="403">
        <f>IP!AK135</f>
        <v>0</v>
      </c>
      <c r="AL295" s="403">
        <f>IP!AL135</f>
        <v>0</v>
      </c>
      <c r="AM295" s="403">
        <f>IP!AM135</f>
        <v>0</v>
      </c>
      <c r="AN295" s="403">
        <f>IP!AN135</f>
        <v>0</v>
      </c>
      <c r="AO295" s="403">
        <f>IP!AO135</f>
        <v>0</v>
      </c>
      <c r="AP295" s="403">
        <f>IP!AP135</f>
        <v>0</v>
      </c>
      <c r="AQ295" s="403">
        <f>IP!AQ135</f>
        <v>0</v>
      </c>
      <c r="AR295" s="403">
        <f>IP!AR135</f>
        <v>0</v>
      </c>
      <c r="AS295" s="403">
        <f>IP!AS135</f>
        <v>0</v>
      </c>
      <c r="AT295" s="403">
        <f>IP!AT135</f>
        <v>0</v>
      </c>
      <c r="AU295" s="403">
        <f>IP!AU135</f>
        <v>0</v>
      </c>
      <c r="AV295" s="403">
        <f>IP!AV135</f>
        <v>0</v>
      </c>
      <c r="AW295" s="403">
        <f>IP!AW135</f>
        <v>0</v>
      </c>
      <c r="AX295" s="403">
        <f>IP!AX135</f>
        <v>0</v>
      </c>
      <c r="AY295" s="403">
        <f>IP!AY135</f>
        <v>0</v>
      </c>
      <c r="AZ295" s="403">
        <f>IP!AZ135</f>
        <v>0</v>
      </c>
      <c r="BA295" s="403">
        <f>IP!BA135</f>
        <v>0</v>
      </c>
      <c r="BB295" s="403">
        <f>IP!BB135</f>
        <v>0</v>
      </c>
      <c r="BC295" s="403">
        <f>IP!BC135</f>
        <v>0</v>
      </c>
      <c r="BD295" s="403">
        <f>IP!BD135</f>
        <v>0</v>
      </c>
      <c r="BE295" s="403">
        <f>IP!BE135</f>
        <v>0</v>
      </c>
      <c r="BF295" s="403">
        <f>IP!BF135</f>
        <v>0</v>
      </c>
      <c r="BG295" s="403">
        <f>IP!BG135</f>
        <v>0</v>
      </c>
    </row>
    <row r="296" spans="9:59">
      <c r="K296" s="99" t="str">
        <f>IP!F136</f>
        <v>Bank</v>
      </c>
      <c r="T296" s="403">
        <f>IP!T136</f>
        <v>0</v>
      </c>
      <c r="U296" s="403">
        <f>IP!U136</f>
        <v>0</v>
      </c>
      <c r="V296" s="403">
        <f>IP!V136</f>
        <v>0</v>
      </c>
      <c r="W296" s="403">
        <f>IP!W136</f>
        <v>0</v>
      </c>
      <c r="X296" s="403">
        <f>IP!X136</f>
        <v>0</v>
      </c>
      <c r="Y296" s="403">
        <f>IP!Y136</f>
        <v>0</v>
      </c>
      <c r="Z296" s="403">
        <f>IP!Z136</f>
        <v>0</v>
      </c>
      <c r="AA296" s="403">
        <f>IP!AA136</f>
        <v>0</v>
      </c>
      <c r="AB296" s="403">
        <f>IP!AB136</f>
        <v>0</v>
      </c>
      <c r="AC296" s="403">
        <f>IP!AC136</f>
        <v>0</v>
      </c>
      <c r="AD296" s="403">
        <f>IP!AD136</f>
        <v>0</v>
      </c>
      <c r="AE296" s="403">
        <f>IP!AE136</f>
        <v>0</v>
      </c>
      <c r="AF296" s="403">
        <f>IP!AF136</f>
        <v>0</v>
      </c>
      <c r="AG296" s="403">
        <f>IP!AG136</f>
        <v>0</v>
      </c>
      <c r="AH296" s="403">
        <f>IP!AH136</f>
        <v>0</v>
      </c>
      <c r="AI296" s="403">
        <f>IP!AI136</f>
        <v>0</v>
      </c>
      <c r="AJ296" s="403">
        <f>IP!AJ136</f>
        <v>0</v>
      </c>
      <c r="AK296" s="403">
        <f>IP!AK136</f>
        <v>0</v>
      </c>
      <c r="AL296" s="403">
        <f>IP!AL136</f>
        <v>0</v>
      </c>
      <c r="AM296" s="403">
        <f>IP!AM136</f>
        <v>0</v>
      </c>
      <c r="AN296" s="403">
        <f>IP!AN136</f>
        <v>0</v>
      </c>
      <c r="AO296" s="403">
        <f>IP!AO136</f>
        <v>0</v>
      </c>
      <c r="AP296" s="403">
        <f>IP!AP136</f>
        <v>0</v>
      </c>
      <c r="AQ296" s="403">
        <f>IP!AQ136</f>
        <v>0</v>
      </c>
      <c r="AR296" s="403">
        <f>IP!AR136</f>
        <v>0</v>
      </c>
      <c r="AS296" s="403">
        <f>IP!AS136</f>
        <v>0</v>
      </c>
      <c r="AT296" s="403">
        <f>IP!AT136</f>
        <v>0</v>
      </c>
      <c r="AU296" s="403">
        <f>IP!AU136</f>
        <v>0</v>
      </c>
      <c r="AV296" s="403">
        <f>IP!AV136</f>
        <v>0</v>
      </c>
      <c r="AW296" s="403">
        <f>IP!AW136</f>
        <v>0</v>
      </c>
      <c r="AX296" s="403">
        <f>IP!AX136</f>
        <v>0</v>
      </c>
      <c r="AY296" s="403">
        <f>IP!AY136</f>
        <v>0</v>
      </c>
      <c r="AZ296" s="403">
        <f>IP!AZ136</f>
        <v>0</v>
      </c>
      <c r="BA296" s="403">
        <f>IP!BA136</f>
        <v>0</v>
      </c>
      <c r="BB296" s="403">
        <f>IP!BB136</f>
        <v>0</v>
      </c>
      <c r="BC296" s="403">
        <f>IP!BC136</f>
        <v>0</v>
      </c>
      <c r="BD296" s="403">
        <f>IP!BD136</f>
        <v>0</v>
      </c>
      <c r="BE296" s="403">
        <f>IP!BE136</f>
        <v>0</v>
      </c>
      <c r="BF296" s="403">
        <f>IP!BF136</f>
        <v>0</v>
      </c>
      <c r="BG296" s="403">
        <f>IP!BG136</f>
        <v>0</v>
      </c>
    </row>
    <row r="297" spans="9:59">
      <c r="K297" s="99" t="str">
        <f>IP!F137</f>
        <v>Storage</v>
      </c>
      <c r="T297" s="403">
        <f>IP!T137</f>
        <v>0</v>
      </c>
      <c r="U297" s="403">
        <f>IP!U137</f>
        <v>0</v>
      </c>
      <c r="V297" s="403">
        <f>IP!V137</f>
        <v>0</v>
      </c>
      <c r="W297" s="403">
        <f>IP!W137</f>
        <v>0</v>
      </c>
      <c r="X297" s="403">
        <f>IP!X137</f>
        <v>0</v>
      </c>
      <c r="Y297" s="403">
        <f>IP!Y137</f>
        <v>0</v>
      </c>
      <c r="Z297" s="403">
        <f>IP!Z137</f>
        <v>0</v>
      </c>
      <c r="AA297" s="403">
        <f>IP!AA137</f>
        <v>0</v>
      </c>
      <c r="AB297" s="403">
        <f>IP!AB137</f>
        <v>0</v>
      </c>
      <c r="AC297" s="403">
        <f>IP!AC137</f>
        <v>0</v>
      </c>
      <c r="AD297" s="403">
        <f>IP!AD137</f>
        <v>0</v>
      </c>
      <c r="AE297" s="403">
        <f>IP!AE137</f>
        <v>0</v>
      </c>
      <c r="AF297" s="403">
        <f>IP!AF137</f>
        <v>0</v>
      </c>
      <c r="AG297" s="403">
        <f>IP!AG137</f>
        <v>0</v>
      </c>
      <c r="AH297" s="403">
        <f>IP!AH137</f>
        <v>0</v>
      </c>
      <c r="AI297" s="403">
        <f>IP!AI137</f>
        <v>0</v>
      </c>
      <c r="AJ297" s="403">
        <f>IP!AJ137</f>
        <v>0</v>
      </c>
      <c r="AK297" s="403">
        <f>IP!AK137</f>
        <v>0</v>
      </c>
      <c r="AL297" s="403">
        <f>IP!AL137</f>
        <v>0</v>
      </c>
      <c r="AM297" s="403">
        <f>IP!AM137</f>
        <v>0</v>
      </c>
      <c r="AN297" s="403">
        <f>IP!AN137</f>
        <v>0</v>
      </c>
      <c r="AO297" s="403">
        <f>IP!AO137</f>
        <v>0</v>
      </c>
      <c r="AP297" s="403">
        <f>IP!AP137</f>
        <v>0</v>
      </c>
      <c r="AQ297" s="403">
        <f>IP!AQ137</f>
        <v>0</v>
      </c>
      <c r="AR297" s="403">
        <f>IP!AR137</f>
        <v>0</v>
      </c>
      <c r="AS297" s="403">
        <f>IP!AS137</f>
        <v>0</v>
      </c>
      <c r="AT297" s="403">
        <f>IP!AT137</f>
        <v>0</v>
      </c>
      <c r="AU297" s="403">
        <f>IP!AU137</f>
        <v>0</v>
      </c>
      <c r="AV297" s="403">
        <f>IP!AV137</f>
        <v>0</v>
      </c>
      <c r="AW297" s="403">
        <f>IP!AW137</f>
        <v>0</v>
      </c>
      <c r="AX297" s="403">
        <f>IP!AX137</f>
        <v>0</v>
      </c>
      <c r="AY297" s="403">
        <f>IP!AY137</f>
        <v>0</v>
      </c>
      <c r="AZ297" s="403">
        <f>IP!AZ137</f>
        <v>0</v>
      </c>
      <c r="BA297" s="403">
        <f>IP!BA137</f>
        <v>0</v>
      </c>
      <c r="BB297" s="403">
        <f>IP!BB137</f>
        <v>0</v>
      </c>
      <c r="BC297" s="403">
        <f>IP!BC137</f>
        <v>0</v>
      </c>
      <c r="BD297" s="403">
        <f>IP!BD137</f>
        <v>0</v>
      </c>
      <c r="BE297" s="403">
        <f>IP!BE137</f>
        <v>0</v>
      </c>
      <c r="BF297" s="403">
        <f>IP!BF137</f>
        <v>0</v>
      </c>
      <c r="BG297" s="403">
        <f>IP!BG137</f>
        <v>0</v>
      </c>
    </row>
    <row r="298" spans="9:59">
      <c r="K298" s="99" t="str">
        <f>IP!F138</f>
        <v>Parking</v>
      </c>
      <c r="T298" s="403">
        <f>IP!T138</f>
        <v>0</v>
      </c>
      <c r="U298" s="403">
        <f>IP!U138</f>
        <v>0</v>
      </c>
      <c r="V298" s="403">
        <f>IP!V138</f>
        <v>0</v>
      </c>
      <c r="W298" s="403">
        <f>IP!W138</f>
        <v>0</v>
      </c>
      <c r="X298" s="403">
        <f>IP!X138</f>
        <v>0</v>
      </c>
      <c r="Y298" s="403">
        <f>IP!Y138</f>
        <v>0</v>
      </c>
      <c r="Z298" s="403">
        <f>IP!Z138</f>
        <v>0</v>
      </c>
      <c r="AA298" s="403">
        <f>IP!AA138</f>
        <v>0</v>
      </c>
      <c r="AB298" s="403">
        <f>IP!AB138</f>
        <v>0</v>
      </c>
      <c r="AC298" s="403">
        <f>IP!AC138</f>
        <v>0</v>
      </c>
      <c r="AD298" s="403">
        <f>IP!AD138</f>
        <v>0</v>
      </c>
      <c r="AE298" s="403">
        <f>IP!AE138</f>
        <v>0</v>
      </c>
      <c r="AF298" s="403">
        <f>IP!AF138</f>
        <v>0</v>
      </c>
      <c r="AG298" s="403">
        <f>IP!AG138</f>
        <v>0</v>
      </c>
      <c r="AH298" s="403">
        <f>IP!AH138</f>
        <v>0</v>
      </c>
      <c r="AI298" s="403">
        <f>IP!AI138</f>
        <v>0</v>
      </c>
      <c r="AJ298" s="403">
        <f>IP!AJ138</f>
        <v>0</v>
      </c>
      <c r="AK298" s="403">
        <f>IP!AK138</f>
        <v>0</v>
      </c>
      <c r="AL298" s="403">
        <f>IP!AL138</f>
        <v>0</v>
      </c>
      <c r="AM298" s="403">
        <f>IP!AM138</f>
        <v>0</v>
      </c>
      <c r="AN298" s="403">
        <f>IP!AN138</f>
        <v>0</v>
      </c>
      <c r="AO298" s="403">
        <f>IP!AO138</f>
        <v>0</v>
      </c>
      <c r="AP298" s="403">
        <f>IP!AP138</f>
        <v>0</v>
      </c>
      <c r="AQ298" s="403">
        <f>IP!AQ138</f>
        <v>0</v>
      </c>
      <c r="AR298" s="403">
        <f>IP!AR138</f>
        <v>0</v>
      </c>
      <c r="AS298" s="403">
        <f>IP!AS138</f>
        <v>0</v>
      </c>
      <c r="AT298" s="403">
        <f>IP!AT138</f>
        <v>0</v>
      </c>
      <c r="AU298" s="403">
        <f>IP!AU138</f>
        <v>0</v>
      </c>
      <c r="AV298" s="403">
        <f>IP!AV138</f>
        <v>0</v>
      </c>
      <c r="AW298" s="403">
        <f>IP!AW138</f>
        <v>0</v>
      </c>
      <c r="AX298" s="403">
        <f>IP!AX138</f>
        <v>0</v>
      </c>
      <c r="AY298" s="403">
        <f>IP!AY138</f>
        <v>0</v>
      </c>
      <c r="AZ298" s="403">
        <f>IP!AZ138</f>
        <v>0</v>
      </c>
      <c r="BA298" s="403">
        <f>IP!BA138</f>
        <v>0</v>
      </c>
      <c r="BB298" s="403">
        <f>IP!BB138</f>
        <v>0</v>
      </c>
      <c r="BC298" s="403">
        <f>IP!BC138</f>
        <v>0</v>
      </c>
      <c r="BD298" s="403">
        <f>IP!BD138</f>
        <v>0</v>
      </c>
      <c r="BE298" s="403">
        <f>IP!BE138</f>
        <v>0</v>
      </c>
      <c r="BF298" s="403">
        <f>IP!BF138</f>
        <v>0</v>
      </c>
      <c r="BG298" s="403">
        <f>IP!BG138</f>
        <v>0</v>
      </c>
    </row>
    <row r="299" spans="9:59">
      <c r="K299" s="99" t="str">
        <f>IP!F139</f>
        <v>Residential</v>
      </c>
      <c r="T299" s="403">
        <f>IP!T139</f>
        <v>0</v>
      </c>
      <c r="U299" s="403">
        <f>IP!U139</f>
        <v>0</v>
      </c>
      <c r="V299" s="403">
        <f>IP!V139</f>
        <v>0</v>
      </c>
      <c r="W299" s="403">
        <f>IP!W139</f>
        <v>0</v>
      </c>
      <c r="X299" s="403">
        <f>IP!X139</f>
        <v>0</v>
      </c>
      <c r="Y299" s="403">
        <f>IP!Y139</f>
        <v>0</v>
      </c>
      <c r="Z299" s="403">
        <f>IP!Z139</f>
        <v>0</v>
      </c>
      <c r="AA299" s="403">
        <f>IP!AA139</f>
        <v>0</v>
      </c>
      <c r="AB299" s="403">
        <f>IP!AB139</f>
        <v>0</v>
      </c>
      <c r="AC299" s="403">
        <f>IP!AC139</f>
        <v>0</v>
      </c>
      <c r="AD299" s="403">
        <f>IP!AD139</f>
        <v>0</v>
      </c>
      <c r="AE299" s="403">
        <f>IP!AE139</f>
        <v>0</v>
      </c>
      <c r="AF299" s="403">
        <f>IP!AF139</f>
        <v>0</v>
      </c>
      <c r="AG299" s="403">
        <f>IP!AG139</f>
        <v>0</v>
      </c>
      <c r="AH299" s="403">
        <f>IP!AH139</f>
        <v>0</v>
      </c>
      <c r="AI299" s="403">
        <f>IP!AI139</f>
        <v>0</v>
      </c>
      <c r="AJ299" s="403">
        <f>IP!AJ139</f>
        <v>0</v>
      </c>
      <c r="AK299" s="403">
        <f>IP!AK139</f>
        <v>0</v>
      </c>
      <c r="AL299" s="403">
        <f>IP!AL139</f>
        <v>0</v>
      </c>
      <c r="AM299" s="403">
        <f>IP!AM139</f>
        <v>0</v>
      </c>
      <c r="AN299" s="403">
        <f>IP!AN139</f>
        <v>0</v>
      </c>
      <c r="AO299" s="403">
        <f>IP!AO139</f>
        <v>0</v>
      </c>
      <c r="AP299" s="403">
        <f>IP!AP139</f>
        <v>0</v>
      </c>
      <c r="AQ299" s="403">
        <f>IP!AQ139</f>
        <v>0</v>
      </c>
      <c r="AR299" s="403">
        <f>IP!AR139</f>
        <v>0</v>
      </c>
      <c r="AS299" s="403">
        <f>IP!AS139</f>
        <v>0</v>
      </c>
      <c r="AT299" s="403">
        <f>IP!AT139</f>
        <v>0</v>
      </c>
      <c r="AU299" s="403">
        <f>IP!AU139</f>
        <v>0</v>
      </c>
      <c r="AV299" s="403">
        <f>IP!AV139</f>
        <v>0</v>
      </c>
      <c r="AW299" s="403">
        <f>IP!AW139</f>
        <v>0</v>
      </c>
      <c r="AX299" s="403">
        <f>IP!AX139</f>
        <v>0</v>
      </c>
      <c r="AY299" s="403">
        <f>IP!AY139</f>
        <v>0</v>
      </c>
      <c r="AZ299" s="403">
        <f>IP!AZ139</f>
        <v>0</v>
      </c>
      <c r="BA299" s="403">
        <f>IP!BA139</f>
        <v>0</v>
      </c>
      <c r="BB299" s="403">
        <f>IP!BB139</f>
        <v>0</v>
      </c>
      <c r="BC299" s="403">
        <f>IP!BC139</f>
        <v>0</v>
      </c>
      <c r="BD299" s="403">
        <f>IP!BD139</f>
        <v>0</v>
      </c>
      <c r="BE299" s="403">
        <f>IP!BE139</f>
        <v>0</v>
      </c>
      <c r="BF299" s="403">
        <f>IP!BF139</f>
        <v>0</v>
      </c>
      <c r="BG299" s="403">
        <f>IP!BG139</f>
        <v>0</v>
      </c>
    </row>
    <row r="300" spans="9:59">
      <c r="K300" s="99" t="str">
        <f>IP!F140</f>
        <v>Office</v>
      </c>
      <c r="T300" s="403">
        <f>IP!T140</f>
        <v>0</v>
      </c>
      <c r="U300" s="403">
        <f>IP!U140</f>
        <v>0</v>
      </c>
      <c r="V300" s="403">
        <f>IP!V140</f>
        <v>0</v>
      </c>
      <c r="W300" s="403">
        <f>IP!W140</f>
        <v>0</v>
      </c>
      <c r="X300" s="403">
        <f>IP!X140</f>
        <v>0</v>
      </c>
      <c r="Y300" s="403">
        <f>IP!Y140</f>
        <v>0</v>
      </c>
      <c r="Z300" s="403">
        <f>IP!Z140</f>
        <v>0</v>
      </c>
      <c r="AA300" s="403">
        <f>IP!AA140</f>
        <v>0</v>
      </c>
      <c r="AB300" s="403">
        <f>IP!AB140</f>
        <v>0</v>
      </c>
      <c r="AC300" s="403">
        <f>IP!AC140</f>
        <v>0</v>
      </c>
      <c r="AD300" s="403">
        <f>IP!AD140</f>
        <v>0</v>
      </c>
      <c r="AE300" s="403">
        <f>IP!AE140</f>
        <v>0</v>
      </c>
      <c r="AF300" s="403">
        <f>IP!AF140</f>
        <v>0</v>
      </c>
      <c r="AG300" s="403">
        <f>IP!AG140</f>
        <v>0</v>
      </c>
      <c r="AH300" s="403">
        <f>IP!AH140</f>
        <v>0</v>
      </c>
      <c r="AI300" s="403">
        <f>IP!AI140</f>
        <v>0</v>
      </c>
      <c r="AJ300" s="403">
        <f>IP!AJ140</f>
        <v>0</v>
      </c>
      <c r="AK300" s="403">
        <f>IP!AK140</f>
        <v>0</v>
      </c>
      <c r="AL300" s="403">
        <f>IP!AL140</f>
        <v>0</v>
      </c>
      <c r="AM300" s="403">
        <f>IP!AM140</f>
        <v>0</v>
      </c>
      <c r="AN300" s="403">
        <f>IP!AN140</f>
        <v>0</v>
      </c>
      <c r="AO300" s="403">
        <f>IP!AO140</f>
        <v>0</v>
      </c>
      <c r="AP300" s="403">
        <f>IP!AP140</f>
        <v>0</v>
      </c>
      <c r="AQ300" s="403">
        <f>IP!AQ140</f>
        <v>0</v>
      </c>
      <c r="AR300" s="403">
        <f>IP!AR140</f>
        <v>0</v>
      </c>
      <c r="AS300" s="403">
        <f>IP!AS140</f>
        <v>0</v>
      </c>
      <c r="AT300" s="403">
        <f>IP!AT140</f>
        <v>0</v>
      </c>
      <c r="AU300" s="403">
        <f>IP!AU140</f>
        <v>0</v>
      </c>
      <c r="AV300" s="403">
        <f>IP!AV140</f>
        <v>0</v>
      </c>
      <c r="AW300" s="403">
        <f>IP!AW140</f>
        <v>0</v>
      </c>
      <c r="AX300" s="403">
        <f>IP!AX140</f>
        <v>0</v>
      </c>
      <c r="AY300" s="403">
        <f>IP!AY140</f>
        <v>0</v>
      </c>
      <c r="AZ300" s="403">
        <f>IP!AZ140</f>
        <v>0</v>
      </c>
      <c r="BA300" s="403">
        <f>IP!BA140</f>
        <v>0</v>
      </c>
      <c r="BB300" s="403">
        <f>IP!BB140</f>
        <v>0</v>
      </c>
      <c r="BC300" s="403">
        <f>IP!BC140</f>
        <v>0</v>
      </c>
      <c r="BD300" s="403">
        <f>IP!BD140</f>
        <v>0</v>
      </c>
      <c r="BE300" s="403">
        <f>IP!BE140</f>
        <v>0</v>
      </c>
      <c r="BF300" s="403">
        <f>IP!BF140</f>
        <v>0</v>
      </c>
      <c r="BG300" s="403">
        <f>IP!BG140</f>
        <v>0</v>
      </c>
    </row>
    <row r="301" spans="9:59">
      <c r="K301" s="99" t="str">
        <f>IP!F141</f>
        <v>Other</v>
      </c>
      <c r="T301" s="403">
        <f>IP!T141</f>
        <v>0</v>
      </c>
      <c r="U301" s="403">
        <f>IP!U141</f>
        <v>0</v>
      </c>
      <c r="V301" s="403">
        <f>IP!V141</f>
        <v>0</v>
      </c>
      <c r="W301" s="403">
        <f>IP!W141</f>
        <v>0</v>
      </c>
      <c r="X301" s="403">
        <f>IP!X141</f>
        <v>0</v>
      </c>
      <c r="Y301" s="403">
        <f>IP!Y141</f>
        <v>0</v>
      </c>
      <c r="Z301" s="403">
        <f>IP!Z141</f>
        <v>0</v>
      </c>
      <c r="AA301" s="403">
        <f>IP!AA141</f>
        <v>0</v>
      </c>
      <c r="AB301" s="403">
        <f>IP!AB141</f>
        <v>0</v>
      </c>
      <c r="AC301" s="403">
        <f>IP!AC141</f>
        <v>0</v>
      </c>
      <c r="AD301" s="403">
        <f>IP!AD141</f>
        <v>0</v>
      </c>
      <c r="AE301" s="403">
        <f>IP!AE141</f>
        <v>0</v>
      </c>
      <c r="AF301" s="403">
        <f>IP!AF141</f>
        <v>0</v>
      </c>
      <c r="AG301" s="403">
        <f>IP!AG141</f>
        <v>0</v>
      </c>
      <c r="AH301" s="403">
        <f>IP!AH141</f>
        <v>0</v>
      </c>
      <c r="AI301" s="403">
        <f>IP!AI141</f>
        <v>0</v>
      </c>
      <c r="AJ301" s="403">
        <f>IP!AJ141</f>
        <v>0</v>
      </c>
      <c r="AK301" s="403">
        <f>IP!AK141</f>
        <v>0</v>
      </c>
      <c r="AL301" s="403">
        <f>IP!AL141</f>
        <v>0</v>
      </c>
      <c r="AM301" s="403">
        <f>IP!AM141</f>
        <v>0</v>
      </c>
      <c r="AN301" s="403">
        <f>IP!AN141</f>
        <v>0</v>
      </c>
      <c r="AO301" s="403">
        <f>IP!AO141</f>
        <v>0</v>
      </c>
      <c r="AP301" s="403">
        <f>IP!AP141</f>
        <v>0</v>
      </c>
      <c r="AQ301" s="403">
        <f>IP!AQ141</f>
        <v>0</v>
      </c>
      <c r="AR301" s="403">
        <f>IP!AR141</f>
        <v>0</v>
      </c>
      <c r="AS301" s="403">
        <f>IP!AS141</f>
        <v>0</v>
      </c>
      <c r="AT301" s="403">
        <f>IP!AT141</f>
        <v>0</v>
      </c>
      <c r="AU301" s="403">
        <f>IP!AU141</f>
        <v>0</v>
      </c>
      <c r="AV301" s="403">
        <f>IP!AV141</f>
        <v>0</v>
      </c>
      <c r="AW301" s="403">
        <f>IP!AW141</f>
        <v>0</v>
      </c>
      <c r="AX301" s="403">
        <f>IP!AX141</f>
        <v>0</v>
      </c>
      <c r="AY301" s="403">
        <f>IP!AY141</f>
        <v>0</v>
      </c>
      <c r="AZ301" s="403">
        <f>IP!AZ141</f>
        <v>0</v>
      </c>
      <c r="BA301" s="403">
        <f>IP!BA141</f>
        <v>0</v>
      </c>
      <c r="BB301" s="403">
        <f>IP!BB141</f>
        <v>0</v>
      </c>
      <c r="BC301" s="403">
        <f>IP!BC141</f>
        <v>0</v>
      </c>
      <c r="BD301" s="403">
        <f>IP!BD141</f>
        <v>0</v>
      </c>
      <c r="BE301" s="403">
        <f>IP!BE141</f>
        <v>0</v>
      </c>
      <c r="BF301" s="403">
        <f>IP!BF141</f>
        <v>0</v>
      </c>
      <c r="BG301" s="403">
        <f>IP!BG141</f>
        <v>0</v>
      </c>
    </row>
    <row r="302" spans="9:59">
      <c r="K302" s="365" t="s">
        <v>412</v>
      </c>
      <c r="L302" s="253"/>
      <c r="M302" s="253"/>
      <c r="N302" s="253"/>
      <c r="O302" s="253"/>
      <c r="P302" s="253"/>
      <c r="Q302" s="253"/>
      <c r="R302" s="253"/>
      <c r="S302" s="253"/>
      <c r="T302" s="254">
        <f>SUM(T292:T301)</f>
        <v>1000</v>
      </c>
      <c r="U302" s="254">
        <f t="shared" ref="U302:BG302" si="140">SUM(U292:U301)</f>
        <v>2000</v>
      </c>
      <c r="V302" s="254">
        <f t="shared" si="140"/>
        <v>3000</v>
      </c>
      <c r="W302" s="254">
        <f t="shared" si="140"/>
        <v>3000</v>
      </c>
      <c r="X302" s="254">
        <f t="shared" si="140"/>
        <v>3000</v>
      </c>
      <c r="Y302" s="254">
        <f t="shared" si="140"/>
        <v>3000</v>
      </c>
      <c r="Z302" s="254">
        <f t="shared" si="140"/>
        <v>3000</v>
      </c>
      <c r="AA302" s="254">
        <f t="shared" si="140"/>
        <v>3000</v>
      </c>
      <c r="AB302" s="254">
        <f t="shared" si="140"/>
        <v>3000</v>
      </c>
      <c r="AC302" s="254">
        <f t="shared" si="140"/>
        <v>3000</v>
      </c>
      <c r="AD302" s="254">
        <f t="shared" si="140"/>
        <v>3000</v>
      </c>
      <c r="AE302" s="254">
        <f t="shared" si="140"/>
        <v>3000</v>
      </c>
      <c r="AF302" s="254">
        <f t="shared" si="140"/>
        <v>0</v>
      </c>
      <c r="AG302" s="254">
        <f t="shared" si="140"/>
        <v>0</v>
      </c>
      <c r="AH302" s="254">
        <f t="shared" si="140"/>
        <v>0</v>
      </c>
      <c r="AI302" s="254">
        <f t="shared" si="140"/>
        <v>0</v>
      </c>
      <c r="AJ302" s="254">
        <f t="shared" si="140"/>
        <v>0</v>
      </c>
      <c r="AK302" s="254">
        <f t="shared" si="140"/>
        <v>0</v>
      </c>
      <c r="AL302" s="254">
        <f t="shared" si="140"/>
        <v>0</v>
      </c>
      <c r="AM302" s="254">
        <f t="shared" si="140"/>
        <v>0</v>
      </c>
      <c r="AN302" s="254">
        <f t="shared" si="140"/>
        <v>0</v>
      </c>
      <c r="AO302" s="254">
        <f t="shared" si="140"/>
        <v>0</v>
      </c>
      <c r="AP302" s="254">
        <f t="shared" si="140"/>
        <v>0</v>
      </c>
      <c r="AQ302" s="254">
        <f t="shared" si="140"/>
        <v>0</v>
      </c>
      <c r="AR302" s="254">
        <f t="shared" si="140"/>
        <v>0</v>
      </c>
      <c r="AS302" s="254">
        <f t="shared" si="140"/>
        <v>0</v>
      </c>
      <c r="AT302" s="254">
        <f t="shared" si="140"/>
        <v>0</v>
      </c>
      <c r="AU302" s="254">
        <f t="shared" si="140"/>
        <v>0</v>
      </c>
      <c r="AV302" s="254">
        <f t="shared" si="140"/>
        <v>0</v>
      </c>
      <c r="AW302" s="254">
        <f t="shared" si="140"/>
        <v>0</v>
      </c>
      <c r="AX302" s="254">
        <f t="shared" si="140"/>
        <v>0</v>
      </c>
      <c r="AY302" s="254">
        <f t="shared" si="140"/>
        <v>0</v>
      </c>
      <c r="AZ302" s="254">
        <f t="shared" si="140"/>
        <v>0</v>
      </c>
      <c r="BA302" s="254">
        <f t="shared" si="140"/>
        <v>0</v>
      </c>
      <c r="BB302" s="254">
        <f t="shared" si="140"/>
        <v>0</v>
      </c>
      <c r="BC302" s="254">
        <f t="shared" si="140"/>
        <v>0</v>
      </c>
      <c r="BD302" s="254">
        <f t="shared" si="140"/>
        <v>0</v>
      </c>
      <c r="BE302" s="254">
        <f t="shared" si="140"/>
        <v>0</v>
      </c>
      <c r="BF302" s="254">
        <f t="shared" si="140"/>
        <v>0</v>
      </c>
      <c r="BG302" s="254">
        <f t="shared" si="140"/>
        <v>0</v>
      </c>
    </row>
    <row r="303" spans="9:59">
      <c r="K303" s="255" t="s">
        <v>329</v>
      </c>
      <c r="M303" s="257" t="b">
        <f>COUNTIFS(T303:BG303,"true")=COUNTA(T303:BG303)</f>
        <v>1</v>
      </c>
      <c r="T303" s="257" t="b">
        <f t="shared" ref="T303:BG303" si="141">ROUND(T302,1)=ROUND(SUM(T$36:T$38),1)</f>
        <v>1</v>
      </c>
      <c r="U303" s="257" t="b">
        <f t="shared" si="141"/>
        <v>1</v>
      </c>
      <c r="V303" s="257" t="b">
        <f t="shared" si="141"/>
        <v>1</v>
      </c>
      <c r="W303" s="257" t="b">
        <f t="shared" si="141"/>
        <v>1</v>
      </c>
      <c r="X303" s="257" t="b">
        <f t="shared" si="141"/>
        <v>1</v>
      </c>
      <c r="Y303" s="257" t="b">
        <f t="shared" si="141"/>
        <v>1</v>
      </c>
      <c r="Z303" s="257" t="b">
        <f t="shared" si="141"/>
        <v>1</v>
      </c>
      <c r="AA303" s="257" t="b">
        <f t="shared" si="141"/>
        <v>1</v>
      </c>
      <c r="AB303" s="257" t="b">
        <f t="shared" si="141"/>
        <v>1</v>
      </c>
      <c r="AC303" s="257" t="b">
        <f t="shared" si="141"/>
        <v>1</v>
      </c>
      <c r="AD303" s="257" t="b">
        <f t="shared" si="141"/>
        <v>1</v>
      </c>
      <c r="AE303" s="257" t="b">
        <f t="shared" si="141"/>
        <v>1</v>
      </c>
      <c r="AF303" s="257" t="b">
        <f t="shared" si="141"/>
        <v>1</v>
      </c>
      <c r="AG303" s="257" t="b">
        <f t="shared" si="141"/>
        <v>1</v>
      </c>
      <c r="AH303" s="257" t="b">
        <f t="shared" si="141"/>
        <v>1</v>
      </c>
      <c r="AI303" s="257" t="b">
        <f t="shared" si="141"/>
        <v>1</v>
      </c>
      <c r="AJ303" s="257" t="b">
        <f t="shared" si="141"/>
        <v>1</v>
      </c>
      <c r="AK303" s="257" t="b">
        <f t="shared" si="141"/>
        <v>1</v>
      </c>
      <c r="AL303" s="257" t="b">
        <f t="shared" si="141"/>
        <v>1</v>
      </c>
      <c r="AM303" s="257" t="b">
        <f t="shared" si="141"/>
        <v>1</v>
      </c>
      <c r="AN303" s="257" t="b">
        <f t="shared" si="141"/>
        <v>1</v>
      </c>
      <c r="AO303" s="257" t="b">
        <f t="shared" si="141"/>
        <v>1</v>
      </c>
      <c r="AP303" s="257" t="b">
        <f t="shared" si="141"/>
        <v>1</v>
      </c>
      <c r="AQ303" s="257" t="b">
        <f t="shared" si="141"/>
        <v>1</v>
      </c>
      <c r="AR303" s="257" t="b">
        <f t="shared" si="141"/>
        <v>1</v>
      </c>
      <c r="AS303" s="257" t="b">
        <f t="shared" si="141"/>
        <v>1</v>
      </c>
      <c r="AT303" s="257" t="b">
        <f t="shared" si="141"/>
        <v>1</v>
      </c>
      <c r="AU303" s="257" t="b">
        <f t="shared" si="141"/>
        <v>1</v>
      </c>
      <c r="AV303" s="257" t="b">
        <f t="shared" si="141"/>
        <v>1</v>
      </c>
      <c r="AW303" s="257" t="b">
        <f t="shared" si="141"/>
        <v>1</v>
      </c>
      <c r="AX303" s="257" t="b">
        <f t="shared" si="141"/>
        <v>1</v>
      </c>
      <c r="AY303" s="257" t="b">
        <f t="shared" si="141"/>
        <v>1</v>
      </c>
      <c r="AZ303" s="257" t="b">
        <f t="shared" si="141"/>
        <v>1</v>
      </c>
      <c r="BA303" s="257" t="b">
        <f t="shared" si="141"/>
        <v>1</v>
      </c>
      <c r="BB303" s="257" t="b">
        <f t="shared" si="141"/>
        <v>1</v>
      </c>
      <c r="BC303" s="257" t="b">
        <f t="shared" si="141"/>
        <v>1</v>
      </c>
      <c r="BD303" s="257" t="b">
        <f t="shared" si="141"/>
        <v>1</v>
      </c>
      <c r="BE303" s="257" t="b">
        <f t="shared" si="141"/>
        <v>1</v>
      </c>
      <c r="BF303" s="257" t="b">
        <f t="shared" si="141"/>
        <v>1</v>
      </c>
      <c r="BG303" s="257" t="b">
        <f t="shared" si="141"/>
        <v>1</v>
      </c>
    </row>
    <row r="304" spans="9:59">
      <c r="K304" s="255"/>
      <c r="M304" s="257"/>
      <c r="T304" s="257"/>
      <c r="U304" s="257"/>
      <c r="V304" s="257"/>
      <c r="W304" s="257"/>
      <c r="X304" s="257"/>
      <c r="Y304" s="257"/>
      <c r="Z304" s="257"/>
      <c r="AA304" s="257"/>
      <c r="AB304" s="257"/>
      <c r="AC304" s="257"/>
      <c r="AD304" s="257"/>
      <c r="AE304" s="257"/>
      <c r="AF304" s="257"/>
      <c r="AG304" s="257"/>
      <c r="AH304" s="257"/>
      <c r="AI304" s="257"/>
      <c r="AJ304" s="257"/>
      <c r="AK304" s="257"/>
      <c r="AL304" s="257"/>
      <c r="AM304" s="257"/>
      <c r="AN304" s="257"/>
      <c r="AO304" s="257"/>
      <c r="AP304" s="257"/>
      <c r="AQ304" s="257"/>
      <c r="AR304" s="257"/>
      <c r="AS304" s="257"/>
      <c r="AT304" s="257"/>
      <c r="AU304" s="257"/>
      <c r="AV304" s="257"/>
      <c r="AW304" s="257"/>
      <c r="AX304" s="257"/>
      <c r="AY304" s="257"/>
      <c r="AZ304" s="257"/>
      <c r="BA304" s="257"/>
      <c r="BB304" s="257"/>
      <c r="BC304" s="257"/>
      <c r="BD304" s="257"/>
      <c r="BE304" s="257"/>
      <c r="BF304" s="257"/>
      <c r="BG304" s="257"/>
    </row>
    <row r="305" spans="9:59">
      <c r="K305" s="39" t="s">
        <v>614</v>
      </c>
      <c r="L305" s="17"/>
      <c r="M305" s="397"/>
      <c r="N305" s="17"/>
      <c r="O305" s="17"/>
      <c r="P305" s="17"/>
      <c r="Q305" s="17"/>
      <c r="R305" s="17"/>
      <c r="S305" s="17"/>
      <c r="T305" s="397"/>
      <c r="U305" s="397"/>
      <c r="V305" s="397"/>
      <c r="W305" s="397"/>
      <c r="X305" s="397"/>
      <c r="Y305" s="397"/>
      <c r="Z305" s="397"/>
      <c r="AA305" s="397"/>
      <c r="AB305" s="397"/>
      <c r="AC305" s="397"/>
      <c r="AD305" s="397"/>
      <c r="AE305" s="397"/>
      <c r="AF305" s="397"/>
      <c r="AG305" s="397"/>
      <c r="AH305" s="397"/>
      <c r="AI305" s="397"/>
      <c r="AJ305" s="397"/>
      <c r="AK305" s="397"/>
      <c r="AL305" s="397"/>
      <c r="AM305" s="397"/>
      <c r="AN305" s="397"/>
      <c r="AO305" s="397"/>
      <c r="AP305" s="397"/>
      <c r="AQ305" s="397"/>
      <c r="AR305" s="397"/>
      <c r="AS305" s="397"/>
      <c r="AT305" s="397"/>
      <c r="AU305" s="397"/>
      <c r="AV305" s="397"/>
      <c r="AW305" s="397"/>
      <c r="AX305" s="397"/>
      <c r="AY305" s="397"/>
      <c r="AZ305" s="397"/>
      <c r="BA305" s="397"/>
      <c r="BB305" s="397"/>
      <c r="BC305" s="397"/>
      <c r="BD305" s="397"/>
      <c r="BE305" s="397"/>
      <c r="BF305" s="397"/>
      <c r="BG305" s="397"/>
    </row>
    <row r="306" spans="9:59">
      <c r="K306" s="133" t="str">
        <f>K292</f>
        <v>FMCG-F</v>
      </c>
      <c r="M306" s="257"/>
      <c r="T306" s="403">
        <f>SUMIFS(IP!T$74:T$76,IP!$O$74:$O$76,$K306,IP!T$20:T$22,1)</f>
        <v>0</v>
      </c>
      <c r="U306" s="403">
        <f>SUMIFS(IP!U$74:U$76,IP!$O$74:$O$76,$K306,IP!U$20:U$22,1)</f>
        <v>0</v>
      </c>
      <c r="V306" s="403">
        <f>SUMIFS(IP!V$74:V$76,IP!$O$74:$O$76,$K306,IP!V$20:V$22,1)</f>
        <v>0</v>
      </c>
      <c r="W306" s="403">
        <f>SUMIFS(IP!W$74:W$76,IP!$O$74:$O$76,$K306,IP!W$20:W$22,1)</f>
        <v>0</v>
      </c>
      <c r="X306" s="403">
        <f>SUMIFS(IP!X$74:X$76,IP!$O$74:$O$76,$K306,IP!X$20:X$22,1)</f>
        <v>0</v>
      </c>
      <c r="Y306" s="403">
        <f>SUMIFS(IP!Y$74:Y$76,IP!$O$74:$O$76,$K306,IP!Y$20:Y$22,1)</f>
        <v>0</v>
      </c>
      <c r="Z306" s="403">
        <f>SUMIFS(IP!Z$74:Z$76,IP!$O$74:$O$76,$K306,IP!Z$20:Z$22,1)</f>
        <v>0</v>
      </c>
      <c r="AA306" s="403">
        <f>SUMIFS(IP!AA$74:AA$76,IP!$O$74:$O$76,$K306,IP!AA$20:AA$22,1)</f>
        <v>0</v>
      </c>
      <c r="AB306" s="403">
        <f>SUMIFS(IP!AB$74:AB$76,IP!$O$74:$O$76,$K306,IP!AB$20:AB$22,1)</f>
        <v>0</v>
      </c>
      <c r="AC306" s="403">
        <f>SUMIFS(IP!AC$74:AC$76,IP!$O$74:$O$76,$K306,IP!AC$20:AC$22,1)</f>
        <v>0</v>
      </c>
      <c r="AD306" s="403">
        <f>SUMIFS(IP!AD$74:AD$76,IP!$O$74:$O$76,$K306,IP!AD$20:AD$22,1)</f>
        <v>0</v>
      </c>
      <c r="AE306" s="403">
        <f>SUMIFS(IP!AE$74:AE$76,IP!$O$74:$O$76,$K306,IP!AE$20:AE$22,1)</f>
        <v>0</v>
      </c>
      <c r="AF306" s="403">
        <f>SUMIFS(IP!AF$74:AF$76,IP!$O$74:$O$76,$K306,IP!AF$20:AF$22,1)</f>
        <v>0</v>
      </c>
      <c r="AG306" s="403">
        <f>SUMIFS(IP!AG$74:AG$76,IP!$O$74:$O$76,$K306,IP!AG$20:AG$22,1)</f>
        <v>0</v>
      </c>
      <c r="AH306" s="403">
        <f>SUMIFS(IP!AH$74:AH$76,IP!$O$74:$O$76,$K306,IP!AH$20:AH$22,1)</f>
        <v>0</v>
      </c>
      <c r="AI306" s="403">
        <f>SUMIFS(IP!AI$74:AI$76,IP!$O$74:$O$76,$K306,IP!AI$20:AI$22,1)</f>
        <v>0</v>
      </c>
      <c r="AJ306" s="403">
        <f>SUMIFS(IP!AJ$74:AJ$76,IP!$O$74:$O$76,$K306,IP!AJ$20:AJ$22,1)</f>
        <v>0</v>
      </c>
      <c r="AK306" s="403">
        <f>SUMIFS(IP!AK$74:AK$76,IP!$O$74:$O$76,$K306,IP!AK$20:AK$22,1)</f>
        <v>0</v>
      </c>
      <c r="AL306" s="403">
        <f>SUMIFS(IP!AL$74:AL$76,IP!$O$74:$O$76,$K306,IP!AL$20:AL$22,1)</f>
        <v>0</v>
      </c>
      <c r="AM306" s="403">
        <f>SUMIFS(IP!AM$74:AM$76,IP!$O$74:$O$76,$K306,IP!AM$20:AM$22,1)</f>
        <v>0</v>
      </c>
      <c r="AN306" s="403">
        <f>SUMIFS(IP!AN$74:AN$76,IP!$O$74:$O$76,$K306,IP!AN$20:AN$22,1)</f>
        <v>0</v>
      </c>
      <c r="AO306" s="403">
        <f>SUMIFS(IP!AO$74:AO$76,IP!$O$74:$O$76,$K306,IP!AO$20:AO$22,1)</f>
        <v>0</v>
      </c>
      <c r="AP306" s="403">
        <f>SUMIFS(IP!AP$74:AP$76,IP!$O$74:$O$76,$K306,IP!AP$20:AP$22,1)</f>
        <v>0</v>
      </c>
      <c r="AQ306" s="403">
        <f>SUMIFS(IP!AQ$74:AQ$76,IP!$O$74:$O$76,$K306,IP!AQ$20:AQ$22,1)</f>
        <v>0</v>
      </c>
      <c r="AR306" s="403">
        <f>SUMIFS(IP!AR$74:AR$76,IP!$O$74:$O$76,$K306,IP!AR$20:AR$22,1)</f>
        <v>0</v>
      </c>
      <c r="AS306" s="403">
        <f>SUMIFS(IP!AS$74:AS$76,IP!$O$74:$O$76,$K306,IP!AS$20:AS$22,1)</f>
        <v>0</v>
      </c>
      <c r="AT306" s="403">
        <f>SUMIFS(IP!AT$74:AT$76,IP!$O$74:$O$76,$K306,IP!AT$20:AT$22,1)</f>
        <v>0</v>
      </c>
      <c r="AU306" s="403">
        <f>SUMIFS(IP!AU$74:AU$76,IP!$O$74:$O$76,$K306,IP!AU$20:AU$22,1)</f>
        <v>0</v>
      </c>
      <c r="AV306" s="403">
        <f>SUMIFS(IP!AV$74:AV$76,IP!$O$74:$O$76,$K306,IP!AV$20:AV$22,1)</f>
        <v>0</v>
      </c>
      <c r="AW306" s="403">
        <f>SUMIFS(IP!AW$74:AW$76,IP!$O$74:$O$76,$K306,IP!AW$20:AW$22,1)</f>
        <v>0</v>
      </c>
      <c r="AX306" s="403">
        <f>SUMIFS(IP!AX$74:AX$76,IP!$O$74:$O$76,$K306,IP!AX$20:AX$22,1)</f>
        <v>0</v>
      </c>
      <c r="AY306" s="403">
        <f>SUMIFS(IP!AY$74:AY$76,IP!$O$74:$O$76,$K306,IP!AY$20:AY$22,1)</f>
        <v>0</v>
      </c>
      <c r="AZ306" s="403">
        <f>SUMIFS(IP!AZ$74:AZ$76,IP!$O$74:$O$76,$K306,IP!AZ$20:AZ$22,1)</f>
        <v>0</v>
      </c>
      <c r="BA306" s="403">
        <f>SUMIFS(IP!BA$74:BA$76,IP!$O$74:$O$76,$K306,IP!BA$20:BA$22,1)</f>
        <v>0</v>
      </c>
      <c r="BB306" s="403">
        <f>SUMIFS(IP!BB$74:BB$76,IP!$O$74:$O$76,$K306,IP!BB$20:BB$22,1)</f>
        <v>0</v>
      </c>
      <c r="BC306" s="403">
        <f>SUMIFS(IP!BC$74:BC$76,IP!$O$74:$O$76,$K306,IP!BC$20:BC$22,1)</f>
        <v>0</v>
      </c>
      <c r="BD306" s="403">
        <f>SUMIFS(IP!BD$74:BD$76,IP!$O$74:$O$76,$K306,IP!BD$20:BD$22,1)</f>
        <v>0</v>
      </c>
      <c r="BE306" s="403">
        <f>SUMIFS(IP!BE$74:BE$76,IP!$O$74:$O$76,$K306,IP!BE$20:BE$22,1)</f>
        <v>0</v>
      </c>
      <c r="BF306" s="403">
        <f>SUMIFS(IP!BF$74:BF$76,IP!$O$74:$O$76,$K306,IP!BF$20:BF$22,1)</f>
        <v>0</v>
      </c>
      <c r="BG306" s="403">
        <f>SUMIFS(IP!BG$74:BG$76,IP!$O$74:$O$76,$K306,IP!BG$20:BG$22,1)</f>
        <v>0</v>
      </c>
    </row>
    <row r="307" spans="9:59">
      <c r="K307" s="134" t="str">
        <f t="shared" ref="K307:K315" si="142">K293</f>
        <v>FMCG-N</v>
      </c>
      <c r="M307" s="257"/>
      <c r="T307" s="403">
        <f>SUMIFS(IP!T$74:T$76,IP!$O$74:$O$76,$K307,IP!T$20:T$22,1)</f>
        <v>0</v>
      </c>
      <c r="U307" s="403">
        <f>SUMIFS(IP!U$74:U$76,IP!$O$74:$O$76,$K307,IP!U$20:U$22,1)</f>
        <v>0</v>
      </c>
      <c r="V307" s="403">
        <f>SUMIFS(IP!V$74:V$76,IP!$O$74:$O$76,$K307,IP!V$20:V$22,1)</f>
        <v>0</v>
      </c>
      <c r="W307" s="403">
        <f>SUMIFS(IP!W$74:W$76,IP!$O$74:$O$76,$K307,IP!W$20:W$22,1)</f>
        <v>0</v>
      </c>
      <c r="X307" s="403">
        <f>SUMIFS(IP!X$74:X$76,IP!$O$74:$O$76,$K307,IP!X$20:X$22,1)</f>
        <v>0</v>
      </c>
      <c r="Y307" s="403">
        <f>SUMIFS(IP!Y$74:Y$76,IP!$O$74:$O$76,$K307,IP!Y$20:Y$22,1)</f>
        <v>0</v>
      </c>
      <c r="Z307" s="403">
        <f>SUMIFS(IP!Z$74:Z$76,IP!$O$74:$O$76,$K307,IP!Z$20:Z$22,1)</f>
        <v>0</v>
      </c>
      <c r="AA307" s="403">
        <f>SUMIFS(IP!AA$74:AA$76,IP!$O$74:$O$76,$K307,IP!AA$20:AA$22,1)</f>
        <v>0</v>
      </c>
      <c r="AB307" s="403">
        <f>SUMIFS(IP!AB$74:AB$76,IP!$O$74:$O$76,$K307,IP!AB$20:AB$22,1)</f>
        <v>0</v>
      </c>
      <c r="AC307" s="403">
        <f>SUMIFS(IP!AC$74:AC$76,IP!$O$74:$O$76,$K307,IP!AC$20:AC$22,1)</f>
        <v>0</v>
      </c>
      <c r="AD307" s="403">
        <f>SUMIFS(IP!AD$74:AD$76,IP!$O$74:$O$76,$K307,IP!AD$20:AD$22,1)</f>
        <v>0</v>
      </c>
      <c r="AE307" s="403">
        <f>SUMIFS(IP!AE$74:AE$76,IP!$O$74:$O$76,$K307,IP!AE$20:AE$22,1)</f>
        <v>0</v>
      </c>
      <c r="AF307" s="403">
        <f>SUMIFS(IP!AF$74:AF$76,IP!$O$74:$O$76,$K307,IP!AF$20:AF$22,1)</f>
        <v>0</v>
      </c>
      <c r="AG307" s="403">
        <f>SUMIFS(IP!AG$74:AG$76,IP!$O$74:$O$76,$K307,IP!AG$20:AG$22,1)</f>
        <v>0</v>
      </c>
      <c r="AH307" s="403">
        <f>SUMIFS(IP!AH$74:AH$76,IP!$O$74:$O$76,$K307,IP!AH$20:AH$22,1)</f>
        <v>0</v>
      </c>
      <c r="AI307" s="403">
        <f>SUMIFS(IP!AI$74:AI$76,IP!$O$74:$O$76,$K307,IP!AI$20:AI$22,1)</f>
        <v>0</v>
      </c>
      <c r="AJ307" s="403">
        <f>SUMIFS(IP!AJ$74:AJ$76,IP!$O$74:$O$76,$K307,IP!AJ$20:AJ$22,1)</f>
        <v>0</v>
      </c>
      <c r="AK307" s="403">
        <f>SUMIFS(IP!AK$74:AK$76,IP!$O$74:$O$76,$K307,IP!AK$20:AK$22,1)</f>
        <v>0</v>
      </c>
      <c r="AL307" s="403">
        <f>SUMIFS(IP!AL$74:AL$76,IP!$O$74:$O$76,$K307,IP!AL$20:AL$22,1)</f>
        <v>0</v>
      </c>
      <c r="AM307" s="403">
        <f>SUMIFS(IP!AM$74:AM$76,IP!$O$74:$O$76,$K307,IP!AM$20:AM$22,1)</f>
        <v>0</v>
      </c>
      <c r="AN307" s="403">
        <f>SUMIFS(IP!AN$74:AN$76,IP!$O$74:$O$76,$K307,IP!AN$20:AN$22,1)</f>
        <v>0</v>
      </c>
      <c r="AO307" s="403">
        <f>SUMIFS(IP!AO$74:AO$76,IP!$O$74:$O$76,$K307,IP!AO$20:AO$22,1)</f>
        <v>0</v>
      </c>
      <c r="AP307" s="403">
        <f>SUMIFS(IP!AP$74:AP$76,IP!$O$74:$O$76,$K307,IP!AP$20:AP$22,1)</f>
        <v>0</v>
      </c>
      <c r="AQ307" s="403">
        <f>SUMIFS(IP!AQ$74:AQ$76,IP!$O$74:$O$76,$K307,IP!AQ$20:AQ$22,1)</f>
        <v>0</v>
      </c>
      <c r="AR307" s="403">
        <f>SUMIFS(IP!AR$74:AR$76,IP!$O$74:$O$76,$K307,IP!AR$20:AR$22,1)</f>
        <v>0</v>
      </c>
      <c r="AS307" s="403">
        <f>SUMIFS(IP!AS$74:AS$76,IP!$O$74:$O$76,$K307,IP!AS$20:AS$22,1)</f>
        <v>0</v>
      </c>
      <c r="AT307" s="403">
        <f>SUMIFS(IP!AT$74:AT$76,IP!$O$74:$O$76,$K307,IP!AT$20:AT$22,1)</f>
        <v>0</v>
      </c>
      <c r="AU307" s="403">
        <f>SUMIFS(IP!AU$74:AU$76,IP!$O$74:$O$76,$K307,IP!AU$20:AU$22,1)</f>
        <v>0</v>
      </c>
      <c r="AV307" s="403">
        <f>SUMIFS(IP!AV$74:AV$76,IP!$O$74:$O$76,$K307,IP!AV$20:AV$22,1)</f>
        <v>0</v>
      </c>
      <c r="AW307" s="403">
        <f>SUMIFS(IP!AW$74:AW$76,IP!$O$74:$O$76,$K307,IP!AW$20:AW$22,1)</f>
        <v>0</v>
      </c>
      <c r="AX307" s="403">
        <f>SUMIFS(IP!AX$74:AX$76,IP!$O$74:$O$76,$K307,IP!AX$20:AX$22,1)</f>
        <v>0</v>
      </c>
      <c r="AY307" s="403">
        <f>SUMIFS(IP!AY$74:AY$76,IP!$O$74:$O$76,$K307,IP!AY$20:AY$22,1)</f>
        <v>0</v>
      </c>
      <c r="AZ307" s="403">
        <f>SUMIFS(IP!AZ$74:AZ$76,IP!$O$74:$O$76,$K307,IP!AZ$20:AZ$22,1)</f>
        <v>0</v>
      </c>
      <c r="BA307" s="403">
        <f>SUMIFS(IP!BA$74:BA$76,IP!$O$74:$O$76,$K307,IP!BA$20:BA$22,1)</f>
        <v>0</v>
      </c>
      <c r="BB307" s="403">
        <f>SUMIFS(IP!BB$74:BB$76,IP!$O$74:$O$76,$K307,IP!BB$20:BB$22,1)</f>
        <v>0</v>
      </c>
      <c r="BC307" s="403">
        <f>SUMIFS(IP!BC$74:BC$76,IP!$O$74:$O$76,$K307,IP!BC$20:BC$22,1)</f>
        <v>0</v>
      </c>
      <c r="BD307" s="403">
        <f>SUMIFS(IP!BD$74:BD$76,IP!$O$74:$O$76,$K307,IP!BD$20:BD$22,1)</f>
        <v>0</v>
      </c>
      <c r="BE307" s="403">
        <f>SUMIFS(IP!BE$74:BE$76,IP!$O$74:$O$76,$K307,IP!BE$20:BE$22,1)</f>
        <v>0</v>
      </c>
      <c r="BF307" s="403">
        <f>SUMIFS(IP!BF$74:BF$76,IP!$O$74:$O$76,$K307,IP!BF$20:BF$22,1)</f>
        <v>0</v>
      </c>
      <c r="BG307" s="403">
        <f>SUMIFS(IP!BG$74:BG$76,IP!$O$74:$O$76,$K307,IP!BG$20:BG$22,1)</f>
        <v>0</v>
      </c>
    </row>
    <row r="308" spans="9:59">
      <c r="K308" s="134" t="str">
        <f t="shared" si="142"/>
        <v>Non-food retail</v>
      </c>
      <c r="M308" s="257"/>
      <c r="T308" s="403">
        <f>SUMIFS(IP!T$74:T$76,IP!$O$74:$O$76,$K308,IP!T$20:T$22,1)</f>
        <v>0</v>
      </c>
      <c r="U308" s="403">
        <f>SUMIFS(IP!U$74:U$76,IP!$O$74:$O$76,$K308,IP!U$20:U$22,1)</f>
        <v>0</v>
      </c>
      <c r="V308" s="403">
        <f>SUMIFS(IP!V$74:V$76,IP!$O$74:$O$76,$K308,IP!V$20:V$22,1)</f>
        <v>0</v>
      </c>
      <c r="W308" s="403">
        <f>SUMIFS(IP!W$74:W$76,IP!$O$74:$O$76,$K308,IP!W$20:W$22,1)</f>
        <v>0</v>
      </c>
      <c r="X308" s="403">
        <f>SUMIFS(IP!X$74:X$76,IP!$O$74:$O$76,$K308,IP!X$20:X$22,1)</f>
        <v>0</v>
      </c>
      <c r="Y308" s="403">
        <f>SUMIFS(IP!Y$74:Y$76,IP!$O$74:$O$76,$K308,IP!Y$20:Y$22,1)</f>
        <v>0</v>
      </c>
      <c r="Z308" s="403">
        <f>SUMIFS(IP!Z$74:Z$76,IP!$O$74:$O$76,$K308,IP!Z$20:Z$22,1)</f>
        <v>0</v>
      </c>
      <c r="AA308" s="403">
        <f>SUMIFS(IP!AA$74:AA$76,IP!$O$74:$O$76,$K308,IP!AA$20:AA$22,1)</f>
        <v>0</v>
      </c>
      <c r="AB308" s="403">
        <f>SUMIFS(IP!AB$74:AB$76,IP!$O$74:$O$76,$K308,IP!AB$20:AB$22,1)</f>
        <v>0</v>
      </c>
      <c r="AC308" s="403">
        <f>SUMIFS(IP!AC$74:AC$76,IP!$O$74:$O$76,$K308,IP!AC$20:AC$22,1)</f>
        <v>0</v>
      </c>
      <c r="AD308" s="403">
        <f>SUMIFS(IP!AD$74:AD$76,IP!$O$74:$O$76,$K308,IP!AD$20:AD$22,1)</f>
        <v>0</v>
      </c>
      <c r="AE308" s="403">
        <f>SUMIFS(IP!AE$74:AE$76,IP!$O$74:$O$76,$K308,IP!AE$20:AE$22,1)</f>
        <v>0</v>
      </c>
      <c r="AF308" s="403">
        <f>SUMIFS(IP!AF$74:AF$76,IP!$O$74:$O$76,$K308,IP!AF$20:AF$22,1)</f>
        <v>0</v>
      </c>
      <c r="AG308" s="403">
        <f>SUMIFS(IP!AG$74:AG$76,IP!$O$74:$O$76,$K308,IP!AG$20:AG$22,1)</f>
        <v>0</v>
      </c>
      <c r="AH308" s="403">
        <f>SUMIFS(IP!AH$74:AH$76,IP!$O$74:$O$76,$K308,IP!AH$20:AH$22,1)</f>
        <v>0</v>
      </c>
      <c r="AI308" s="403">
        <f>SUMIFS(IP!AI$74:AI$76,IP!$O$74:$O$76,$K308,IP!AI$20:AI$22,1)</f>
        <v>0</v>
      </c>
      <c r="AJ308" s="403">
        <f>SUMIFS(IP!AJ$74:AJ$76,IP!$O$74:$O$76,$K308,IP!AJ$20:AJ$22,1)</f>
        <v>0</v>
      </c>
      <c r="AK308" s="403">
        <f>SUMIFS(IP!AK$74:AK$76,IP!$O$74:$O$76,$K308,IP!AK$20:AK$22,1)</f>
        <v>0</v>
      </c>
      <c r="AL308" s="403">
        <f>SUMIFS(IP!AL$74:AL$76,IP!$O$74:$O$76,$K308,IP!AL$20:AL$22,1)</f>
        <v>0</v>
      </c>
      <c r="AM308" s="403">
        <f>SUMIFS(IP!AM$74:AM$76,IP!$O$74:$O$76,$K308,IP!AM$20:AM$22,1)</f>
        <v>0</v>
      </c>
      <c r="AN308" s="403">
        <f>SUMIFS(IP!AN$74:AN$76,IP!$O$74:$O$76,$K308,IP!AN$20:AN$22,1)</f>
        <v>0</v>
      </c>
      <c r="AO308" s="403">
        <f>SUMIFS(IP!AO$74:AO$76,IP!$O$74:$O$76,$K308,IP!AO$20:AO$22,1)</f>
        <v>0</v>
      </c>
      <c r="AP308" s="403">
        <f>SUMIFS(IP!AP$74:AP$76,IP!$O$74:$O$76,$K308,IP!AP$20:AP$22,1)</f>
        <v>0</v>
      </c>
      <c r="AQ308" s="403">
        <f>SUMIFS(IP!AQ$74:AQ$76,IP!$O$74:$O$76,$K308,IP!AQ$20:AQ$22,1)</f>
        <v>0</v>
      </c>
      <c r="AR308" s="403">
        <f>SUMIFS(IP!AR$74:AR$76,IP!$O$74:$O$76,$K308,IP!AR$20:AR$22,1)</f>
        <v>0</v>
      </c>
      <c r="AS308" s="403">
        <f>SUMIFS(IP!AS$74:AS$76,IP!$O$74:$O$76,$K308,IP!AS$20:AS$22,1)</f>
        <v>0</v>
      </c>
      <c r="AT308" s="403">
        <f>SUMIFS(IP!AT$74:AT$76,IP!$O$74:$O$76,$K308,IP!AT$20:AT$22,1)</f>
        <v>0</v>
      </c>
      <c r="AU308" s="403">
        <f>SUMIFS(IP!AU$74:AU$76,IP!$O$74:$O$76,$K308,IP!AU$20:AU$22,1)</f>
        <v>0</v>
      </c>
      <c r="AV308" s="403">
        <f>SUMIFS(IP!AV$74:AV$76,IP!$O$74:$O$76,$K308,IP!AV$20:AV$22,1)</f>
        <v>0</v>
      </c>
      <c r="AW308" s="403">
        <f>SUMIFS(IP!AW$74:AW$76,IP!$O$74:$O$76,$K308,IP!AW$20:AW$22,1)</f>
        <v>0</v>
      </c>
      <c r="AX308" s="403">
        <f>SUMIFS(IP!AX$74:AX$76,IP!$O$74:$O$76,$K308,IP!AX$20:AX$22,1)</f>
        <v>0</v>
      </c>
      <c r="AY308" s="403">
        <f>SUMIFS(IP!AY$74:AY$76,IP!$O$74:$O$76,$K308,IP!AY$20:AY$22,1)</f>
        <v>0</v>
      </c>
      <c r="AZ308" s="403">
        <f>SUMIFS(IP!AZ$74:AZ$76,IP!$O$74:$O$76,$K308,IP!AZ$20:AZ$22,1)</f>
        <v>0</v>
      </c>
      <c r="BA308" s="403">
        <f>SUMIFS(IP!BA$74:BA$76,IP!$O$74:$O$76,$K308,IP!BA$20:BA$22,1)</f>
        <v>0</v>
      </c>
      <c r="BB308" s="403">
        <f>SUMIFS(IP!BB$74:BB$76,IP!$O$74:$O$76,$K308,IP!BB$20:BB$22,1)</f>
        <v>0</v>
      </c>
      <c r="BC308" s="403">
        <f>SUMIFS(IP!BC$74:BC$76,IP!$O$74:$O$76,$K308,IP!BC$20:BC$22,1)</f>
        <v>0</v>
      </c>
      <c r="BD308" s="403">
        <f>SUMIFS(IP!BD$74:BD$76,IP!$O$74:$O$76,$K308,IP!BD$20:BD$22,1)</f>
        <v>0</v>
      </c>
      <c r="BE308" s="403">
        <f>SUMIFS(IP!BE$74:BE$76,IP!$O$74:$O$76,$K308,IP!BE$20:BE$22,1)</f>
        <v>0</v>
      </c>
      <c r="BF308" s="403">
        <f>SUMIFS(IP!BF$74:BF$76,IP!$O$74:$O$76,$K308,IP!BF$20:BF$22,1)</f>
        <v>0</v>
      </c>
      <c r="BG308" s="403">
        <f>SUMIFS(IP!BG$74:BG$76,IP!$O$74:$O$76,$K308,IP!BG$20:BG$22,1)</f>
        <v>0</v>
      </c>
    </row>
    <row r="309" spans="9:59">
      <c r="K309" s="134" t="str">
        <f t="shared" si="142"/>
        <v>Gastronomy</v>
      </c>
      <c r="M309" s="257"/>
      <c r="T309" s="403">
        <f>SUMIFS(IP!T$74:T$76,IP!$O$74:$O$76,$K309,IP!T$20:T$22,1)</f>
        <v>0</v>
      </c>
      <c r="U309" s="403">
        <f>SUMIFS(IP!U$74:U$76,IP!$O$74:$O$76,$K309,IP!U$20:U$22,1)</f>
        <v>0</v>
      </c>
      <c r="V309" s="403">
        <f>SUMIFS(IP!V$74:V$76,IP!$O$74:$O$76,$K309,IP!V$20:V$22,1)</f>
        <v>0</v>
      </c>
      <c r="W309" s="403">
        <f>SUMIFS(IP!W$74:W$76,IP!$O$74:$O$76,$K309,IP!W$20:W$22,1)</f>
        <v>0</v>
      </c>
      <c r="X309" s="403">
        <f>SUMIFS(IP!X$74:X$76,IP!$O$74:$O$76,$K309,IP!X$20:X$22,1)</f>
        <v>0</v>
      </c>
      <c r="Y309" s="403">
        <f>SUMIFS(IP!Y$74:Y$76,IP!$O$74:$O$76,$K309,IP!Y$20:Y$22,1)</f>
        <v>0</v>
      </c>
      <c r="Z309" s="403">
        <f>SUMIFS(IP!Z$74:Z$76,IP!$O$74:$O$76,$K309,IP!Z$20:Z$22,1)</f>
        <v>0</v>
      </c>
      <c r="AA309" s="403">
        <f>SUMIFS(IP!AA$74:AA$76,IP!$O$74:$O$76,$K309,IP!AA$20:AA$22,1)</f>
        <v>0</v>
      </c>
      <c r="AB309" s="403">
        <f>SUMIFS(IP!AB$74:AB$76,IP!$O$74:$O$76,$K309,IP!AB$20:AB$22,1)</f>
        <v>0</v>
      </c>
      <c r="AC309" s="403">
        <f>SUMIFS(IP!AC$74:AC$76,IP!$O$74:$O$76,$K309,IP!AC$20:AC$22,1)</f>
        <v>0</v>
      </c>
      <c r="AD309" s="403">
        <f>SUMIFS(IP!AD$74:AD$76,IP!$O$74:$O$76,$K309,IP!AD$20:AD$22,1)</f>
        <v>0</v>
      </c>
      <c r="AE309" s="403">
        <f>SUMIFS(IP!AE$74:AE$76,IP!$O$74:$O$76,$K309,IP!AE$20:AE$22,1)</f>
        <v>0</v>
      </c>
      <c r="AF309" s="403">
        <f>SUMIFS(IP!AF$74:AF$76,IP!$O$74:$O$76,$K309,IP!AF$20:AF$22,1)</f>
        <v>0</v>
      </c>
      <c r="AG309" s="403">
        <f>SUMIFS(IP!AG$74:AG$76,IP!$O$74:$O$76,$K309,IP!AG$20:AG$22,1)</f>
        <v>0</v>
      </c>
      <c r="AH309" s="403">
        <f>SUMIFS(IP!AH$74:AH$76,IP!$O$74:$O$76,$K309,IP!AH$20:AH$22,1)</f>
        <v>0</v>
      </c>
      <c r="AI309" s="403">
        <f>SUMIFS(IP!AI$74:AI$76,IP!$O$74:$O$76,$K309,IP!AI$20:AI$22,1)</f>
        <v>0</v>
      </c>
      <c r="AJ309" s="403">
        <f>SUMIFS(IP!AJ$74:AJ$76,IP!$O$74:$O$76,$K309,IP!AJ$20:AJ$22,1)</f>
        <v>0</v>
      </c>
      <c r="AK309" s="403">
        <f>SUMIFS(IP!AK$74:AK$76,IP!$O$74:$O$76,$K309,IP!AK$20:AK$22,1)</f>
        <v>0</v>
      </c>
      <c r="AL309" s="403">
        <f>SUMIFS(IP!AL$74:AL$76,IP!$O$74:$O$76,$K309,IP!AL$20:AL$22,1)</f>
        <v>0</v>
      </c>
      <c r="AM309" s="403">
        <f>SUMIFS(IP!AM$74:AM$76,IP!$O$74:$O$76,$K309,IP!AM$20:AM$22,1)</f>
        <v>0</v>
      </c>
      <c r="AN309" s="403">
        <f>SUMIFS(IP!AN$74:AN$76,IP!$O$74:$O$76,$K309,IP!AN$20:AN$22,1)</f>
        <v>0</v>
      </c>
      <c r="AO309" s="403">
        <f>SUMIFS(IP!AO$74:AO$76,IP!$O$74:$O$76,$K309,IP!AO$20:AO$22,1)</f>
        <v>0</v>
      </c>
      <c r="AP309" s="403">
        <f>SUMIFS(IP!AP$74:AP$76,IP!$O$74:$O$76,$K309,IP!AP$20:AP$22,1)</f>
        <v>0</v>
      </c>
      <c r="AQ309" s="403">
        <f>SUMIFS(IP!AQ$74:AQ$76,IP!$O$74:$O$76,$K309,IP!AQ$20:AQ$22,1)</f>
        <v>0</v>
      </c>
      <c r="AR309" s="403">
        <f>SUMIFS(IP!AR$74:AR$76,IP!$O$74:$O$76,$K309,IP!AR$20:AR$22,1)</f>
        <v>0</v>
      </c>
      <c r="AS309" s="403">
        <f>SUMIFS(IP!AS$74:AS$76,IP!$O$74:$O$76,$K309,IP!AS$20:AS$22,1)</f>
        <v>0</v>
      </c>
      <c r="AT309" s="403">
        <f>SUMIFS(IP!AT$74:AT$76,IP!$O$74:$O$76,$K309,IP!AT$20:AT$22,1)</f>
        <v>0</v>
      </c>
      <c r="AU309" s="403">
        <f>SUMIFS(IP!AU$74:AU$76,IP!$O$74:$O$76,$K309,IP!AU$20:AU$22,1)</f>
        <v>0</v>
      </c>
      <c r="AV309" s="403">
        <f>SUMIFS(IP!AV$74:AV$76,IP!$O$74:$O$76,$K309,IP!AV$20:AV$22,1)</f>
        <v>0</v>
      </c>
      <c r="AW309" s="403">
        <f>SUMIFS(IP!AW$74:AW$76,IP!$O$74:$O$76,$K309,IP!AW$20:AW$22,1)</f>
        <v>0</v>
      </c>
      <c r="AX309" s="403">
        <f>SUMIFS(IP!AX$74:AX$76,IP!$O$74:$O$76,$K309,IP!AX$20:AX$22,1)</f>
        <v>0</v>
      </c>
      <c r="AY309" s="403">
        <f>SUMIFS(IP!AY$74:AY$76,IP!$O$74:$O$76,$K309,IP!AY$20:AY$22,1)</f>
        <v>0</v>
      </c>
      <c r="AZ309" s="403">
        <f>SUMIFS(IP!AZ$74:AZ$76,IP!$O$74:$O$76,$K309,IP!AZ$20:AZ$22,1)</f>
        <v>0</v>
      </c>
      <c r="BA309" s="403">
        <f>SUMIFS(IP!BA$74:BA$76,IP!$O$74:$O$76,$K309,IP!BA$20:BA$22,1)</f>
        <v>0</v>
      </c>
      <c r="BB309" s="403">
        <f>SUMIFS(IP!BB$74:BB$76,IP!$O$74:$O$76,$K309,IP!BB$20:BB$22,1)</f>
        <v>0</v>
      </c>
      <c r="BC309" s="403">
        <f>SUMIFS(IP!BC$74:BC$76,IP!$O$74:$O$76,$K309,IP!BC$20:BC$22,1)</f>
        <v>0</v>
      </c>
      <c r="BD309" s="403">
        <f>SUMIFS(IP!BD$74:BD$76,IP!$O$74:$O$76,$K309,IP!BD$20:BD$22,1)</f>
        <v>0</v>
      </c>
      <c r="BE309" s="403">
        <f>SUMIFS(IP!BE$74:BE$76,IP!$O$74:$O$76,$K309,IP!BE$20:BE$22,1)</f>
        <v>0</v>
      </c>
      <c r="BF309" s="403">
        <f>SUMIFS(IP!BF$74:BF$76,IP!$O$74:$O$76,$K309,IP!BF$20:BF$22,1)</f>
        <v>0</v>
      </c>
      <c r="BG309" s="403">
        <f>SUMIFS(IP!BG$74:BG$76,IP!$O$74:$O$76,$K309,IP!BG$20:BG$22,1)</f>
        <v>0</v>
      </c>
    </row>
    <row r="310" spans="9:59">
      <c r="K310" s="134" t="str">
        <f t="shared" si="142"/>
        <v>Bank</v>
      </c>
      <c r="M310" s="257"/>
      <c r="T310" s="403">
        <f>SUMIFS(IP!T$74:T$76,IP!$O$74:$O$76,$K310,IP!T$20:T$22,1)</f>
        <v>0</v>
      </c>
      <c r="U310" s="403">
        <f>SUMIFS(IP!U$74:U$76,IP!$O$74:$O$76,$K310,IP!U$20:U$22,1)</f>
        <v>0</v>
      </c>
      <c r="V310" s="403">
        <f>SUMIFS(IP!V$74:V$76,IP!$O$74:$O$76,$K310,IP!V$20:V$22,1)</f>
        <v>0</v>
      </c>
      <c r="W310" s="403">
        <f>SUMIFS(IP!W$74:W$76,IP!$O$74:$O$76,$K310,IP!W$20:W$22,1)</f>
        <v>0</v>
      </c>
      <c r="X310" s="403">
        <f>SUMIFS(IP!X$74:X$76,IP!$O$74:$O$76,$K310,IP!X$20:X$22,1)</f>
        <v>0</v>
      </c>
      <c r="Y310" s="403">
        <f>SUMIFS(IP!Y$74:Y$76,IP!$O$74:$O$76,$K310,IP!Y$20:Y$22,1)</f>
        <v>0</v>
      </c>
      <c r="Z310" s="403">
        <f>SUMIFS(IP!Z$74:Z$76,IP!$O$74:$O$76,$K310,IP!Z$20:Z$22,1)</f>
        <v>0</v>
      </c>
      <c r="AA310" s="403">
        <f>SUMIFS(IP!AA$74:AA$76,IP!$O$74:$O$76,$K310,IP!AA$20:AA$22,1)</f>
        <v>0</v>
      </c>
      <c r="AB310" s="403">
        <f>SUMIFS(IP!AB$74:AB$76,IP!$O$74:$O$76,$K310,IP!AB$20:AB$22,1)</f>
        <v>0</v>
      </c>
      <c r="AC310" s="403">
        <f>SUMIFS(IP!AC$74:AC$76,IP!$O$74:$O$76,$K310,IP!AC$20:AC$22,1)</f>
        <v>0</v>
      </c>
      <c r="AD310" s="403">
        <f>SUMIFS(IP!AD$74:AD$76,IP!$O$74:$O$76,$K310,IP!AD$20:AD$22,1)</f>
        <v>0</v>
      </c>
      <c r="AE310" s="403">
        <f>SUMIFS(IP!AE$74:AE$76,IP!$O$74:$O$76,$K310,IP!AE$20:AE$22,1)</f>
        <v>0</v>
      </c>
      <c r="AF310" s="403">
        <f>SUMIFS(IP!AF$74:AF$76,IP!$O$74:$O$76,$K310,IP!AF$20:AF$22,1)</f>
        <v>0</v>
      </c>
      <c r="AG310" s="403">
        <f>SUMIFS(IP!AG$74:AG$76,IP!$O$74:$O$76,$K310,IP!AG$20:AG$22,1)</f>
        <v>0</v>
      </c>
      <c r="AH310" s="403">
        <f>SUMIFS(IP!AH$74:AH$76,IP!$O$74:$O$76,$K310,IP!AH$20:AH$22,1)</f>
        <v>0</v>
      </c>
      <c r="AI310" s="403">
        <f>SUMIFS(IP!AI$74:AI$76,IP!$O$74:$O$76,$K310,IP!AI$20:AI$22,1)</f>
        <v>0</v>
      </c>
      <c r="AJ310" s="403">
        <f>SUMIFS(IP!AJ$74:AJ$76,IP!$O$74:$O$76,$K310,IP!AJ$20:AJ$22,1)</f>
        <v>0</v>
      </c>
      <c r="AK310" s="403">
        <f>SUMIFS(IP!AK$74:AK$76,IP!$O$74:$O$76,$K310,IP!AK$20:AK$22,1)</f>
        <v>0</v>
      </c>
      <c r="AL310" s="403">
        <f>SUMIFS(IP!AL$74:AL$76,IP!$O$74:$O$76,$K310,IP!AL$20:AL$22,1)</f>
        <v>0</v>
      </c>
      <c r="AM310" s="403">
        <f>SUMIFS(IP!AM$74:AM$76,IP!$O$74:$O$76,$K310,IP!AM$20:AM$22,1)</f>
        <v>0</v>
      </c>
      <c r="AN310" s="403">
        <f>SUMIFS(IP!AN$74:AN$76,IP!$O$74:$O$76,$K310,IP!AN$20:AN$22,1)</f>
        <v>0</v>
      </c>
      <c r="AO310" s="403">
        <f>SUMIFS(IP!AO$74:AO$76,IP!$O$74:$O$76,$K310,IP!AO$20:AO$22,1)</f>
        <v>0</v>
      </c>
      <c r="AP310" s="403">
        <f>SUMIFS(IP!AP$74:AP$76,IP!$O$74:$O$76,$K310,IP!AP$20:AP$22,1)</f>
        <v>0</v>
      </c>
      <c r="AQ310" s="403">
        <f>SUMIFS(IP!AQ$74:AQ$76,IP!$O$74:$O$76,$K310,IP!AQ$20:AQ$22,1)</f>
        <v>0</v>
      </c>
      <c r="AR310" s="403">
        <f>SUMIFS(IP!AR$74:AR$76,IP!$O$74:$O$76,$K310,IP!AR$20:AR$22,1)</f>
        <v>0</v>
      </c>
      <c r="AS310" s="403">
        <f>SUMIFS(IP!AS$74:AS$76,IP!$O$74:$O$76,$K310,IP!AS$20:AS$22,1)</f>
        <v>0</v>
      </c>
      <c r="AT310" s="403">
        <f>SUMIFS(IP!AT$74:AT$76,IP!$O$74:$O$76,$K310,IP!AT$20:AT$22,1)</f>
        <v>0</v>
      </c>
      <c r="AU310" s="403">
        <f>SUMIFS(IP!AU$74:AU$76,IP!$O$74:$O$76,$K310,IP!AU$20:AU$22,1)</f>
        <v>0</v>
      </c>
      <c r="AV310" s="403">
        <f>SUMIFS(IP!AV$74:AV$76,IP!$O$74:$O$76,$K310,IP!AV$20:AV$22,1)</f>
        <v>0</v>
      </c>
      <c r="AW310" s="403">
        <f>SUMIFS(IP!AW$74:AW$76,IP!$O$74:$O$76,$K310,IP!AW$20:AW$22,1)</f>
        <v>0</v>
      </c>
      <c r="AX310" s="403">
        <f>SUMIFS(IP!AX$74:AX$76,IP!$O$74:$O$76,$K310,IP!AX$20:AX$22,1)</f>
        <v>0</v>
      </c>
      <c r="AY310" s="403">
        <f>SUMIFS(IP!AY$74:AY$76,IP!$O$74:$O$76,$K310,IP!AY$20:AY$22,1)</f>
        <v>0</v>
      </c>
      <c r="AZ310" s="403">
        <f>SUMIFS(IP!AZ$74:AZ$76,IP!$O$74:$O$76,$K310,IP!AZ$20:AZ$22,1)</f>
        <v>0</v>
      </c>
      <c r="BA310" s="403">
        <f>SUMIFS(IP!BA$74:BA$76,IP!$O$74:$O$76,$K310,IP!BA$20:BA$22,1)</f>
        <v>0</v>
      </c>
      <c r="BB310" s="403">
        <f>SUMIFS(IP!BB$74:BB$76,IP!$O$74:$O$76,$K310,IP!BB$20:BB$22,1)</f>
        <v>0</v>
      </c>
      <c r="BC310" s="403">
        <f>SUMIFS(IP!BC$74:BC$76,IP!$O$74:$O$76,$K310,IP!BC$20:BC$22,1)</f>
        <v>0</v>
      </c>
      <c r="BD310" s="403">
        <f>SUMIFS(IP!BD$74:BD$76,IP!$O$74:$O$76,$K310,IP!BD$20:BD$22,1)</f>
        <v>0</v>
      </c>
      <c r="BE310" s="403">
        <f>SUMIFS(IP!BE$74:BE$76,IP!$O$74:$O$76,$K310,IP!BE$20:BE$22,1)</f>
        <v>0</v>
      </c>
      <c r="BF310" s="403">
        <f>SUMIFS(IP!BF$74:BF$76,IP!$O$74:$O$76,$K310,IP!BF$20:BF$22,1)</f>
        <v>0</v>
      </c>
      <c r="BG310" s="403">
        <f>SUMIFS(IP!BG$74:BG$76,IP!$O$74:$O$76,$K310,IP!BG$20:BG$22,1)</f>
        <v>0</v>
      </c>
    </row>
    <row r="311" spans="9:59">
      <c r="K311" s="134" t="str">
        <f t="shared" si="142"/>
        <v>Storage</v>
      </c>
      <c r="M311" s="257"/>
      <c r="T311" s="403">
        <f>SUMIFS(IP!T$74:T$76,IP!$O$74:$O$76,$K311,IP!T$20:T$22,1)</f>
        <v>0</v>
      </c>
      <c r="U311" s="403">
        <f>SUMIFS(IP!U$74:U$76,IP!$O$74:$O$76,$K311,IP!U$20:U$22,1)</f>
        <v>0</v>
      </c>
      <c r="V311" s="403">
        <f>SUMIFS(IP!V$74:V$76,IP!$O$74:$O$76,$K311,IP!V$20:V$22,1)</f>
        <v>0</v>
      </c>
      <c r="W311" s="403">
        <f>SUMIFS(IP!W$74:W$76,IP!$O$74:$O$76,$K311,IP!W$20:W$22,1)</f>
        <v>0</v>
      </c>
      <c r="X311" s="403">
        <f>SUMIFS(IP!X$74:X$76,IP!$O$74:$O$76,$K311,IP!X$20:X$22,1)</f>
        <v>0</v>
      </c>
      <c r="Y311" s="403">
        <f>SUMIFS(IP!Y$74:Y$76,IP!$O$74:$O$76,$K311,IP!Y$20:Y$22,1)</f>
        <v>0</v>
      </c>
      <c r="Z311" s="403">
        <f>SUMIFS(IP!Z$74:Z$76,IP!$O$74:$O$76,$K311,IP!Z$20:Z$22,1)</f>
        <v>0</v>
      </c>
      <c r="AA311" s="403">
        <f>SUMIFS(IP!AA$74:AA$76,IP!$O$74:$O$76,$K311,IP!AA$20:AA$22,1)</f>
        <v>0</v>
      </c>
      <c r="AB311" s="403">
        <f>SUMIFS(IP!AB$74:AB$76,IP!$O$74:$O$76,$K311,IP!AB$20:AB$22,1)</f>
        <v>0</v>
      </c>
      <c r="AC311" s="403">
        <f>SUMIFS(IP!AC$74:AC$76,IP!$O$74:$O$76,$K311,IP!AC$20:AC$22,1)</f>
        <v>0</v>
      </c>
      <c r="AD311" s="403">
        <f>SUMIFS(IP!AD$74:AD$76,IP!$O$74:$O$76,$K311,IP!AD$20:AD$22,1)</f>
        <v>0</v>
      </c>
      <c r="AE311" s="403">
        <f>SUMIFS(IP!AE$74:AE$76,IP!$O$74:$O$76,$K311,IP!AE$20:AE$22,1)</f>
        <v>0</v>
      </c>
      <c r="AF311" s="403">
        <f>SUMIFS(IP!AF$74:AF$76,IP!$O$74:$O$76,$K311,IP!AF$20:AF$22,1)</f>
        <v>0</v>
      </c>
      <c r="AG311" s="403">
        <f>SUMIFS(IP!AG$74:AG$76,IP!$O$74:$O$76,$K311,IP!AG$20:AG$22,1)</f>
        <v>0</v>
      </c>
      <c r="AH311" s="403">
        <f>SUMIFS(IP!AH$74:AH$76,IP!$O$74:$O$76,$K311,IP!AH$20:AH$22,1)</f>
        <v>0</v>
      </c>
      <c r="AI311" s="403">
        <f>SUMIFS(IP!AI$74:AI$76,IP!$O$74:$O$76,$K311,IP!AI$20:AI$22,1)</f>
        <v>0</v>
      </c>
      <c r="AJ311" s="403">
        <f>SUMIFS(IP!AJ$74:AJ$76,IP!$O$74:$O$76,$K311,IP!AJ$20:AJ$22,1)</f>
        <v>0</v>
      </c>
      <c r="AK311" s="403">
        <f>SUMIFS(IP!AK$74:AK$76,IP!$O$74:$O$76,$K311,IP!AK$20:AK$22,1)</f>
        <v>0</v>
      </c>
      <c r="AL311" s="403">
        <f>SUMIFS(IP!AL$74:AL$76,IP!$O$74:$O$76,$K311,IP!AL$20:AL$22,1)</f>
        <v>0</v>
      </c>
      <c r="AM311" s="403">
        <f>SUMIFS(IP!AM$74:AM$76,IP!$O$74:$O$76,$K311,IP!AM$20:AM$22,1)</f>
        <v>0</v>
      </c>
      <c r="AN311" s="403">
        <f>SUMIFS(IP!AN$74:AN$76,IP!$O$74:$O$76,$K311,IP!AN$20:AN$22,1)</f>
        <v>0</v>
      </c>
      <c r="AO311" s="403">
        <f>SUMIFS(IP!AO$74:AO$76,IP!$O$74:$O$76,$K311,IP!AO$20:AO$22,1)</f>
        <v>0</v>
      </c>
      <c r="AP311" s="403">
        <f>SUMIFS(IP!AP$74:AP$76,IP!$O$74:$O$76,$K311,IP!AP$20:AP$22,1)</f>
        <v>0</v>
      </c>
      <c r="AQ311" s="403">
        <f>SUMIFS(IP!AQ$74:AQ$76,IP!$O$74:$O$76,$K311,IP!AQ$20:AQ$22,1)</f>
        <v>0</v>
      </c>
      <c r="AR311" s="403">
        <f>SUMIFS(IP!AR$74:AR$76,IP!$O$74:$O$76,$K311,IP!AR$20:AR$22,1)</f>
        <v>0</v>
      </c>
      <c r="AS311" s="403">
        <f>SUMIFS(IP!AS$74:AS$76,IP!$O$74:$O$76,$K311,IP!AS$20:AS$22,1)</f>
        <v>0</v>
      </c>
      <c r="AT311" s="403">
        <f>SUMIFS(IP!AT$74:AT$76,IP!$O$74:$O$76,$K311,IP!AT$20:AT$22,1)</f>
        <v>0</v>
      </c>
      <c r="AU311" s="403">
        <f>SUMIFS(IP!AU$74:AU$76,IP!$O$74:$O$76,$K311,IP!AU$20:AU$22,1)</f>
        <v>0</v>
      </c>
      <c r="AV311" s="403">
        <f>SUMIFS(IP!AV$74:AV$76,IP!$O$74:$O$76,$K311,IP!AV$20:AV$22,1)</f>
        <v>0</v>
      </c>
      <c r="AW311" s="403">
        <f>SUMIFS(IP!AW$74:AW$76,IP!$O$74:$O$76,$K311,IP!AW$20:AW$22,1)</f>
        <v>0</v>
      </c>
      <c r="AX311" s="403">
        <f>SUMIFS(IP!AX$74:AX$76,IP!$O$74:$O$76,$K311,IP!AX$20:AX$22,1)</f>
        <v>0</v>
      </c>
      <c r="AY311" s="403">
        <f>SUMIFS(IP!AY$74:AY$76,IP!$O$74:$O$76,$K311,IP!AY$20:AY$22,1)</f>
        <v>0</v>
      </c>
      <c r="AZ311" s="403">
        <f>SUMIFS(IP!AZ$74:AZ$76,IP!$O$74:$O$76,$K311,IP!AZ$20:AZ$22,1)</f>
        <v>0</v>
      </c>
      <c r="BA311" s="403">
        <f>SUMIFS(IP!BA$74:BA$76,IP!$O$74:$O$76,$K311,IP!BA$20:BA$22,1)</f>
        <v>0</v>
      </c>
      <c r="BB311" s="403">
        <f>SUMIFS(IP!BB$74:BB$76,IP!$O$74:$O$76,$K311,IP!BB$20:BB$22,1)</f>
        <v>0</v>
      </c>
      <c r="BC311" s="403">
        <f>SUMIFS(IP!BC$74:BC$76,IP!$O$74:$O$76,$K311,IP!BC$20:BC$22,1)</f>
        <v>0</v>
      </c>
      <c r="BD311" s="403">
        <f>SUMIFS(IP!BD$74:BD$76,IP!$O$74:$O$76,$K311,IP!BD$20:BD$22,1)</f>
        <v>0</v>
      </c>
      <c r="BE311" s="403">
        <f>SUMIFS(IP!BE$74:BE$76,IP!$O$74:$O$76,$K311,IP!BE$20:BE$22,1)</f>
        <v>0</v>
      </c>
      <c r="BF311" s="403">
        <f>SUMIFS(IP!BF$74:BF$76,IP!$O$74:$O$76,$K311,IP!BF$20:BF$22,1)</f>
        <v>0</v>
      </c>
      <c r="BG311" s="403">
        <f>SUMIFS(IP!BG$74:BG$76,IP!$O$74:$O$76,$K311,IP!BG$20:BG$22,1)</f>
        <v>0</v>
      </c>
    </row>
    <row r="312" spans="9:59">
      <c r="K312" s="134" t="str">
        <f t="shared" si="142"/>
        <v>Parking</v>
      </c>
      <c r="M312" s="257"/>
      <c r="T312" s="403">
        <f>SUMIFS(IP!T$74:T$76,IP!$O$74:$O$76,$K312,IP!T$20:T$22,1)</f>
        <v>0</v>
      </c>
      <c r="U312" s="403">
        <f>SUMIFS(IP!U$74:U$76,IP!$O$74:$O$76,$K312,IP!U$20:U$22,1)</f>
        <v>0</v>
      </c>
      <c r="V312" s="403">
        <f>SUMIFS(IP!V$74:V$76,IP!$O$74:$O$76,$K312,IP!V$20:V$22,1)</f>
        <v>0</v>
      </c>
      <c r="W312" s="403">
        <f>SUMIFS(IP!W$74:W$76,IP!$O$74:$O$76,$K312,IP!W$20:W$22,1)</f>
        <v>0</v>
      </c>
      <c r="X312" s="403">
        <f>SUMIFS(IP!X$74:X$76,IP!$O$74:$O$76,$K312,IP!X$20:X$22,1)</f>
        <v>0</v>
      </c>
      <c r="Y312" s="403">
        <f>SUMIFS(IP!Y$74:Y$76,IP!$O$74:$O$76,$K312,IP!Y$20:Y$22,1)</f>
        <v>0</v>
      </c>
      <c r="Z312" s="403">
        <f>SUMIFS(IP!Z$74:Z$76,IP!$O$74:$O$76,$K312,IP!Z$20:Z$22,1)</f>
        <v>0</v>
      </c>
      <c r="AA312" s="403">
        <f>SUMIFS(IP!AA$74:AA$76,IP!$O$74:$O$76,$K312,IP!AA$20:AA$22,1)</f>
        <v>0</v>
      </c>
      <c r="AB312" s="403">
        <f>SUMIFS(IP!AB$74:AB$76,IP!$O$74:$O$76,$K312,IP!AB$20:AB$22,1)</f>
        <v>0</v>
      </c>
      <c r="AC312" s="403">
        <f>SUMIFS(IP!AC$74:AC$76,IP!$O$74:$O$76,$K312,IP!AC$20:AC$22,1)</f>
        <v>0</v>
      </c>
      <c r="AD312" s="403">
        <f>SUMIFS(IP!AD$74:AD$76,IP!$O$74:$O$76,$K312,IP!AD$20:AD$22,1)</f>
        <v>0</v>
      </c>
      <c r="AE312" s="403">
        <f>SUMIFS(IP!AE$74:AE$76,IP!$O$74:$O$76,$K312,IP!AE$20:AE$22,1)</f>
        <v>0</v>
      </c>
      <c r="AF312" s="403">
        <f>SUMIFS(IP!AF$74:AF$76,IP!$O$74:$O$76,$K312,IP!AF$20:AF$22,1)</f>
        <v>0</v>
      </c>
      <c r="AG312" s="403">
        <f>SUMIFS(IP!AG$74:AG$76,IP!$O$74:$O$76,$K312,IP!AG$20:AG$22,1)</f>
        <v>0</v>
      </c>
      <c r="AH312" s="403">
        <f>SUMIFS(IP!AH$74:AH$76,IP!$O$74:$O$76,$K312,IP!AH$20:AH$22,1)</f>
        <v>0</v>
      </c>
      <c r="AI312" s="403">
        <f>SUMIFS(IP!AI$74:AI$76,IP!$O$74:$O$76,$K312,IP!AI$20:AI$22,1)</f>
        <v>0</v>
      </c>
      <c r="AJ312" s="403">
        <f>SUMIFS(IP!AJ$74:AJ$76,IP!$O$74:$O$76,$K312,IP!AJ$20:AJ$22,1)</f>
        <v>0</v>
      </c>
      <c r="AK312" s="403">
        <f>SUMIFS(IP!AK$74:AK$76,IP!$O$74:$O$76,$K312,IP!AK$20:AK$22,1)</f>
        <v>0</v>
      </c>
      <c r="AL312" s="403">
        <f>SUMIFS(IP!AL$74:AL$76,IP!$O$74:$O$76,$K312,IP!AL$20:AL$22,1)</f>
        <v>0</v>
      </c>
      <c r="AM312" s="403">
        <f>SUMIFS(IP!AM$74:AM$76,IP!$O$74:$O$76,$K312,IP!AM$20:AM$22,1)</f>
        <v>0</v>
      </c>
      <c r="AN312" s="403">
        <f>SUMIFS(IP!AN$74:AN$76,IP!$O$74:$O$76,$K312,IP!AN$20:AN$22,1)</f>
        <v>0</v>
      </c>
      <c r="AO312" s="403">
        <f>SUMIFS(IP!AO$74:AO$76,IP!$O$74:$O$76,$K312,IP!AO$20:AO$22,1)</f>
        <v>0</v>
      </c>
      <c r="AP312" s="403">
        <f>SUMIFS(IP!AP$74:AP$76,IP!$O$74:$O$76,$K312,IP!AP$20:AP$22,1)</f>
        <v>0</v>
      </c>
      <c r="AQ312" s="403">
        <f>SUMIFS(IP!AQ$74:AQ$76,IP!$O$74:$O$76,$K312,IP!AQ$20:AQ$22,1)</f>
        <v>0</v>
      </c>
      <c r="AR312" s="403">
        <f>SUMIFS(IP!AR$74:AR$76,IP!$O$74:$O$76,$K312,IP!AR$20:AR$22,1)</f>
        <v>0</v>
      </c>
      <c r="AS312" s="403">
        <f>SUMIFS(IP!AS$74:AS$76,IP!$O$74:$O$76,$K312,IP!AS$20:AS$22,1)</f>
        <v>0</v>
      </c>
      <c r="AT312" s="403">
        <f>SUMIFS(IP!AT$74:AT$76,IP!$O$74:$O$76,$K312,IP!AT$20:AT$22,1)</f>
        <v>0</v>
      </c>
      <c r="AU312" s="403">
        <f>SUMIFS(IP!AU$74:AU$76,IP!$O$74:$O$76,$K312,IP!AU$20:AU$22,1)</f>
        <v>0</v>
      </c>
      <c r="AV312" s="403">
        <f>SUMIFS(IP!AV$74:AV$76,IP!$O$74:$O$76,$K312,IP!AV$20:AV$22,1)</f>
        <v>0</v>
      </c>
      <c r="AW312" s="403">
        <f>SUMIFS(IP!AW$74:AW$76,IP!$O$74:$O$76,$K312,IP!AW$20:AW$22,1)</f>
        <v>0</v>
      </c>
      <c r="AX312" s="403">
        <f>SUMIFS(IP!AX$74:AX$76,IP!$O$74:$O$76,$K312,IP!AX$20:AX$22,1)</f>
        <v>0</v>
      </c>
      <c r="AY312" s="403">
        <f>SUMIFS(IP!AY$74:AY$76,IP!$O$74:$O$76,$K312,IP!AY$20:AY$22,1)</f>
        <v>0</v>
      </c>
      <c r="AZ312" s="403">
        <f>SUMIFS(IP!AZ$74:AZ$76,IP!$O$74:$O$76,$K312,IP!AZ$20:AZ$22,1)</f>
        <v>0</v>
      </c>
      <c r="BA312" s="403">
        <f>SUMIFS(IP!BA$74:BA$76,IP!$O$74:$O$76,$K312,IP!BA$20:BA$22,1)</f>
        <v>0</v>
      </c>
      <c r="BB312" s="403">
        <f>SUMIFS(IP!BB$74:BB$76,IP!$O$74:$O$76,$K312,IP!BB$20:BB$22,1)</f>
        <v>0</v>
      </c>
      <c r="BC312" s="403">
        <f>SUMIFS(IP!BC$74:BC$76,IP!$O$74:$O$76,$K312,IP!BC$20:BC$22,1)</f>
        <v>0</v>
      </c>
      <c r="BD312" s="403">
        <f>SUMIFS(IP!BD$74:BD$76,IP!$O$74:$O$76,$K312,IP!BD$20:BD$22,1)</f>
        <v>0</v>
      </c>
      <c r="BE312" s="403">
        <f>SUMIFS(IP!BE$74:BE$76,IP!$O$74:$O$76,$K312,IP!BE$20:BE$22,1)</f>
        <v>0</v>
      </c>
      <c r="BF312" s="403">
        <f>SUMIFS(IP!BF$74:BF$76,IP!$O$74:$O$76,$K312,IP!BF$20:BF$22,1)</f>
        <v>0</v>
      </c>
      <c r="BG312" s="403">
        <f>SUMIFS(IP!BG$74:BG$76,IP!$O$74:$O$76,$K312,IP!BG$20:BG$22,1)</f>
        <v>0</v>
      </c>
    </row>
    <row r="313" spans="9:59">
      <c r="K313" s="134" t="str">
        <f t="shared" si="142"/>
        <v>Residential</v>
      </c>
      <c r="M313" s="257"/>
      <c r="T313" s="403">
        <f>SUMIFS(IP!T$74:T$76,IP!$O$74:$O$76,$K313,IP!T$20:T$22,1)</f>
        <v>0</v>
      </c>
      <c r="U313" s="403">
        <f>SUMIFS(IP!U$74:U$76,IP!$O$74:$O$76,$K313,IP!U$20:U$22,1)</f>
        <v>0</v>
      </c>
      <c r="V313" s="403">
        <f>SUMIFS(IP!V$74:V$76,IP!$O$74:$O$76,$K313,IP!V$20:V$22,1)</f>
        <v>0</v>
      </c>
      <c r="W313" s="403">
        <f>SUMIFS(IP!W$74:W$76,IP!$O$74:$O$76,$K313,IP!W$20:W$22,1)</f>
        <v>0</v>
      </c>
      <c r="X313" s="403">
        <f>SUMIFS(IP!X$74:X$76,IP!$O$74:$O$76,$K313,IP!X$20:X$22,1)</f>
        <v>0</v>
      </c>
      <c r="Y313" s="403">
        <f>SUMIFS(IP!Y$74:Y$76,IP!$O$74:$O$76,$K313,IP!Y$20:Y$22,1)</f>
        <v>0</v>
      </c>
      <c r="Z313" s="403">
        <f>SUMIFS(IP!Z$74:Z$76,IP!$O$74:$O$76,$K313,IP!Z$20:Z$22,1)</f>
        <v>0</v>
      </c>
      <c r="AA313" s="403">
        <f>SUMIFS(IP!AA$74:AA$76,IP!$O$74:$O$76,$K313,IP!AA$20:AA$22,1)</f>
        <v>0</v>
      </c>
      <c r="AB313" s="403">
        <f>SUMIFS(IP!AB$74:AB$76,IP!$O$74:$O$76,$K313,IP!AB$20:AB$22,1)</f>
        <v>0</v>
      </c>
      <c r="AC313" s="403">
        <f>SUMIFS(IP!AC$74:AC$76,IP!$O$74:$O$76,$K313,IP!AC$20:AC$22,1)</f>
        <v>0</v>
      </c>
      <c r="AD313" s="403">
        <f>SUMIFS(IP!AD$74:AD$76,IP!$O$74:$O$76,$K313,IP!AD$20:AD$22,1)</f>
        <v>0</v>
      </c>
      <c r="AE313" s="403">
        <f>SUMIFS(IP!AE$74:AE$76,IP!$O$74:$O$76,$K313,IP!AE$20:AE$22,1)</f>
        <v>0</v>
      </c>
      <c r="AF313" s="403">
        <f>SUMIFS(IP!AF$74:AF$76,IP!$O$74:$O$76,$K313,IP!AF$20:AF$22,1)</f>
        <v>0</v>
      </c>
      <c r="AG313" s="403">
        <f>SUMIFS(IP!AG$74:AG$76,IP!$O$74:$O$76,$K313,IP!AG$20:AG$22,1)</f>
        <v>0</v>
      </c>
      <c r="AH313" s="403">
        <f>SUMIFS(IP!AH$74:AH$76,IP!$O$74:$O$76,$K313,IP!AH$20:AH$22,1)</f>
        <v>0</v>
      </c>
      <c r="AI313" s="403">
        <f>SUMIFS(IP!AI$74:AI$76,IP!$O$74:$O$76,$K313,IP!AI$20:AI$22,1)</f>
        <v>0</v>
      </c>
      <c r="AJ313" s="403">
        <f>SUMIFS(IP!AJ$74:AJ$76,IP!$O$74:$O$76,$K313,IP!AJ$20:AJ$22,1)</f>
        <v>0</v>
      </c>
      <c r="AK313" s="403">
        <f>SUMIFS(IP!AK$74:AK$76,IP!$O$74:$O$76,$K313,IP!AK$20:AK$22,1)</f>
        <v>0</v>
      </c>
      <c r="AL313" s="403">
        <f>SUMIFS(IP!AL$74:AL$76,IP!$O$74:$O$76,$K313,IP!AL$20:AL$22,1)</f>
        <v>0</v>
      </c>
      <c r="AM313" s="403">
        <f>SUMIFS(IP!AM$74:AM$76,IP!$O$74:$O$76,$K313,IP!AM$20:AM$22,1)</f>
        <v>0</v>
      </c>
      <c r="AN313" s="403">
        <f>SUMIFS(IP!AN$74:AN$76,IP!$O$74:$O$76,$K313,IP!AN$20:AN$22,1)</f>
        <v>0</v>
      </c>
      <c r="AO313" s="403">
        <f>SUMIFS(IP!AO$74:AO$76,IP!$O$74:$O$76,$K313,IP!AO$20:AO$22,1)</f>
        <v>0</v>
      </c>
      <c r="AP313" s="403">
        <f>SUMIFS(IP!AP$74:AP$76,IP!$O$74:$O$76,$K313,IP!AP$20:AP$22,1)</f>
        <v>0</v>
      </c>
      <c r="AQ313" s="403">
        <f>SUMIFS(IP!AQ$74:AQ$76,IP!$O$74:$O$76,$K313,IP!AQ$20:AQ$22,1)</f>
        <v>0</v>
      </c>
      <c r="AR313" s="403">
        <f>SUMIFS(IP!AR$74:AR$76,IP!$O$74:$O$76,$K313,IP!AR$20:AR$22,1)</f>
        <v>0</v>
      </c>
      <c r="AS313" s="403">
        <f>SUMIFS(IP!AS$74:AS$76,IP!$O$74:$O$76,$K313,IP!AS$20:AS$22,1)</f>
        <v>0</v>
      </c>
      <c r="AT313" s="403">
        <f>SUMIFS(IP!AT$74:AT$76,IP!$O$74:$O$76,$K313,IP!AT$20:AT$22,1)</f>
        <v>0</v>
      </c>
      <c r="AU313" s="403">
        <f>SUMIFS(IP!AU$74:AU$76,IP!$O$74:$O$76,$K313,IP!AU$20:AU$22,1)</f>
        <v>0</v>
      </c>
      <c r="AV313" s="403">
        <f>SUMIFS(IP!AV$74:AV$76,IP!$O$74:$O$76,$K313,IP!AV$20:AV$22,1)</f>
        <v>0</v>
      </c>
      <c r="AW313" s="403">
        <f>SUMIFS(IP!AW$74:AW$76,IP!$O$74:$O$76,$K313,IP!AW$20:AW$22,1)</f>
        <v>0</v>
      </c>
      <c r="AX313" s="403">
        <f>SUMIFS(IP!AX$74:AX$76,IP!$O$74:$O$76,$K313,IP!AX$20:AX$22,1)</f>
        <v>0</v>
      </c>
      <c r="AY313" s="403">
        <f>SUMIFS(IP!AY$74:AY$76,IP!$O$74:$O$76,$K313,IP!AY$20:AY$22,1)</f>
        <v>0</v>
      </c>
      <c r="AZ313" s="403">
        <f>SUMIFS(IP!AZ$74:AZ$76,IP!$O$74:$O$76,$K313,IP!AZ$20:AZ$22,1)</f>
        <v>0</v>
      </c>
      <c r="BA313" s="403">
        <f>SUMIFS(IP!BA$74:BA$76,IP!$O$74:$O$76,$K313,IP!BA$20:BA$22,1)</f>
        <v>0</v>
      </c>
      <c r="BB313" s="403">
        <f>SUMIFS(IP!BB$74:BB$76,IP!$O$74:$O$76,$K313,IP!BB$20:BB$22,1)</f>
        <v>0</v>
      </c>
      <c r="BC313" s="403">
        <f>SUMIFS(IP!BC$74:BC$76,IP!$O$74:$O$76,$K313,IP!BC$20:BC$22,1)</f>
        <v>0</v>
      </c>
      <c r="BD313" s="403">
        <f>SUMIFS(IP!BD$74:BD$76,IP!$O$74:$O$76,$K313,IP!BD$20:BD$22,1)</f>
        <v>0</v>
      </c>
      <c r="BE313" s="403">
        <f>SUMIFS(IP!BE$74:BE$76,IP!$O$74:$O$76,$K313,IP!BE$20:BE$22,1)</f>
        <v>0</v>
      </c>
      <c r="BF313" s="403">
        <f>SUMIFS(IP!BF$74:BF$76,IP!$O$74:$O$76,$K313,IP!BF$20:BF$22,1)</f>
        <v>0</v>
      </c>
      <c r="BG313" s="403">
        <f>SUMIFS(IP!BG$74:BG$76,IP!$O$74:$O$76,$K313,IP!BG$20:BG$22,1)</f>
        <v>0</v>
      </c>
    </row>
    <row r="314" spans="9:59">
      <c r="K314" s="134" t="str">
        <f t="shared" si="142"/>
        <v>Office</v>
      </c>
      <c r="M314" s="257"/>
      <c r="T314" s="403">
        <f>SUMIFS(IP!T$74:T$76,IP!$O$74:$O$76,$K314,IP!T$20:T$22,1)</f>
        <v>0</v>
      </c>
      <c r="U314" s="403">
        <f>SUMIFS(IP!U$74:U$76,IP!$O$74:$O$76,$K314,IP!U$20:U$22,1)</f>
        <v>0</v>
      </c>
      <c r="V314" s="403">
        <f>SUMIFS(IP!V$74:V$76,IP!$O$74:$O$76,$K314,IP!V$20:V$22,1)</f>
        <v>0</v>
      </c>
      <c r="W314" s="403">
        <f>SUMIFS(IP!W$74:W$76,IP!$O$74:$O$76,$K314,IP!W$20:W$22,1)</f>
        <v>0</v>
      </c>
      <c r="X314" s="403">
        <f>SUMIFS(IP!X$74:X$76,IP!$O$74:$O$76,$K314,IP!X$20:X$22,1)</f>
        <v>0</v>
      </c>
      <c r="Y314" s="403">
        <f>SUMIFS(IP!Y$74:Y$76,IP!$O$74:$O$76,$K314,IP!Y$20:Y$22,1)</f>
        <v>0</v>
      </c>
      <c r="Z314" s="403">
        <f>SUMIFS(IP!Z$74:Z$76,IP!$O$74:$O$76,$K314,IP!Z$20:Z$22,1)</f>
        <v>0</v>
      </c>
      <c r="AA314" s="403">
        <f>SUMIFS(IP!AA$74:AA$76,IP!$O$74:$O$76,$K314,IP!AA$20:AA$22,1)</f>
        <v>0</v>
      </c>
      <c r="AB314" s="403">
        <f>SUMIFS(IP!AB$74:AB$76,IP!$O$74:$O$76,$K314,IP!AB$20:AB$22,1)</f>
        <v>0</v>
      </c>
      <c r="AC314" s="403">
        <f>SUMIFS(IP!AC$74:AC$76,IP!$O$74:$O$76,$K314,IP!AC$20:AC$22,1)</f>
        <v>0</v>
      </c>
      <c r="AD314" s="403">
        <f>SUMIFS(IP!AD$74:AD$76,IP!$O$74:$O$76,$K314,IP!AD$20:AD$22,1)</f>
        <v>0</v>
      </c>
      <c r="AE314" s="403">
        <f>SUMIFS(IP!AE$74:AE$76,IP!$O$74:$O$76,$K314,IP!AE$20:AE$22,1)</f>
        <v>0</v>
      </c>
      <c r="AF314" s="403">
        <f>SUMIFS(IP!AF$74:AF$76,IP!$O$74:$O$76,$K314,IP!AF$20:AF$22,1)</f>
        <v>0</v>
      </c>
      <c r="AG314" s="403">
        <f>SUMIFS(IP!AG$74:AG$76,IP!$O$74:$O$76,$K314,IP!AG$20:AG$22,1)</f>
        <v>0</v>
      </c>
      <c r="AH314" s="403">
        <f>SUMIFS(IP!AH$74:AH$76,IP!$O$74:$O$76,$K314,IP!AH$20:AH$22,1)</f>
        <v>0</v>
      </c>
      <c r="AI314" s="403">
        <f>SUMIFS(IP!AI$74:AI$76,IP!$O$74:$O$76,$K314,IP!AI$20:AI$22,1)</f>
        <v>0</v>
      </c>
      <c r="AJ314" s="403">
        <f>SUMIFS(IP!AJ$74:AJ$76,IP!$O$74:$O$76,$K314,IP!AJ$20:AJ$22,1)</f>
        <v>0</v>
      </c>
      <c r="AK314" s="403">
        <f>SUMIFS(IP!AK$74:AK$76,IP!$O$74:$O$76,$K314,IP!AK$20:AK$22,1)</f>
        <v>0</v>
      </c>
      <c r="AL314" s="403">
        <f>SUMIFS(IP!AL$74:AL$76,IP!$O$74:$O$76,$K314,IP!AL$20:AL$22,1)</f>
        <v>0</v>
      </c>
      <c r="AM314" s="403">
        <f>SUMIFS(IP!AM$74:AM$76,IP!$O$74:$O$76,$K314,IP!AM$20:AM$22,1)</f>
        <v>0</v>
      </c>
      <c r="AN314" s="403">
        <f>SUMIFS(IP!AN$74:AN$76,IP!$O$74:$O$76,$K314,IP!AN$20:AN$22,1)</f>
        <v>0</v>
      </c>
      <c r="AO314" s="403">
        <f>SUMIFS(IP!AO$74:AO$76,IP!$O$74:$O$76,$K314,IP!AO$20:AO$22,1)</f>
        <v>0</v>
      </c>
      <c r="AP314" s="403">
        <f>SUMIFS(IP!AP$74:AP$76,IP!$O$74:$O$76,$K314,IP!AP$20:AP$22,1)</f>
        <v>0</v>
      </c>
      <c r="AQ314" s="403">
        <f>SUMIFS(IP!AQ$74:AQ$76,IP!$O$74:$O$76,$K314,IP!AQ$20:AQ$22,1)</f>
        <v>0</v>
      </c>
      <c r="AR314" s="403">
        <f>SUMIFS(IP!AR$74:AR$76,IP!$O$74:$O$76,$K314,IP!AR$20:AR$22,1)</f>
        <v>0</v>
      </c>
      <c r="AS314" s="403">
        <f>SUMIFS(IP!AS$74:AS$76,IP!$O$74:$O$76,$K314,IP!AS$20:AS$22,1)</f>
        <v>0</v>
      </c>
      <c r="AT314" s="403">
        <f>SUMIFS(IP!AT$74:AT$76,IP!$O$74:$O$76,$K314,IP!AT$20:AT$22,1)</f>
        <v>0</v>
      </c>
      <c r="AU314" s="403">
        <f>SUMIFS(IP!AU$74:AU$76,IP!$O$74:$O$76,$K314,IP!AU$20:AU$22,1)</f>
        <v>0</v>
      </c>
      <c r="AV314" s="403">
        <f>SUMIFS(IP!AV$74:AV$76,IP!$O$74:$O$76,$K314,IP!AV$20:AV$22,1)</f>
        <v>0</v>
      </c>
      <c r="AW314" s="403">
        <f>SUMIFS(IP!AW$74:AW$76,IP!$O$74:$O$76,$K314,IP!AW$20:AW$22,1)</f>
        <v>0</v>
      </c>
      <c r="AX314" s="403">
        <f>SUMIFS(IP!AX$74:AX$76,IP!$O$74:$O$76,$K314,IP!AX$20:AX$22,1)</f>
        <v>0</v>
      </c>
      <c r="AY314" s="403">
        <f>SUMIFS(IP!AY$74:AY$76,IP!$O$74:$O$76,$K314,IP!AY$20:AY$22,1)</f>
        <v>0</v>
      </c>
      <c r="AZ314" s="403">
        <f>SUMIFS(IP!AZ$74:AZ$76,IP!$O$74:$O$76,$K314,IP!AZ$20:AZ$22,1)</f>
        <v>0</v>
      </c>
      <c r="BA314" s="403">
        <f>SUMIFS(IP!BA$74:BA$76,IP!$O$74:$O$76,$K314,IP!BA$20:BA$22,1)</f>
        <v>0</v>
      </c>
      <c r="BB314" s="403">
        <f>SUMIFS(IP!BB$74:BB$76,IP!$O$74:$O$76,$K314,IP!BB$20:BB$22,1)</f>
        <v>0</v>
      </c>
      <c r="BC314" s="403">
        <f>SUMIFS(IP!BC$74:BC$76,IP!$O$74:$O$76,$K314,IP!BC$20:BC$22,1)</f>
        <v>0</v>
      </c>
      <c r="BD314" s="403">
        <f>SUMIFS(IP!BD$74:BD$76,IP!$O$74:$O$76,$K314,IP!BD$20:BD$22,1)</f>
        <v>0</v>
      </c>
      <c r="BE314" s="403">
        <f>SUMIFS(IP!BE$74:BE$76,IP!$O$74:$O$76,$K314,IP!BE$20:BE$22,1)</f>
        <v>0</v>
      </c>
      <c r="BF314" s="403">
        <f>SUMIFS(IP!BF$74:BF$76,IP!$O$74:$O$76,$K314,IP!BF$20:BF$22,1)</f>
        <v>0</v>
      </c>
      <c r="BG314" s="403">
        <f>SUMIFS(IP!BG$74:BG$76,IP!$O$74:$O$76,$K314,IP!BG$20:BG$22,1)</f>
        <v>0</v>
      </c>
    </row>
    <row r="315" spans="9:59">
      <c r="K315" s="135" t="str">
        <f t="shared" si="142"/>
        <v>Other</v>
      </c>
      <c r="M315" s="257"/>
      <c r="T315" s="403">
        <f>SUMIFS(IP!T$74:T$76,IP!$O$74:$O$76,$K315,IP!T$20:T$22,1)</f>
        <v>0</v>
      </c>
      <c r="U315" s="403">
        <f>SUMIFS(IP!U$74:U$76,IP!$O$74:$O$76,$K315,IP!U$20:U$22,1)</f>
        <v>0</v>
      </c>
      <c r="V315" s="403">
        <f>SUMIFS(IP!V$74:V$76,IP!$O$74:$O$76,$K315,IP!V$20:V$22,1)</f>
        <v>0</v>
      </c>
      <c r="W315" s="403">
        <f>SUMIFS(IP!W$74:W$76,IP!$O$74:$O$76,$K315,IP!W$20:W$22,1)</f>
        <v>0</v>
      </c>
      <c r="X315" s="403">
        <f>SUMIFS(IP!X$74:X$76,IP!$O$74:$O$76,$K315,IP!X$20:X$22,1)</f>
        <v>0</v>
      </c>
      <c r="Y315" s="403">
        <f>SUMIFS(IP!Y$74:Y$76,IP!$O$74:$O$76,$K315,IP!Y$20:Y$22,1)</f>
        <v>0</v>
      </c>
      <c r="Z315" s="403">
        <f>SUMIFS(IP!Z$74:Z$76,IP!$O$74:$O$76,$K315,IP!Z$20:Z$22,1)</f>
        <v>0</v>
      </c>
      <c r="AA315" s="403">
        <f>SUMIFS(IP!AA$74:AA$76,IP!$O$74:$O$76,$K315,IP!AA$20:AA$22,1)</f>
        <v>0</v>
      </c>
      <c r="AB315" s="403">
        <f>SUMIFS(IP!AB$74:AB$76,IP!$O$74:$O$76,$K315,IP!AB$20:AB$22,1)</f>
        <v>0</v>
      </c>
      <c r="AC315" s="403">
        <f>SUMIFS(IP!AC$74:AC$76,IP!$O$74:$O$76,$K315,IP!AC$20:AC$22,1)</f>
        <v>0</v>
      </c>
      <c r="AD315" s="403">
        <f>SUMIFS(IP!AD$74:AD$76,IP!$O$74:$O$76,$K315,IP!AD$20:AD$22,1)</f>
        <v>0</v>
      </c>
      <c r="AE315" s="403">
        <f>SUMIFS(IP!AE$74:AE$76,IP!$O$74:$O$76,$K315,IP!AE$20:AE$22,1)</f>
        <v>0</v>
      </c>
      <c r="AF315" s="403">
        <f>SUMIFS(IP!AF$74:AF$76,IP!$O$74:$O$76,$K315,IP!AF$20:AF$22,1)</f>
        <v>0</v>
      </c>
      <c r="AG315" s="403">
        <f>SUMIFS(IP!AG$74:AG$76,IP!$O$74:$O$76,$K315,IP!AG$20:AG$22,1)</f>
        <v>0</v>
      </c>
      <c r="AH315" s="403">
        <f>SUMIFS(IP!AH$74:AH$76,IP!$O$74:$O$76,$K315,IP!AH$20:AH$22,1)</f>
        <v>0</v>
      </c>
      <c r="AI315" s="403">
        <f>SUMIFS(IP!AI$74:AI$76,IP!$O$74:$O$76,$K315,IP!AI$20:AI$22,1)</f>
        <v>0</v>
      </c>
      <c r="AJ315" s="403">
        <f>SUMIFS(IP!AJ$74:AJ$76,IP!$O$74:$O$76,$K315,IP!AJ$20:AJ$22,1)</f>
        <v>0</v>
      </c>
      <c r="AK315" s="403">
        <f>SUMIFS(IP!AK$74:AK$76,IP!$O$74:$O$76,$K315,IP!AK$20:AK$22,1)</f>
        <v>0</v>
      </c>
      <c r="AL315" s="403">
        <f>SUMIFS(IP!AL$74:AL$76,IP!$O$74:$O$76,$K315,IP!AL$20:AL$22,1)</f>
        <v>0</v>
      </c>
      <c r="AM315" s="403">
        <f>SUMIFS(IP!AM$74:AM$76,IP!$O$74:$O$76,$K315,IP!AM$20:AM$22,1)</f>
        <v>0</v>
      </c>
      <c r="AN315" s="403">
        <f>SUMIFS(IP!AN$74:AN$76,IP!$O$74:$O$76,$K315,IP!AN$20:AN$22,1)</f>
        <v>0</v>
      </c>
      <c r="AO315" s="403">
        <f>SUMIFS(IP!AO$74:AO$76,IP!$O$74:$O$76,$K315,IP!AO$20:AO$22,1)</f>
        <v>0</v>
      </c>
      <c r="AP315" s="403">
        <f>SUMIFS(IP!AP$74:AP$76,IP!$O$74:$O$76,$K315,IP!AP$20:AP$22,1)</f>
        <v>0</v>
      </c>
      <c r="AQ315" s="403">
        <f>SUMIFS(IP!AQ$74:AQ$76,IP!$O$74:$O$76,$K315,IP!AQ$20:AQ$22,1)</f>
        <v>0</v>
      </c>
      <c r="AR315" s="403">
        <f>SUMIFS(IP!AR$74:AR$76,IP!$O$74:$O$76,$K315,IP!AR$20:AR$22,1)</f>
        <v>0</v>
      </c>
      <c r="AS315" s="403">
        <f>SUMIFS(IP!AS$74:AS$76,IP!$O$74:$O$76,$K315,IP!AS$20:AS$22,1)</f>
        <v>0</v>
      </c>
      <c r="AT315" s="403">
        <f>SUMIFS(IP!AT$74:AT$76,IP!$O$74:$O$76,$K315,IP!AT$20:AT$22,1)</f>
        <v>0</v>
      </c>
      <c r="AU315" s="403">
        <f>SUMIFS(IP!AU$74:AU$76,IP!$O$74:$O$76,$K315,IP!AU$20:AU$22,1)</f>
        <v>0</v>
      </c>
      <c r="AV315" s="403">
        <f>SUMIFS(IP!AV$74:AV$76,IP!$O$74:$O$76,$K315,IP!AV$20:AV$22,1)</f>
        <v>0</v>
      </c>
      <c r="AW315" s="403">
        <f>SUMIFS(IP!AW$74:AW$76,IP!$O$74:$O$76,$K315,IP!AW$20:AW$22,1)</f>
        <v>0</v>
      </c>
      <c r="AX315" s="403">
        <f>SUMIFS(IP!AX$74:AX$76,IP!$O$74:$O$76,$K315,IP!AX$20:AX$22,1)</f>
        <v>0</v>
      </c>
      <c r="AY315" s="403">
        <f>SUMIFS(IP!AY$74:AY$76,IP!$O$74:$O$76,$K315,IP!AY$20:AY$22,1)</f>
        <v>0</v>
      </c>
      <c r="AZ315" s="403">
        <f>SUMIFS(IP!AZ$74:AZ$76,IP!$O$74:$O$76,$K315,IP!AZ$20:AZ$22,1)</f>
        <v>0</v>
      </c>
      <c r="BA315" s="403">
        <f>SUMIFS(IP!BA$74:BA$76,IP!$O$74:$O$76,$K315,IP!BA$20:BA$22,1)</f>
        <v>0</v>
      </c>
      <c r="BB315" s="403">
        <f>SUMIFS(IP!BB$74:BB$76,IP!$O$74:$O$76,$K315,IP!BB$20:BB$22,1)</f>
        <v>0</v>
      </c>
      <c r="BC315" s="403">
        <f>SUMIFS(IP!BC$74:BC$76,IP!$O$74:$O$76,$K315,IP!BC$20:BC$22,1)</f>
        <v>0</v>
      </c>
      <c r="BD315" s="403">
        <f>SUMIFS(IP!BD$74:BD$76,IP!$O$74:$O$76,$K315,IP!BD$20:BD$22,1)</f>
        <v>0</v>
      </c>
      <c r="BE315" s="403">
        <f>SUMIFS(IP!BE$74:BE$76,IP!$O$74:$O$76,$K315,IP!BE$20:BE$22,1)</f>
        <v>0</v>
      </c>
      <c r="BF315" s="403">
        <f>SUMIFS(IP!BF$74:BF$76,IP!$O$74:$O$76,$K315,IP!BF$20:BF$22,1)</f>
        <v>0</v>
      </c>
      <c r="BG315" s="403">
        <f>SUMIFS(IP!BG$74:BG$76,IP!$O$74:$O$76,$K315,IP!BG$20:BG$22,1)</f>
        <v>0</v>
      </c>
    </row>
    <row r="316" spans="9:59">
      <c r="K316" s="394" t="s">
        <v>412</v>
      </c>
      <c r="L316" s="395"/>
      <c r="M316" s="396"/>
      <c r="N316" s="253"/>
      <c r="O316" s="253"/>
      <c r="P316" s="253"/>
      <c r="Q316" s="253"/>
      <c r="R316" s="253"/>
      <c r="S316" s="253"/>
      <c r="T316" s="396">
        <f>SUM(T306:T315)</f>
        <v>0</v>
      </c>
      <c r="U316" s="396">
        <f t="shared" ref="U316:BG316" si="143">SUM(U306:U315)</f>
        <v>0</v>
      </c>
      <c r="V316" s="396">
        <f t="shared" si="143"/>
        <v>0</v>
      </c>
      <c r="W316" s="396">
        <f t="shared" si="143"/>
        <v>0</v>
      </c>
      <c r="X316" s="396">
        <f t="shared" si="143"/>
        <v>0</v>
      </c>
      <c r="Y316" s="396">
        <f t="shared" si="143"/>
        <v>0</v>
      </c>
      <c r="Z316" s="396">
        <f t="shared" si="143"/>
        <v>0</v>
      </c>
      <c r="AA316" s="396">
        <f t="shared" si="143"/>
        <v>0</v>
      </c>
      <c r="AB316" s="396">
        <f t="shared" si="143"/>
        <v>0</v>
      </c>
      <c r="AC316" s="396">
        <f t="shared" si="143"/>
        <v>0</v>
      </c>
      <c r="AD316" s="396">
        <f t="shared" si="143"/>
        <v>0</v>
      </c>
      <c r="AE316" s="396">
        <f t="shared" si="143"/>
        <v>0</v>
      </c>
      <c r="AF316" s="396">
        <f t="shared" si="143"/>
        <v>0</v>
      </c>
      <c r="AG316" s="396">
        <f t="shared" si="143"/>
        <v>0</v>
      </c>
      <c r="AH316" s="396">
        <f t="shared" si="143"/>
        <v>0</v>
      </c>
      <c r="AI316" s="396">
        <f t="shared" si="143"/>
        <v>0</v>
      </c>
      <c r="AJ316" s="396">
        <f t="shared" si="143"/>
        <v>0</v>
      </c>
      <c r="AK316" s="396">
        <f t="shared" si="143"/>
        <v>0</v>
      </c>
      <c r="AL316" s="396">
        <f t="shared" si="143"/>
        <v>0</v>
      </c>
      <c r="AM316" s="396">
        <f t="shared" si="143"/>
        <v>0</v>
      </c>
      <c r="AN316" s="396">
        <f t="shared" si="143"/>
        <v>0</v>
      </c>
      <c r="AO316" s="396">
        <f t="shared" si="143"/>
        <v>0</v>
      </c>
      <c r="AP316" s="396">
        <f t="shared" si="143"/>
        <v>0</v>
      </c>
      <c r="AQ316" s="396">
        <f t="shared" si="143"/>
        <v>0</v>
      </c>
      <c r="AR316" s="396">
        <f t="shared" si="143"/>
        <v>0</v>
      </c>
      <c r="AS316" s="396">
        <f t="shared" si="143"/>
        <v>0</v>
      </c>
      <c r="AT316" s="396">
        <f t="shared" si="143"/>
        <v>0</v>
      </c>
      <c r="AU316" s="396">
        <f t="shared" si="143"/>
        <v>0</v>
      </c>
      <c r="AV316" s="396">
        <f t="shared" si="143"/>
        <v>0</v>
      </c>
      <c r="AW316" s="396">
        <f t="shared" si="143"/>
        <v>0</v>
      </c>
      <c r="AX316" s="396">
        <f t="shared" si="143"/>
        <v>0</v>
      </c>
      <c r="AY316" s="396">
        <f t="shared" si="143"/>
        <v>0</v>
      </c>
      <c r="AZ316" s="396">
        <f t="shared" si="143"/>
        <v>0</v>
      </c>
      <c r="BA316" s="396">
        <f t="shared" si="143"/>
        <v>0</v>
      </c>
      <c r="BB316" s="396">
        <f t="shared" si="143"/>
        <v>0</v>
      </c>
      <c r="BC316" s="396">
        <f t="shared" si="143"/>
        <v>0</v>
      </c>
      <c r="BD316" s="396">
        <f t="shared" si="143"/>
        <v>0</v>
      </c>
      <c r="BE316" s="396">
        <f t="shared" si="143"/>
        <v>0</v>
      </c>
      <c r="BF316" s="396">
        <f t="shared" si="143"/>
        <v>0</v>
      </c>
      <c r="BG316" s="396">
        <f t="shared" si="143"/>
        <v>0</v>
      </c>
    </row>
    <row r="318" spans="9:59">
      <c r="K318" s="364" t="s">
        <v>510</v>
      </c>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row>
    <row r="319" spans="9:59">
      <c r="I319" s="133" t="str">
        <f>GA!E76</f>
        <v>FMCG-F</v>
      </c>
      <c r="K319" s="134" t="str">
        <f>I319</f>
        <v>FMCG-F</v>
      </c>
      <c r="T319" s="403">
        <f>IP!T116+RN!T139+RL!T133+LU!T133</f>
        <v>1000</v>
      </c>
      <c r="U319" s="403">
        <f>IP!U116+RN!U139+RL!U133+LU!U133</f>
        <v>2000</v>
      </c>
      <c r="V319" s="403">
        <f>IP!V116+RN!V139+RL!V133+LU!V133</f>
        <v>3000</v>
      </c>
      <c r="W319" s="403">
        <f>IP!W116+RN!W139+RL!W133+LU!W133</f>
        <v>3000</v>
      </c>
      <c r="X319" s="403">
        <f>IP!X116+RN!X139+RL!X133+LU!X133</f>
        <v>3000</v>
      </c>
      <c r="Y319" s="403">
        <f>IP!Y116+RN!Y139+RL!Y133+LU!Y133</f>
        <v>3000</v>
      </c>
      <c r="Z319" s="403">
        <f>IP!Z116+RN!Z139+RL!Z133+LU!Z133</f>
        <v>3000</v>
      </c>
      <c r="AA319" s="403">
        <f>IP!AA116+RN!AA139+RL!AA133+LU!AA133</f>
        <v>3000</v>
      </c>
      <c r="AB319" s="403">
        <f>IP!AB116+RN!AB139+RL!AB133+LU!AB133</f>
        <v>3000</v>
      </c>
      <c r="AC319" s="403">
        <f>IP!AC116+RN!AC139+RL!AC133+LU!AC133</f>
        <v>3000</v>
      </c>
      <c r="AD319" s="403">
        <f>IP!AD116+RN!AD139+RL!AD133+LU!AD133</f>
        <v>3000</v>
      </c>
      <c r="AE319" s="403">
        <f>IP!AE116+RN!AE139+RL!AE133+LU!AE133</f>
        <v>3000</v>
      </c>
      <c r="AF319" s="403">
        <f>IP!AF116+RN!AF139+RL!AF133+LU!AF133</f>
        <v>0</v>
      </c>
      <c r="AG319" s="403">
        <f>IP!AG116+RN!AG139+RL!AG133+LU!AG133</f>
        <v>0</v>
      </c>
      <c r="AH319" s="403">
        <f>IP!AH116+RN!AH139+RL!AH133+LU!AH133</f>
        <v>0</v>
      </c>
      <c r="AI319" s="403">
        <f>IP!AI116+RN!AI139+RL!AI133+LU!AI133</f>
        <v>0</v>
      </c>
      <c r="AJ319" s="403">
        <f>IP!AJ116+RN!AJ139+RL!AJ133+LU!AJ133</f>
        <v>0</v>
      </c>
      <c r="AK319" s="403">
        <f>IP!AK116+RN!AK139+RL!AK133+LU!AK133</f>
        <v>0</v>
      </c>
      <c r="AL319" s="403">
        <f>IP!AL116+RN!AL139+RL!AL133+LU!AL133</f>
        <v>0</v>
      </c>
      <c r="AM319" s="403">
        <f>IP!AM116+RN!AM139+RL!AM133+LU!AM133</f>
        <v>0</v>
      </c>
      <c r="AN319" s="403">
        <f>IP!AN116+RN!AN139+RL!AN133+LU!AN133</f>
        <v>0</v>
      </c>
      <c r="AO319" s="403">
        <f>IP!AO116+RN!AO139+RL!AO133+LU!AO133</f>
        <v>0</v>
      </c>
      <c r="AP319" s="403">
        <f>IP!AP116+RN!AP139+RL!AP133+LU!AP133</f>
        <v>0</v>
      </c>
      <c r="AQ319" s="403">
        <f>IP!AQ116+RN!AQ139+RL!AQ133+LU!AQ133</f>
        <v>0</v>
      </c>
      <c r="AR319" s="403">
        <f>IP!AR116+RN!AR139+RL!AR133+LU!AR133</f>
        <v>0</v>
      </c>
      <c r="AS319" s="403">
        <f>IP!AS116+RN!AS139+RL!AS133+LU!AS133</f>
        <v>0</v>
      </c>
      <c r="AT319" s="403">
        <f>IP!AT116+RN!AT139+RL!AT133+LU!AT133</f>
        <v>0</v>
      </c>
      <c r="AU319" s="403">
        <f>IP!AU116+RN!AU139+RL!AU133+LU!AU133</f>
        <v>0</v>
      </c>
      <c r="AV319" s="403">
        <f>IP!AV116+RN!AV139+RL!AV133+LU!AV133</f>
        <v>0</v>
      </c>
      <c r="AW319" s="403">
        <f>IP!AW116+RN!AW139+RL!AW133+LU!AW133</f>
        <v>0</v>
      </c>
      <c r="AX319" s="403">
        <f>IP!AX116+RN!AX139+RL!AX133+LU!AX133</f>
        <v>0</v>
      </c>
      <c r="AY319" s="403">
        <f>IP!AY116+RN!AY139+RL!AY133+LU!AY133</f>
        <v>0</v>
      </c>
      <c r="AZ319" s="403">
        <f>IP!AZ116+RN!AZ139+RL!AZ133+LU!AZ133</f>
        <v>0</v>
      </c>
      <c r="BA319" s="403">
        <f>IP!BA116+RN!BA139+RL!BA133+LU!BA133</f>
        <v>0</v>
      </c>
      <c r="BB319" s="403">
        <f>IP!BB116+RN!BB139+RL!BB133+LU!BB133</f>
        <v>0</v>
      </c>
      <c r="BC319" s="403">
        <f>IP!BC116+RN!BC139+RL!BC133+LU!BC133</f>
        <v>0</v>
      </c>
      <c r="BD319" s="403">
        <f>IP!BD116+RN!BD139+RL!BD133+LU!BD133</f>
        <v>0</v>
      </c>
      <c r="BE319" s="403">
        <f>IP!BE116+RN!BE139+RL!BE133+LU!BE133</f>
        <v>0</v>
      </c>
      <c r="BF319" s="403">
        <f>IP!BF116+RN!BF139+RL!BF133+LU!BF133</f>
        <v>0</v>
      </c>
      <c r="BG319" s="403">
        <f>IP!BG116+RN!BG139+RL!BG133+LU!BG133</f>
        <v>0</v>
      </c>
    </row>
    <row r="320" spans="9:59">
      <c r="I320" s="134" t="str">
        <f>GA!E77</f>
        <v>FMCG-N</v>
      </c>
      <c r="K320" s="134" t="str">
        <f t="shared" ref="K320:K328" si="144">I320</f>
        <v>FMCG-N</v>
      </c>
      <c r="T320" s="403">
        <f>IP!T117+RN!T140+RL!T134+LU!T134</f>
        <v>0</v>
      </c>
      <c r="U320" s="403">
        <f>IP!U117+RN!U140+RL!U134+LU!U134</f>
        <v>0</v>
      </c>
      <c r="V320" s="403">
        <f>IP!V117+RN!V140+RL!V134+LU!V134</f>
        <v>0</v>
      </c>
      <c r="W320" s="403">
        <f>IP!W117+RN!W140+RL!W134+LU!W134</f>
        <v>0</v>
      </c>
      <c r="X320" s="403">
        <f>IP!X117+RN!X140+RL!X134+LU!X134</f>
        <v>0</v>
      </c>
      <c r="Y320" s="403">
        <f>IP!Y117+RN!Y140+RL!Y134+LU!Y134</f>
        <v>0</v>
      </c>
      <c r="Z320" s="403">
        <f>IP!Z117+RN!Z140+RL!Z134+LU!Z134</f>
        <v>0</v>
      </c>
      <c r="AA320" s="403">
        <f>IP!AA117+RN!AA140+RL!AA134+LU!AA134</f>
        <v>0</v>
      </c>
      <c r="AB320" s="403">
        <f>IP!AB117+RN!AB140+RL!AB134+LU!AB134</f>
        <v>0</v>
      </c>
      <c r="AC320" s="403">
        <f>IP!AC117+RN!AC140+RL!AC134+LU!AC134</f>
        <v>0</v>
      </c>
      <c r="AD320" s="403">
        <f>IP!AD117+RN!AD140+RL!AD134+LU!AD134</f>
        <v>0</v>
      </c>
      <c r="AE320" s="403">
        <f>IP!AE117+RN!AE140+RL!AE134+LU!AE134</f>
        <v>0</v>
      </c>
      <c r="AF320" s="403">
        <f>IP!AF117+RN!AF140+RL!AF134+LU!AF134</f>
        <v>0</v>
      </c>
      <c r="AG320" s="403">
        <f>IP!AG117+RN!AG140+RL!AG134+LU!AG134</f>
        <v>0</v>
      </c>
      <c r="AH320" s="403">
        <f>IP!AH117+RN!AH140+RL!AH134+LU!AH134</f>
        <v>0</v>
      </c>
      <c r="AI320" s="403">
        <f>IP!AI117+RN!AI140+RL!AI134+LU!AI134</f>
        <v>0</v>
      </c>
      <c r="AJ320" s="403">
        <f>IP!AJ117+RN!AJ140+RL!AJ134+LU!AJ134</f>
        <v>0</v>
      </c>
      <c r="AK320" s="403">
        <f>IP!AK117+RN!AK140+RL!AK134+LU!AK134</f>
        <v>0</v>
      </c>
      <c r="AL320" s="403">
        <f>IP!AL117+RN!AL140+RL!AL134+LU!AL134</f>
        <v>0</v>
      </c>
      <c r="AM320" s="403">
        <f>IP!AM117+RN!AM140+RL!AM134+LU!AM134</f>
        <v>0</v>
      </c>
      <c r="AN320" s="403">
        <f>IP!AN117+RN!AN140+RL!AN134+LU!AN134</f>
        <v>0</v>
      </c>
      <c r="AO320" s="403">
        <f>IP!AO117+RN!AO140+RL!AO134+LU!AO134</f>
        <v>0</v>
      </c>
      <c r="AP320" s="403">
        <f>IP!AP117+RN!AP140+RL!AP134+LU!AP134</f>
        <v>0</v>
      </c>
      <c r="AQ320" s="403">
        <f>IP!AQ117+RN!AQ140+RL!AQ134+LU!AQ134</f>
        <v>0</v>
      </c>
      <c r="AR320" s="403">
        <f>IP!AR117+RN!AR140+RL!AR134+LU!AR134</f>
        <v>0</v>
      </c>
      <c r="AS320" s="403">
        <f>IP!AS117+RN!AS140+RL!AS134+LU!AS134</f>
        <v>0</v>
      </c>
      <c r="AT320" s="403">
        <f>IP!AT117+RN!AT140+RL!AT134+LU!AT134</f>
        <v>0</v>
      </c>
      <c r="AU320" s="403">
        <f>IP!AU117+RN!AU140+RL!AU134+LU!AU134</f>
        <v>0</v>
      </c>
      <c r="AV320" s="403">
        <f>IP!AV117+RN!AV140+RL!AV134+LU!AV134</f>
        <v>0</v>
      </c>
      <c r="AW320" s="403">
        <f>IP!AW117+RN!AW140+RL!AW134+LU!AW134</f>
        <v>0</v>
      </c>
      <c r="AX320" s="403">
        <f>IP!AX117+RN!AX140+RL!AX134+LU!AX134</f>
        <v>0</v>
      </c>
      <c r="AY320" s="403">
        <f>IP!AY117+RN!AY140+RL!AY134+LU!AY134</f>
        <v>0</v>
      </c>
      <c r="AZ320" s="403">
        <f>IP!AZ117+RN!AZ140+RL!AZ134+LU!AZ134</f>
        <v>0</v>
      </c>
      <c r="BA320" s="403">
        <f>IP!BA117+RN!BA140+RL!BA134+LU!BA134</f>
        <v>0</v>
      </c>
      <c r="BB320" s="403">
        <f>IP!BB117+RN!BB140+RL!BB134+LU!BB134</f>
        <v>0</v>
      </c>
      <c r="BC320" s="403">
        <f>IP!BC117+RN!BC140+RL!BC134+LU!BC134</f>
        <v>0</v>
      </c>
      <c r="BD320" s="403">
        <f>IP!BD117+RN!BD140+RL!BD134+LU!BD134</f>
        <v>0</v>
      </c>
      <c r="BE320" s="403">
        <f>IP!BE117+RN!BE140+RL!BE134+LU!BE134</f>
        <v>0</v>
      </c>
      <c r="BF320" s="403">
        <f>IP!BF117+RN!BF140+RL!BF134+LU!BF134</f>
        <v>0</v>
      </c>
      <c r="BG320" s="403">
        <f>IP!BG117+RN!BG140+RL!BG134+LU!BG134</f>
        <v>0</v>
      </c>
    </row>
    <row r="321" spans="9:59">
      <c r="I321" s="134" t="str">
        <f>GA!E78</f>
        <v>Non-food retail</v>
      </c>
      <c r="K321" s="134" t="str">
        <f t="shared" si="144"/>
        <v>Non-food retail</v>
      </c>
      <c r="T321" s="403">
        <f>IP!T118+RN!T141+RL!T135+LU!T135</f>
        <v>0</v>
      </c>
      <c r="U321" s="403">
        <f>IP!U118+RN!U141+RL!U135+LU!U135</f>
        <v>0</v>
      </c>
      <c r="V321" s="403">
        <f>IP!V118+RN!V141+RL!V135+LU!V135</f>
        <v>0</v>
      </c>
      <c r="W321" s="403">
        <f>IP!W118+RN!W141+RL!W135+LU!W135</f>
        <v>0</v>
      </c>
      <c r="X321" s="403">
        <f>IP!X118+RN!X141+RL!X135+LU!X135</f>
        <v>0</v>
      </c>
      <c r="Y321" s="403">
        <f>IP!Y118+RN!Y141+RL!Y135+LU!Y135</f>
        <v>0</v>
      </c>
      <c r="Z321" s="403">
        <f>IP!Z118+RN!Z141+RL!Z135+LU!Z135</f>
        <v>0</v>
      </c>
      <c r="AA321" s="403">
        <f>IP!AA118+RN!AA141+RL!AA135+LU!AA135</f>
        <v>0</v>
      </c>
      <c r="AB321" s="403">
        <f>IP!AB118+RN!AB141+RL!AB135+LU!AB135</f>
        <v>0</v>
      </c>
      <c r="AC321" s="403">
        <f>IP!AC118+RN!AC141+RL!AC135+LU!AC135</f>
        <v>0</v>
      </c>
      <c r="AD321" s="403">
        <f>IP!AD118+RN!AD141+RL!AD135+LU!AD135</f>
        <v>0</v>
      </c>
      <c r="AE321" s="403">
        <f>IP!AE118+RN!AE141+RL!AE135+LU!AE135</f>
        <v>0</v>
      </c>
      <c r="AF321" s="403">
        <f>IP!AF118+RN!AF141+RL!AF135+LU!AF135</f>
        <v>0</v>
      </c>
      <c r="AG321" s="403">
        <f>IP!AG118+RN!AG141+RL!AG135+LU!AG135</f>
        <v>0</v>
      </c>
      <c r="AH321" s="403">
        <f>IP!AH118+RN!AH141+RL!AH135+LU!AH135</f>
        <v>0</v>
      </c>
      <c r="AI321" s="403">
        <f>IP!AI118+RN!AI141+RL!AI135+LU!AI135</f>
        <v>0</v>
      </c>
      <c r="AJ321" s="403">
        <f>IP!AJ118+RN!AJ141+RL!AJ135+LU!AJ135</f>
        <v>0</v>
      </c>
      <c r="AK321" s="403">
        <f>IP!AK118+RN!AK141+RL!AK135+LU!AK135</f>
        <v>0</v>
      </c>
      <c r="AL321" s="403">
        <f>IP!AL118+RN!AL141+RL!AL135+LU!AL135</f>
        <v>0</v>
      </c>
      <c r="AM321" s="403">
        <f>IP!AM118+RN!AM141+RL!AM135+LU!AM135</f>
        <v>0</v>
      </c>
      <c r="AN321" s="403">
        <f>IP!AN118+RN!AN141+RL!AN135+LU!AN135</f>
        <v>0</v>
      </c>
      <c r="AO321" s="403">
        <f>IP!AO118+RN!AO141+RL!AO135+LU!AO135</f>
        <v>0</v>
      </c>
      <c r="AP321" s="403">
        <f>IP!AP118+RN!AP141+RL!AP135+LU!AP135</f>
        <v>0</v>
      </c>
      <c r="AQ321" s="403">
        <f>IP!AQ118+RN!AQ141+RL!AQ135+LU!AQ135</f>
        <v>0</v>
      </c>
      <c r="AR321" s="403">
        <f>IP!AR118+RN!AR141+RL!AR135+LU!AR135</f>
        <v>0</v>
      </c>
      <c r="AS321" s="403">
        <f>IP!AS118+RN!AS141+RL!AS135+LU!AS135</f>
        <v>0</v>
      </c>
      <c r="AT321" s="403">
        <f>IP!AT118+RN!AT141+RL!AT135+LU!AT135</f>
        <v>0</v>
      </c>
      <c r="AU321" s="403">
        <f>IP!AU118+RN!AU141+RL!AU135+LU!AU135</f>
        <v>0</v>
      </c>
      <c r="AV321" s="403">
        <f>IP!AV118+RN!AV141+RL!AV135+LU!AV135</f>
        <v>0</v>
      </c>
      <c r="AW321" s="403">
        <f>IP!AW118+RN!AW141+RL!AW135+LU!AW135</f>
        <v>0</v>
      </c>
      <c r="AX321" s="403">
        <f>IP!AX118+RN!AX141+RL!AX135+LU!AX135</f>
        <v>0</v>
      </c>
      <c r="AY321" s="403">
        <f>IP!AY118+RN!AY141+RL!AY135+LU!AY135</f>
        <v>0</v>
      </c>
      <c r="AZ321" s="403">
        <f>IP!AZ118+RN!AZ141+RL!AZ135+LU!AZ135</f>
        <v>0</v>
      </c>
      <c r="BA321" s="403">
        <f>IP!BA118+RN!BA141+RL!BA135+LU!BA135</f>
        <v>0</v>
      </c>
      <c r="BB321" s="403">
        <f>IP!BB118+RN!BB141+RL!BB135+LU!BB135</f>
        <v>0</v>
      </c>
      <c r="BC321" s="403">
        <f>IP!BC118+RN!BC141+RL!BC135+LU!BC135</f>
        <v>0</v>
      </c>
      <c r="BD321" s="403">
        <f>IP!BD118+RN!BD141+RL!BD135+LU!BD135</f>
        <v>0</v>
      </c>
      <c r="BE321" s="403">
        <f>IP!BE118+RN!BE141+RL!BE135+LU!BE135</f>
        <v>0</v>
      </c>
      <c r="BF321" s="403">
        <f>IP!BF118+RN!BF141+RL!BF135+LU!BF135</f>
        <v>0</v>
      </c>
      <c r="BG321" s="403">
        <f>IP!BG118+RN!BG141+RL!BG135+LU!BG135</f>
        <v>0</v>
      </c>
    </row>
    <row r="322" spans="9:59">
      <c r="I322" s="134" t="str">
        <f>GA!E79</f>
        <v>Gastronomy</v>
      </c>
      <c r="K322" s="134" t="str">
        <f t="shared" si="144"/>
        <v>Gastronomy</v>
      </c>
      <c r="T322" s="403">
        <f>IP!T119+RN!T142+RL!T136+LU!T136</f>
        <v>0</v>
      </c>
      <c r="U322" s="403">
        <f>IP!U119+RN!U142+RL!U136+LU!U136</f>
        <v>0</v>
      </c>
      <c r="V322" s="403">
        <f>IP!V119+RN!V142+RL!V136+LU!V136</f>
        <v>0</v>
      </c>
      <c r="W322" s="403">
        <f>IP!W119+RN!W142+RL!W136+LU!W136</f>
        <v>0</v>
      </c>
      <c r="X322" s="403">
        <f>IP!X119+RN!X142+RL!X136+LU!X136</f>
        <v>0</v>
      </c>
      <c r="Y322" s="403">
        <f>IP!Y119+RN!Y142+RL!Y136+LU!Y136</f>
        <v>0</v>
      </c>
      <c r="Z322" s="403">
        <f>IP!Z119+RN!Z142+RL!Z136+LU!Z136</f>
        <v>0</v>
      </c>
      <c r="AA322" s="403">
        <f>IP!AA119+RN!AA142+RL!AA136+LU!AA136</f>
        <v>0</v>
      </c>
      <c r="AB322" s="403">
        <f>IP!AB119+RN!AB142+RL!AB136+LU!AB136</f>
        <v>0</v>
      </c>
      <c r="AC322" s="403">
        <f>IP!AC119+RN!AC142+RL!AC136+LU!AC136</f>
        <v>0</v>
      </c>
      <c r="AD322" s="403">
        <f>IP!AD119+RN!AD142+RL!AD136+LU!AD136</f>
        <v>0</v>
      </c>
      <c r="AE322" s="403">
        <f>IP!AE119+RN!AE142+RL!AE136+LU!AE136</f>
        <v>0</v>
      </c>
      <c r="AF322" s="403">
        <f>IP!AF119+RN!AF142+RL!AF136+LU!AF136</f>
        <v>0</v>
      </c>
      <c r="AG322" s="403">
        <f>IP!AG119+RN!AG142+RL!AG136+LU!AG136</f>
        <v>0</v>
      </c>
      <c r="AH322" s="403">
        <f>IP!AH119+RN!AH142+RL!AH136+LU!AH136</f>
        <v>0</v>
      </c>
      <c r="AI322" s="403">
        <f>IP!AI119+RN!AI142+RL!AI136+LU!AI136</f>
        <v>0</v>
      </c>
      <c r="AJ322" s="403">
        <f>IP!AJ119+RN!AJ142+RL!AJ136+LU!AJ136</f>
        <v>0</v>
      </c>
      <c r="AK322" s="403">
        <f>IP!AK119+RN!AK142+RL!AK136+LU!AK136</f>
        <v>0</v>
      </c>
      <c r="AL322" s="403">
        <f>IP!AL119+RN!AL142+RL!AL136+LU!AL136</f>
        <v>0</v>
      </c>
      <c r="AM322" s="403">
        <f>IP!AM119+RN!AM142+RL!AM136+LU!AM136</f>
        <v>0</v>
      </c>
      <c r="AN322" s="403">
        <f>IP!AN119+RN!AN142+RL!AN136+LU!AN136</f>
        <v>0</v>
      </c>
      <c r="AO322" s="403">
        <f>IP!AO119+RN!AO142+RL!AO136+LU!AO136</f>
        <v>0</v>
      </c>
      <c r="AP322" s="403">
        <f>IP!AP119+RN!AP142+RL!AP136+LU!AP136</f>
        <v>0</v>
      </c>
      <c r="AQ322" s="403">
        <f>IP!AQ119+RN!AQ142+RL!AQ136+LU!AQ136</f>
        <v>0</v>
      </c>
      <c r="AR322" s="403">
        <f>IP!AR119+RN!AR142+RL!AR136+LU!AR136</f>
        <v>0</v>
      </c>
      <c r="AS322" s="403">
        <f>IP!AS119+RN!AS142+RL!AS136+LU!AS136</f>
        <v>0</v>
      </c>
      <c r="AT322" s="403">
        <f>IP!AT119+RN!AT142+RL!AT136+LU!AT136</f>
        <v>0</v>
      </c>
      <c r="AU322" s="403">
        <f>IP!AU119+RN!AU142+RL!AU136+LU!AU136</f>
        <v>0</v>
      </c>
      <c r="AV322" s="403">
        <f>IP!AV119+RN!AV142+RL!AV136+LU!AV136</f>
        <v>0</v>
      </c>
      <c r="AW322" s="403">
        <f>IP!AW119+RN!AW142+RL!AW136+LU!AW136</f>
        <v>0</v>
      </c>
      <c r="AX322" s="403">
        <f>IP!AX119+RN!AX142+RL!AX136+LU!AX136</f>
        <v>0</v>
      </c>
      <c r="AY322" s="403">
        <f>IP!AY119+RN!AY142+RL!AY136+LU!AY136</f>
        <v>0</v>
      </c>
      <c r="AZ322" s="403">
        <f>IP!AZ119+RN!AZ142+RL!AZ136+LU!AZ136</f>
        <v>0</v>
      </c>
      <c r="BA322" s="403">
        <f>IP!BA119+RN!BA142+RL!BA136+LU!BA136</f>
        <v>0</v>
      </c>
      <c r="BB322" s="403">
        <f>IP!BB119+RN!BB142+RL!BB136+LU!BB136</f>
        <v>0</v>
      </c>
      <c r="BC322" s="403">
        <f>IP!BC119+RN!BC142+RL!BC136+LU!BC136</f>
        <v>0</v>
      </c>
      <c r="BD322" s="403">
        <f>IP!BD119+RN!BD142+RL!BD136+LU!BD136</f>
        <v>0</v>
      </c>
      <c r="BE322" s="403">
        <f>IP!BE119+RN!BE142+RL!BE136+LU!BE136</f>
        <v>0</v>
      </c>
      <c r="BF322" s="403">
        <f>IP!BF119+RN!BF142+RL!BF136+LU!BF136</f>
        <v>0</v>
      </c>
      <c r="BG322" s="403">
        <f>IP!BG119+RN!BG142+RL!BG136+LU!BG136</f>
        <v>0</v>
      </c>
    </row>
    <row r="323" spans="9:59">
      <c r="I323" s="134" t="str">
        <f>GA!E80</f>
        <v>Bank</v>
      </c>
      <c r="K323" s="134" t="str">
        <f t="shared" si="144"/>
        <v>Bank</v>
      </c>
      <c r="T323" s="403">
        <f>IP!T120+RN!T143+RL!T137+LU!T137</f>
        <v>0</v>
      </c>
      <c r="U323" s="403">
        <f>IP!U120+RN!U143+RL!U137+LU!U137</f>
        <v>0</v>
      </c>
      <c r="V323" s="403">
        <f>IP!V120+RN!V143+RL!V137+LU!V137</f>
        <v>0</v>
      </c>
      <c r="W323" s="403">
        <f>IP!W120+RN!W143+RL!W137+LU!W137</f>
        <v>0</v>
      </c>
      <c r="X323" s="403">
        <f>IP!X120+RN!X143+RL!X137+LU!X137</f>
        <v>0</v>
      </c>
      <c r="Y323" s="403">
        <f>IP!Y120+RN!Y143+RL!Y137+LU!Y137</f>
        <v>0</v>
      </c>
      <c r="Z323" s="403">
        <f>IP!Z120+RN!Z143+RL!Z137+LU!Z137</f>
        <v>0</v>
      </c>
      <c r="AA323" s="403">
        <f>IP!AA120+RN!AA143+RL!AA137+LU!AA137</f>
        <v>0</v>
      </c>
      <c r="AB323" s="403">
        <f>IP!AB120+RN!AB143+RL!AB137+LU!AB137</f>
        <v>0</v>
      </c>
      <c r="AC323" s="403">
        <f>IP!AC120+RN!AC143+RL!AC137+LU!AC137</f>
        <v>0</v>
      </c>
      <c r="AD323" s="403">
        <f>IP!AD120+RN!AD143+RL!AD137+LU!AD137</f>
        <v>0</v>
      </c>
      <c r="AE323" s="403">
        <f>IP!AE120+RN!AE143+RL!AE137+LU!AE137</f>
        <v>0</v>
      </c>
      <c r="AF323" s="403">
        <f>IP!AF120+RN!AF143+RL!AF137+LU!AF137</f>
        <v>0</v>
      </c>
      <c r="AG323" s="403">
        <f>IP!AG120+RN!AG143+RL!AG137+LU!AG137</f>
        <v>0</v>
      </c>
      <c r="AH323" s="403">
        <f>IP!AH120+RN!AH143+RL!AH137+LU!AH137</f>
        <v>0</v>
      </c>
      <c r="AI323" s="403">
        <f>IP!AI120+RN!AI143+RL!AI137+LU!AI137</f>
        <v>0</v>
      </c>
      <c r="AJ323" s="403">
        <f>IP!AJ120+RN!AJ143+RL!AJ137+LU!AJ137</f>
        <v>0</v>
      </c>
      <c r="AK323" s="403">
        <f>IP!AK120+RN!AK143+RL!AK137+LU!AK137</f>
        <v>0</v>
      </c>
      <c r="AL323" s="403">
        <f>IP!AL120+RN!AL143+RL!AL137+LU!AL137</f>
        <v>0</v>
      </c>
      <c r="AM323" s="403">
        <f>IP!AM120+RN!AM143+RL!AM137+LU!AM137</f>
        <v>0</v>
      </c>
      <c r="AN323" s="403">
        <f>IP!AN120+RN!AN143+RL!AN137+LU!AN137</f>
        <v>0</v>
      </c>
      <c r="AO323" s="403">
        <f>IP!AO120+RN!AO143+RL!AO137+LU!AO137</f>
        <v>0</v>
      </c>
      <c r="AP323" s="403">
        <f>IP!AP120+RN!AP143+RL!AP137+LU!AP137</f>
        <v>0</v>
      </c>
      <c r="AQ323" s="403">
        <f>IP!AQ120+RN!AQ143+RL!AQ137+LU!AQ137</f>
        <v>0</v>
      </c>
      <c r="AR323" s="403">
        <f>IP!AR120+RN!AR143+RL!AR137+LU!AR137</f>
        <v>0</v>
      </c>
      <c r="AS323" s="403">
        <f>IP!AS120+RN!AS143+RL!AS137+LU!AS137</f>
        <v>0</v>
      </c>
      <c r="AT323" s="403">
        <f>IP!AT120+RN!AT143+RL!AT137+LU!AT137</f>
        <v>0</v>
      </c>
      <c r="AU323" s="403">
        <f>IP!AU120+RN!AU143+RL!AU137+LU!AU137</f>
        <v>0</v>
      </c>
      <c r="AV323" s="403">
        <f>IP!AV120+RN!AV143+RL!AV137+LU!AV137</f>
        <v>0</v>
      </c>
      <c r="AW323" s="403">
        <f>IP!AW120+RN!AW143+RL!AW137+LU!AW137</f>
        <v>0</v>
      </c>
      <c r="AX323" s="403">
        <f>IP!AX120+RN!AX143+RL!AX137+LU!AX137</f>
        <v>0</v>
      </c>
      <c r="AY323" s="403">
        <f>IP!AY120+RN!AY143+RL!AY137+LU!AY137</f>
        <v>0</v>
      </c>
      <c r="AZ323" s="403">
        <f>IP!AZ120+RN!AZ143+RL!AZ137+LU!AZ137</f>
        <v>0</v>
      </c>
      <c r="BA323" s="403">
        <f>IP!BA120+RN!BA143+RL!BA137+LU!BA137</f>
        <v>0</v>
      </c>
      <c r="BB323" s="403">
        <f>IP!BB120+RN!BB143+RL!BB137+LU!BB137</f>
        <v>0</v>
      </c>
      <c r="BC323" s="403">
        <f>IP!BC120+RN!BC143+RL!BC137+LU!BC137</f>
        <v>0</v>
      </c>
      <c r="BD323" s="403">
        <f>IP!BD120+RN!BD143+RL!BD137+LU!BD137</f>
        <v>0</v>
      </c>
      <c r="BE323" s="403">
        <f>IP!BE120+RN!BE143+RL!BE137+LU!BE137</f>
        <v>0</v>
      </c>
      <c r="BF323" s="403">
        <f>IP!BF120+RN!BF143+RL!BF137+LU!BF137</f>
        <v>0</v>
      </c>
      <c r="BG323" s="403">
        <f>IP!BG120+RN!BG143+RL!BG137+LU!BG137</f>
        <v>0</v>
      </c>
    </row>
    <row r="324" spans="9:59">
      <c r="I324" s="134" t="str">
        <f>GA!E81</f>
        <v>Storage</v>
      </c>
      <c r="K324" s="134" t="str">
        <f t="shared" si="144"/>
        <v>Storage</v>
      </c>
      <c r="T324" s="403">
        <f>IP!T121+RN!T144+RL!T138+LU!T138</f>
        <v>0</v>
      </c>
      <c r="U324" s="403">
        <f>IP!U121+RN!U144+RL!U138+LU!U138</f>
        <v>0</v>
      </c>
      <c r="V324" s="403">
        <f>IP!V121+RN!V144+RL!V138+LU!V138</f>
        <v>0</v>
      </c>
      <c r="W324" s="403">
        <f>IP!W121+RN!W144+RL!W138+LU!W138</f>
        <v>0</v>
      </c>
      <c r="X324" s="403">
        <f>IP!X121+RN!X144+RL!X138+LU!X138</f>
        <v>0</v>
      </c>
      <c r="Y324" s="403">
        <f>IP!Y121+RN!Y144+RL!Y138+LU!Y138</f>
        <v>0</v>
      </c>
      <c r="Z324" s="403">
        <f>IP!Z121+RN!Z144+RL!Z138+LU!Z138</f>
        <v>0</v>
      </c>
      <c r="AA324" s="403">
        <f>IP!AA121+RN!AA144+RL!AA138+LU!AA138</f>
        <v>0</v>
      </c>
      <c r="AB324" s="403">
        <f>IP!AB121+RN!AB144+RL!AB138+LU!AB138</f>
        <v>0</v>
      </c>
      <c r="AC324" s="403">
        <f>IP!AC121+RN!AC144+RL!AC138+LU!AC138</f>
        <v>0</v>
      </c>
      <c r="AD324" s="403">
        <f>IP!AD121+RN!AD144+RL!AD138+LU!AD138</f>
        <v>0</v>
      </c>
      <c r="AE324" s="403">
        <f>IP!AE121+RN!AE144+RL!AE138+LU!AE138</f>
        <v>0</v>
      </c>
      <c r="AF324" s="403">
        <f>IP!AF121+RN!AF144+RL!AF138+LU!AF138</f>
        <v>0</v>
      </c>
      <c r="AG324" s="403">
        <f>IP!AG121+RN!AG144+RL!AG138+LU!AG138</f>
        <v>0</v>
      </c>
      <c r="AH324" s="403">
        <f>IP!AH121+RN!AH144+RL!AH138+LU!AH138</f>
        <v>0</v>
      </c>
      <c r="AI324" s="403">
        <f>IP!AI121+RN!AI144+RL!AI138+LU!AI138</f>
        <v>0</v>
      </c>
      <c r="AJ324" s="403">
        <f>IP!AJ121+RN!AJ144+RL!AJ138+LU!AJ138</f>
        <v>0</v>
      </c>
      <c r="AK324" s="403">
        <f>IP!AK121+RN!AK144+RL!AK138+LU!AK138</f>
        <v>0</v>
      </c>
      <c r="AL324" s="403">
        <f>IP!AL121+RN!AL144+RL!AL138+LU!AL138</f>
        <v>0</v>
      </c>
      <c r="AM324" s="403">
        <f>IP!AM121+RN!AM144+RL!AM138+LU!AM138</f>
        <v>0</v>
      </c>
      <c r="AN324" s="403">
        <f>IP!AN121+RN!AN144+RL!AN138+LU!AN138</f>
        <v>0</v>
      </c>
      <c r="AO324" s="403">
        <f>IP!AO121+RN!AO144+RL!AO138+LU!AO138</f>
        <v>0</v>
      </c>
      <c r="AP324" s="403">
        <f>IP!AP121+RN!AP144+RL!AP138+LU!AP138</f>
        <v>0</v>
      </c>
      <c r="AQ324" s="403">
        <f>IP!AQ121+RN!AQ144+RL!AQ138+LU!AQ138</f>
        <v>0</v>
      </c>
      <c r="AR324" s="403">
        <f>IP!AR121+RN!AR144+RL!AR138+LU!AR138</f>
        <v>0</v>
      </c>
      <c r="AS324" s="403">
        <f>IP!AS121+RN!AS144+RL!AS138+LU!AS138</f>
        <v>0</v>
      </c>
      <c r="AT324" s="403">
        <f>IP!AT121+RN!AT144+RL!AT138+LU!AT138</f>
        <v>0</v>
      </c>
      <c r="AU324" s="403">
        <f>IP!AU121+RN!AU144+RL!AU138+LU!AU138</f>
        <v>0</v>
      </c>
      <c r="AV324" s="403">
        <f>IP!AV121+RN!AV144+RL!AV138+LU!AV138</f>
        <v>0</v>
      </c>
      <c r="AW324" s="403">
        <f>IP!AW121+RN!AW144+RL!AW138+LU!AW138</f>
        <v>0</v>
      </c>
      <c r="AX324" s="403">
        <f>IP!AX121+RN!AX144+RL!AX138+LU!AX138</f>
        <v>0</v>
      </c>
      <c r="AY324" s="403">
        <f>IP!AY121+RN!AY144+RL!AY138+LU!AY138</f>
        <v>0</v>
      </c>
      <c r="AZ324" s="403">
        <f>IP!AZ121+RN!AZ144+RL!AZ138+LU!AZ138</f>
        <v>0</v>
      </c>
      <c r="BA324" s="403">
        <f>IP!BA121+RN!BA144+RL!BA138+LU!BA138</f>
        <v>0</v>
      </c>
      <c r="BB324" s="403">
        <f>IP!BB121+RN!BB144+RL!BB138+LU!BB138</f>
        <v>0</v>
      </c>
      <c r="BC324" s="403">
        <f>IP!BC121+RN!BC144+RL!BC138+LU!BC138</f>
        <v>0</v>
      </c>
      <c r="BD324" s="403">
        <f>IP!BD121+RN!BD144+RL!BD138+LU!BD138</f>
        <v>0</v>
      </c>
      <c r="BE324" s="403">
        <f>IP!BE121+RN!BE144+RL!BE138+LU!BE138</f>
        <v>0</v>
      </c>
      <c r="BF324" s="403">
        <f>IP!BF121+RN!BF144+RL!BF138+LU!BF138</f>
        <v>0</v>
      </c>
      <c r="BG324" s="403">
        <f>IP!BG121+RN!BG144+RL!BG138+LU!BG138</f>
        <v>0</v>
      </c>
    </row>
    <row r="325" spans="9:59">
      <c r="I325" s="134" t="str">
        <f>GA!E82</f>
        <v>Parking</v>
      </c>
      <c r="K325" s="134" t="str">
        <f t="shared" si="144"/>
        <v>Parking</v>
      </c>
      <c r="T325" s="403">
        <f>IP!T122+RN!T145+RL!T139+LU!T139</f>
        <v>0</v>
      </c>
      <c r="U325" s="403">
        <f>IP!U122+RN!U145+RL!U139+LU!U139</f>
        <v>0</v>
      </c>
      <c r="V325" s="403">
        <f>IP!V122+RN!V145+RL!V139+LU!V139</f>
        <v>0</v>
      </c>
      <c r="W325" s="403">
        <f>IP!W122+RN!W145+RL!W139+LU!W139</f>
        <v>0</v>
      </c>
      <c r="X325" s="403">
        <f>IP!X122+RN!X145+RL!X139+LU!X139</f>
        <v>0</v>
      </c>
      <c r="Y325" s="403">
        <f>IP!Y122+RN!Y145+RL!Y139+LU!Y139</f>
        <v>0</v>
      </c>
      <c r="Z325" s="403">
        <f>IP!Z122+RN!Z145+RL!Z139+LU!Z139</f>
        <v>0</v>
      </c>
      <c r="AA325" s="403">
        <f>IP!AA122+RN!AA145+RL!AA139+LU!AA139</f>
        <v>0</v>
      </c>
      <c r="AB325" s="403">
        <f>IP!AB122+RN!AB145+RL!AB139+LU!AB139</f>
        <v>0</v>
      </c>
      <c r="AC325" s="403">
        <f>IP!AC122+RN!AC145+RL!AC139+LU!AC139</f>
        <v>0</v>
      </c>
      <c r="AD325" s="403">
        <f>IP!AD122+RN!AD145+RL!AD139+LU!AD139</f>
        <v>0</v>
      </c>
      <c r="AE325" s="403">
        <f>IP!AE122+RN!AE145+RL!AE139+LU!AE139</f>
        <v>0</v>
      </c>
      <c r="AF325" s="403">
        <f>IP!AF122+RN!AF145+RL!AF139+LU!AF139</f>
        <v>0</v>
      </c>
      <c r="AG325" s="403">
        <f>IP!AG122+RN!AG145+RL!AG139+LU!AG139</f>
        <v>0</v>
      </c>
      <c r="AH325" s="403">
        <f>IP!AH122+RN!AH145+RL!AH139+LU!AH139</f>
        <v>0</v>
      </c>
      <c r="AI325" s="403">
        <f>IP!AI122+RN!AI145+RL!AI139+LU!AI139</f>
        <v>0</v>
      </c>
      <c r="AJ325" s="403">
        <f>IP!AJ122+RN!AJ145+RL!AJ139+LU!AJ139</f>
        <v>0</v>
      </c>
      <c r="AK325" s="403">
        <f>IP!AK122+RN!AK145+RL!AK139+LU!AK139</f>
        <v>0</v>
      </c>
      <c r="AL325" s="403">
        <f>IP!AL122+RN!AL145+RL!AL139+LU!AL139</f>
        <v>0</v>
      </c>
      <c r="AM325" s="403">
        <f>IP!AM122+RN!AM145+RL!AM139+LU!AM139</f>
        <v>0</v>
      </c>
      <c r="AN325" s="403">
        <f>IP!AN122+RN!AN145+RL!AN139+LU!AN139</f>
        <v>0</v>
      </c>
      <c r="AO325" s="403">
        <f>IP!AO122+RN!AO145+RL!AO139+LU!AO139</f>
        <v>0</v>
      </c>
      <c r="AP325" s="403">
        <f>IP!AP122+RN!AP145+RL!AP139+LU!AP139</f>
        <v>0</v>
      </c>
      <c r="AQ325" s="403">
        <f>IP!AQ122+RN!AQ145+RL!AQ139+LU!AQ139</f>
        <v>0</v>
      </c>
      <c r="AR325" s="403">
        <f>IP!AR122+RN!AR145+RL!AR139+LU!AR139</f>
        <v>0</v>
      </c>
      <c r="AS325" s="403">
        <f>IP!AS122+RN!AS145+RL!AS139+LU!AS139</f>
        <v>0</v>
      </c>
      <c r="AT325" s="403">
        <f>IP!AT122+RN!AT145+RL!AT139+LU!AT139</f>
        <v>0</v>
      </c>
      <c r="AU325" s="403">
        <f>IP!AU122+RN!AU145+RL!AU139+LU!AU139</f>
        <v>0</v>
      </c>
      <c r="AV325" s="403">
        <f>IP!AV122+RN!AV145+RL!AV139+LU!AV139</f>
        <v>0</v>
      </c>
      <c r="AW325" s="403">
        <f>IP!AW122+RN!AW145+RL!AW139+LU!AW139</f>
        <v>0</v>
      </c>
      <c r="AX325" s="403">
        <f>IP!AX122+RN!AX145+RL!AX139+LU!AX139</f>
        <v>0</v>
      </c>
      <c r="AY325" s="403">
        <f>IP!AY122+RN!AY145+RL!AY139+LU!AY139</f>
        <v>0</v>
      </c>
      <c r="AZ325" s="403">
        <f>IP!AZ122+RN!AZ145+RL!AZ139+LU!AZ139</f>
        <v>0</v>
      </c>
      <c r="BA325" s="403">
        <f>IP!BA122+RN!BA145+RL!BA139+LU!BA139</f>
        <v>0</v>
      </c>
      <c r="BB325" s="403">
        <f>IP!BB122+RN!BB145+RL!BB139+LU!BB139</f>
        <v>0</v>
      </c>
      <c r="BC325" s="403">
        <f>IP!BC122+RN!BC145+RL!BC139+LU!BC139</f>
        <v>0</v>
      </c>
      <c r="BD325" s="403">
        <f>IP!BD122+RN!BD145+RL!BD139+LU!BD139</f>
        <v>0</v>
      </c>
      <c r="BE325" s="403">
        <f>IP!BE122+RN!BE145+RL!BE139+LU!BE139</f>
        <v>0</v>
      </c>
      <c r="BF325" s="403">
        <f>IP!BF122+RN!BF145+RL!BF139+LU!BF139</f>
        <v>0</v>
      </c>
      <c r="BG325" s="403">
        <f>IP!BG122+RN!BG145+RL!BG139+LU!BG139</f>
        <v>0</v>
      </c>
    </row>
    <row r="326" spans="9:59">
      <c r="I326" s="134" t="str">
        <f>GA!E83</f>
        <v>Residential</v>
      </c>
      <c r="K326" s="134" t="str">
        <f t="shared" si="144"/>
        <v>Residential</v>
      </c>
      <c r="T326" s="403">
        <f>IP!T123+RN!T146+RL!T140+LU!T140</f>
        <v>0</v>
      </c>
      <c r="U326" s="403">
        <f>IP!U123+RN!U146+RL!U140+LU!U140</f>
        <v>0</v>
      </c>
      <c r="V326" s="403">
        <f>IP!V123+RN!V146+RL!V140+LU!V140</f>
        <v>0</v>
      </c>
      <c r="W326" s="403">
        <f>IP!W123+RN!W146+RL!W140+LU!W140</f>
        <v>0</v>
      </c>
      <c r="X326" s="403">
        <f>IP!X123+RN!X146+RL!X140+LU!X140</f>
        <v>0</v>
      </c>
      <c r="Y326" s="403">
        <f>IP!Y123+RN!Y146+RL!Y140+LU!Y140</f>
        <v>0</v>
      </c>
      <c r="Z326" s="403">
        <f>IP!Z123+RN!Z146+RL!Z140+LU!Z140</f>
        <v>0</v>
      </c>
      <c r="AA326" s="403">
        <f>IP!AA123+RN!AA146+RL!AA140+LU!AA140</f>
        <v>0</v>
      </c>
      <c r="AB326" s="403">
        <f>IP!AB123+RN!AB146+RL!AB140+LU!AB140</f>
        <v>0</v>
      </c>
      <c r="AC326" s="403">
        <f>IP!AC123+RN!AC146+RL!AC140+LU!AC140</f>
        <v>0</v>
      </c>
      <c r="AD326" s="403">
        <f>IP!AD123+RN!AD146+RL!AD140+LU!AD140</f>
        <v>0</v>
      </c>
      <c r="AE326" s="403">
        <f>IP!AE123+RN!AE146+RL!AE140+LU!AE140</f>
        <v>0</v>
      </c>
      <c r="AF326" s="403">
        <f>IP!AF123+RN!AF146+RL!AF140+LU!AF140</f>
        <v>0</v>
      </c>
      <c r="AG326" s="403">
        <f>IP!AG123+RN!AG146+RL!AG140+LU!AG140</f>
        <v>0</v>
      </c>
      <c r="AH326" s="403">
        <f>IP!AH123+RN!AH146+RL!AH140+LU!AH140</f>
        <v>0</v>
      </c>
      <c r="AI326" s="403">
        <f>IP!AI123+RN!AI146+RL!AI140+LU!AI140</f>
        <v>0</v>
      </c>
      <c r="AJ326" s="403">
        <f>IP!AJ123+RN!AJ146+RL!AJ140+LU!AJ140</f>
        <v>0</v>
      </c>
      <c r="AK326" s="403">
        <f>IP!AK123+RN!AK146+RL!AK140+LU!AK140</f>
        <v>0</v>
      </c>
      <c r="AL326" s="403">
        <f>IP!AL123+RN!AL146+RL!AL140+LU!AL140</f>
        <v>0</v>
      </c>
      <c r="AM326" s="403">
        <f>IP!AM123+RN!AM146+RL!AM140+LU!AM140</f>
        <v>0</v>
      </c>
      <c r="AN326" s="403">
        <f>IP!AN123+RN!AN146+RL!AN140+LU!AN140</f>
        <v>0</v>
      </c>
      <c r="AO326" s="403">
        <f>IP!AO123+RN!AO146+RL!AO140+LU!AO140</f>
        <v>0</v>
      </c>
      <c r="AP326" s="403">
        <f>IP!AP123+RN!AP146+RL!AP140+LU!AP140</f>
        <v>0</v>
      </c>
      <c r="AQ326" s="403">
        <f>IP!AQ123+RN!AQ146+RL!AQ140+LU!AQ140</f>
        <v>0</v>
      </c>
      <c r="AR326" s="403">
        <f>IP!AR123+RN!AR146+RL!AR140+LU!AR140</f>
        <v>0</v>
      </c>
      <c r="AS326" s="403">
        <f>IP!AS123+RN!AS146+RL!AS140+LU!AS140</f>
        <v>0</v>
      </c>
      <c r="AT326" s="403">
        <f>IP!AT123+RN!AT146+RL!AT140+LU!AT140</f>
        <v>0</v>
      </c>
      <c r="AU326" s="403">
        <f>IP!AU123+RN!AU146+RL!AU140+LU!AU140</f>
        <v>0</v>
      </c>
      <c r="AV326" s="403">
        <f>IP!AV123+RN!AV146+RL!AV140+LU!AV140</f>
        <v>0</v>
      </c>
      <c r="AW326" s="403">
        <f>IP!AW123+RN!AW146+RL!AW140+LU!AW140</f>
        <v>0</v>
      </c>
      <c r="AX326" s="403">
        <f>IP!AX123+RN!AX146+RL!AX140+LU!AX140</f>
        <v>0</v>
      </c>
      <c r="AY326" s="403">
        <f>IP!AY123+RN!AY146+RL!AY140+LU!AY140</f>
        <v>0</v>
      </c>
      <c r="AZ326" s="403">
        <f>IP!AZ123+RN!AZ146+RL!AZ140+LU!AZ140</f>
        <v>0</v>
      </c>
      <c r="BA326" s="403">
        <f>IP!BA123+RN!BA146+RL!BA140+LU!BA140</f>
        <v>0</v>
      </c>
      <c r="BB326" s="403">
        <f>IP!BB123+RN!BB146+RL!BB140+LU!BB140</f>
        <v>0</v>
      </c>
      <c r="BC326" s="403">
        <f>IP!BC123+RN!BC146+RL!BC140+LU!BC140</f>
        <v>0</v>
      </c>
      <c r="BD326" s="403">
        <f>IP!BD123+RN!BD146+RL!BD140+LU!BD140</f>
        <v>0</v>
      </c>
      <c r="BE326" s="403">
        <f>IP!BE123+RN!BE146+RL!BE140+LU!BE140</f>
        <v>0</v>
      </c>
      <c r="BF326" s="403">
        <f>IP!BF123+RN!BF146+RL!BF140+LU!BF140</f>
        <v>0</v>
      </c>
      <c r="BG326" s="403">
        <f>IP!BG123+RN!BG146+RL!BG140+LU!BG140</f>
        <v>0</v>
      </c>
    </row>
    <row r="327" spans="9:59">
      <c r="I327" s="134" t="str">
        <f>GA!E84</f>
        <v>Office</v>
      </c>
      <c r="K327" s="134" t="str">
        <f t="shared" si="144"/>
        <v>Office</v>
      </c>
      <c r="T327" s="403">
        <f>IP!T124+RN!T147+RL!T141+LU!T141</f>
        <v>0</v>
      </c>
      <c r="U327" s="403">
        <f>IP!U124+RN!U147+RL!U141+LU!U141</f>
        <v>0</v>
      </c>
      <c r="V327" s="403">
        <f>IP!V124+RN!V147+RL!V141+LU!V141</f>
        <v>0</v>
      </c>
      <c r="W327" s="403">
        <f>IP!W124+RN!W147+RL!W141+LU!W141</f>
        <v>0</v>
      </c>
      <c r="X327" s="403">
        <f>IP!X124+RN!X147+RL!X141+LU!X141</f>
        <v>0</v>
      </c>
      <c r="Y327" s="403">
        <f>IP!Y124+RN!Y147+RL!Y141+LU!Y141</f>
        <v>0</v>
      </c>
      <c r="Z327" s="403">
        <f>IP!Z124+RN!Z147+RL!Z141+LU!Z141</f>
        <v>0</v>
      </c>
      <c r="AA327" s="403">
        <f>IP!AA124+RN!AA147+RL!AA141+LU!AA141</f>
        <v>0</v>
      </c>
      <c r="AB327" s="403">
        <f>IP!AB124+RN!AB147+RL!AB141+LU!AB141</f>
        <v>0</v>
      </c>
      <c r="AC327" s="403">
        <f>IP!AC124+RN!AC147+RL!AC141+LU!AC141</f>
        <v>0</v>
      </c>
      <c r="AD327" s="403">
        <f>IP!AD124+RN!AD147+RL!AD141+LU!AD141</f>
        <v>0</v>
      </c>
      <c r="AE327" s="403">
        <f>IP!AE124+RN!AE147+RL!AE141+LU!AE141</f>
        <v>0</v>
      </c>
      <c r="AF327" s="403">
        <f>IP!AF124+RN!AF147+RL!AF141+LU!AF141</f>
        <v>0</v>
      </c>
      <c r="AG327" s="403">
        <f>IP!AG124+RN!AG147+RL!AG141+LU!AG141</f>
        <v>0</v>
      </c>
      <c r="AH327" s="403">
        <f>IP!AH124+RN!AH147+RL!AH141+LU!AH141</f>
        <v>0</v>
      </c>
      <c r="AI327" s="403">
        <f>IP!AI124+RN!AI147+RL!AI141+LU!AI141</f>
        <v>0</v>
      </c>
      <c r="AJ327" s="403">
        <f>IP!AJ124+RN!AJ147+RL!AJ141+LU!AJ141</f>
        <v>0</v>
      </c>
      <c r="AK327" s="403">
        <f>IP!AK124+RN!AK147+RL!AK141+LU!AK141</f>
        <v>0</v>
      </c>
      <c r="AL327" s="403">
        <f>IP!AL124+RN!AL147+RL!AL141+LU!AL141</f>
        <v>0</v>
      </c>
      <c r="AM327" s="403">
        <f>IP!AM124+RN!AM147+RL!AM141+LU!AM141</f>
        <v>0</v>
      </c>
      <c r="AN327" s="403">
        <f>IP!AN124+RN!AN147+RL!AN141+LU!AN141</f>
        <v>0</v>
      </c>
      <c r="AO327" s="403">
        <f>IP!AO124+RN!AO147+RL!AO141+LU!AO141</f>
        <v>0</v>
      </c>
      <c r="AP327" s="403">
        <f>IP!AP124+RN!AP147+RL!AP141+LU!AP141</f>
        <v>0</v>
      </c>
      <c r="AQ327" s="403">
        <f>IP!AQ124+RN!AQ147+RL!AQ141+LU!AQ141</f>
        <v>0</v>
      </c>
      <c r="AR327" s="403">
        <f>IP!AR124+RN!AR147+RL!AR141+LU!AR141</f>
        <v>0</v>
      </c>
      <c r="AS327" s="403">
        <f>IP!AS124+RN!AS147+RL!AS141+LU!AS141</f>
        <v>0</v>
      </c>
      <c r="AT327" s="403">
        <f>IP!AT124+RN!AT147+RL!AT141+LU!AT141</f>
        <v>0</v>
      </c>
      <c r="AU327" s="403">
        <f>IP!AU124+RN!AU147+RL!AU141+LU!AU141</f>
        <v>0</v>
      </c>
      <c r="AV327" s="403">
        <f>IP!AV124+RN!AV147+RL!AV141+LU!AV141</f>
        <v>0</v>
      </c>
      <c r="AW327" s="403">
        <f>IP!AW124+RN!AW147+RL!AW141+LU!AW141</f>
        <v>0</v>
      </c>
      <c r="AX327" s="403">
        <f>IP!AX124+RN!AX147+RL!AX141+LU!AX141</f>
        <v>0</v>
      </c>
      <c r="AY327" s="403">
        <f>IP!AY124+RN!AY147+RL!AY141+LU!AY141</f>
        <v>0</v>
      </c>
      <c r="AZ327" s="403">
        <f>IP!AZ124+RN!AZ147+RL!AZ141+LU!AZ141</f>
        <v>0</v>
      </c>
      <c r="BA327" s="403">
        <f>IP!BA124+RN!BA147+RL!BA141+LU!BA141</f>
        <v>0</v>
      </c>
      <c r="BB327" s="403">
        <f>IP!BB124+RN!BB147+RL!BB141+LU!BB141</f>
        <v>0</v>
      </c>
      <c r="BC327" s="403">
        <f>IP!BC124+RN!BC147+RL!BC141+LU!BC141</f>
        <v>0</v>
      </c>
      <c r="BD327" s="403">
        <f>IP!BD124+RN!BD147+RL!BD141+LU!BD141</f>
        <v>0</v>
      </c>
      <c r="BE327" s="403">
        <f>IP!BE124+RN!BE147+RL!BE141+LU!BE141</f>
        <v>0</v>
      </c>
      <c r="BF327" s="403">
        <f>IP!BF124+RN!BF147+RL!BF141+LU!BF141</f>
        <v>0</v>
      </c>
      <c r="BG327" s="403">
        <f>IP!BG124+RN!BG147+RL!BG141+LU!BG141</f>
        <v>0</v>
      </c>
    </row>
    <row r="328" spans="9:59">
      <c r="I328" s="135" t="str">
        <f>GA!E85</f>
        <v>Other</v>
      </c>
      <c r="K328" s="135" t="str">
        <f t="shared" si="144"/>
        <v>Other</v>
      </c>
      <c r="T328" s="403">
        <f>IP!T125+RN!T148+RL!T142+LU!T142</f>
        <v>0</v>
      </c>
      <c r="U328" s="403">
        <f>IP!U125+RN!U148+RL!U142+LU!U142</f>
        <v>0</v>
      </c>
      <c r="V328" s="403">
        <f>IP!V125+RN!V148+RL!V142+LU!V142</f>
        <v>0</v>
      </c>
      <c r="W328" s="403">
        <f>IP!W125+RN!W148+RL!W142+LU!W142</f>
        <v>0</v>
      </c>
      <c r="X328" s="403">
        <f>IP!X125+RN!X148+RL!X142+LU!X142</f>
        <v>0</v>
      </c>
      <c r="Y328" s="403">
        <f>IP!Y125+RN!Y148+RL!Y142+LU!Y142</f>
        <v>0</v>
      </c>
      <c r="Z328" s="403">
        <f>IP!Z125+RN!Z148+RL!Z142+LU!Z142</f>
        <v>0</v>
      </c>
      <c r="AA328" s="403">
        <f>IP!AA125+RN!AA148+RL!AA142+LU!AA142</f>
        <v>0</v>
      </c>
      <c r="AB328" s="403">
        <f>IP!AB125+RN!AB148+RL!AB142+LU!AB142</f>
        <v>0</v>
      </c>
      <c r="AC328" s="403">
        <f>IP!AC125+RN!AC148+RL!AC142+LU!AC142</f>
        <v>0</v>
      </c>
      <c r="AD328" s="403">
        <f>IP!AD125+RN!AD148+RL!AD142+LU!AD142</f>
        <v>0</v>
      </c>
      <c r="AE328" s="403">
        <f>IP!AE125+RN!AE148+RL!AE142+LU!AE142</f>
        <v>0</v>
      </c>
      <c r="AF328" s="403">
        <f>IP!AF125+RN!AF148+RL!AF142+LU!AF142</f>
        <v>0</v>
      </c>
      <c r="AG328" s="403">
        <f>IP!AG125+RN!AG148+RL!AG142+LU!AG142</f>
        <v>0</v>
      </c>
      <c r="AH328" s="403">
        <f>IP!AH125+RN!AH148+RL!AH142+LU!AH142</f>
        <v>0</v>
      </c>
      <c r="AI328" s="403">
        <f>IP!AI125+RN!AI148+RL!AI142+LU!AI142</f>
        <v>0</v>
      </c>
      <c r="AJ328" s="403">
        <f>IP!AJ125+RN!AJ148+RL!AJ142+LU!AJ142</f>
        <v>0</v>
      </c>
      <c r="AK328" s="403">
        <f>IP!AK125+RN!AK148+RL!AK142+LU!AK142</f>
        <v>0</v>
      </c>
      <c r="AL328" s="403">
        <f>IP!AL125+RN!AL148+RL!AL142+LU!AL142</f>
        <v>0</v>
      </c>
      <c r="AM328" s="403">
        <f>IP!AM125+RN!AM148+RL!AM142+LU!AM142</f>
        <v>0</v>
      </c>
      <c r="AN328" s="403">
        <f>IP!AN125+RN!AN148+RL!AN142+LU!AN142</f>
        <v>0</v>
      </c>
      <c r="AO328" s="403">
        <f>IP!AO125+RN!AO148+RL!AO142+LU!AO142</f>
        <v>0</v>
      </c>
      <c r="AP328" s="403">
        <f>IP!AP125+RN!AP148+RL!AP142+LU!AP142</f>
        <v>0</v>
      </c>
      <c r="AQ328" s="403">
        <f>IP!AQ125+RN!AQ148+RL!AQ142+LU!AQ142</f>
        <v>0</v>
      </c>
      <c r="AR328" s="403">
        <f>IP!AR125+RN!AR148+RL!AR142+LU!AR142</f>
        <v>0</v>
      </c>
      <c r="AS328" s="403">
        <f>IP!AS125+RN!AS148+RL!AS142+LU!AS142</f>
        <v>0</v>
      </c>
      <c r="AT328" s="403">
        <f>IP!AT125+RN!AT148+RL!AT142+LU!AT142</f>
        <v>0</v>
      </c>
      <c r="AU328" s="403">
        <f>IP!AU125+RN!AU148+RL!AU142+LU!AU142</f>
        <v>0</v>
      </c>
      <c r="AV328" s="403">
        <f>IP!AV125+RN!AV148+RL!AV142+LU!AV142</f>
        <v>0</v>
      </c>
      <c r="AW328" s="403">
        <f>IP!AW125+RN!AW148+RL!AW142+LU!AW142</f>
        <v>0</v>
      </c>
      <c r="AX328" s="403">
        <f>IP!AX125+RN!AX148+RL!AX142+LU!AX142</f>
        <v>0</v>
      </c>
      <c r="AY328" s="403">
        <f>IP!AY125+RN!AY148+RL!AY142+LU!AY142</f>
        <v>0</v>
      </c>
      <c r="AZ328" s="403">
        <f>IP!AZ125+RN!AZ148+RL!AZ142+LU!AZ142</f>
        <v>0</v>
      </c>
      <c r="BA328" s="403">
        <f>IP!BA125+RN!BA148+RL!BA142+LU!BA142</f>
        <v>0</v>
      </c>
      <c r="BB328" s="403">
        <f>IP!BB125+RN!BB148+RL!BB142+LU!BB142</f>
        <v>0</v>
      </c>
      <c r="BC328" s="403">
        <f>IP!BC125+RN!BC148+RL!BC142+LU!BC142</f>
        <v>0</v>
      </c>
      <c r="BD328" s="403">
        <f>IP!BD125+RN!BD148+RL!BD142+LU!BD142</f>
        <v>0</v>
      </c>
      <c r="BE328" s="403">
        <f>IP!BE125+RN!BE148+RL!BE142+LU!BE142</f>
        <v>0</v>
      </c>
      <c r="BF328" s="403">
        <f>IP!BF125+RN!BF148+RL!BF142+LU!BF142</f>
        <v>0</v>
      </c>
      <c r="BG328" s="403">
        <f>IP!BG125+RN!BG148+RL!BG142+LU!BG142</f>
        <v>0</v>
      </c>
    </row>
    <row r="329" spans="9:59">
      <c r="K329" s="365" t="s">
        <v>511</v>
      </c>
      <c r="L329" s="366"/>
      <c r="M329" s="268"/>
      <c r="N329" s="268"/>
      <c r="O329" s="268"/>
      <c r="P329" s="268"/>
      <c r="Q329" s="268"/>
      <c r="R329" s="268"/>
      <c r="S329" s="268"/>
      <c r="T329" s="254">
        <f>SUM(T319:T328)</f>
        <v>1000</v>
      </c>
      <c r="U329" s="254">
        <f t="shared" ref="U329:BG329" si="145">SUM(U319:U328)</f>
        <v>2000</v>
      </c>
      <c r="V329" s="254">
        <f t="shared" si="145"/>
        <v>3000</v>
      </c>
      <c r="W329" s="254">
        <f t="shared" si="145"/>
        <v>3000</v>
      </c>
      <c r="X329" s="254">
        <f t="shared" si="145"/>
        <v>3000</v>
      </c>
      <c r="Y329" s="254">
        <f t="shared" si="145"/>
        <v>3000</v>
      </c>
      <c r="Z329" s="254">
        <f t="shared" si="145"/>
        <v>3000</v>
      </c>
      <c r="AA329" s="254">
        <f t="shared" si="145"/>
        <v>3000</v>
      </c>
      <c r="AB329" s="254">
        <f t="shared" si="145"/>
        <v>3000</v>
      </c>
      <c r="AC329" s="254">
        <f t="shared" si="145"/>
        <v>3000</v>
      </c>
      <c r="AD329" s="254">
        <f t="shared" si="145"/>
        <v>3000</v>
      </c>
      <c r="AE329" s="254">
        <f t="shared" si="145"/>
        <v>3000</v>
      </c>
      <c r="AF329" s="254">
        <f t="shared" si="145"/>
        <v>0</v>
      </c>
      <c r="AG329" s="254">
        <f t="shared" si="145"/>
        <v>0</v>
      </c>
      <c r="AH329" s="254">
        <f t="shared" si="145"/>
        <v>0</v>
      </c>
      <c r="AI329" s="254">
        <f t="shared" si="145"/>
        <v>0</v>
      </c>
      <c r="AJ329" s="254">
        <f t="shared" si="145"/>
        <v>0</v>
      </c>
      <c r="AK329" s="254">
        <f t="shared" si="145"/>
        <v>0</v>
      </c>
      <c r="AL329" s="254">
        <f t="shared" si="145"/>
        <v>0</v>
      </c>
      <c r="AM329" s="254">
        <f t="shared" si="145"/>
        <v>0</v>
      </c>
      <c r="AN329" s="254">
        <f t="shared" si="145"/>
        <v>0</v>
      </c>
      <c r="AO329" s="254">
        <f t="shared" si="145"/>
        <v>0</v>
      </c>
      <c r="AP329" s="254">
        <f t="shared" si="145"/>
        <v>0</v>
      </c>
      <c r="AQ329" s="254">
        <f t="shared" si="145"/>
        <v>0</v>
      </c>
      <c r="AR329" s="254">
        <f t="shared" si="145"/>
        <v>0</v>
      </c>
      <c r="AS329" s="254">
        <f t="shared" si="145"/>
        <v>0</v>
      </c>
      <c r="AT329" s="254">
        <f t="shared" si="145"/>
        <v>0</v>
      </c>
      <c r="AU329" s="254">
        <f t="shared" si="145"/>
        <v>0</v>
      </c>
      <c r="AV329" s="254">
        <f t="shared" si="145"/>
        <v>0</v>
      </c>
      <c r="AW329" s="254">
        <f t="shared" si="145"/>
        <v>0</v>
      </c>
      <c r="AX329" s="254">
        <f t="shared" si="145"/>
        <v>0</v>
      </c>
      <c r="AY329" s="254">
        <f t="shared" si="145"/>
        <v>0</v>
      </c>
      <c r="AZ329" s="254">
        <f t="shared" si="145"/>
        <v>0</v>
      </c>
      <c r="BA329" s="254">
        <f t="shared" si="145"/>
        <v>0</v>
      </c>
      <c r="BB329" s="254">
        <f t="shared" si="145"/>
        <v>0</v>
      </c>
      <c r="BC329" s="254">
        <f t="shared" si="145"/>
        <v>0</v>
      </c>
      <c r="BD329" s="254">
        <f t="shared" si="145"/>
        <v>0</v>
      </c>
      <c r="BE329" s="254">
        <f t="shared" si="145"/>
        <v>0</v>
      </c>
      <c r="BF329" s="254">
        <f t="shared" si="145"/>
        <v>0</v>
      </c>
      <c r="BG329" s="254">
        <f t="shared" si="145"/>
        <v>0</v>
      </c>
    </row>
    <row r="330" spans="9:59">
      <c r="K330" s="255" t="s">
        <v>329</v>
      </c>
      <c r="M330" s="257" t="b">
        <f>COUNTIFS(T330:BG330,"true")=COUNTA(T330:BG330)</f>
        <v>1</v>
      </c>
      <c r="T330" s="257" t="b">
        <f>ROUND(T329,1)=ROUND(SUM(T44:T$46),1)</f>
        <v>1</v>
      </c>
      <c r="U330" s="257" t="b">
        <f>ROUND(U329,1)=ROUND(SUM(U44:U$46),1)</f>
        <v>1</v>
      </c>
      <c r="V330" s="257" t="b">
        <f>ROUND(V329,1)=ROUND(SUM(V44:V$46),1)</f>
        <v>1</v>
      </c>
      <c r="W330" s="257" t="b">
        <f>ROUND(W329,1)=ROUND(SUM(W44:W$46),1)</f>
        <v>1</v>
      </c>
      <c r="X330" s="257" t="b">
        <f>ROUND(X329,1)=ROUND(SUM(X44:X$46),1)</f>
        <v>1</v>
      </c>
      <c r="Y330" s="257" t="b">
        <f>ROUND(Y329,1)=ROUND(SUM(Y44:Y$46),1)</f>
        <v>1</v>
      </c>
      <c r="Z330" s="257" t="b">
        <f>ROUND(Z329,1)=ROUND(SUM(Z44:Z$46),1)</f>
        <v>1</v>
      </c>
      <c r="AA330" s="257" t="b">
        <f>ROUND(AA329,1)=ROUND(SUM(AA44:AA$46),1)</f>
        <v>1</v>
      </c>
      <c r="AB330" s="257" t="b">
        <f>ROUND(AB329,1)=ROUND(SUM(AB44:AB$46),1)</f>
        <v>1</v>
      </c>
      <c r="AC330" s="257" t="b">
        <f>ROUND(AC329,1)=ROUND(SUM(AC44:AC$46),1)</f>
        <v>1</v>
      </c>
      <c r="AD330" s="257" t="b">
        <f>ROUND(AD329,1)=ROUND(SUM(AD44:AD$46),1)</f>
        <v>1</v>
      </c>
      <c r="AE330" s="257" t="b">
        <f>ROUND(AE329,1)=ROUND(SUM(AE44:AE$46),1)</f>
        <v>1</v>
      </c>
      <c r="AF330" s="257" t="b">
        <f>ROUND(AF329,1)=ROUND(SUM(AF44:AF$46),1)</f>
        <v>1</v>
      </c>
      <c r="AG330" s="257" t="b">
        <f>ROUND(AG329,1)=ROUND(SUM(AG44:AG$46),1)</f>
        <v>1</v>
      </c>
      <c r="AH330" s="257" t="b">
        <f>ROUND(AH329,1)=ROUND(SUM(AH44:AH$46),1)</f>
        <v>1</v>
      </c>
      <c r="AI330" s="257" t="b">
        <f>ROUND(AI329,1)=ROUND(SUM(AI44:AI$46),1)</f>
        <v>1</v>
      </c>
      <c r="AJ330" s="257" t="b">
        <f>ROUND(AJ329,1)=ROUND(SUM(AJ44:AJ$46),1)</f>
        <v>1</v>
      </c>
      <c r="AK330" s="257" t="b">
        <f>ROUND(AK329,1)=ROUND(SUM(AK44:AK$46),1)</f>
        <v>1</v>
      </c>
      <c r="AL330" s="257" t="b">
        <f>ROUND(AL329,1)=ROUND(SUM(AL44:AL$46),1)</f>
        <v>1</v>
      </c>
      <c r="AM330" s="257" t="b">
        <f>ROUND(AM329,1)=ROUND(SUM(AM44:AM$46),1)</f>
        <v>1</v>
      </c>
      <c r="AN330" s="257" t="b">
        <f>ROUND(AN329,1)=ROUND(SUM(AN44:AN$46),1)</f>
        <v>1</v>
      </c>
      <c r="AO330" s="257" t="b">
        <f>ROUND(AO329,1)=ROUND(SUM(AO44:AO$46),1)</f>
        <v>1</v>
      </c>
      <c r="AP330" s="257" t="b">
        <f>ROUND(AP329,1)=ROUND(SUM(AP44:AP$46),1)</f>
        <v>1</v>
      </c>
      <c r="AQ330" s="257" t="b">
        <f>ROUND(AQ329,1)=ROUND(SUM(AQ44:AQ$46),1)</f>
        <v>1</v>
      </c>
      <c r="AR330" s="257" t="b">
        <f>ROUND(AR329,1)=ROUND(SUM(AR44:AR$46),1)</f>
        <v>1</v>
      </c>
      <c r="AS330" s="257" t="b">
        <f>ROUND(AS329,1)=ROUND(SUM(AS44:AS$46),1)</f>
        <v>1</v>
      </c>
      <c r="AT330" s="257" t="b">
        <f>ROUND(AT329,1)=ROUND(SUM(AT44:AT$46),1)</f>
        <v>1</v>
      </c>
      <c r="AU330" s="257" t="b">
        <f>ROUND(AU329,1)=ROUND(SUM(AU44:AU$46),1)</f>
        <v>1</v>
      </c>
      <c r="AV330" s="257" t="b">
        <f>ROUND(AV329,1)=ROUND(SUM(AV44:AV$46),1)</f>
        <v>1</v>
      </c>
      <c r="AW330" s="257" t="b">
        <f>ROUND(AW329,1)=ROUND(SUM(AW44:AW$46),1)</f>
        <v>1</v>
      </c>
      <c r="AX330" s="257" t="b">
        <f>ROUND(AX329,1)=ROUND(SUM(AX44:AX$46),1)</f>
        <v>1</v>
      </c>
      <c r="AY330" s="257" t="b">
        <f>ROUND(AY329,1)=ROUND(SUM(AY44:AY$46),1)</f>
        <v>1</v>
      </c>
      <c r="AZ330" s="257" t="b">
        <f>ROUND(AZ329,1)=ROUND(SUM(AZ44:AZ$46),1)</f>
        <v>1</v>
      </c>
      <c r="BA330" s="257" t="b">
        <f>ROUND(BA329,1)=ROUND(SUM(BA44:BA$46),1)</f>
        <v>1</v>
      </c>
      <c r="BB330" s="257" t="b">
        <f>ROUND(BB329,1)=ROUND(SUM(BB44:BB$46),1)</f>
        <v>1</v>
      </c>
      <c r="BC330" s="257" t="b">
        <f>ROUND(BC329,1)=ROUND(SUM(BC44:BC$46),1)</f>
        <v>1</v>
      </c>
      <c r="BD330" s="257" t="b">
        <f>ROUND(BD329,1)=ROUND(SUM(BD44:BD$46),1)</f>
        <v>1</v>
      </c>
      <c r="BE330" s="257" t="b">
        <f>ROUND(BE329,1)=ROUND(SUM(BE44:BE$46),1)</f>
        <v>1</v>
      </c>
      <c r="BF330" s="257" t="b">
        <f>ROUND(BF329,1)=ROUND(SUM(BF44:BF$46),1)</f>
        <v>1</v>
      </c>
      <c r="BG330" s="257" t="b">
        <f>ROUND(BG329,1)=ROUND(SUM(BG44:BG$46),1)</f>
        <v>1</v>
      </c>
    </row>
    <row r="331" spans="9:59">
      <c r="K331" t="s">
        <v>301</v>
      </c>
      <c r="T331" s="319">
        <f>IFERROR(T329/T$302,0)</f>
        <v>1</v>
      </c>
      <c r="U331" s="319">
        <f t="shared" ref="U331:BG331" si="146">IFERROR(U329/U$302,0)</f>
        <v>1</v>
      </c>
      <c r="V331" s="319">
        <f t="shared" si="146"/>
        <v>1</v>
      </c>
      <c r="W331" s="319">
        <f t="shared" si="146"/>
        <v>1</v>
      </c>
      <c r="X331" s="319">
        <f t="shared" si="146"/>
        <v>1</v>
      </c>
      <c r="Y331" s="319">
        <f t="shared" si="146"/>
        <v>1</v>
      </c>
      <c r="Z331" s="319">
        <f t="shared" si="146"/>
        <v>1</v>
      </c>
      <c r="AA331" s="319">
        <f t="shared" si="146"/>
        <v>1</v>
      </c>
      <c r="AB331" s="319">
        <f t="shared" si="146"/>
        <v>1</v>
      </c>
      <c r="AC331" s="319">
        <f t="shared" si="146"/>
        <v>1</v>
      </c>
      <c r="AD331" s="319">
        <f t="shared" si="146"/>
        <v>1</v>
      </c>
      <c r="AE331" s="319">
        <f t="shared" si="146"/>
        <v>1</v>
      </c>
      <c r="AF331" s="319">
        <f t="shared" si="146"/>
        <v>0</v>
      </c>
      <c r="AG331" s="319">
        <f t="shared" si="146"/>
        <v>0</v>
      </c>
      <c r="AH331" s="319">
        <f t="shared" si="146"/>
        <v>0</v>
      </c>
      <c r="AI331" s="319">
        <f t="shared" si="146"/>
        <v>0</v>
      </c>
      <c r="AJ331" s="319">
        <f t="shared" si="146"/>
        <v>0</v>
      </c>
      <c r="AK331" s="319">
        <f t="shared" si="146"/>
        <v>0</v>
      </c>
      <c r="AL331" s="319">
        <f t="shared" si="146"/>
        <v>0</v>
      </c>
      <c r="AM331" s="319">
        <f t="shared" si="146"/>
        <v>0</v>
      </c>
      <c r="AN331" s="319">
        <f t="shared" si="146"/>
        <v>0</v>
      </c>
      <c r="AO331" s="319">
        <f t="shared" si="146"/>
        <v>0</v>
      </c>
      <c r="AP331" s="319">
        <f t="shared" si="146"/>
        <v>0</v>
      </c>
      <c r="AQ331" s="319">
        <f t="shared" si="146"/>
        <v>0</v>
      </c>
      <c r="AR331" s="319">
        <f t="shared" si="146"/>
        <v>0</v>
      </c>
      <c r="AS331" s="319">
        <f t="shared" si="146"/>
        <v>0</v>
      </c>
      <c r="AT331" s="319">
        <f t="shared" si="146"/>
        <v>0</v>
      </c>
      <c r="AU331" s="319">
        <f t="shared" si="146"/>
        <v>0</v>
      </c>
      <c r="AV331" s="319">
        <f t="shared" si="146"/>
        <v>0</v>
      </c>
      <c r="AW331" s="319">
        <f t="shared" si="146"/>
        <v>0</v>
      </c>
      <c r="AX331" s="319">
        <f t="shared" si="146"/>
        <v>0</v>
      </c>
      <c r="AY331" s="319">
        <f t="shared" si="146"/>
        <v>0</v>
      </c>
      <c r="AZ331" s="319">
        <f t="shared" si="146"/>
        <v>0</v>
      </c>
      <c r="BA331" s="319">
        <f t="shared" si="146"/>
        <v>0</v>
      </c>
      <c r="BB331" s="319">
        <f t="shared" si="146"/>
        <v>0</v>
      </c>
      <c r="BC331" s="319">
        <f t="shared" si="146"/>
        <v>0</v>
      </c>
      <c r="BD331" s="319">
        <f t="shared" si="146"/>
        <v>0</v>
      </c>
      <c r="BE331" s="319">
        <f t="shared" si="146"/>
        <v>0</v>
      </c>
      <c r="BF331" s="319">
        <f t="shared" si="146"/>
        <v>0</v>
      </c>
      <c r="BG331" s="319">
        <f t="shared" si="146"/>
        <v>0</v>
      </c>
    </row>
    <row r="333" spans="9:59">
      <c r="K333" s="364" t="s">
        <v>512</v>
      </c>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row>
    <row r="334" spans="9:59">
      <c r="K334" s="298" t="s">
        <v>513</v>
      </c>
      <c r="T334" s="403">
        <f>SUM(IP!T83:T85)</f>
        <v>1000</v>
      </c>
      <c r="U334" s="403">
        <f>SUM(IP!U83:U85)</f>
        <v>2000</v>
      </c>
      <c r="V334" s="403">
        <f>SUM(IP!V83:V85)</f>
        <v>3000</v>
      </c>
      <c r="W334" s="403">
        <f>SUM(IP!W83:W85)</f>
        <v>3000</v>
      </c>
      <c r="X334" s="403">
        <f>SUM(IP!X83:X85)</f>
        <v>3000</v>
      </c>
      <c r="Y334" s="403">
        <f>SUM(IP!Y83:Y85)</f>
        <v>3000</v>
      </c>
      <c r="Z334" s="403">
        <f>SUM(IP!Z83:Z85)</f>
        <v>3000</v>
      </c>
      <c r="AA334" s="403">
        <f>SUM(IP!AA83:AA85)</f>
        <v>3000</v>
      </c>
      <c r="AB334" s="403">
        <f>SUM(IP!AB83:AB85)</f>
        <v>3000</v>
      </c>
      <c r="AC334" s="403">
        <f>SUM(IP!AC83:AC85)</f>
        <v>3000</v>
      </c>
      <c r="AD334" s="403">
        <f>SUM(IP!AD83:AD85)</f>
        <v>3000</v>
      </c>
      <c r="AE334" s="403">
        <f>SUM(IP!AE83:AE85)</f>
        <v>3000</v>
      </c>
      <c r="AF334" s="403">
        <f>SUM(IP!AF83:AF85)</f>
        <v>0</v>
      </c>
      <c r="AG334" s="403">
        <f>SUM(IP!AG83:AG85)</f>
        <v>0</v>
      </c>
      <c r="AH334" s="403">
        <f>SUM(IP!AH83:AH85)</f>
        <v>0</v>
      </c>
      <c r="AI334" s="403">
        <f>SUM(IP!AI83:AI85)</f>
        <v>0</v>
      </c>
      <c r="AJ334" s="403">
        <f>SUM(IP!AJ83:AJ85)</f>
        <v>0</v>
      </c>
      <c r="AK334" s="403">
        <f>SUM(IP!AK83:AK85)</f>
        <v>0</v>
      </c>
      <c r="AL334" s="403">
        <f>SUM(IP!AL83:AL85)</f>
        <v>0</v>
      </c>
      <c r="AM334" s="403">
        <f>SUM(IP!AM83:AM85)</f>
        <v>0</v>
      </c>
      <c r="AN334" s="403">
        <f>SUM(IP!AN83:AN85)</f>
        <v>0</v>
      </c>
      <c r="AO334" s="403">
        <f>SUM(IP!AO83:AO85)</f>
        <v>0</v>
      </c>
      <c r="AP334" s="403">
        <f>SUM(IP!AP83:AP85)</f>
        <v>0</v>
      </c>
      <c r="AQ334" s="403">
        <f>SUM(IP!AQ83:AQ85)</f>
        <v>0</v>
      </c>
      <c r="AR334" s="403">
        <f>SUM(IP!AR83:AR85)</f>
        <v>0</v>
      </c>
      <c r="AS334" s="403">
        <f>SUM(IP!AS83:AS85)</f>
        <v>0</v>
      </c>
      <c r="AT334" s="403">
        <f>SUM(IP!AT83:AT85)</f>
        <v>0</v>
      </c>
      <c r="AU334" s="403">
        <f>SUM(IP!AU83:AU85)</f>
        <v>0</v>
      </c>
      <c r="AV334" s="403">
        <f>SUM(IP!AV83:AV85)</f>
        <v>0</v>
      </c>
      <c r="AW334" s="403">
        <f>SUM(IP!AW83:AW85)</f>
        <v>0</v>
      </c>
      <c r="AX334" s="403">
        <f>SUM(IP!AX83:AX85)</f>
        <v>0</v>
      </c>
      <c r="AY334" s="403">
        <f>SUM(IP!AY83:AY85)</f>
        <v>0</v>
      </c>
      <c r="AZ334" s="403">
        <f>SUM(IP!AZ83:AZ85)</f>
        <v>0</v>
      </c>
      <c r="BA334" s="403">
        <f>SUM(IP!BA83:BA85)</f>
        <v>0</v>
      </c>
      <c r="BB334" s="403">
        <f>SUM(IP!BB83:BB85)</f>
        <v>0</v>
      </c>
      <c r="BC334" s="403">
        <f>SUM(IP!BC83:BC85)</f>
        <v>0</v>
      </c>
      <c r="BD334" s="403">
        <f>SUM(IP!BD83:BD85)</f>
        <v>0</v>
      </c>
      <c r="BE334" s="403">
        <f>SUM(IP!BE83:BE85)</f>
        <v>0</v>
      </c>
      <c r="BF334" s="403">
        <f>SUM(IP!BF83:BF85)</f>
        <v>0</v>
      </c>
      <c r="BG334" s="403">
        <f>SUM(IP!BG83:BG85)</f>
        <v>0</v>
      </c>
    </row>
    <row r="335" spans="9:59">
      <c r="K335" s="298" t="s">
        <v>362</v>
      </c>
      <c r="T335" s="403">
        <f>SUM(RN!T80:T82)</f>
        <v>0</v>
      </c>
      <c r="U335" s="403">
        <f>SUM(RN!U80:U82)</f>
        <v>0</v>
      </c>
      <c r="V335" s="403">
        <f>SUM(RN!V80:V82)</f>
        <v>0</v>
      </c>
      <c r="W335" s="403">
        <f>SUM(RN!W80:W82)</f>
        <v>0</v>
      </c>
      <c r="X335" s="403">
        <f>SUM(RN!X80:X82)</f>
        <v>0</v>
      </c>
      <c r="Y335" s="403">
        <f>SUM(RN!Y80:Y82)</f>
        <v>0</v>
      </c>
      <c r="Z335" s="403">
        <f>SUM(RN!Z80:Z82)</f>
        <v>0</v>
      </c>
      <c r="AA335" s="403">
        <f>SUM(RN!AA80:AA82)</f>
        <v>0</v>
      </c>
      <c r="AB335" s="403">
        <f>SUM(RN!AB80:AB82)</f>
        <v>0</v>
      </c>
      <c r="AC335" s="403">
        <f>SUM(RN!AC80:AC82)</f>
        <v>0</v>
      </c>
      <c r="AD335" s="403">
        <f>SUM(RN!AD80:AD82)</f>
        <v>0</v>
      </c>
      <c r="AE335" s="403">
        <f>SUM(RN!AE80:AE82)</f>
        <v>0</v>
      </c>
      <c r="AF335" s="403">
        <f>SUM(RN!AF80:AF82)</f>
        <v>0</v>
      </c>
      <c r="AG335" s="403">
        <f>SUM(RN!AG80:AG82)</f>
        <v>0</v>
      </c>
      <c r="AH335" s="403">
        <f>SUM(RN!AH80:AH82)</f>
        <v>0</v>
      </c>
      <c r="AI335" s="403">
        <f>SUM(RN!AI80:AI82)</f>
        <v>0</v>
      </c>
      <c r="AJ335" s="403">
        <f>SUM(RN!AJ80:AJ82)</f>
        <v>0</v>
      </c>
      <c r="AK335" s="403">
        <f>SUM(RN!AK80:AK82)</f>
        <v>0</v>
      </c>
      <c r="AL335" s="403">
        <f>SUM(RN!AL80:AL82)</f>
        <v>0</v>
      </c>
      <c r="AM335" s="403">
        <f>SUM(RN!AM80:AM82)</f>
        <v>0</v>
      </c>
      <c r="AN335" s="403">
        <f>SUM(RN!AN80:AN82)</f>
        <v>0</v>
      </c>
      <c r="AO335" s="403">
        <f>SUM(RN!AO80:AO82)</f>
        <v>0</v>
      </c>
      <c r="AP335" s="403">
        <f>SUM(RN!AP80:AP82)</f>
        <v>0</v>
      </c>
      <c r="AQ335" s="403">
        <f>SUM(RN!AQ80:AQ82)</f>
        <v>0</v>
      </c>
      <c r="AR335" s="403">
        <f>SUM(RN!AR80:AR82)</f>
        <v>0</v>
      </c>
      <c r="AS335" s="403">
        <f>SUM(RN!AS80:AS82)</f>
        <v>0</v>
      </c>
      <c r="AT335" s="403">
        <f>SUM(RN!AT80:AT82)</f>
        <v>0</v>
      </c>
      <c r="AU335" s="403">
        <f>SUM(RN!AU80:AU82)</f>
        <v>0</v>
      </c>
      <c r="AV335" s="403">
        <f>SUM(RN!AV80:AV82)</f>
        <v>0</v>
      </c>
      <c r="AW335" s="403">
        <f>SUM(RN!AW80:AW82)</f>
        <v>0</v>
      </c>
      <c r="AX335" s="403">
        <f>SUM(RN!AX80:AX82)</f>
        <v>0</v>
      </c>
      <c r="AY335" s="403">
        <f>SUM(RN!AY80:AY82)</f>
        <v>0</v>
      </c>
      <c r="AZ335" s="403">
        <f>SUM(RN!AZ80:AZ82)</f>
        <v>0</v>
      </c>
      <c r="BA335" s="403">
        <f>SUM(RN!BA80:BA82)</f>
        <v>0</v>
      </c>
      <c r="BB335" s="403">
        <f>SUM(RN!BB80:BB82)</f>
        <v>0</v>
      </c>
      <c r="BC335" s="403">
        <f>SUM(RN!BC80:BC82)</f>
        <v>0</v>
      </c>
      <c r="BD335" s="403">
        <f>SUM(RN!BD80:BD82)</f>
        <v>0</v>
      </c>
      <c r="BE335" s="403">
        <f>SUM(RN!BE80:BE82)</f>
        <v>0</v>
      </c>
      <c r="BF335" s="403">
        <f>SUM(RN!BF80:BF82)</f>
        <v>0</v>
      </c>
      <c r="BG335" s="403">
        <f>SUM(RN!BG80:BG82)</f>
        <v>0</v>
      </c>
    </row>
    <row r="336" spans="9:59">
      <c r="K336" s="298" t="s">
        <v>381</v>
      </c>
      <c r="T336" s="403">
        <f>SUM(RL!T74:T76)</f>
        <v>0</v>
      </c>
      <c r="U336" s="403">
        <f>SUM(RL!U74:U76)</f>
        <v>0</v>
      </c>
      <c r="V336" s="403">
        <f>SUM(RL!V74:V76)</f>
        <v>0</v>
      </c>
      <c r="W336" s="403">
        <f>SUM(RL!W74:W76)</f>
        <v>0</v>
      </c>
      <c r="X336" s="403">
        <f>SUM(RL!X74:X76)</f>
        <v>0</v>
      </c>
      <c r="Y336" s="403">
        <f>SUM(RL!Y74:Y76)</f>
        <v>0</v>
      </c>
      <c r="Z336" s="403">
        <f>SUM(RL!Z74:Z76)</f>
        <v>0</v>
      </c>
      <c r="AA336" s="403">
        <f>SUM(RL!AA74:AA76)</f>
        <v>0</v>
      </c>
      <c r="AB336" s="403">
        <f>SUM(RL!AB74:AB76)</f>
        <v>0</v>
      </c>
      <c r="AC336" s="403">
        <f>SUM(RL!AC74:AC76)</f>
        <v>0</v>
      </c>
      <c r="AD336" s="403">
        <f>SUM(RL!AD74:AD76)</f>
        <v>0</v>
      </c>
      <c r="AE336" s="403">
        <f>SUM(RL!AE74:AE76)</f>
        <v>0</v>
      </c>
      <c r="AF336" s="403">
        <f>SUM(RL!AF74:AF76)</f>
        <v>0</v>
      </c>
      <c r="AG336" s="403">
        <f>SUM(RL!AG74:AG76)</f>
        <v>0</v>
      </c>
      <c r="AH336" s="403">
        <f>SUM(RL!AH74:AH76)</f>
        <v>0</v>
      </c>
      <c r="AI336" s="403">
        <f>SUM(RL!AI74:AI76)</f>
        <v>0</v>
      </c>
      <c r="AJ336" s="403">
        <f>SUM(RL!AJ74:AJ76)</f>
        <v>0</v>
      </c>
      <c r="AK336" s="403">
        <f>SUM(RL!AK74:AK76)</f>
        <v>0</v>
      </c>
      <c r="AL336" s="403">
        <f>SUM(RL!AL74:AL76)</f>
        <v>0</v>
      </c>
      <c r="AM336" s="403">
        <f>SUM(RL!AM74:AM76)</f>
        <v>0</v>
      </c>
      <c r="AN336" s="403">
        <f>SUM(RL!AN74:AN76)</f>
        <v>0</v>
      </c>
      <c r="AO336" s="403">
        <f>SUM(RL!AO74:AO76)</f>
        <v>0</v>
      </c>
      <c r="AP336" s="403">
        <f>SUM(RL!AP74:AP76)</f>
        <v>0</v>
      </c>
      <c r="AQ336" s="403">
        <f>SUM(RL!AQ74:AQ76)</f>
        <v>0</v>
      </c>
      <c r="AR336" s="403">
        <f>SUM(RL!AR74:AR76)</f>
        <v>0</v>
      </c>
      <c r="AS336" s="403">
        <f>SUM(RL!AS74:AS76)</f>
        <v>0</v>
      </c>
      <c r="AT336" s="403">
        <f>SUM(RL!AT74:AT76)</f>
        <v>0</v>
      </c>
      <c r="AU336" s="403">
        <f>SUM(RL!AU74:AU76)</f>
        <v>0</v>
      </c>
      <c r="AV336" s="403">
        <f>SUM(RL!AV74:AV76)</f>
        <v>0</v>
      </c>
      <c r="AW336" s="403">
        <f>SUM(RL!AW74:AW76)</f>
        <v>0</v>
      </c>
      <c r="AX336" s="403">
        <f>SUM(RL!AX74:AX76)</f>
        <v>0</v>
      </c>
      <c r="AY336" s="403">
        <f>SUM(RL!AY74:AY76)</f>
        <v>0</v>
      </c>
      <c r="AZ336" s="403">
        <f>SUM(RL!AZ74:AZ76)</f>
        <v>0</v>
      </c>
      <c r="BA336" s="403">
        <f>SUM(RL!BA74:BA76)</f>
        <v>0</v>
      </c>
      <c r="BB336" s="403">
        <f>SUM(RL!BB74:BB76)</f>
        <v>0</v>
      </c>
      <c r="BC336" s="403">
        <f>SUM(RL!BC74:BC76)</f>
        <v>0</v>
      </c>
      <c r="BD336" s="403">
        <f>SUM(RL!BD74:BD76)</f>
        <v>0</v>
      </c>
      <c r="BE336" s="403">
        <f>SUM(RL!BE74:BE76)</f>
        <v>0</v>
      </c>
      <c r="BF336" s="403">
        <f>SUM(RL!BF74:BF76)</f>
        <v>0</v>
      </c>
      <c r="BG336" s="403">
        <f>SUM(RL!BG74:BG76)</f>
        <v>0</v>
      </c>
    </row>
    <row r="337" spans="9:59">
      <c r="K337" s="299" t="s">
        <v>86</v>
      </c>
      <c r="T337" s="403">
        <f>SUM(LU!T74:T76)</f>
        <v>0</v>
      </c>
      <c r="U337" s="403">
        <f>SUM(LU!U74:U76)</f>
        <v>0</v>
      </c>
      <c r="V337" s="403">
        <f>SUM(LU!V74:V76)</f>
        <v>0</v>
      </c>
      <c r="W337" s="403">
        <f>SUM(LU!W74:W76)</f>
        <v>0</v>
      </c>
      <c r="X337" s="403">
        <f>SUM(LU!X74:X76)</f>
        <v>0</v>
      </c>
      <c r="Y337" s="403">
        <f>SUM(LU!Y74:Y76)</f>
        <v>0</v>
      </c>
      <c r="Z337" s="403">
        <f>SUM(LU!Z74:Z76)</f>
        <v>0</v>
      </c>
      <c r="AA337" s="403">
        <f>SUM(LU!AA74:AA76)</f>
        <v>0</v>
      </c>
      <c r="AB337" s="403">
        <f>SUM(LU!AB74:AB76)</f>
        <v>0</v>
      </c>
      <c r="AC337" s="403">
        <f>SUM(LU!AC74:AC76)</f>
        <v>0</v>
      </c>
      <c r="AD337" s="403">
        <f>SUM(LU!AD74:AD76)</f>
        <v>0</v>
      </c>
      <c r="AE337" s="403">
        <f>SUM(LU!AE74:AE76)</f>
        <v>0</v>
      </c>
      <c r="AF337" s="403">
        <f>SUM(LU!AF74:AF76)</f>
        <v>0</v>
      </c>
      <c r="AG337" s="403">
        <f>SUM(LU!AG74:AG76)</f>
        <v>0</v>
      </c>
      <c r="AH337" s="403">
        <f>SUM(LU!AH74:AH76)</f>
        <v>0</v>
      </c>
      <c r="AI337" s="403">
        <f>SUM(LU!AI74:AI76)</f>
        <v>0</v>
      </c>
      <c r="AJ337" s="403">
        <f>SUM(LU!AJ74:AJ76)</f>
        <v>0</v>
      </c>
      <c r="AK337" s="403">
        <f>SUM(LU!AK74:AK76)</f>
        <v>0</v>
      </c>
      <c r="AL337" s="403">
        <f>SUM(LU!AL74:AL76)</f>
        <v>0</v>
      </c>
      <c r="AM337" s="403">
        <f>SUM(LU!AM74:AM76)</f>
        <v>0</v>
      </c>
      <c r="AN337" s="403">
        <f>SUM(LU!AN74:AN76)</f>
        <v>0</v>
      </c>
      <c r="AO337" s="403">
        <f>SUM(LU!AO74:AO76)</f>
        <v>0</v>
      </c>
      <c r="AP337" s="403">
        <f>SUM(LU!AP74:AP76)</f>
        <v>0</v>
      </c>
      <c r="AQ337" s="403">
        <f>SUM(LU!AQ74:AQ76)</f>
        <v>0</v>
      </c>
      <c r="AR337" s="403">
        <f>SUM(LU!AR74:AR76)</f>
        <v>0</v>
      </c>
      <c r="AS337" s="403">
        <f>SUM(LU!AS74:AS76)</f>
        <v>0</v>
      </c>
      <c r="AT337" s="403">
        <f>SUM(LU!AT74:AT76)</f>
        <v>0</v>
      </c>
      <c r="AU337" s="403">
        <f>SUM(LU!AU74:AU76)</f>
        <v>0</v>
      </c>
      <c r="AV337" s="403">
        <f>SUM(LU!AV74:AV76)</f>
        <v>0</v>
      </c>
      <c r="AW337" s="403">
        <f>SUM(LU!AW74:AW76)</f>
        <v>0</v>
      </c>
      <c r="AX337" s="403">
        <f>SUM(LU!AX74:AX76)</f>
        <v>0</v>
      </c>
      <c r="AY337" s="403">
        <f>SUM(LU!AY74:AY76)</f>
        <v>0</v>
      </c>
      <c r="AZ337" s="403">
        <f>SUM(LU!AZ74:AZ76)</f>
        <v>0</v>
      </c>
      <c r="BA337" s="403">
        <f>SUM(LU!BA74:BA76)</f>
        <v>0</v>
      </c>
      <c r="BB337" s="403">
        <f>SUM(LU!BB74:BB76)</f>
        <v>0</v>
      </c>
      <c r="BC337" s="403">
        <f>SUM(LU!BC74:BC76)</f>
        <v>0</v>
      </c>
      <c r="BD337" s="403">
        <f>SUM(LU!BD74:BD76)</f>
        <v>0</v>
      </c>
      <c r="BE337" s="403">
        <f>SUM(LU!BE74:BE76)</f>
        <v>0</v>
      </c>
      <c r="BF337" s="403">
        <f>SUM(LU!BF74:BF76)</f>
        <v>0</v>
      </c>
      <c r="BG337" s="403">
        <f>SUM(LU!BG74:BG76)</f>
        <v>0</v>
      </c>
    </row>
    <row r="338" spans="9:59">
      <c r="K338" s="365" t="s">
        <v>511</v>
      </c>
      <c r="L338" s="366"/>
      <c r="M338" s="268"/>
      <c r="N338" s="268"/>
      <c r="O338" s="268"/>
      <c r="P338" s="268"/>
      <c r="Q338" s="268"/>
      <c r="R338" s="268"/>
      <c r="S338" s="268"/>
      <c r="T338" s="254">
        <f>SUM(T334:T337)</f>
        <v>1000</v>
      </c>
      <c r="U338" s="254">
        <f t="shared" ref="U338:BG338" si="147">SUM(U334:U337)</f>
        <v>2000</v>
      </c>
      <c r="V338" s="254">
        <f t="shared" si="147"/>
        <v>3000</v>
      </c>
      <c r="W338" s="254">
        <f t="shared" si="147"/>
        <v>3000</v>
      </c>
      <c r="X338" s="254">
        <f t="shared" si="147"/>
        <v>3000</v>
      </c>
      <c r="Y338" s="254">
        <f t="shared" si="147"/>
        <v>3000</v>
      </c>
      <c r="Z338" s="254">
        <f t="shared" si="147"/>
        <v>3000</v>
      </c>
      <c r="AA338" s="254">
        <f t="shared" si="147"/>
        <v>3000</v>
      </c>
      <c r="AB338" s="254">
        <f t="shared" si="147"/>
        <v>3000</v>
      </c>
      <c r="AC338" s="254">
        <f t="shared" si="147"/>
        <v>3000</v>
      </c>
      <c r="AD338" s="254">
        <f t="shared" si="147"/>
        <v>3000</v>
      </c>
      <c r="AE338" s="254">
        <f t="shared" si="147"/>
        <v>3000</v>
      </c>
      <c r="AF338" s="254">
        <f t="shared" si="147"/>
        <v>0</v>
      </c>
      <c r="AG338" s="254">
        <f t="shared" si="147"/>
        <v>0</v>
      </c>
      <c r="AH338" s="254">
        <f t="shared" si="147"/>
        <v>0</v>
      </c>
      <c r="AI338" s="254">
        <f t="shared" si="147"/>
        <v>0</v>
      </c>
      <c r="AJ338" s="254">
        <f t="shared" si="147"/>
        <v>0</v>
      </c>
      <c r="AK338" s="254">
        <f t="shared" si="147"/>
        <v>0</v>
      </c>
      <c r="AL338" s="254">
        <f t="shared" si="147"/>
        <v>0</v>
      </c>
      <c r="AM338" s="254">
        <f t="shared" si="147"/>
        <v>0</v>
      </c>
      <c r="AN338" s="254">
        <f t="shared" si="147"/>
        <v>0</v>
      </c>
      <c r="AO338" s="254">
        <f t="shared" si="147"/>
        <v>0</v>
      </c>
      <c r="AP338" s="254">
        <f t="shared" si="147"/>
        <v>0</v>
      </c>
      <c r="AQ338" s="254">
        <f t="shared" si="147"/>
        <v>0</v>
      </c>
      <c r="AR338" s="254">
        <f t="shared" si="147"/>
        <v>0</v>
      </c>
      <c r="AS338" s="254">
        <f t="shared" si="147"/>
        <v>0</v>
      </c>
      <c r="AT338" s="254">
        <f t="shared" si="147"/>
        <v>0</v>
      </c>
      <c r="AU338" s="254">
        <f t="shared" si="147"/>
        <v>0</v>
      </c>
      <c r="AV338" s="254">
        <f t="shared" si="147"/>
        <v>0</v>
      </c>
      <c r="AW338" s="254">
        <f t="shared" si="147"/>
        <v>0</v>
      </c>
      <c r="AX338" s="254">
        <f t="shared" si="147"/>
        <v>0</v>
      </c>
      <c r="AY338" s="254">
        <f t="shared" si="147"/>
        <v>0</v>
      </c>
      <c r="AZ338" s="254">
        <f t="shared" si="147"/>
        <v>0</v>
      </c>
      <c r="BA338" s="254">
        <f t="shared" si="147"/>
        <v>0</v>
      </c>
      <c r="BB338" s="254">
        <f t="shared" si="147"/>
        <v>0</v>
      </c>
      <c r="BC338" s="254">
        <f t="shared" si="147"/>
        <v>0</v>
      </c>
      <c r="BD338" s="254">
        <f t="shared" si="147"/>
        <v>0</v>
      </c>
      <c r="BE338" s="254">
        <f t="shared" si="147"/>
        <v>0</v>
      </c>
      <c r="BF338" s="254">
        <f t="shared" si="147"/>
        <v>0</v>
      </c>
      <c r="BG338" s="254">
        <f t="shared" si="147"/>
        <v>0</v>
      </c>
    </row>
    <row r="339" spans="9:59">
      <c r="I339" s="363" t="s">
        <v>301</v>
      </c>
      <c r="K339" s="255" t="s">
        <v>329</v>
      </c>
      <c r="M339" s="257" t="b">
        <f>COUNTIFS(T339:BG339,"true")=COUNTA(T339:BG339)</f>
        <v>1</v>
      </c>
      <c r="T339" s="257" t="b">
        <f t="shared" ref="T339:BG339" si="148">ROUND(T338,1)=ROUND(SUMIFS(T$20:T$278,$I$20:$I$278,$I339),1)</f>
        <v>1</v>
      </c>
      <c r="U339" s="257" t="b">
        <f t="shared" si="148"/>
        <v>1</v>
      </c>
      <c r="V339" s="257" t="b">
        <f t="shared" si="148"/>
        <v>1</v>
      </c>
      <c r="W339" s="257" t="b">
        <f t="shared" si="148"/>
        <v>1</v>
      </c>
      <c r="X339" s="257" t="b">
        <f t="shared" si="148"/>
        <v>1</v>
      </c>
      <c r="Y339" s="257" t="b">
        <f t="shared" si="148"/>
        <v>1</v>
      </c>
      <c r="Z339" s="257" t="b">
        <f t="shared" si="148"/>
        <v>1</v>
      </c>
      <c r="AA339" s="257" t="b">
        <f t="shared" si="148"/>
        <v>1</v>
      </c>
      <c r="AB339" s="257" t="b">
        <f t="shared" si="148"/>
        <v>1</v>
      </c>
      <c r="AC339" s="257" t="b">
        <f t="shared" si="148"/>
        <v>1</v>
      </c>
      <c r="AD339" s="257" t="b">
        <f t="shared" si="148"/>
        <v>1</v>
      </c>
      <c r="AE339" s="257" t="b">
        <f t="shared" si="148"/>
        <v>1</v>
      </c>
      <c r="AF339" s="257" t="b">
        <f t="shared" si="148"/>
        <v>1</v>
      </c>
      <c r="AG339" s="257" t="b">
        <f t="shared" si="148"/>
        <v>1</v>
      </c>
      <c r="AH339" s="257" t="b">
        <f t="shared" si="148"/>
        <v>1</v>
      </c>
      <c r="AI339" s="257" t="b">
        <f t="shared" si="148"/>
        <v>1</v>
      </c>
      <c r="AJ339" s="257" t="b">
        <f t="shared" si="148"/>
        <v>1</v>
      </c>
      <c r="AK339" s="257" t="b">
        <f t="shared" si="148"/>
        <v>1</v>
      </c>
      <c r="AL339" s="257" t="b">
        <f t="shared" si="148"/>
        <v>1</v>
      </c>
      <c r="AM339" s="257" t="b">
        <f t="shared" si="148"/>
        <v>1</v>
      </c>
      <c r="AN339" s="257" t="b">
        <f t="shared" si="148"/>
        <v>1</v>
      </c>
      <c r="AO339" s="257" t="b">
        <f t="shared" si="148"/>
        <v>1</v>
      </c>
      <c r="AP339" s="257" t="b">
        <f t="shared" si="148"/>
        <v>1</v>
      </c>
      <c r="AQ339" s="257" t="b">
        <f t="shared" si="148"/>
        <v>1</v>
      </c>
      <c r="AR339" s="257" t="b">
        <f t="shared" si="148"/>
        <v>1</v>
      </c>
      <c r="AS339" s="257" t="b">
        <f t="shared" si="148"/>
        <v>1</v>
      </c>
      <c r="AT339" s="257" t="b">
        <f t="shared" si="148"/>
        <v>1</v>
      </c>
      <c r="AU339" s="257" t="b">
        <f t="shared" si="148"/>
        <v>1</v>
      </c>
      <c r="AV339" s="257" t="b">
        <f t="shared" si="148"/>
        <v>1</v>
      </c>
      <c r="AW339" s="257" t="b">
        <f t="shared" si="148"/>
        <v>1</v>
      </c>
      <c r="AX339" s="257" t="b">
        <f t="shared" si="148"/>
        <v>1</v>
      </c>
      <c r="AY339" s="257" t="b">
        <f t="shared" si="148"/>
        <v>1</v>
      </c>
      <c r="AZ339" s="257" t="b">
        <f t="shared" si="148"/>
        <v>1</v>
      </c>
      <c r="BA339" s="257" t="b">
        <f t="shared" si="148"/>
        <v>1</v>
      </c>
      <c r="BB339" s="257" t="b">
        <f t="shared" si="148"/>
        <v>1</v>
      </c>
      <c r="BC339" s="257" t="b">
        <f t="shared" si="148"/>
        <v>1</v>
      </c>
      <c r="BD339" s="257" t="b">
        <f t="shared" si="148"/>
        <v>1</v>
      </c>
      <c r="BE339" s="257" t="b">
        <f t="shared" si="148"/>
        <v>1</v>
      </c>
      <c r="BF339" s="257" t="b">
        <f t="shared" si="148"/>
        <v>1</v>
      </c>
      <c r="BG339" s="257" t="b">
        <f t="shared" si="148"/>
        <v>1</v>
      </c>
    </row>
    <row r="340" spans="9:59">
      <c r="K340" t="s">
        <v>301</v>
      </c>
      <c r="T340" s="319">
        <f>IFERROR(T338/T$302,0)</f>
        <v>1</v>
      </c>
      <c r="U340" s="319">
        <f t="shared" ref="U340:BG340" si="149">IFERROR(U338/U$302,0)</f>
        <v>1</v>
      </c>
      <c r="V340" s="319">
        <f t="shared" si="149"/>
        <v>1</v>
      </c>
      <c r="W340" s="319">
        <f t="shared" si="149"/>
        <v>1</v>
      </c>
      <c r="X340" s="319">
        <f t="shared" si="149"/>
        <v>1</v>
      </c>
      <c r="Y340" s="319">
        <f t="shared" si="149"/>
        <v>1</v>
      </c>
      <c r="Z340" s="319">
        <f t="shared" si="149"/>
        <v>1</v>
      </c>
      <c r="AA340" s="319">
        <f t="shared" si="149"/>
        <v>1</v>
      </c>
      <c r="AB340" s="319">
        <f t="shared" si="149"/>
        <v>1</v>
      </c>
      <c r="AC340" s="319">
        <f t="shared" si="149"/>
        <v>1</v>
      </c>
      <c r="AD340" s="319">
        <f t="shared" si="149"/>
        <v>1</v>
      </c>
      <c r="AE340" s="319">
        <f t="shared" si="149"/>
        <v>1</v>
      </c>
      <c r="AF340" s="319">
        <f t="shared" si="149"/>
        <v>0</v>
      </c>
      <c r="AG340" s="319">
        <f t="shared" si="149"/>
        <v>0</v>
      </c>
      <c r="AH340" s="319">
        <f t="shared" si="149"/>
        <v>0</v>
      </c>
      <c r="AI340" s="319">
        <f t="shared" si="149"/>
        <v>0</v>
      </c>
      <c r="AJ340" s="319">
        <f t="shared" si="149"/>
        <v>0</v>
      </c>
      <c r="AK340" s="319">
        <f t="shared" si="149"/>
        <v>0</v>
      </c>
      <c r="AL340" s="319">
        <f t="shared" si="149"/>
        <v>0</v>
      </c>
      <c r="AM340" s="319">
        <f t="shared" si="149"/>
        <v>0</v>
      </c>
      <c r="AN340" s="319">
        <f t="shared" si="149"/>
        <v>0</v>
      </c>
      <c r="AO340" s="319">
        <f t="shared" si="149"/>
        <v>0</v>
      </c>
      <c r="AP340" s="319">
        <f t="shared" si="149"/>
        <v>0</v>
      </c>
      <c r="AQ340" s="319">
        <f t="shared" si="149"/>
        <v>0</v>
      </c>
      <c r="AR340" s="319">
        <f t="shared" si="149"/>
        <v>0</v>
      </c>
      <c r="AS340" s="319">
        <f t="shared" si="149"/>
        <v>0</v>
      </c>
      <c r="AT340" s="319">
        <f t="shared" si="149"/>
        <v>0</v>
      </c>
      <c r="AU340" s="319">
        <f t="shared" si="149"/>
        <v>0</v>
      </c>
      <c r="AV340" s="319">
        <f t="shared" si="149"/>
        <v>0</v>
      </c>
      <c r="AW340" s="319">
        <f t="shared" si="149"/>
        <v>0</v>
      </c>
      <c r="AX340" s="319">
        <f t="shared" si="149"/>
        <v>0</v>
      </c>
      <c r="AY340" s="319">
        <f t="shared" si="149"/>
        <v>0</v>
      </c>
      <c r="AZ340" s="319">
        <f t="shared" si="149"/>
        <v>0</v>
      </c>
      <c r="BA340" s="319">
        <f t="shared" si="149"/>
        <v>0</v>
      </c>
      <c r="BB340" s="319">
        <f t="shared" si="149"/>
        <v>0</v>
      </c>
      <c r="BC340" s="319">
        <f t="shared" si="149"/>
        <v>0</v>
      </c>
      <c r="BD340" s="319">
        <f t="shared" si="149"/>
        <v>0</v>
      </c>
      <c r="BE340" s="319">
        <f t="shared" si="149"/>
        <v>0</v>
      </c>
      <c r="BF340" s="319">
        <f t="shared" si="149"/>
        <v>0</v>
      </c>
      <c r="BG340" s="319">
        <f t="shared" si="149"/>
        <v>0</v>
      </c>
    </row>
    <row r="342" spans="9:59">
      <c r="K342" s="364" t="s">
        <v>514</v>
      </c>
    </row>
    <row r="343" spans="9:59">
      <c r="K343" s="297" t="s">
        <v>513</v>
      </c>
      <c r="T343" s="403">
        <f>SUMPRODUCT(IP!T$20:T$22,IP!T$92:T$94)</f>
        <v>25046.743737887322</v>
      </c>
      <c r="U343" s="403">
        <f>SUMPRODUCT(IP!U$20:U$22,IP!U$92:U$94)</f>
        <v>50187.149749711825</v>
      </c>
      <c r="V343" s="403">
        <f>SUMPRODUCT(IP!V$20:V$22,IP!V$92:V$94)</f>
        <v>75421.480722960478</v>
      </c>
      <c r="W343" s="403">
        <f>SUMPRODUCT(IP!W$20:W$22,IP!W$92:W$94)</f>
        <v>75562.499999999985</v>
      </c>
      <c r="X343" s="403">
        <f>SUMPRODUCT(IP!X$20:X$22,IP!X$92:X$94)</f>
        <v>75703.782947764412</v>
      </c>
      <c r="Y343" s="403">
        <f>SUMPRODUCT(IP!Y$20:Y$22,IP!Y$92:Y$94)</f>
        <v>75845.330059251981</v>
      </c>
      <c r="Z343" s="403">
        <f>SUMPRODUCT(IP!Z$20:Z$22,IP!Z$92:Z$94)</f>
        <v>75987.14182838265</v>
      </c>
      <c r="AA343" s="403">
        <f>SUMPRODUCT(IP!AA$20:AA$22,IP!AA$92:AA$94)</f>
        <v>76129.218749999971</v>
      </c>
      <c r="AB343" s="403">
        <f>SUMPRODUCT(IP!AB$20:AB$22,IP!AB$92:AB$94)</f>
        <v>76271.561319872635</v>
      </c>
      <c r="AC343" s="403">
        <f>SUMPRODUCT(IP!AC$20:AC$22,IP!AC$92:AC$94)</f>
        <v>76414.170034696348</v>
      </c>
      <c r="AD343" s="403">
        <f>SUMPRODUCT(IP!AD$20:AD$22,IP!AD$92:AD$94)</f>
        <v>76557.045392095504</v>
      </c>
      <c r="AE343" s="403">
        <f>SUMPRODUCT(IP!AE$20:AE$22,IP!AE$92:AE$94)</f>
        <v>76700.187890624933</v>
      </c>
      <c r="AF343" s="403">
        <f>SUMPRODUCT(IP!AF$20:AF$22,IP!AF$92:AF$94)</f>
        <v>0</v>
      </c>
      <c r="AG343" s="403">
        <f>SUMPRODUCT(IP!AG$20:AG$22,IP!AG$92:AG$94)</f>
        <v>0</v>
      </c>
      <c r="AH343" s="403">
        <f>SUMPRODUCT(IP!AH$20:AH$22,IP!AH$92:AH$94)</f>
        <v>0</v>
      </c>
      <c r="AI343" s="403">
        <f>SUMPRODUCT(IP!AI$20:AI$22,IP!AI$92:AI$94)</f>
        <v>0</v>
      </c>
      <c r="AJ343" s="403">
        <f>SUMPRODUCT(IP!AJ$20:AJ$22,IP!AJ$92:AJ$94)</f>
        <v>0</v>
      </c>
      <c r="AK343" s="403">
        <f>SUMPRODUCT(IP!AK$20:AK$22,IP!AK$92:AK$94)</f>
        <v>0</v>
      </c>
      <c r="AL343" s="403">
        <f>SUMPRODUCT(IP!AL$20:AL$22,IP!AL$92:AL$94)</f>
        <v>0</v>
      </c>
      <c r="AM343" s="403">
        <f>SUMPRODUCT(IP!AM$20:AM$22,IP!AM$92:AM$94)</f>
        <v>0</v>
      </c>
      <c r="AN343" s="403">
        <f>SUMPRODUCT(IP!AN$20:AN$22,IP!AN$92:AN$94)</f>
        <v>0</v>
      </c>
      <c r="AO343" s="403">
        <f>SUMPRODUCT(IP!AO$20:AO$22,IP!AO$92:AO$94)</f>
        <v>0</v>
      </c>
      <c r="AP343" s="403">
        <f>SUMPRODUCT(IP!AP$20:AP$22,IP!AP$92:AP$94)</f>
        <v>0</v>
      </c>
      <c r="AQ343" s="403">
        <f>SUMPRODUCT(IP!AQ$20:AQ$22,IP!AQ$92:AQ$94)</f>
        <v>0</v>
      </c>
      <c r="AR343" s="403">
        <f>SUMPRODUCT(IP!AR$20:AR$22,IP!AR$92:AR$94)</f>
        <v>0</v>
      </c>
      <c r="AS343" s="403">
        <f>SUMPRODUCT(IP!AS$20:AS$22,IP!AS$92:AS$94)</f>
        <v>0</v>
      </c>
      <c r="AT343" s="403">
        <f>SUMPRODUCT(IP!AT$20:AT$22,IP!AT$92:AT$94)</f>
        <v>0</v>
      </c>
      <c r="AU343" s="403">
        <f>SUMPRODUCT(IP!AU$20:AU$22,IP!AU$92:AU$94)</f>
        <v>0</v>
      </c>
      <c r="AV343" s="403">
        <f>SUMPRODUCT(IP!AV$20:AV$22,IP!AV$92:AV$94)</f>
        <v>0</v>
      </c>
      <c r="AW343" s="403">
        <f>SUMPRODUCT(IP!AW$20:AW$22,IP!AW$92:AW$94)</f>
        <v>0</v>
      </c>
      <c r="AX343" s="403">
        <f>SUMPRODUCT(IP!AX$20:AX$22,IP!AX$92:AX$94)</f>
        <v>0</v>
      </c>
      <c r="AY343" s="403">
        <f>SUMPRODUCT(IP!AY$20:AY$22,IP!AY$92:AY$94)</f>
        <v>0</v>
      </c>
      <c r="AZ343" s="403">
        <f>SUMPRODUCT(IP!AZ$20:AZ$22,IP!AZ$92:AZ$94)</f>
        <v>0</v>
      </c>
      <c r="BA343" s="403">
        <f>SUMPRODUCT(IP!BA$20:BA$22,IP!BA$92:BA$94)</f>
        <v>0</v>
      </c>
      <c r="BB343" s="403">
        <f>SUMPRODUCT(IP!BB$20:BB$22,IP!BB$92:BB$94)</f>
        <v>0</v>
      </c>
      <c r="BC343" s="403">
        <f>SUMPRODUCT(IP!BC$20:BC$22,IP!BC$92:BC$94)</f>
        <v>0</v>
      </c>
      <c r="BD343" s="403">
        <f>SUMPRODUCT(IP!BD$20:BD$22,IP!BD$92:BD$94)</f>
        <v>0</v>
      </c>
      <c r="BE343" s="403">
        <f>SUMPRODUCT(IP!BE$20:BE$22,IP!BE$92:BE$94)</f>
        <v>0</v>
      </c>
      <c r="BF343" s="403">
        <f>SUMPRODUCT(IP!BF$20:BF$22,IP!BF$92:BF$94)</f>
        <v>0</v>
      </c>
      <c r="BG343" s="403">
        <f>SUMPRODUCT(IP!BG$20:BG$22,IP!BG$92:BG$94)</f>
        <v>0</v>
      </c>
    </row>
    <row r="344" spans="9:59">
      <c r="K344" s="298" t="s">
        <v>362</v>
      </c>
      <c r="T344" s="403">
        <f>SUMPRODUCT(RN!T$20:T$22,RN!T$89:T$91)</f>
        <v>0</v>
      </c>
      <c r="U344" s="403">
        <f>SUMPRODUCT(RN!U$20:U$22,RN!U$89:U$91)</f>
        <v>0</v>
      </c>
      <c r="V344" s="403">
        <f>SUMPRODUCT(RN!V$20:V$22,RN!V$89:V$91)</f>
        <v>0</v>
      </c>
      <c r="W344" s="403">
        <f>SUMPRODUCT(RN!W$20:W$22,RN!W$89:W$91)</f>
        <v>0</v>
      </c>
      <c r="X344" s="403">
        <f>SUMPRODUCT(RN!X$20:X$22,RN!X$89:X$91)</f>
        <v>0</v>
      </c>
      <c r="Y344" s="403">
        <f>SUMPRODUCT(RN!Y$20:Y$22,RN!Y$89:Y$91)</f>
        <v>0</v>
      </c>
      <c r="Z344" s="403">
        <f>SUMPRODUCT(RN!Z$20:Z$22,RN!Z$89:Z$91)</f>
        <v>0</v>
      </c>
      <c r="AA344" s="403">
        <f>SUMPRODUCT(RN!AA$20:AA$22,RN!AA$89:AA$91)</f>
        <v>0</v>
      </c>
      <c r="AB344" s="403">
        <f>SUMPRODUCT(RN!AB$20:AB$22,RN!AB$89:AB$91)</f>
        <v>0</v>
      </c>
      <c r="AC344" s="403">
        <f>SUMPRODUCT(RN!AC$20:AC$22,RN!AC$89:AC$91)</f>
        <v>0</v>
      </c>
      <c r="AD344" s="403">
        <f>SUMPRODUCT(RN!AD$20:AD$22,RN!AD$89:AD$91)</f>
        <v>0</v>
      </c>
      <c r="AE344" s="403">
        <f>SUMPRODUCT(RN!AE$20:AE$22,RN!AE$89:AE$91)</f>
        <v>0</v>
      </c>
      <c r="AF344" s="403">
        <f>SUMPRODUCT(RN!AF$20:AF$22,RN!AF$89:AF$91)</f>
        <v>0</v>
      </c>
      <c r="AG344" s="403">
        <f>SUMPRODUCT(RN!AG$20:AG$22,RN!AG$89:AG$91)</f>
        <v>0</v>
      </c>
      <c r="AH344" s="403">
        <f>SUMPRODUCT(RN!AH$20:AH$22,RN!AH$89:AH$91)</f>
        <v>0</v>
      </c>
      <c r="AI344" s="403">
        <f>SUMPRODUCT(RN!AI$20:AI$22,RN!AI$89:AI$91)</f>
        <v>0</v>
      </c>
      <c r="AJ344" s="403">
        <f>SUMPRODUCT(RN!AJ$20:AJ$22,RN!AJ$89:AJ$91)</f>
        <v>0</v>
      </c>
      <c r="AK344" s="403">
        <f>SUMPRODUCT(RN!AK$20:AK$22,RN!AK$89:AK$91)</f>
        <v>0</v>
      </c>
      <c r="AL344" s="403">
        <f>SUMPRODUCT(RN!AL$20:AL$22,RN!AL$89:AL$91)</f>
        <v>0</v>
      </c>
      <c r="AM344" s="403">
        <f>SUMPRODUCT(RN!AM$20:AM$22,RN!AM$89:AM$91)</f>
        <v>0</v>
      </c>
      <c r="AN344" s="403">
        <f>SUMPRODUCT(RN!AN$20:AN$22,RN!AN$89:AN$91)</f>
        <v>0</v>
      </c>
      <c r="AO344" s="403">
        <f>SUMPRODUCT(RN!AO$20:AO$22,RN!AO$89:AO$91)</f>
        <v>0</v>
      </c>
      <c r="AP344" s="403">
        <f>SUMPRODUCT(RN!AP$20:AP$22,RN!AP$89:AP$91)</f>
        <v>0</v>
      </c>
      <c r="AQ344" s="403">
        <f>SUMPRODUCT(RN!AQ$20:AQ$22,RN!AQ$89:AQ$91)</f>
        <v>0</v>
      </c>
      <c r="AR344" s="403">
        <f>SUMPRODUCT(RN!AR$20:AR$22,RN!AR$89:AR$91)</f>
        <v>0</v>
      </c>
      <c r="AS344" s="403">
        <f>SUMPRODUCT(RN!AS$20:AS$22,RN!AS$89:AS$91)</f>
        <v>0</v>
      </c>
      <c r="AT344" s="403">
        <f>SUMPRODUCT(RN!AT$20:AT$22,RN!AT$89:AT$91)</f>
        <v>0</v>
      </c>
      <c r="AU344" s="403">
        <f>SUMPRODUCT(RN!AU$20:AU$22,RN!AU$89:AU$91)</f>
        <v>0</v>
      </c>
      <c r="AV344" s="403">
        <f>SUMPRODUCT(RN!AV$20:AV$22,RN!AV$89:AV$91)</f>
        <v>0</v>
      </c>
      <c r="AW344" s="403">
        <f>SUMPRODUCT(RN!AW$20:AW$22,RN!AW$89:AW$91)</f>
        <v>0</v>
      </c>
      <c r="AX344" s="403">
        <f>SUMPRODUCT(RN!AX$20:AX$22,RN!AX$89:AX$91)</f>
        <v>0</v>
      </c>
      <c r="AY344" s="403">
        <f>SUMPRODUCT(RN!AY$20:AY$22,RN!AY$89:AY$91)</f>
        <v>0</v>
      </c>
      <c r="AZ344" s="403">
        <f>SUMPRODUCT(RN!AZ$20:AZ$22,RN!AZ$89:AZ$91)</f>
        <v>0</v>
      </c>
      <c r="BA344" s="403">
        <f>SUMPRODUCT(RN!BA$20:BA$22,RN!BA$89:BA$91)</f>
        <v>0</v>
      </c>
      <c r="BB344" s="403">
        <f>SUMPRODUCT(RN!BB$20:BB$22,RN!BB$89:BB$91)</f>
        <v>0</v>
      </c>
      <c r="BC344" s="403">
        <f>SUMPRODUCT(RN!BC$20:BC$22,RN!BC$89:BC$91)</f>
        <v>0</v>
      </c>
      <c r="BD344" s="403">
        <f>SUMPRODUCT(RN!BD$20:BD$22,RN!BD$89:BD$91)</f>
        <v>0</v>
      </c>
      <c r="BE344" s="403">
        <f>SUMPRODUCT(RN!BE$20:BE$22,RN!BE$89:BE$91)</f>
        <v>0</v>
      </c>
      <c r="BF344" s="403">
        <f>SUMPRODUCT(RN!BF$20:BF$22,RN!BF$89:BF$91)</f>
        <v>0</v>
      </c>
      <c r="BG344" s="403">
        <f>SUMPRODUCT(RN!BG$20:BG$22,RN!BG$89:BG$91)</f>
        <v>0</v>
      </c>
    </row>
    <row r="345" spans="9:59">
      <c r="K345" s="298" t="s">
        <v>381</v>
      </c>
      <c r="T345" s="403">
        <f>SUMPRODUCT(RL!T$20:T$22,RL!T$83:T$85)</f>
        <v>0</v>
      </c>
      <c r="U345" s="403">
        <f>SUMPRODUCT(RL!U$20:U$22,RL!U$83:U$85)</f>
        <v>0</v>
      </c>
      <c r="V345" s="403">
        <f>SUMPRODUCT(RL!V$20:V$22,RL!V$83:V$85)</f>
        <v>0</v>
      </c>
      <c r="W345" s="403">
        <f>SUMPRODUCT(RL!W$20:W$22,RL!W$83:W$85)</f>
        <v>0</v>
      </c>
      <c r="X345" s="403">
        <f>SUMPRODUCT(RL!X$20:X$22,RL!X$83:X$85)</f>
        <v>0</v>
      </c>
      <c r="Y345" s="403">
        <f>SUMPRODUCT(RL!Y$20:Y$22,RL!Y$83:Y$85)</f>
        <v>0</v>
      </c>
      <c r="Z345" s="403">
        <f>SUMPRODUCT(RL!Z$20:Z$22,RL!Z$83:Z$85)</f>
        <v>0</v>
      </c>
      <c r="AA345" s="403">
        <f>SUMPRODUCT(RL!AA$20:AA$22,RL!AA$83:AA$85)</f>
        <v>0</v>
      </c>
      <c r="AB345" s="403">
        <f>SUMPRODUCT(RL!AB$20:AB$22,RL!AB$83:AB$85)</f>
        <v>0</v>
      </c>
      <c r="AC345" s="403">
        <f>SUMPRODUCT(RL!AC$20:AC$22,RL!AC$83:AC$85)</f>
        <v>0</v>
      </c>
      <c r="AD345" s="403">
        <f>SUMPRODUCT(RL!AD$20:AD$22,RL!AD$83:AD$85)</f>
        <v>0</v>
      </c>
      <c r="AE345" s="403">
        <f>SUMPRODUCT(RL!AE$20:AE$22,RL!AE$83:AE$85)</f>
        <v>0</v>
      </c>
      <c r="AF345" s="403">
        <f>SUMPRODUCT(RL!AF$20:AF$22,RL!AF$83:AF$85)</f>
        <v>0</v>
      </c>
      <c r="AG345" s="403">
        <f>SUMPRODUCT(RL!AG$20:AG$22,RL!AG$83:AG$85)</f>
        <v>0</v>
      </c>
      <c r="AH345" s="403">
        <f>SUMPRODUCT(RL!AH$20:AH$22,RL!AH$83:AH$85)</f>
        <v>0</v>
      </c>
      <c r="AI345" s="403">
        <f>SUMPRODUCT(RL!AI$20:AI$22,RL!AI$83:AI$85)</f>
        <v>0</v>
      </c>
      <c r="AJ345" s="403">
        <f>SUMPRODUCT(RL!AJ$20:AJ$22,RL!AJ$83:AJ$85)</f>
        <v>0</v>
      </c>
      <c r="AK345" s="403">
        <f>SUMPRODUCT(RL!AK$20:AK$22,RL!AK$83:AK$85)</f>
        <v>0</v>
      </c>
      <c r="AL345" s="403">
        <f>SUMPRODUCT(RL!AL$20:AL$22,RL!AL$83:AL$85)</f>
        <v>0</v>
      </c>
      <c r="AM345" s="403">
        <f>SUMPRODUCT(RL!AM$20:AM$22,RL!AM$83:AM$85)</f>
        <v>0</v>
      </c>
      <c r="AN345" s="403">
        <f>SUMPRODUCT(RL!AN$20:AN$22,RL!AN$83:AN$85)</f>
        <v>0</v>
      </c>
      <c r="AO345" s="403">
        <f>SUMPRODUCT(RL!AO$20:AO$22,RL!AO$83:AO$85)</f>
        <v>0</v>
      </c>
      <c r="AP345" s="403">
        <f>SUMPRODUCT(RL!AP$20:AP$22,RL!AP$83:AP$85)</f>
        <v>0</v>
      </c>
      <c r="AQ345" s="403">
        <f>SUMPRODUCT(RL!AQ$20:AQ$22,RL!AQ$83:AQ$85)</f>
        <v>0</v>
      </c>
      <c r="AR345" s="403">
        <f>SUMPRODUCT(RL!AR$20:AR$22,RL!AR$83:AR$85)</f>
        <v>0</v>
      </c>
      <c r="AS345" s="403">
        <f>SUMPRODUCT(RL!AS$20:AS$22,RL!AS$83:AS$85)</f>
        <v>0</v>
      </c>
      <c r="AT345" s="403">
        <f>SUMPRODUCT(RL!AT$20:AT$22,RL!AT$83:AT$85)</f>
        <v>0</v>
      </c>
      <c r="AU345" s="403">
        <f>SUMPRODUCT(RL!AU$20:AU$22,RL!AU$83:AU$85)</f>
        <v>0</v>
      </c>
      <c r="AV345" s="403">
        <f>SUMPRODUCT(RL!AV$20:AV$22,RL!AV$83:AV$85)</f>
        <v>0</v>
      </c>
      <c r="AW345" s="403">
        <f>SUMPRODUCT(RL!AW$20:AW$22,RL!AW$83:AW$85)</f>
        <v>0</v>
      </c>
      <c r="AX345" s="403">
        <f>SUMPRODUCT(RL!AX$20:AX$22,RL!AX$83:AX$85)</f>
        <v>0</v>
      </c>
      <c r="AY345" s="403">
        <f>SUMPRODUCT(RL!AY$20:AY$22,RL!AY$83:AY$85)</f>
        <v>0</v>
      </c>
      <c r="AZ345" s="403">
        <f>SUMPRODUCT(RL!AZ$20:AZ$22,RL!AZ$83:AZ$85)</f>
        <v>0</v>
      </c>
      <c r="BA345" s="403">
        <f>SUMPRODUCT(RL!BA$20:BA$22,RL!BA$83:BA$85)</f>
        <v>0</v>
      </c>
      <c r="BB345" s="403">
        <f>SUMPRODUCT(RL!BB$20:BB$22,RL!BB$83:BB$85)</f>
        <v>0</v>
      </c>
      <c r="BC345" s="403">
        <f>SUMPRODUCT(RL!BC$20:BC$22,RL!BC$83:BC$85)</f>
        <v>0</v>
      </c>
      <c r="BD345" s="403">
        <f>SUMPRODUCT(RL!BD$20:BD$22,RL!BD$83:BD$85)</f>
        <v>0</v>
      </c>
      <c r="BE345" s="403">
        <f>SUMPRODUCT(RL!BE$20:BE$22,RL!BE$83:BE$85)</f>
        <v>0</v>
      </c>
      <c r="BF345" s="403">
        <f>SUMPRODUCT(RL!BF$20:BF$22,RL!BF$83:BF$85)</f>
        <v>0</v>
      </c>
      <c r="BG345" s="403">
        <f>SUMPRODUCT(RL!BG$20:BG$22,RL!BG$83:BG$85)</f>
        <v>0</v>
      </c>
    </row>
    <row r="346" spans="9:59">
      <c r="K346" s="299" t="s">
        <v>86</v>
      </c>
      <c r="T346" s="403">
        <f>SUMPRODUCT(LU!T$20:T$22,LU!T$83:T$85)</f>
        <v>0</v>
      </c>
      <c r="U346" s="403">
        <f>SUMPRODUCT(LU!U$20:U$22,LU!U$83:U$85)</f>
        <v>0</v>
      </c>
      <c r="V346" s="403">
        <f>SUMPRODUCT(LU!V$20:V$22,LU!V$83:V$85)</f>
        <v>0</v>
      </c>
      <c r="W346" s="403">
        <f>SUMPRODUCT(LU!W$20:W$22,LU!W$83:W$85)</f>
        <v>0</v>
      </c>
      <c r="X346" s="403">
        <f>SUMPRODUCT(LU!X$20:X$22,LU!X$83:X$85)</f>
        <v>0</v>
      </c>
      <c r="Y346" s="403">
        <f>SUMPRODUCT(LU!Y$20:Y$22,LU!Y$83:Y$85)</f>
        <v>0</v>
      </c>
      <c r="Z346" s="403">
        <f>SUMPRODUCT(LU!Z$20:Z$22,LU!Z$83:Z$85)</f>
        <v>0</v>
      </c>
      <c r="AA346" s="403">
        <f>SUMPRODUCT(LU!AA$20:AA$22,LU!AA$83:AA$85)</f>
        <v>0</v>
      </c>
      <c r="AB346" s="403">
        <f>SUMPRODUCT(LU!AB$20:AB$22,LU!AB$83:AB$85)</f>
        <v>0</v>
      </c>
      <c r="AC346" s="403">
        <f>SUMPRODUCT(LU!AC$20:AC$22,LU!AC$83:AC$85)</f>
        <v>0</v>
      </c>
      <c r="AD346" s="403">
        <f>SUMPRODUCT(LU!AD$20:AD$22,LU!AD$83:AD$85)</f>
        <v>0</v>
      </c>
      <c r="AE346" s="403">
        <f>SUMPRODUCT(LU!AE$20:AE$22,LU!AE$83:AE$85)</f>
        <v>0</v>
      </c>
      <c r="AF346" s="403">
        <f>SUMPRODUCT(LU!AF$20:AF$22,LU!AF$83:AF$85)</f>
        <v>0</v>
      </c>
      <c r="AG346" s="403">
        <f>SUMPRODUCT(LU!AG$20:AG$22,LU!AG$83:AG$85)</f>
        <v>0</v>
      </c>
      <c r="AH346" s="403">
        <f>SUMPRODUCT(LU!AH$20:AH$22,LU!AH$83:AH$85)</f>
        <v>0</v>
      </c>
      <c r="AI346" s="403">
        <f>SUMPRODUCT(LU!AI$20:AI$22,LU!AI$83:AI$85)</f>
        <v>0</v>
      </c>
      <c r="AJ346" s="403">
        <f>SUMPRODUCT(LU!AJ$20:AJ$22,LU!AJ$83:AJ$85)</f>
        <v>0</v>
      </c>
      <c r="AK346" s="403">
        <f>SUMPRODUCT(LU!AK$20:AK$22,LU!AK$83:AK$85)</f>
        <v>0</v>
      </c>
      <c r="AL346" s="403">
        <f>SUMPRODUCT(LU!AL$20:AL$22,LU!AL$83:AL$85)</f>
        <v>0</v>
      </c>
      <c r="AM346" s="403">
        <f>SUMPRODUCT(LU!AM$20:AM$22,LU!AM$83:AM$85)</f>
        <v>0</v>
      </c>
      <c r="AN346" s="403">
        <f>SUMPRODUCT(LU!AN$20:AN$22,LU!AN$83:AN$85)</f>
        <v>0</v>
      </c>
      <c r="AO346" s="403">
        <f>SUMPRODUCT(LU!AO$20:AO$22,LU!AO$83:AO$85)</f>
        <v>0</v>
      </c>
      <c r="AP346" s="403">
        <f>SUMPRODUCT(LU!AP$20:AP$22,LU!AP$83:AP$85)</f>
        <v>0</v>
      </c>
      <c r="AQ346" s="403">
        <f>SUMPRODUCT(LU!AQ$20:AQ$22,LU!AQ$83:AQ$85)</f>
        <v>0</v>
      </c>
      <c r="AR346" s="403">
        <f>SUMPRODUCT(LU!AR$20:AR$22,LU!AR$83:AR$85)</f>
        <v>0</v>
      </c>
      <c r="AS346" s="403">
        <f>SUMPRODUCT(LU!AS$20:AS$22,LU!AS$83:AS$85)</f>
        <v>0</v>
      </c>
      <c r="AT346" s="403">
        <f>SUMPRODUCT(LU!AT$20:AT$22,LU!AT$83:AT$85)</f>
        <v>0</v>
      </c>
      <c r="AU346" s="403">
        <f>SUMPRODUCT(LU!AU$20:AU$22,LU!AU$83:AU$85)</f>
        <v>0</v>
      </c>
      <c r="AV346" s="403">
        <f>SUMPRODUCT(LU!AV$20:AV$22,LU!AV$83:AV$85)</f>
        <v>0</v>
      </c>
      <c r="AW346" s="403">
        <f>SUMPRODUCT(LU!AW$20:AW$22,LU!AW$83:AW$85)</f>
        <v>0</v>
      </c>
      <c r="AX346" s="403">
        <f>SUMPRODUCT(LU!AX$20:AX$22,LU!AX$83:AX$85)</f>
        <v>0</v>
      </c>
      <c r="AY346" s="403">
        <f>SUMPRODUCT(LU!AY$20:AY$22,LU!AY$83:AY$85)</f>
        <v>0</v>
      </c>
      <c r="AZ346" s="403">
        <f>SUMPRODUCT(LU!AZ$20:AZ$22,LU!AZ$83:AZ$85)</f>
        <v>0</v>
      </c>
      <c r="BA346" s="403">
        <f>SUMPRODUCT(LU!BA$20:BA$22,LU!BA$83:BA$85)</f>
        <v>0</v>
      </c>
      <c r="BB346" s="403">
        <f>SUMPRODUCT(LU!BB$20:BB$22,LU!BB$83:BB$85)</f>
        <v>0</v>
      </c>
      <c r="BC346" s="403">
        <f>SUMPRODUCT(LU!BC$20:BC$22,LU!BC$83:BC$85)</f>
        <v>0</v>
      </c>
      <c r="BD346" s="403">
        <f>SUMPRODUCT(LU!BD$20:BD$22,LU!BD$83:BD$85)</f>
        <v>0</v>
      </c>
      <c r="BE346" s="403">
        <f>SUMPRODUCT(LU!BE$20:BE$22,LU!BE$83:BE$85)</f>
        <v>0</v>
      </c>
      <c r="BF346" s="403">
        <f>SUMPRODUCT(LU!BF$20:BF$22,LU!BF$83:BF$85)</f>
        <v>0</v>
      </c>
      <c r="BG346" s="403">
        <f>SUMPRODUCT(LU!BG$20:BG$22,LU!BG$83:BG$85)</f>
        <v>0</v>
      </c>
    </row>
    <row r="347" spans="9:59">
      <c r="K347" s="365" t="s">
        <v>309</v>
      </c>
      <c r="L347" s="366"/>
      <c r="M347" s="268"/>
      <c r="N347" s="268"/>
      <c r="O347" s="268"/>
      <c r="P347" s="268"/>
      <c r="Q347" s="268"/>
      <c r="R347" s="268"/>
      <c r="S347" s="268"/>
      <c r="T347" s="254">
        <f>SUM(T342:T346)</f>
        <v>25046.743737887322</v>
      </c>
      <c r="U347" s="254">
        <f t="shared" ref="U347:BG347" si="150">SUM(U342:U346)</f>
        <v>50187.149749711825</v>
      </c>
      <c r="V347" s="254">
        <f t="shared" si="150"/>
        <v>75421.480722960478</v>
      </c>
      <c r="W347" s="254">
        <f t="shared" si="150"/>
        <v>75562.499999999985</v>
      </c>
      <c r="X347" s="254">
        <f t="shared" si="150"/>
        <v>75703.782947764412</v>
      </c>
      <c r="Y347" s="254">
        <f t="shared" si="150"/>
        <v>75845.330059251981</v>
      </c>
      <c r="Z347" s="254">
        <f t="shared" si="150"/>
        <v>75987.14182838265</v>
      </c>
      <c r="AA347" s="254">
        <f t="shared" si="150"/>
        <v>76129.218749999971</v>
      </c>
      <c r="AB347" s="254">
        <f t="shared" si="150"/>
        <v>76271.561319872635</v>
      </c>
      <c r="AC347" s="254">
        <f t="shared" si="150"/>
        <v>76414.170034696348</v>
      </c>
      <c r="AD347" s="254">
        <f t="shared" si="150"/>
        <v>76557.045392095504</v>
      </c>
      <c r="AE347" s="254">
        <f t="shared" si="150"/>
        <v>76700.187890624933</v>
      </c>
      <c r="AF347" s="254">
        <f t="shared" si="150"/>
        <v>0</v>
      </c>
      <c r="AG347" s="254">
        <f t="shared" si="150"/>
        <v>0</v>
      </c>
      <c r="AH347" s="254">
        <f t="shared" si="150"/>
        <v>0</v>
      </c>
      <c r="AI347" s="254">
        <f t="shared" si="150"/>
        <v>0</v>
      </c>
      <c r="AJ347" s="254">
        <f t="shared" si="150"/>
        <v>0</v>
      </c>
      <c r="AK347" s="254">
        <f t="shared" si="150"/>
        <v>0</v>
      </c>
      <c r="AL347" s="254">
        <f t="shared" si="150"/>
        <v>0</v>
      </c>
      <c r="AM347" s="254">
        <f t="shared" si="150"/>
        <v>0</v>
      </c>
      <c r="AN347" s="254">
        <f t="shared" si="150"/>
        <v>0</v>
      </c>
      <c r="AO347" s="254">
        <f t="shared" si="150"/>
        <v>0</v>
      </c>
      <c r="AP347" s="254">
        <f t="shared" si="150"/>
        <v>0</v>
      </c>
      <c r="AQ347" s="254">
        <f t="shared" si="150"/>
        <v>0</v>
      </c>
      <c r="AR347" s="254">
        <f t="shared" si="150"/>
        <v>0</v>
      </c>
      <c r="AS347" s="254">
        <f t="shared" si="150"/>
        <v>0</v>
      </c>
      <c r="AT347" s="254">
        <f t="shared" si="150"/>
        <v>0</v>
      </c>
      <c r="AU347" s="254">
        <f t="shared" si="150"/>
        <v>0</v>
      </c>
      <c r="AV347" s="254">
        <f t="shared" si="150"/>
        <v>0</v>
      </c>
      <c r="AW347" s="254">
        <f t="shared" si="150"/>
        <v>0</v>
      </c>
      <c r="AX347" s="254">
        <f t="shared" si="150"/>
        <v>0</v>
      </c>
      <c r="AY347" s="254">
        <f t="shared" si="150"/>
        <v>0</v>
      </c>
      <c r="AZ347" s="254">
        <f t="shared" si="150"/>
        <v>0</v>
      </c>
      <c r="BA347" s="254">
        <f t="shared" si="150"/>
        <v>0</v>
      </c>
      <c r="BB347" s="254">
        <f t="shared" si="150"/>
        <v>0</v>
      </c>
      <c r="BC347" s="254">
        <f t="shared" si="150"/>
        <v>0</v>
      </c>
      <c r="BD347" s="254">
        <f t="shared" si="150"/>
        <v>0</v>
      </c>
      <c r="BE347" s="254">
        <f t="shared" si="150"/>
        <v>0</v>
      </c>
      <c r="BF347" s="254">
        <f t="shared" si="150"/>
        <v>0</v>
      </c>
      <c r="BG347" s="254">
        <f t="shared" si="150"/>
        <v>0</v>
      </c>
    </row>
    <row r="348" spans="9:59">
      <c r="I348" s="363" t="s">
        <v>309</v>
      </c>
      <c r="K348" s="255" t="s">
        <v>329</v>
      </c>
      <c r="M348" s="257" t="b">
        <f>COUNTIFS(T348:BG348,"true")=COUNTA(T348:BG348)</f>
        <v>1</v>
      </c>
      <c r="T348" s="257" t="b">
        <f t="shared" ref="T348:BG348" si="151">ROUND(T347,1)=ROUND(SUMIFS(T$20:T$278,$I$20:$I$278,$I348),1)</f>
        <v>1</v>
      </c>
      <c r="U348" s="257" t="b">
        <f t="shared" si="151"/>
        <v>1</v>
      </c>
      <c r="V348" s="257" t="b">
        <f t="shared" si="151"/>
        <v>1</v>
      </c>
      <c r="W348" s="257" t="b">
        <f t="shared" si="151"/>
        <v>1</v>
      </c>
      <c r="X348" s="257" t="b">
        <f t="shared" si="151"/>
        <v>1</v>
      </c>
      <c r="Y348" s="257" t="b">
        <f t="shared" si="151"/>
        <v>1</v>
      </c>
      <c r="Z348" s="257" t="b">
        <f t="shared" si="151"/>
        <v>1</v>
      </c>
      <c r="AA348" s="257" t="b">
        <f t="shared" si="151"/>
        <v>1</v>
      </c>
      <c r="AB348" s="257" t="b">
        <f t="shared" si="151"/>
        <v>1</v>
      </c>
      <c r="AC348" s="257" t="b">
        <f t="shared" si="151"/>
        <v>1</v>
      </c>
      <c r="AD348" s="257" t="b">
        <f t="shared" si="151"/>
        <v>1</v>
      </c>
      <c r="AE348" s="257" t="b">
        <f t="shared" si="151"/>
        <v>1</v>
      </c>
      <c r="AF348" s="257" t="b">
        <f t="shared" si="151"/>
        <v>1</v>
      </c>
      <c r="AG348" s="257" t="b">
        <f t="shared" si="151"/>
        <v>1</v>
      </c>
      <c r="AH348" s="257" t="b">
        <f t="shared" si="151"/>
        <v>1</v>
      </c>
      <c r="AI348" s="257" t="b">
        <f t="shared" si="151"/>
        <v>1</v>
      </c>
      <c r="AJ348" s="257" t="b">
        <f t="shared" si="151"/>
        <v>1</v>
      </c>
      <c r="AK348" s="257" t="b">
        <f t="shared" si="151"/>
        <v>1</v>
      </c>
      <c r="AL348" s="257" t="b">
        <f t="shared" si="151"/>
        <v>1</v>
      </c>
      <c r="AM348" s="257" t="b">
        <f t="shared" si="151"/>
        <v>1</v>
      </c>
      <c r="AN348" s="257" t="b">
        <f t="shared" si="151"/>
        <v>1</v>
      </c>
      <c r="AO348" s="257" t="b">
        <f t="shared" si="151"/>
        <v>1</v>
      </c>
      <c r="AP348" s="257" t="b">
        <f t="shared" si="151"/>
        <v>1</v>
      </c>
      <c r="AQ348" s="257" t="b">
        <f t="shared" si="151"/>
        <v>1</v>
      </c>
      <c r="AR348" s="257" t="b">
        <f t="shared" si="151"/>
        <v>1</v>
      </c>
      <c r="AS348" s="257" t="b">
        <f t="shared" si="151"/>
        <v>1</v>
      </c>
      <c r="AT348" s="257" t="b">
        <f t="shared" si="151"/>
        <v>1</v>
      </c>
      <c r="AU348" s="257" t="b">
        <f t="shared" si="151"/>
        <v>1</v>
      </c>
      <c r="AV348" s="257" t="b">
        <f t="shared" si="151"/>
        <v>1</v>
      </c>
      <c r="AW348" s="257" t="b">
        <f t="shared" si="151"/>
        <v>1</v>
      </c>
      <c r="AX348" s="257" t="b">
        <f t="shared" si="151"/>
        <v>1</v>
      </c>
      <c r="AY348" s="257" t="b">
        <f t="shared" si="151"/>
        <v>1</v>
      </c>
      <c r="AZ348" s="257" t="b">
        <f t="shared" si="151"/>
        <v>1</v>
      </c>
      <c r="BA348" s="257" t="b">
        <f t="shared" si="151"/>
        <v>1</v>
      </c>
      <c r="BB348" s="257" t="b">
        <f t="shared" si="151"/>
        <v>1</v>
      </c>
      <c r="BC348" s="257" t="b">
        <f t="shared" si="151"/>
        <v>1</v>
      </c>
      <c r="BD348" s="257" t="b">
        <f t="shared" si="151"/>
        <v>1</v>
      </c>
      <c r="BE348" s="257" t="b">
        <f t="shared" si="151"/>
        <v>1</v>
      </c>
      <c r="BF348" s="257" t="b">
        <f t="shared" si="151"/>
        <v>1</v>
      </c>
      <c r="BG348" s="257" t="b">
        <f t="shared" si="151"/>
        <v>1</v>
      </c>
    </row>
    <row r="350" spans="9:59">
      <c r="K350" s="364" t="s">
        <v>515</v>
      </c>
    </row>
    <row r="351" spans="9:59">
      <c r="K351" s="297" t="s">
        <v>513</v>
      </c>
      <c r="T351" s="403">
        <f>SUMPRODUCT(IP!T$20:T$22,IP!T$109:T$111)*T$14</f>
        <v>0</v>
      </c>
      <c r="U351" s="403">
        <f>SUMPRODUCT(IP!U$20:U$22,IP!U$109:U$111)*U$14</f>
        <v>0</v>
      </c>
      <c r="V351" s="403">
        <f>SUMPRODUCT(IP!V$20:V$22,IP!V$109:V$111)*V$14</f>
        <v>0</v>
      </c>
      <c r="W351" s="403">
        <f>SUMPRODUCT(IP!W$20:W$22,IP!W$109:W$111)*W$14</f>
        <v>0</v>
      </c>
      <c r="X351" s="403">
        <f>SUMPRODUCT(IP!X$20:X$22,IP!X$109:X$111)*X$14</f>
        <v>0</v>
      </c>
      <c r="Y351" s="403">
        <f>SUMPRODUCT(IP!Y$20:Y$22,IP!Y$109:Y$111)*Y$14</f>
        <v>0</v>
      </c>
      <c r="Z351" s="403">
        <f>SUMPRODUCT(IP!Z$20:Z$22,IP!Z$109:Z$111)*Z$14</f>
        <v>0</v>
      </c>
      <c r="AA351" s="403">
        <f>SUMPRODUCT(IP!AA$20:AA$22,IP!AA$109:AA$111)*AA$14</f>
        <v>0</v>
      </c>
      <c r="AB351" s="403">
        <f>SUMPRODUCT(IP!AB$20:AB$22,IP!AB$109:AB$111)*AB$14</f>
        <v>0</v>
      </c>
      <c r="AC351" s="403">
        <f>SUMPRODUCT(IP!AC$20:AC$22,IP!AC$109:AC$111)*AC$14</f>
        <v>0</v>
      </c>
      <c r="AD351" s="403">
        <f>SUMPRODUCT(IP!AD$20:AD$22,IP!AD$109:AD$111)*AD$14</f>
        <v>0</v>
      </c>
      <c r="AE351" s="403">
        <f>SUMPRODUCT(IP!AE$20:AE$22,IP!AE$109:AE$111)*AE$14</f>
        <v>0</v>
      </c>
      <c r="AF351" s="403">
        <f>SUMPRODUCT(IP!AF$20:AF$22,IP!AF$109:AF$111)*AF$14</f>
        <v>0</v>
      </c>
      <c r="AG351" s="403">
        <f>SUMPRODUCT(IP!AG$20:AG$22,IP!AG$109:AG$111)*AG$14</f>
        <v>0</v>
      </c>
      <c r="AH351" s="403">
        <f>SUMPRODUCT(IP!AH$20:AH$22,IP!AH$109:AH$111)*AH$14</f>
        <v>0</v>
      </c>
      <c r="AI351" s="403">
        <f>SUMPRODUCT(IP!AI$20:AI$22,IP!AI$109:AI$111)*AI$14</f>
        <v>0</v>
      </c>
      <c r="AJ351" s="403">
        <f>SUMPRODUCT(IP!AJ$20:AJ$22,IP!AJ$109:AJ$111)*AJ$14</f>
        <v>0</v>
      </c>
      <c r="AK351" s="403">
        <f>SUMPRODUCT(IP!AK$20:AK$22,IP!AK$109:AK$111)*AK$14</f>
        <v>0</v>
      </c>
      <c r="AL351" s="403">
        <f>SUMPRODUCT(IP!AL$20:AL$22,IP!AL$109:AL$111)*AL$14</f>
        <v>0</v>
      </c>
      <c r="AM351" s="403">
        <f>SUMPRODUCT(IP!AM$20:AM$22,IP!AM$109:AM$111)*AM$14</f>
        <v>0</v>
      </c>
      <c r="AN351" s="403">
        <f>SUMPRODUCT(IP!AN$20:AN$22,IP!AN$109:AN$111)*AN$14</f>
        <v>0</v>
      </c>
      <c r="AO351" s="403">
        <f>SUMPRODUCT(IP!AO$20:AO$22,IP!AO$109:AO$111)*AO$14</f>
        <v>0</v>
      </c>
      <c r="AP351" s="403">
        <f>SUMPRODUCT(IP!AP$20:AP$22,IP!AP$109:AP$111)*AP$14</f>
        <v>0</v>
      </c>
      <c r="AQ351" s="403">
        <f>SUMPRODUCT(IP!AQ$20:AQ$22,IP!AQ$109:AQ$111)*AQ$14</f>
        <v>0</v>
      </c>
      <c r="AR351" s="403">
        <f>SUMPRODUCT(IP!AR$20:AR$22,IP!AR$109:AR$111)*AR$14</f>
        <v>0</v>
      </c>
      <c r="AS351" s="403">
        <f>SUMPRODUCT(IP!AS$20:AS$22,IP!AS$109:AS$111)*AS$14</f>
        <v>0</v>
      </c>
      <c r="AT351" s="403">
        <f>SUMPRODUCT(IP!AT$20:AT$22,IP!AT$109:AT$111)*AT$14</f>
        <v>0</v>
      </c>
      <c r="AU351" s="403">
        <f>SUMPRODUCT(IP!AU$20:AU$22,IP!AU$109:AU$111)*AU$14</f>
        <v>0</v>
      </c>
      <c r="AV351" s="403">
        <f>SUMPRODUCT(IP!AV$20:AV$22,IP!AV$109:AV$111)*AV$14</f>
        <v>0</v>
      </c>
      <c r="AW351" s="403">
        <f>SUMPRODUCT(IP!AW$20:AW$22,IP!AW$109:AW$111)*AW$14</f>
        <v>0</v>
      </c>
      <c r="AX351" s="403">
        <f>SUMPRODUCT(IP!AX$20:AX$22,IP!AX$109:AX$111)*AX$14</f>
        <v>0</v>
      </c>
      <c r="AY351" s="403">
        <f>SUMPRODUCT(IP!AY$20:AY$22,IP!AY$109:AY$111)*AY$14</f>
        <v>0</v>
      </c>
      <c r="AZ351" s="403">
        <f>SUMPRODUCT(IP!AZ$20:AZ$22,IP!AZ$109:AZ$111)*AZ$14</f>
        <v>0</v>
      </c>
      <c r="BA351" s="403">
        <f>SUMPRODUCT(IP!BA$20:BA$22,IP!BA$109:BA$111)*BA$14</f>
        <v>0</v>
      </c>
      <c r="BB351" s="403">
        <f>SUMPRODUCT(IP!BB$20:BB$22,IP!BB$109:BB$111)*BB$14</f>
        <v>0</v>
      </c>
      <c r="BC351" s="403">
        <f>SUMPRODUCT(IP!BC$20:BC$22,IP!BC$109:BC$111)*BC$14</f>
        <v>0</v>
      </c>
      <c r="BD351" s="403">
        <f>SUMPRODUCT(IP!BD$20:BD$22,IP!BD$109:BD$111)*BD$14</f>
        <v>0</v>
      </c>
      <c r="BE351" s="403">
        <f>SUMPRODUCT(IP!BE$20:BE$22,IP!BE$109:BE$111)*BE$14</f>
        <v>0</v>
      </c>
      <c r="BF351" s="403">
        <f>SUMPRODUCT(IP!BF$20:BF$22,IP!BF$109:BF$111)*BF$14</f>
        <v>0</v>
      </c>
      <c r="BG351" s="403">
        <f>SUMPRODUCT(IP!BG$20:BG$22,IP!BG$109:BG$111)*BG$14</f>
        <v>0</v>
      </c>
    </row>
    <row r="352" spans="9:59">
      <c r="K352" s="298" t="s">
        <v>362</v>
      </c>
      <c r="T352" s="403">
        <f>SUMPRODUCT(RN!T$20:T$22,RN!T$106:T$108)*T$14</f>
        <v>0</v>
      </c>
      <c r="U352" s="403">
        <f>SUMPRODUCT(RN!U$20:U$22,RN!U$106:U$108)*U$14</f>
        <v>0</v>
      </c>
      <c r="V352" s="403">
        <f>SUMPRODUCT(RN!V$20:V$22,RN!V$106:V$108)*V$14</f>
        <v>0</v>
      </c>
      <c r="W352" s="403">
        <f>SUMPRODUCT(RN!W$20:W$22,RN!W$106:W$108)*W$14</f>
        <v>0</v>
      </c>
      <c r="X352" s="403">
        <f>SUMPRODUCT(RN!X$20:X$22,RN!X$106:X$108)*X$14</f>
        <v>0</v>
      </c>
      <c r="Y352" s="403">
        <f>SUMPRODUCT(RN!Y$20:Y$22,RN!Y$106:Y$108)*Y$14</f>
        <v>0</v>
      </c>
      <c r="Z352" s="403">
        <f>SUMPRODUCT(RN!Z$20:Z$22,RN!Z$106:Z$108)*Z$14</f>
        <v>0</v>
      </c>
      <c r="AA352" s="403">
        <f>SUMPRODUCT(RN!AA$20:AA$22,RN!AA$106:AA$108)*AA$14</f>
        <v>0</v>
      </c>
      <c r="AB352" s="403">
        <f>SUMPRODUCT(RN!AB$20:AB$22,RN!AB$106:AB$108)*AB$14</f>
        <v>0</v>
      </c>
      <c r="AC352" s="403">
        <f>SUMPRODUCT(RN!AC$20:AC$22,RN!AC$106:AC$108)*AC$14</f>
        <v>0</v>
      </c>
      <c r="AD352" s="403">
        <f>SUMPRODUCT(RN!AD$20:AD$22,RN!AD$106:AD$108)*AD$14</f>
        <v>0</v>
      </c>
      <c r="AE352" s="403">
        <f>SUMPRODUCT(RN!AE$20:AE$22,RN!AE$106:AE$108)*AE$14</f>
        <v>0</v>
      </c>
      <c r="AF352" s="403">
        <f>SUMPRODUCT(RN!AF$20:AF$22,RN!AF$106:AF$108)*AF$14</f>
        <v>0</v>
      </c>
      <c r="AG352" s="403">
        <f>SUMPRODUCT(RN!AG$20:AG$22,RN!AG$106:AG$108)*AG$14</f>
        <v>0</v>
      </c>
      <c r="AH352" s="403">
        <f>SUMPRODUCT(RN!AH$20:AH$22,RN!AH$106:AH$108)*AH$14</f>
        <v>0</v>
      </c>
      <c r="AI352" s="403">
        <f>SUMPRODUCT(RN!AI$20:AI$22,RN!AI$106:AI$108)*AI$14</f>
        <v>0</v>
      </c>
      <c r="AJ352" s="403">
        <f>SUMPRODUCT(RN!AJ$20:AJ$22,RN!AJ$106:AJ$108)*AJ$14</f>
        <v>0</v>
      </c>
      <c r="AK352" s="403">
        <f>SUMPRODUCT(RN!AK$20:AK$22,RN!AK$106:AK$108)*AK$14</f>
        <v>0</v>
      </c>
      <c r="AL352" s="403">
        <f>SUMPRODUCT(RN!AL$20:AL$22,RN!AL$106:AL$108)*AL$14</f>
        <v>0</v>
      </c>
      <c r="AM352" s="403">
        <f>SUMPRODUCT(RN!AM$20:AM$22,RN!AM$106:AM$108)*AM$14</f>
        <v>0</v>
      </c>
      <c r="AN352" s="403">
        <f>SUMPRODUCT(RN!AN$20:AN$22,RN!AN$106:AN$108)*AN$14</f>
        <v>0</v>
      </c>
      <c r="AO352" s="403">
        <f>SUMPRODUCT(RN!AO$20:AO$22,RN!AO$106:AO$108)*AO$14</f>
        <v>0</v>
      </c>
      <c r="AP352" s="403">
        <f>SUMPRODUCT(RN!AP$20:AP$22,RN!AP$106:AP$108)*AP$14</f>
        <v>0</v>
      </c>
      <c r="AQ352" s="403">
        <f>SUMPRODUCT(RN!AQ$20:AQ$22,RN!AQ$106:AQ$108)*AQ$14</f>
        <v>0</v>
      </c>
      <c r="AR352" s="403">
        <f>SUMPRODUCT(RN!AR$20:AR$22,RN!AR$106:AR$108)*AR$14</f>
        <v>0</v>
      </c>
      <c r="AS352" s="403">
        <f>SUMPRODUCT(RN!AS$20:AS$22,RN!AS$106:AS$108)*AS$14</f>
        <v>0</v>
      </c>
      <c r="AT352" s="403">
        <f>SUMPRODUCT(RN!AT$20:AT$22,RN!AT$106:AT$108)*AT$14</f>
        <v>0</v>
      </c>
      <c r="AU352" s="403">
        <f>SUMPRODUCT(RN!AU$20:AU$22,RN!AU$106:AU$108)*AU$14</f>
        <v>0</v>
      </c>
      <c r="AV352" s="403">
        <f>SUMPRODUCT(RN!AV$20:AV$22,RN!AV$106:AV$108)*AV$14</f>
        <v>0</v>
      </c>
      <c r="AW352" s="403">
        <f>SUMPRODUCT(RN!AW$20:AW$22,RN!AW$106:AW$108)*AW$14</f>
        <v>0</v>
      </c>
      <c r="AX352" s="403">
        <f>SUMPRODUCT(RN!AX$20:AX$22,RN!AX$106:AX$108)*AX$14</f>
        <v>0</v>
      </c>
      <c r="AY352" s="403">
        <f>SUMPRODUCT(RN!AY$20:AY$22,RN!AY$106:AY$108)*AY$14</f>
        <v>0</v>
      </c>
      <c r="AZ352" s="403">
        <f>SUMPRODUCT(RN!AZ$20:AZ$22,RN!AZ$106:AZ$108)*AZ$14</f>
        <v>0</v>
      </c>
      <c r="BA352" s="403">
        <f>SUMPRODUCT(RN!BA$20:BA$22,RN!BA$106:BA$108)*BA$14</f>
        <v>0</v>
      </c>
      <c r="BB352" s="403">
        <f>SUMPRODUCT(RN!BB$20:BB$22,RN!BB$106:BB$108)*BB$14</f>
        <v>0</v>
      </c>
      <c r="BC352" s="403">
        <f>SUMPRODUCT(RN!BC$20:BC$22,RN!BC$106:BC$108)*BC$14</f>
        <v>0</v>
      </c>
      <c r="BD352" s="403">
        <f>SUMPRODUCT(RN!BD$20:BD$22,RN!BD$106:BD$108)*BD$14</f>
        <v>0</v>
      </c>
      <c r="BE352" s="403">
        <f>SUMPRODUCT(RN!BE$20:BE$22,RN!BE$106:BE$108)*BE$14</f>
        <v>0</v>
      </c>
      <c r="BF352" s="403">
        <f>SUMPRODUCT(RN!BF$20:BF$22,RN!BF$106:BF$108)*BF$14</f>
        <v>0</v>
      </c>
      <c r="BG352" s="403">
        <f>SUMPRODUCT(RN!BG$20:BG$22,RN!BG$106:BG$108)*BG$14</f>
        <v>0</v>
      </c>
    </row>
    <row r="353" spans="9:59">
      <c r="K353" s="298" t="s">
        <v>381</v>
      </c>
      <c r="T353" s="403">
        <f>SUMPRODUCT(RL!T$20:T$22,RL!T$100:T$102)*T$14</f>
        <v>0</v>
      </c>
      <c r="U353" s="403">
        <f>SUMPRODUCT(RL!U$20:U$22,RL!U$100:U$102)*U$14</f>
        <v>0</v>
      </c>
      <c r="V353" s="403">
        <f>SUMPRODUCT(RL!V$20:V$22,RL!V$100:V$102)*V$14</f>
        <v>0</v>
      </c>
      <c r="W353" s="403">
        <f>SUMPRODUCT(RL!W$20:W$22,RL!W$100:W$102)*W$14</f>
        <v>0</v>
      </c>
      <c r="X353" s="403">
        <f>SUMPRODUCT(RL!X$20:X$22,RL!X$100:X$102)*X$14</f>
        <v>0</v>
      </c>
      <c r="Y353" s="403">
        <f>SUMPRODUCT(RL!Y$20:Y$22,RL!Y$100:Y$102)*Y$14</f>
        <v>0</v>
      </c>
      <c r="Z353" s="403">
        <f>SUMPRODUCT(RL!Z$20:Z$22,RL!Z$100:Z$102)*Z$14</f>
        <v>0</v>
      </c>
      <c r="AA353" s="403">
        <f>SUMPRODUCT(RL!AA$20:AA$22,RL!AA$100:AA$102)*AA$14</f>
        <v>0</v>
      </c>
      <c r="AB353" s="403">
        <f>SUMPRODUCT(RL!AB$20:AB$22,RL!AB$100:AB$102)*AB$14</f>
        <v>0</v>
      </c>
      <c r="AC353" s="403">
        <f>SUMPRODUCT(RL!AC$20:AC$22,RL!AC$100:AC$102)*AC$14</f>
        <v>0</v>
      </c>
      <c r="AD353" s="403">
        <f>SUMPRODUCT(RL!AD$20:AD$22,RL!AD$100:AD$102)*AD$14</f>
        <v>0</v>
      </c>
      <c r="AE353" s="403">
        <f>SUMPRODUCT(RL!AE$20:AE$22,RL!AE$100:AE$102)*AE$14</f>
        <v>0</v>
      </c>
      <c r="AF353" s="403">
        <f>SUMPRODUCT(RL!AF$20:AF$22,RL!AF$100:AF$102)*AF$14</f>
        <v>0</v>
      </c>
      <c r="AG353" s="403">
        <f>SUMPRODUCT(RL!AG$20:AG$22,RL!AG$100:AG$102)*AG$14</f>
        <v>0</v>
      </c>
      <c r="AH353" s="403">
        <f>SUMPRODUCT(RL!AH$20:AH$22,RL!AH$100:AH$102)*AH$14</f>
        <v>0</v>
      </c>
      <c r="AI353" s="403">
        <f>SUMPRODUCT(RL!AI$20:AI$22,RL!AI$100:AI$102)*AI$14</f>
        <v>0</v>
      </c>
      <c r="AJ353" s="403">
        <f>SUMPRODUCT(RL!AJ$20:AJ$22,RL!AJ$100:AJ$102)*AJ$14</f>
        <v>0</v>
      </c>
      <c r="AK353" s="403">
        <f>SUMPRODUCT(RL!AK$20:AK$22,RL!AK$100:AK$102)*AK$14</f>
        <v>0</v>
      </c>
      <c r="AL353" s="403">
        <f>SUMPRODUCT(RL!AL$20:AL$22,RL!AL$100:AL$102)*AL$14</f>
        <v>0</v>
      </c>
      <c r="AM353" s="403">
        <f>SUMPRODUCT(RL!AM$20:AM$22,RL!AM$100:AM$102)*AM$14</f>
        <v>0</v>
      </c>
      <c r="AN353" s="403">
        <f>SUMPRODUCT(RL!AN$20:AN$22,RL!AN$100:AN$102)*AN$14</f>
        <v>0</v>
      </c>
      <c r="AO353" s="403">
        <f>SUMPRODUCT(RL!AO$20:AO$22,RL!AO$100:AO$102)*AO$14</f>
        <v>0</v>
      </c>
      <c r="AP353" s="403">
        <f>SUMPRODUCT(RL!AP$20:AP$22,RL!AP$100:AP$102)*AP$14</f>
        <v>0</v>
      </c>
      <c r="AQ353" s="403">
        <f>SUMPRODUCT(RL!AQ$20:AQ$22,RL!AQ$100:AQ$102)*AQ$14</f>
        <v>0</v>
      </c>
      <c r="AR353" s="403">
        <f>SUMPRODUCT(RL!AR$20:AR$22,RL!AR$100:AR$102)*AR$14</f>
        <v>0</v>
      </c>
      <c r="AS353" s="403">
        <f>SUMPRODUCT(RL!AS$20:AS$22,RL!AS$100:AS$102)*AS$14</f>
        <v>0</v>
      </c>
      <c r="AT353" s="403">
        <f>SUMPRODUCT(RL!AT$20:AT$22,RL!AT$100:AT$102)*AT$14</f>
        <v>0</v>
      </c>
      <c r="AU353" s="403">
        <f>SUMPRODUCT(RL!AU$20:AU$22,RL!AU$100:AU$102)*AU$14</f>
        <v>0</v>
      </c>
      <c r="AV353" s="403">
        <f>SUMPRODUCT(RL!AV$20:AV$22,RL!AV$100:AV$102)*AV$14</f>
        <v>0</v>
      </c>
      <c r="AW353" s="403">
        <f>SUMPRODUCT(RL!AW$20:AW$22,RL!AW$100:AW$102)*AW$14</f>
        <v>0</v>
      </c>
      <c r="AX353" s="403">
        <f>SUMPRODUCT(RL!AX$20:AX$22,RL!AX$100:AX$102)*AX$14</f>
        <v>0</v>
      </c>
      <c r="AY353" s="403">
        <f>SUMPRODUCT(RL!AY$20:AY$22,RL!AY$100:AY$102)*AY$14</f>
        <v>0</v>
      </c>
      <c r="AZ353" s="403">
        <f>SUMPRODUCT(RL!AZ$20:AZ$22,RL!AZ$100:AZ$102)*AZ$14</f>
        <v>0</v>
      </c>
      <c r="BA353" s="403">
        <f>SUMPRODUCT(RL!BA$20:BA$22,RL!BA$100:BA$102)*BA$14</f>
        <v>0</v>
      </c>
      <c r="BB353" s="403">
        <f>SUMPRODUCT(RL!BB$20:BB$22,RL!BB$100:BB$102)*BB$14</f>
        <v>0</v>
      </c>
      <c r="BC353" s="403">
        <f>SUMPRODUCT(RL!BC$20:BC$22,RL!BC$100:BC$102)*BC$14</f>
        <v>0</v>
      </c>
      <c r="BD353" s="403">
        <f>SUMPRODUCT(RL!BD$20:BD$22,RL!BD$100:BD$102)*BD$14</f>
        <v>0</v>
      </c>
      <c r="BE353" s="403">
        <f>SUMPRODUCT(RL!BE$20:BE$22,RL!BE$100:BE$102)*BE$14</f>
        <v>0</v>
      </c>
      <c r="BF353" s="403">
        <f>SUMPRODUCT(RL!BF$20:BF$22,RL!BF$100:BF$102)*BF$14</f>
        <v>0</v>
      </c>
      <c r="BG353" s="403">
        <f>SUMPRODUCT(RL!BG$20:BG$22,RL!BG$100:BG$102)*BG$14</f>
        <v>0</v>
      </c>
    </row>
    <row r="354" spans="9:59">
      <c r="K354" s="299" t="s">
        <v>86</v>
      </c>
      <c r="T354" s="403">
        <f>SUMPRODUCT(LU!T$20:T$22,LU!T$100:T$102)*T$14</f>
        <v>0</v>
      </c>
      <c r="U354" s="403">
        <f>SUMPRODUCT(LU!U$20:U$22,LU!U$100:U$102)*U$14</f>
        <v>0</v>
      </c>
      <c r="V354" s="403">
        <f>SUMPRODUCT(LU!V$20:V$22,LU!V$100:V$102)*V$14</f>
        <v>0</v>
      </c>
      <c r="W354" s="403">
        <f>SUMPRODUCT(LU!W$20:W$22,LU!W$100:W$102)*W$14</f>
        <v>0</v>
      </c>
      <c r="X354" s="403">
        <f>SUMPRODUCT(LU!X$20:X$22,LU!X$100:X$102)*X$14</f>
        <v>0</v>
      </c>
      <c r="Y354" s="403">
        <f>SUMPRODUCT(LU!Y$20:Y$22,LU!Y$100:Y$102)*Y$14</f>
        <v>0</v>
      </c>
      <c r="Z354" s="403">
        <f>SUMPRODUCT(LU!Z$20:Z$22,LU!Z$100:Z$102)*Z$14</f>
        <v>0</v>
      </c>
      <c r="AA354" s="403">
        <f>SUMPRODUCT(LU!AA$20:AA$22,LU!AA$100:AA$102)*AA$14</f>
        <v>0</v>
      </c>
      <c r="AB354" s="403">
        <f>SUMPRODUCT(LU!AB$20:AB$22,LU!AB$100:AB$102)*AB$14</f>
        <v>0</v>
      </c>
      <c r="AC354" s="403">
        <f>SUMPRODUCT(LU!AC$20:AC$22,LU!AC$100:AC$102)*AC$14</f>
        <v>0</v>
      </c>
      <c r="AD354" s="403">
        <f>SUMPRODUCT(LU!AD$20:AD$22,LU!AD$100:AD$102)*AD$14</f>
        <v>0</v>
      </c>
      <c r="AE354" s="403">
        <f>SUMPRODUCT(LU!AE$20:AE$22,LU!AE$100:AE$102)*AE$14</f>
        <v>0</v>
      </c>
      <c r="AF354" s="403">
        <f>SUMPRODUCT(LU!AF$20:AF$22,LU!AF$100:AF$102)*AF$14</f>
        <v>0</v>
      </c>
      <c r="AG354" s="403">
        <f>SUMPRODUCT(LU!AG$20:AG$22,LU!AG$100:AG$102)*AG$14</f>
        <v>0</v>
      </c>
      <c r="AH354" s="403">
        <f>SUMPRODUCT(LU!AH$20:AH$22,LU!AH$100:AH$102)*AH$14</f>
        <v>0</v>
      </c>
      <c r="AI354" s="403">
        <f>SUMPRODUCT(LU!AI$20:AI$22,LU!AI$100:AI$102)*AI$14</f>
        <v>0</v>
      </c>
      <c r="AJ354" s="403">
        <f>SUMPRODUCT(LU!AJ$20:AJ$22,LU!AJ$100:AJ$102)*AJ$14</f>
        <v>0</v>
      </c>
      <c r="AK354" s="403">
        <f>SUMPRODUCT(LU!AK$20:AK$22,LU!AK$100:AK$102)*AK$14</f>
        <v>0</v>
      </c>
      <c r="AL354" s="403">
        <f>SUMPRODUCT(LU!AL$20:AL$22,LU!AL$100:AL$102)*AL$14</f>
        <v>0</v>
      </c>
      <c r="AM354" s="403">
        <f>SUMPRODUCT(LU!AM$20:AM$22,LU!AM$100:AM$102)*AM$14</f>
        <v>0</v>
      </c>
      <c r="AN354" s="403">
        <f>SUMPRODUCT(LU!AN$20:AN$22,LU!AN$100:AN$102)*AN$14</f>
        <v>0</v>
      </c>
      <c r="AO354" s="403">
        <f>SUMPRODUCT(LU!AO$20:AO$22,LU!AO$100:AO$102)*AO$14</f>
        <v>0</v>
      </c>
      <c r="AP354" s="403">
        <f>SUMPRODUCT(LU!AP$20:AP$22,LU!AP$100:AP$102)*AP$14</f>
        <v>0</v>
      </c>
      <c r="AQ354" s="403">
        <f>SUMPRODUCT(LU!AQ$20:AQ$22,LU!AQ$100:AQ$102)*AQ$14</f>
        <v>0</v>
      </c>
      <c r="AR354" s="403">
        <f>SUMPRODUCT(LU!AR$20:AR$22,LU!AR$100:AR$102)*AR$14</f>
        <v>0</v>
      </c>
      <c r="AS354" s="403">
        <f>SUMPRODUCT(LU!AS$20:AS$22,LU!AS$100:AS$102)*AS$14</f>
        <v>0</v>
      </c>
      <c r="AT354" s="403">
        <f>SUMPRODUCT(LU!AT$20:AT$22,LU!AT$100:AT$102)*AT$14</f>
        <v>0</v>
      </c>
      <c r="AU354" s="403">
        <f>SUMPRODUCT(LU!AU$20:AU$22,LU!AU$100:AU$102)*AU$14</f>
        <v>0</v>
      </c>
      <c r="AV354" s="403">
        <f>SUMPRODUCT(LU!AV$20:AV$22,LU!AV$100:AV$102)*AV$14</f>
        <v>0</v>
      </c>
      <c r="AW354" s="403">
        <f>SUMPRODUCT(LU!AW$20:AW$22,LU!AW$100:AW$102)*AW$14</f>
        <v>0</v>
      </c>
      <c r="AX354" s="403">
        <f>SUMPRODUCT(LU!AX$20:AX$22,LU!AX$100:AX$102)*AX$14</f>
        <v>0</v>
      </c>
      <c r="AY354" s="403">
        <f>SUMPRODUCT(LU!AY$20:AY$22,LU!AY$100:AY$102)*AY$14</f>
        <v>0</v>
      </c>
      <c r="AZ354" s="403">
        <f>SUMPRODUCT(LU!AZ$20:AZ$22,LU!AZ$100:AZ$102)*AZ$14</f>
        <v>0</v>
      </c>
      <c r="BA354" s="403">
        <f>SUMPRODUCT(LU!BA$20:BA$22,LU!BA$100:BA$102)*BA$14</f>
        <v>0</v>
      </c>
      <c r="BB354" s="403">
        <f>SUMPRODUCT(LU!BB$20:BB$22,LU!BB$100:BB$102)*BB$14</f>
        <v>0</v>
      </c>
      <c r="BC354" s="403">
        <f>SUMPRODUCT(LU!BC$20:BC$22,LU!BC$100:BC$102)*BC$14</f>
        <v>0</v>
      </c>
      <c r="BD354" s="403">
        <f>SUMPRODUCT(LU!BD$20:BD$22,LU!BD$100:BD$102)*BD$14</f>
        <v>0</v>
      </c>
      <c r="BE354" s="403">
        <f>SUMPRODUCT(LU!BE$20:BE$22,LU!BE$100:BE$102)*BE$14</f>
        <v>0</v>
      </c>
      <c r="BF354" s="403">
        <f>SUMPRODUCT(LU!BF$20:BF$22,LU!BF$100:BF$102)*BF$14</f>
        <v>0</v>
      </c>
      <c r="BG354" s="403">
        <f>SUMPRODUCT(LU!BG$20:BG$22,LU!BG$100:BG$102)*BG$14</f>
        <v>0</v>
      </c>
    </row>
    <row r="355" spans="9:59">
      <c r="K355" s="365" t="s">
        <v>321</v>
      </c>
      <c r="L355" s="366"/>
      <c r="M355" s="268"/>
      <c r="N355" s="268"/>
      <c r="O355" s="268"/>
      <c r="P355" s="268"/>
      <c r="Q355" s="268"/>
      <c r="R355" s="268"/>
      <c r="S355" s="268"/>
      <c r="T355" s="254">
        <f>SUM(T350:T354)</f>
        <v>0</v>
      </c>
      <c r="U355" s="254">
        <f t="shared" ref="U355" si="152">SUM(U350:U354)</f>
        <v>0</v>
      </c>
      <c r="V355" s="254">
        <f t="shared" ref="V355" si="153">SUM(V350:V354)</f>
        <v>0</v>
      </c>
      <c r="W355" s="254">
        <f t="shared" ref="W355" si="154">SUM(W350:W354)</f>
        <v>0</v>
      </c>
      <c r="X355" s="254">
        <f t="shared" ref="X355" si="155">SUM(X350:X354)</f>
        <v>0</v>
      </c>
      <c r="Y355" s="254">
        <f t="shared" ref="Y355" si="156">SUM(Y350:Y354)</f>
        <v>0</v>
      </c>
      <c r="Z355" s="254">
        <f t="shared" ref="Z355" si="157">SUM(Z350:Z354)</f>
        <v>0</v>
      </c>
      <c r="AA355" s="254">
        <f t="shared" ref="AA355" si="158">SUM(AA350:AA354)</f>
        <v>0</v>
      </c>
      <c r="AB355" s="254">
        <f t="shared" ref="AB355" si="159">SUM(AB350:AB354)</f>
        <v>0</v>
      </c>
      <c r="AC355" s="254">
        <f t="shared" ref="AC355" si="160">SUM(AC350:AC354)</f>
        <v>0</v>
      </c>
      <c r="AD355" s="254">
        <f t="shared" ref="AD355" si="161">SUM(AD350:AD354)</f>
        <v>0</v>
      </c>
      <c r="AE355" s="254">
        <f t="shared" ref="AE355" si="162">SUM(AE350:AE354)</f>
        <v>0</v>
      </c>
      <c r="AF355" s="254">
        <f t="shared" ref="AF355" si="163">SUM(AF350:AF354)</f>
        <v>0</v>
      </c>
      <c r="AG355" s="254">
        <f t="shared" ref="AG355" si="164">SUM(AG350:AG354)</f>
        <v>0</v>
      </c>
      <c r="AH355" s="254">
        <f t="shared" ref="AH355" si="165">SUM(AH350:AH354)</f>
        <v>0</v>
      </c>
      <c r="AI355" s="254">
        <f t="shared" ref="AI355" si="166">SUM(AI350:AI354)</f>
        <v>0</v>
      </c>
      <c r="AJ355" s="254">
        <f t="shared" ref="AJ355" si="167">SUM(AJ350:AJ354)</f>
        <v>0</v>
      </c>
      <c r="AK355" s="254">
        <f t="shared" ref="AK355" si="168">SUM(AK350:AK354)</f>
        <v>0</v>
      </c>
      <c r="AL355" s="254">
        <f t="shared" ref="AL355" si="169">SUM(AL350:AL354)</f>
        <v>0</v>
      </c>
      <c r="AM355" s="254">
        <f t="shared" ref="AM355" si="170">SUM(AM350:AM354)</f>
        <v>0</v>
      </c>
      <c r="AN355" s="254">
        <f t="shared" ref="AN355" si="171">SUM(AN350:AN354)</f>
        <v>0</v>
      </c>
      <c r="AO355" s="254">
        <f t="shared" ref="AO355" si="172">SUM(AO350:AO354)</f>
        <v>0</v>
      </c>
      <c r="AP355" s="254">
        <f t="shared" ref="AP355" si="173">SUM(AP350:AP354)</f>
        <v>0</v>
      </c>
      <c r="AQ355" s="254">
        <f t="shared" ref="AQ355" si="174">SUM(AQ350:AQ354)</f>
        <v>0</v>
      </c>
      <c r="AR355" s="254">
        <f t="shared" ref="AR355" si="175">SUM(AR350:AR354)</f>
        <v>0</v>
      </c>
      <c r="AS355" s="254">
        <f t="shared" ref="AS355" si="176">SUM(AS350:AS354)</f>
        <v>0</v>
      </c>
      <c r="AT355" s="254">
        <f t="shared" ref="AT355" si="177">SUM(AT350:AT354)</f>
        <v>0</v>
      </c>
      <c r="AU355" s="254">
        <f t="shared" ref="AU355" si="178">SUM(AU350:AU354)</f>
        <v>0</v>
      </c>
      <c r="AV355" s="254">
        <f t="shared" ref="AV355" si="179">SUM(AV350:AV354)</f>
        <v>0</v>
      </c>
      <c r="AW355" s="254">
        <f t="shared" ref="AW355" si="180">SUM(AW350:AW354)</f>
        <v>0</v>
      </c>
      <c r="AX355" s="254">
        <f t="shared" ref="AX355" si="181">SUM(AX350:AX354)</f>
        <v>0</v>
      </c>
      <c r="AY355" s="254">
        <f t="shared" ref="AY355" si="182">SUM(AY350:AY354)</f>
        <v>0</v>
      </c>
      <c r="AZ355" s="254">
        <f t="shared" ref="AZ355" si="183">SUM(AZ350:AZ354)</f>
        <v>0</v>
      </c>
      <c r="BA355" s="254">
        <f t="shared" ref="BA355" si="184">SUM(BA350:BA354)</f>
        <v>0</v>
      </c>
      <c r="BB355" s="254">
        <f t="shared" ref="BB355" si="185">SUM(BB350:BB354)</f>
        <v>0</v>
      </c>
      <c r="BC355" s="254">
        <f t="shared" ref="BC355" si="186">SUM(BC350:BC354)</f>
        <v>0</v>
      </c>
      <c r="BD355" s="254">
        <f t="shared" ref="BD355" si="187">SUM(BD350:BD354)</f>
        <v>0</v>
      </c>
      <c r="BE355" s="254">
        <f t="shared" ref="BE355" si="188">SUM(BE350:BE354)</f>
        <v>0</v>
      </c>
      <c r="BF355" s="254">
        <f t="shared" ref="BF355" si="189">SUM(BF350:BF354)</f>
        <v>0</v>
      </c>
      <c r="BG355" s="254">
        <f t="shared" ref="BG355" si="190">SUM(BG350:BG354)</f>
        <v>0</v>
      </c>
    </row>
    <row r="356" spans="9:59">
      <c r="I356" s="363" t="s">
        <v>321</v>
      </c>
      <c r="K356" s="255" t="s">
        <v>329</v>
      </c>
      <c r="M356" s="257" t="b">
        <f>COUNTIFS(T356:BG356,"true")=COUNTA(T356:BG356)</f>
        <v>1</v>
      </c>
      <c r="T356" s="257" t="b">
        <f t="shared" ref="T356:BG356" si="191">ROUND(T355,1)=ROUND(SUMIFS(T$20:T$278,$I$20:$I$278,$I356),1)</f>
        <v>1</v>
      </c>
      <c r="U356" s="257" t="b">
        <f t="shared" si="191"/>
        <v>1</v>
      </c>
      <c r="V356" s="257" t="b">
        <f t="shared" si="191"/>
        <v>1</v>
      </c>
      <c r="W356" s="257" t="b">
        <f t="shared" si="191"/>
        <v>1</v>
      </c>
      <c r="X356" s="257" t="b">
        <f t="shared" si="191"/>
        <v>1</v>
      </c>
      <c r="Y356" s="257" t="b">
        <f t="shared" si="191"/>
        <v>1</v>
      </c>
      <c r="Z356" s="257" t="b">
        <f t="shared" si="191"/>
        <v>1</v>
      </c>
      <c r="AA356" s="257" t="b">
        <f t="shared" si="191"/>
        <v>1</v>
      </c>
      <c r="AB356" s="257" t="b">
        <f t="shared" si="191"/>
        <v>1</v>
      </c>
      <c r="AC356" s="257" t="b">
        <f t="shared" si="191"/>
        <v>1</v>
      </c>
      <c r="AD356" s="257" t="b">
        <f t="shared" si="191"/>
        <v>1</v>
      </c>
      <c r="AE356" s="257" t="b">
        <f t="shared" si="191"/>
        <v>1</v>
      </c>
      <c r="AF356" s="257" t="b">
        <f t="shared" si="191"/>
        <v>1</v>
      </c>
      <c r="AG356" s="257" t="b">
        <f t="shared" si="191"/>
        <v>1</v>
      </c>
      <c r="AH356" s="257" t="b">
        <f t="shared" si="191"/>
        <v>1</v>
      </c>
      <c r="AI356" s="257" t="b">
        <f t="shared" si="191"/>
        <v>1</v>
      </c>
      <c r="AJ356" s="257" t="b">
        <f t="shared" si="191"/>
        <v>1</v>
      </c>
      <c r="AK356" s="257" t="b">
        <f t="shared" si="191"/>
        <v>1</v>
      </c>
      <c r="AL356" s="257" t="b">
        <f t="shared" si="191"/>
        <v>1</v>
      </c>
      <c r="AM356" s="257" t="b">
        <f t="shared" si="191"/>
        <v>1</v>
      </c>
      <c r="AN356" s="257" t="b">
        <f t="shared" si="191"/>
        <v>1</v>
      </c>
      <c r="AO356" s="257" t="b">
        <f t="shared" si="191"/>
        <v>1</v>
      </c>
      <c r="AP356" s="257" t="b">
        <f t="shared" si="191"/>
        <v>1</v>
      </c>
      <c r="AQ356" s="257" t="b">
        <f t="shared" si="191"/>
        <v>1</v>
      </c>
      <c r="AR356" s="257" t="b">
        <f t="shared" si="191"/>
        <v>1</v>
      </c>
      <c r="AS356" s="257" t="b">
        <f t="shared" si="191"/>
        <v>1</v>
      </c>
      <c r="AT356" s="257" t="b">
        <f t="shared" si="191"/>
        <v>1</v>
      </c>
      <c r="AU356" s="257" t="b">
        <f t="shared" si="191"/>
        <v>1</v>
      </c>
      <c r="AV356" s="257" t="b">
        <f t="shared" si="191"/>
        <v>1</v>
      </c>
      <c r="AW356" s="257" t="b">
        <f t="shared" si="191"/>
        <v>1</v>
      </c>
      <c r="AX356" s="257" t="b">
        <f t="shared" si="191"/>
        <v>1</v>
      </c>
      <c r="AY356" s="257" t="b">
        <f t="shared" si="191"/>
        <v>1</v>
      </c>
      <c r="AZ356" s="257" t="b">
        <f t="shared" si="191"/>
        <v>1</v>
      </c>
      <c r="BA356" s="257" t="b">
        <f t="shared" si="191"/>
        <v>1</v>
      </c>
      <c r="BB356" s="257" t="b">
        <f t="shared" si="191"/>
        <v>1</v>
      </c>
      <c r="BC356" s="257" t="b">
        <f t="shared" si="191"/>
        <v>1</v>
      </c>
      <c r="BD356" s="257" t="b">
        <f t="shared" si="191"/>
        <v>1</v>
      </c>
      <c r="BE356" s="257" t="b">
        <f t="shared" si="191"/>
        <v>1</v>
      </c>
      <c r="BF356" s="257" t="b">
        <f t="shared" si="191"/>
        <v>1</v>
      </c>
      <c r="BG356" s="257" t="b">
        <f t="shared" si="191"/>
        <v>1</v>
      </c>
    </row>
    <row r="358" spans="9:59">
      <c r="I358" s="363" t="s">
        <v>408</v>
      </c>
      <c r="K358" t="s">
        <v>408</v>
      </c>
      <c r="T358" s="310">
        <f t="shared" ref="T358:BG358" si="192">SUMIFS(T$20:T$278,$I$20:$I$278,$I358)</f>
        <v>0</v>
      </c>
      <c r="U358" s="310">
        <f t="shared" si="192"/>
        <v>0</v>
      </c>
      <c r="V358" s="310">
        <f t="shared" si="192"/>
        <v>0</v>
      </c>
      <c r="W358" s="310">
        <f t="shared" si="192"/>
        <v>0</v>
      </c>
      <c r="X358" s="310">
        <f t="shared" si="192"/>
        <v>0</v>
      </c>
      <c r="Y358" s="310">
        <f t="shared" si="192"/>
        <v>0</v>
      </c>
      <c r="Z358" s="310">
        <f t="shared" si="192"/>
        <v>0</v>
      </c>
      <c r="AA358" s="310">
        <f t="shared" si="192"/>
        <v>0</v>
      </c>
      <c r="AB358" s="310">
        <f t="shared" si="192"/>
        <v>0</v>
      </c>
      <c r="AC358" s="310">
        <f t="shared" si="192"/>
        <v>0</v>
      </c>
      <c r="AD358" s="310">
        <f t="shared" si="192"/>
        <v>0</v>
      </c>
      <c r="AE358" s="310">
        <f t="shared" si="192"/>
        <v>0</v>
      </c>
      <c r="AF358" s="310">
        <f t="shared" si="192"/>
        <v>0</v>
      </c>
      <c r="AG358" s="310">
        <f t="shared" si="192"/>
        <v>0</v>
      </c>
      <c r="AH358" s="310">
        <f t="shared" si="192"/>
        <v>0</v>
      </c>
      <c r="AI358" s="310">
        <f t="shared" si="192"/>
        <v>0</v>
      </c>
      <c r="AJ358" s="310">
        <f t="shared" si="192"/>
        <v>0</v>
      </c>
      <c r="AK358" s="310">
        <f t="shared" si="192"/>
        <v>0</v>
      </c>
      <c r="AL358" s="310">
        <f t="shared" si="192"/>
        <v>0</v>
      </c>
      <c r="AM358" s="310">
        <f t="shared" si="192"/>
        <v>0</v>
      </c>
      <c r="AN358" s="310">
        <f t="shared" si="192"/>
        <v>0</v>
      </c>
      <c r="AO358" s="310">
        <f t="shared" si="192"/>
        <v>0</v>
      </c>
      <c r="AP358" s="310">
        <f t="shared" si="192"/>
        <v>0</v>
      </c>
      <c r="AQ358" s="310">
        <f t="shared" si="192"/>
        <v>0</v>
      </c>
      <c r="AR358" s="310">
        <f t="shared" si="192"/>
        <v>0</v>
      </c>
      <c r="AS358" s="310">
        <f t="shared" si="192"/>
        <v>0</v>
      </c>
      <c r="AT358" s="310">
        <f t="shared" si="192"/>
        <v>0</v>
      </c>
      <c r="AU358" s="310">
        <f t="shared" si="192"/>
        <v>0</v>
      </c>
      <c r="AV358" s="310">
        <f t="shared" si="192"/>
        <v>0</v>
      </c>
      <c r="AW358" s="310">
        <f t="shared" si="192"/>
        <v>0</v>
      </c>
      <c r="AX358" s="310">
        <f t="shared" si="192"/>
        <v>0</v>
      </c>
      <c r="AY358" s="310">
        <f t="shared" si="192"/>
        <v>0</v>
      </c>
      <c r="AZ358" s="310">
        <f t="shared" si="192"/>
        <v>0</v>
      </c>
      <c r="BA358" s="310">
        <f t="shared" si="192"/>
        <v>0</v>
      </c>
      <c r="BB358" s="310">
        <f t="shared" si="192"/>
        <v>0</v>
      </c>
      <c r="BC358" s="310">
        <f t="shared" si="192"/>
        <v>0</v>
      </c>
      <c r="BD358" s="310">
        <f t="shared" si="192"/>
        <v>0</v>
      </c>
      <c r="BE358" s="310">
        <f t="shared" si="192"/>
        <v>0</v>
      </c>
      <c r="BF358" s="310">
        <f t="shared" si="192"/>
        <v>0</v>
      </c>
      <c r="BG358" s="310">
        <f t="shared" si="192"/>
        <v>0</v>
      </c>
    </row>
    <row r="359" spans="9:59">
      <c r="K359" s="253" t="s">
        <v>167</v>
      </c>
      <c r="L359" s="253"/>
      <c r="M359" s="253"/>
      <c r="N359" s="253"/>
      <c r="O359" s="253"/>
      <c r="P359" s="253"/>
      <c r="Q359" s="253"/>
      <c r="R359" s="253"/>
      <c r="S359" s="253"/>
      <c r="T359" s="254">
        <f>T347+T355+T358</f>
        <v>25046.743737887322</v>
      </c>
      <c r="U359" s="254">
        <f t="shared" ref="U359:BG359" si="193">U347+U355+U358</f>
        <v>50187.149749711825</v>
      </c>
      <c r="V359" s="254">
        <f t="shared" si="193"/>
        <v>75421.480722960478</v>
      </c>
      <c r="W359" s="254">
        <f t="shared" si="193"/>
        <v>75562.499999999985</v>
      </c>
      <c r="X359" s="254">
        <f t="shared" si="193"/>
        <v>75703.782947764412</v>
      </c>
      <c r="Y359" s="254">
        <f t="shared" si="193"/>
        <v>75845.330059251981</v>
      </c>
      <c r="Z359" s="254">
        <f t="shared" si="193"/>
        <v>75987.14182838265</v>
      </c>
      <c r="AA359" s="254">
        <f t="shared" si="193"/>
        <v>76129.218749999971</v>
      </c>
      <c r="AB359" s="254">
        <f t="shared" si="193"/>
        <v>76271.561319872635</v>
      </c>
      <c r="AC359" s="254">
        <f t="shared" si="193"/>
        <v>76414.170034696348</v>
      </c>
      <c r="AD359" s="254">
        <f t="shared" si="193"/>
        <v>76557.045392095504</v>
      </c>
      <c r="AE359" s="254">
        <f t="shared" si="193"/>
        <v>76700.187890624933</v>
      </c>
      <c r="AF359" s="254">
        <f t="shared" si="193"/>
        <v>0</v>
      </c>
      <c r="AG359" s="254">
        <f t="shared" si="193"/>
        <v>0</v>
      </c>
      <c r="AH359" s="254">
        <f t="shared" si="193"/>
        <v>0</v>
      </c>
      <c r="AI359" s="254">
        <f t="shared" si="193"/>
        <v>0</v>
      </c>
      <c r="AJ359" s="254">
        <f t="shared" si="193"/>
        <v>0</v>
      </c>
      <c r="AK359" s="254">
        <f t="shared" si="193"/>
        <v>0</v>
      </c>
      <c r="AL359" s="254">
        <f t="shared" si="193"/>
        <v>0</v>
      </c>
      <c r="AM359" s="254">
        <f t="shared" si="193"/>
        <v>0</v>
      </c>
      <c r="AN359" s="254">
        <f t="shared" si="193"/>
        <v>0</v>
      </c>
      <c r="AO359" s="254">
        <f t="shared" si="193"/>
        <v>0</v>
      </c>
      <c r="AP359" s="254">
        <f t="shared" si="193"/>
        <v>0</v>
      </c>
      <c r="AQ359" s="254">
        <f t="shared" si="193"/>
        <v>0</v>
      </c>
      <c r="AR359" s="254">
        <f t="shared" si="193"/>
        <v>0</v>
      </c>
      <c r="AS359" s="254">
        <f t="shared" si="193"/>
        <v>0</v>
      </c>
      <c r="AT359" s="254">
        <f t="shared" si="193"/>
        <v>0</v>
      </c>
      <c r="AU359" s="254">
        <f t="shared" si="193"/>
        <v>0</v>
      </c>
      <c r="AV359" s="254">
        <f t="shared" si="193"/>
        <v>0</v>
      </c>
      <c r="AW359" s="254">
        <f t="shared" si="193"/>
        <v>0</v>
      </c>
      <c r="AX359" s="254">
        <f t="shared" si="193"/>
        <v>0</v>
      </c>
      <c r="AY359" s="254">
        <f t="shared" si="193"/>
        <v>0</v>
      </c>
      <c r="AZ359" s="254">
        <f t="shared" si="193"/>
        <v>0</v>
      </c>
      <c r="BA359" s="254">
        <f t="shared" si="193"/>
        <v>0</v>
      </c>
      <c r="BB359" s="254">
        <f t="shared" si="193"/>
        <v>0</v>
      </c>
      <c r="BC359" s="254">
        <f t="shared" si="193"/>
        <v>0</v>
      </c>
      <c r="BD359" s="254">
        <f t="shared" si="193"/>
        <v>0</v>
      </c>
      <c r="BE359" s="254">
        <f t="shared" si="193"/>
        <v>0</v>
      </c>
      <c r="BF359" s="254">
        <f t="shared" si="193"/>
        <v>0</v>
      </c>
      <c r="BG359" s="254">
        <f t="shared" si="193"/>
        <v>0</v>
      </c>
    </row>
    <row r="360" spans="9:59">
      <c r="T360" s="117"/>
    </row>
    <row r="361" spans="9:59">
      <c r="I361" s="363" t="s">
        <v>168</v>
      </c>
      <c r="K361" t="s">
        <v>168</v>
      </c>
      <c r="T361" s="310">
        <f t="shared" ref="T361:BG361" si="194">SUMIFS(T$20:T$278,$I$20:$I$278,$I361)</f>
        <v>0</v>
      </c>
      <c r="U361" s="310">
        <f t="shared" si="194"/>
        <v>0</v>
      </c>
      <c r="V361" s="310">
        <f t="shared" si="194"/>
        <v>0</v>
      </c>
      <c r="W361" s="310">
        <f t="shared" si="194"/>
        <v>0</v>
      </c>
      <c r="X361" s="310">
        <f t="shared" si="194"/>
        <v>0</v>
      </c>
      <c r="Y361" s="310">
        <f t="shared" si="194"/>
        <v>0</v>
      </c>
      <c r="Z361" s="310">
        <f t="shared" si="194"/>
        <v>0</v>
      </c>
      <c r="AA361" s="310">
        <f t="shared" si="194"/>
        <v>0</v>
      </c>
      <c r="AB361" s="310">
        <f t="shared" si="194"/>
        <v>0</v>
      </c>
      <c r="AC361" s="310">
        <f t="shared" si="194"/>
        <v>0</v>
      </c>
      <c r="AD361" s="310">
        <f t="shared" si="194"/>
        <v>0</v>
      </c>
      <c r="AE361" s="310">
        <f t="shared" si="194"/>
        <v>0</v>
      </c>
      <c r="AF361" s="310">
        <f t="shared" si="194"/>
        <v>0</v>
      </c>
      <c r="AG361" s="310">
        <f t="shared" si="194"/>
        <v>0</v>
      </c>
      <c r="AH361" s="310">
        <f t="shared" si="194"/>
        <v>0</v>
      </c>
      <c r="AI361" s="310">
        <f t="shared" si="194"/>
        <v>0</v>
      </c>
      <c r="AJ361" s="310">
        <f t="shared" si="194"/>
        <v>0</v>
      </c>
      <c r="AK361" s="310">
        <f t="shared" si="194"/>
        <v>0</v>
      </c>
      <c r="AL361" s="310">
        <f t="shared" si="194"/>
        <v>0</v>
      </c>
      <c r="AM361" s="310">
        <f t="shared" si="194"/>
        <v>0</v>
      </c>
      <c r="AN361" s="310">
        <f t="shared" si="194"/>
        <v>0</v>
      </c>
      <c r="AO361" s="310">
        <f t="shared" si="194"/>
        <v>0</v>
      </c>
      <c r="AP361" s="310">
        <f t="shared" si="194"/>
        <v>0</v>
      </c>
      <c r="AQ361" s="310">
        <f t="shared" si="194"/>
        <v>0</v>
      </c>
      <c r="AR361" s="310">
        <f t="shared" si="194"/>
        <v>0</v>
      </c>
      <c r="AS361" s="310">
        <f t="shared" si="194"/>
        <v>0</v>
      </c>
      <c r="AT361" s="310">
        <f t="shared" si="194"/>
        <v>0</v>
      </c>
      <c r="AU361" s="310">
        <f t="shared" si="194"/>
        <v>0</v>
      </c>
      <c r="AV361" s="310">
        <f t="shared" si="194"/>
        <v>0</v>
      </c>
      <c r="AW361" s="310">
        <f t="shared" si="194"/>
        <v>0</v>
      </c>
      <c r="AX361" s="310">
        <f t="shared" si="194"/>
        <v>0</v>
      </c>
      <c r="AY361" s="310">
        <f t="shared" si="194"/>
        <v>0</v>
      </c>
      <c r="AZ361" s="310">
        <f t="shared" si="194"/>
        <v>0</v>
      </c>
      <c r="BA361" s="310">
        <f t="shared" si="194"/>
        <v>0</v>
      </c>
      <c r="BB361" s="310">
        <f t="shared" si="194"/>
        <v>0</v>
      </c>
      <c r="BC361" s="310">
        <f t="shared" si="194"/>
        <v>0</v>
      </c>
      <c r="BD361" s="310">
        <f t="shared" si="194"/>
        <v>0</v>
      </c>
      <c r="BE361" s="310">
        <f t="shared" si="194"/>
        <v>0</v>
      </c>
      <c r="BF361" s="310">
        <f t="shared" si="194"/>
        <v>0</v>
      </c>
      <c r="BG361" s="310">
        <f t="shared" si="194"/>
        <v>0</v>
      </c>
    </row>
    <row r="362" spans="9:59">
      <c r="K362" s="253" t="s">
        <v>516</v>
      </c>
      <c r="L362" s="268"/>
      <c r="M362" s="268"/>
      <c r="N362" s="268"/>
      <c r="O362" s="268"/>
      <c r="P362" s="268"/>
      <c r="Q362" s="268"/>
      <c r="R362" s="268"/>
      <c r="S362" s="268"/>
      <c r="T362" s="254">
        <f>T359+T361</f>
        <v>25046.743737887322</v>
      </c>
      <c r="U362" s="254">
        <f t="shared" ref="U362:BG362" si="195">U359+U361</f>
        <v>50187.149749711825</v>
      </c>
      <c r="V362" s="254">
        <f t="shared" si="195"/>
        <v>75421.480722960478</v>
      </c>
      <c r="W362" s="254">
        <f t="shared" si="195"/>
        <v>75562.499999999985</v>
      </c>
      <c r="X362" s="254">
        <f t="shared" si="195"/>
        <v>75703.782947764412</v>
      </c>
      <c r="Y362" s="254">
        <f t="shared" si="195"/>
        <v>75845.330059251981</v>
      </c>
      <c r="Z362" s="254">
        <f t="shared" si="195"/>
        <v>75987.14182838265</v>
      </c>
      <c r="AA362" s="254">
        <f t="shared" si="195"/>
        <v>76129.218749999971</v>
      </c>
      <c r="AB362" s="254">
        <f t="shared" si="195"/>
        <v>76271.561319872635</v>
      </c>
      <c r="AC362" s="254">
        <f t="shared" si="195"/>
        <v>76414.170034696348</v>
      </c>
      <c r="AD362" s="254">
        <f t="shared" si="195"/>
        <v>76557.045392095504</v>
      </c>
      <c r="AE362" s="254">
        <f t="shared" si="195"/>
        <v>76700.187890624933</v>
      </c>
      <c r="AF362" s="254">
        <f t="shared" si="195"/>
        <v>0</v>
      </c>
      <c r="AG362" s="254">
        <f t="shared" si="195"/>
        <v>0</v>
      </c>
      <c r="AH362" s="254">
        <f t="shared" si="195"/>
        <v>0</v>
      </c>
      <c r="AI362" s="254">
        <f t="shared" si="195"/>
        <v>0</v>
      </c>
      <c r="AJ362" s="254">
        <f t="shared" si="195"/>
        <v>0</v>
      </c>
      <c r="AK362" s="254">
        <f t="shared" si="195"/>
        <v>0</v>
      </c>
      <c r="AL362" s="254">
        <f t="shared" si="195"/>
        <v>0</v>
      </c>
      <c r="AM362" s="254">
        <f t="shared" si="195"/>
        <v>0</v>
      </c>
      <c r="AN362" s="254">
        <f t="shared" si="195"/>
        <v>0</v>
      </c>
      <c r="AO362" s="254">
        <f t="shared" si="195"/>
        <v>0</v>
      </c>
      <c r="AP362" s="254">
        <f t="shared" si="195"/>
        <v>0</v>
      </c>
      <c r="AQ362" s="254">
        <f t="shared" si="195"/>
        <v>0</v>
      </c>
      <c r="AR362" s="254">
        <f t="shared" si="195"/>
        <v>0</v>
      </c>
      <c r="AS362" s="254">
        <f t="shared" si="195"/>
        <v>0</v>
      </c>
      <c r="AT362" s="254">
        <f t="shared" si="195"/>
        <v>0</v>
      </c>
      <c r="AU362" s="254">
        <f t="shared" si="195"/>
        <v>0</v>
      </c>
      <c r="AV362" s="254">
        <f t="shared" si="195"/>
        <v>0</v>
      </c>
      <c r="AW362" s="254">
        <f t="shared" si="195"/>
        <v>0</v>
      </c>
      <c r="AX362" s="254">
        <f t="shared" si="195"/>
        <v>0</v>
      </c>
      <c r="AY362" s="254">
        <f t="shared" si="195"/>
        <v>0</v>
      </c>
      <c r="AZ362" s="254">
        <f t="shared" si="195"/>
        <v>0</v>
      </c>
      <c r="BA362" s="254">
        <f t="shared" si="195"/>
        <v>0</v>
      </c>
      <c r="BB362" s="254">
        <f t="shared" si="195"/>
        <v>0</v>
      </c>
      <c r="BC362" s="254">
        <f t="shared" si="195"/>
        <v>0</v>
      </c>
      <c r="BD362" s="254">
        <f t="shared" si="195"/>
        <v>0</v>
      </c>
      <c r="BE362" s="254">
        <f t="shared" si="195"/>
        <v>0</v>
      </c>
      <c r="BF362" s="254">
        <f t="shared" si="195"/>
        <v>0</v>
      </c>
      <c r="BG362" s="254">
        <f t="shared" si="195"/>
        <v>0</v>
      </c>
    </row>
    <row r="364" spans="9:59">
      <c r="I364" s="363" t="s">
        <v>411</v>
      </c>
      <c r="K364" t="s">
        <v>411</v>
      </c>
      <c r="T364" s="310">
        <f t="shared" ref="T364:AC368" si="196">SUMIFS(T$20:T$278,$I$20:$I$278,$I364)</f>
        <v>0</v>
      </c>
      <c r="U364" s="310">
        <f t="shared" si="196"/>
        <v>0</v>
      </c>
      <c r="V364" s="310">
        <f t="shared" si="196"/>
        <v>0</v>
      </c>
      <c r="W364" s="310">
        <f t="shared" si="196"/>
        <v>0</v>
      </c>
      <c r="X364" s="310">
        <f t="shared" si="196"/>
        <v>0</v>
      </c>
      <c r="Y364" s="310">
        <f t="shared" si="196"/>
        <v>0</v>
      </c>
      <c r="Z364" s="310">
        <f t="shared" si="196"/>
        <v>0</v>
      </c>
      <c r="AA364" s="310">
        <f t="shared" si="196"/>
        <v>0</v>
      </c>
      <c r="AB364" s="310">
        <f t="shared" si="196"/>
        <v>0</v>
      </c>
      <c r="AC364" s="310">
        <f t="shared" si="196"/>
        <v>0</v>
      </c>
      <c r="AD364" s="310">
        <f t="shared" ref="AD364:AM368" si="197">SUMIFS(AD$20:AD$278,$I$20:$I$278,$I364)</f>
        <v>0</v>
      </c>
      <c r="AE364" s="310">
        <f t="shared" si="197"/>
        <v>0</v>
      </c>
      <c r="AF364" s="310">
        <f t="shared" si="197"/>
        <v>0</v>
      </c>
      <c r="AG364" s="310">
        <f t="shared" si="197"/>
        <v>0</v>
      </c>
      <c r="AH364" s="310">
        <f t="shared" si="197"/>
        <v>0</v>
      </c>
      <c r="AI364" s="310">
        <f t="shared" si="197"/>
        <v>0</v>
      </c>
      <c r="AJ364" s="310">
        <f t="shared" si="197"/>
        <v>0</v>
      </c>
      <c r="AK364" s="310">
        <f t="shared" si="197"/>
        <v>0</v>
      </c>
      <c r="AL364" s="310">
        <f t="shared" si="197"/>
        <v>0</v>
      </c>
      <c r="AM364" s="310">
        <f t="shared" si="197"/>
        <v>0</v>
      </c>
      <c r="AN364" s="310">
        <f t="shared" ref="AN364:AW368" si="198">SUMIFS(AN$20:AN$278,$I$20:$I$278,$I364)</f>
        <v>0</v>
      </c>
      <c r="AO364" s="310">
        <f t="shared" si="198"/>
        <v>0</v>
      </c>
      <c r="AP364" s="310">
        <f t="shared" si="198"/>
        <v>0</v>
      </c>
      <c r="AQ364" s="310">
        <f t="shared" si="198"/>
        <v>0</v>
      </c>
      <c r="AR364" s="310">
        <f t="shared" si="198"/>
        <v>0</v>
      </c>
      <c r="AS364" s="310">
        <f t="shared" si="198"/>
        <v>0</v>
      </c>
      <c r="AT364" s="310">
        <f t="shared" si="198"/>
        <v>0</v>
      </c>
      <c r="AU364" s="310">
        <f t="shared" si="198"/>
        <v>0</v>
      </c>
      <c r="AV364" s="310">
        <f t="shared" si="198"/>
        <v>0</v>
      </c>
      <c r="AW364" s="310">
        <f t="shared" si="198"/>
        <v>0</v>
      </c>
      <c r="AX364" s="310">
        <f t="shared" ref="AX364:BG368" si="199">SUMIFS(AX$20:AX$278,$I$20:$I$278,$I364)</f>
        <v>0</v>
      </c>
      <c r="AY364" s="310">
        <f t="shared" si="199"/>
        <v>0</v>
      </c>
      <c r="AZ364" s="310">
        <f t="shared" si="199"/>
        <v>0</v>
      </c>
      <c r="BA364" s="310">
        <f t="shared" si="199"/>
        <v>0</v>
      </c>
      <c r="BB364" s="310">
        <f t="shared" si="199"/>
        <v>0</v>
      </c>
      <c r="BC364" s="310">
        <f t="shared" si="199"/>
        <v>0</v>
      </c>
      <c r="BD364" s="310">
        <f t="shared" si="199"/>
        <v>0</v>
      </c>
      <c r="BE364" s="310">
        <f t="shared" si="199"/>
        <v>0</v>
      </c>
      <c r="BF364" s="310">
        <f t="shared" si="199"/>
        <v>0</v>
      </c>
      <c r="BG364" s="310">
        <f t="shared" si="199"/>
        <v>0</v>
      </c>
    </row>
    <row r="365" spans="9:59">
      <c r="I365" s="363" t="s">
        <v>519</v>
      </c>
      <c r="K365" t="s">
        <v>517</v>
      </c>
      <c r="T365" s="310">
        <f t="shared" si="196"/>
        <v>-300.56092485464785</v>
      </c>
      <c r="U365" s="310">
        <f t="shared" si="196"/>
        <v>-1304.8658934925074</v>
      </c>
      <c r="V365" s="310">
        <f t="shared" si="196"/>
        <v>-2375.7766427732549</v>
      </c>
      <c r="W365" s="310">
        <f t="shared" si="196"/>
        <v>-2380.21875</v>
      </c>
      <c r="X365" s="310">
        <f t="shared" si="196"/>
        <v>-2384.6691628545796</v>
      </c>
      <c r="Y365" s="310">
        <f t="shared" si="196"/>
        <v>-2389.1278968664374</v>
      </c>
      <c r="Z365" s="310">
        <f t="shared" si="196"/>
        <v>-2393.5949675940537</v>
      </c>
      <c r="AA365" s="310">
        <f t="shared" si="196"/>
        <v>-2398.0703906249992</v>
      </c>
      <c r="AB365" s="310">
        <f t="shared" si="196"/>
        <v>-2402.554181575988</v>
      </c>
      <c r="AC365" s="310">
        <f t="shared" si="196"/>
        <v>-2407.0463560929347</v>
      </c>
      <c r="AD365" s="310">
        <f t="shared" si="197"/>
        <v>-2411.5469298510088</v>
      </c>
      <c r="AE365" s="310">
        <f t="shared" si="197"/>
        <v>-2416.0559185546854</v>
      </c>
      <c r="AF365" s="310">
        <f t="shared" si="197"/>
        <v>0</v>
      </c>
      <c r="AG365" s="310">
        <f t="shared" si="197"/>
        <v>0</v>
      </c>
      <c r="AH365" s="310">
        <f t="shared" si="197"/>
        <v>0</v>
      </c>
      <c r="AI365" s="310">
        <f t="shared" si="197"/>
        <v>0</v>
      </c>
      <c r="AJ365" s="310">
        <f t="shared" si="197"/>
        <v>0</v>
      </c>
      <c r="AK365" s="310">
        <f t="shared" si="197"/>
        <v>0</v>
      </c>
      <c r="AL365" s="310">
        <f t="shared" si="197"/>
        <v>0</v>
      </c>
      <c r="AM365" s="310">
        <f t="shared" si="197"/>
        <v>0</v>
      </c>
      <c r="AN365" s="310">
        <f t="shared" si="198"/>
        <v>0</v>
      </c>
      <c r="AO365" s="310">
        <f t="shared" si="198"/>
        <v>0</v>
      </c>
      <c r="AP365" s="310">
        <f t="shared" si="198"/>
        <v>0</v>
      </c>
      <c r="AQ365" s="310">
        <f t="shared" si="198"/>
        <v>0</v>
      </c>
      <c r="AR365" s="310">
        <f t="shared" si="198"/>
        <v>0</v>
      </c>
      <c r="AS365" s="310">
        <f t="shared" si="198"/>
        <v>0</v>
      </c>
      <c r="AT365" s="310">
        <f t="shared" si="198"/>
        <v>0</v>
      </c>
      <c r="AU365" s="310">
        <f t="shared" si="198"/>
        <v>0</v>
      </c>
      <c r="AV365" s="310">
        <f t="shared" si="198"/>
        <v>0</v>
      </c>
      <c r="AW365" s="310">
        <f t="shared" si="198"/>
        <v>0</v>
      </c>
      <c r="AX365" s="310">
        <f t="shared" si="199"/>
        <v>0</v>
      </c>
      <c r="AY365" s="310">
        <f t="shared" si="199"/>
        <v>0</v>
      </c>
      <c r="AZ365" s="310">
        <f t="shared" si="199"/>
        <v>0</v>
      </c>
      <c r="BA365" s="310">
        <f t="shared" si="199"/>
        <v>0</v>
      </c>
      <c r="BB365" s="310">
        <f t="shared" si="199"/>
        <v>0</v>
      </c>
      <c r="BC365" s="310">
        <f t="shared" si="199"/>
        <v>0</v>
      </c>
      <c r="BD365" s="310">
        <f t="shared" si="199"/>
        <v>0</v>
      </c>
      <c r="BE365" s="310">
        <f t="shared" si="199"/>
        <v>0</v>
      </c>
      <c r="BF365" s="310">
        <f t="shared" si="199"/>
        <v>0</v>
      </c>
      <c r="BG365" s="310">
        <f t="shared" si="199"/>
        <v>0</v>
      </c>
    </row>
    <row r="366" spans="9:59">
      <c r="I366" s="363" t="s">
        <v>418</v>
      </c>
      <c r="K366" t="s">
        <v>417</v>
      </c>
      <c r="T366" s="310">
        <f t="shared" si="196"/>
        <v>-1306.451811045165</v>
      </c>
      <c r="U366" s="310">
        <f t="shared" si="196"/>
        <v>-2474.3787098987095</v>
      </c>
      <c r="V366" s="310">
        <f t="shared" si="196"/>
        <v>-3057.5754622011896</v>
      </c>
      <c r="W366" s="310">
        <f t="shared" si="196"/>
        <v>-3072.7500000000005</v>
      </c>
      <c r="X366" s="310">
        <f t="shared" si="196"/>
        <v>-3087.9998479915625</v>
      </c>
      <c r="Y366" s="310">
        <f t="shared" si="196"/>
        <v>-3103.3253799352087</v>
      </c>
      <c r="Z366" s="310">
        <f t="shared" si="196"/>
        <v>-3118.7269714452145</v>
      </c>
      <c r="AA366" s="310">
        <f t="shared" si="196"/>
        <v>-3134.2050000000027</v>
      </c>
      <c r="AB366" s="310">
        <f t="shared" si="196"/>
        <v>-3149.7598449513957</v>
      </c>
      <c r="AC366" s="310">
        <f t="shared" si="196"/>
        <v>-3165.3918875339141</v>
      </c>
      <c r="AD366" s="310">
        <f t="shared" si="197"/>
        <v>-3181.1015108741194</v>
      </c>
      <c r="AE366" s="310">
        <f t="shared" si="197"/>
        <v>-3196.8891000000035</v>
      </c>
      <c r="AF366" s="310">
        <f t="shared" si="197"/>
        <v>0</v>
      </c>
      <c r="AG366" s="310">
        <f t="shared" si="197"/>
        <v>0</v>
      </c>
      <c r="AH366" s="310">
        <f t="shared" si="197"/>
        <v>0</v>
      </c>
      <c r="AI366" s="310">
        <f t="shared" si="197"/>
        <v>0</v>
      </c>
      <c r="AJ366" s="310">
        <f t="shared" si="197"/>
        <v>0</v>
      </c>
      <c r="AK366" s="310">
        <f t="shared" si="197"/>
        <v>0</v>
      </c>
      <c r="AL366" s="310">
        <f t="shared" si="197"/>
        <v>0</v>
      </c>
      <c r="AM366" s="310">
        <f t="shared" si="197"/>
        <v>0</v>
      </c>
      <c r="AN366" s="310">
        <f t="shared" si="198"/>
        <v>0</v>
      </c>
      <c r="AO366" s="310">
        <f t="shared" si="198"/>
        <v>0</v>
      </c>
      <c r="AP366" s="310">
        <f t="shared" si="198"/>
        <v>0</v>
      </c>
      <c r="AQ366" s="310">
        <f t="shared" si="198"/>
        <v>0</v>
      </c>
      <c r="AR366" s="310">
        <f t="shared" si="198"/>
        <v>0</v>
      </c>
      <c r="AS366" s="310">
        <f t="shared" si="198"/>
        <v>0</v>
      </c>
      <c r="AT366" s="310">
        <f t="shared" si="198"/>
        <v>0</v>
      </c>
      <c r="AU366" s="310">
        <f t="shared" si="198"/>
        <v>0</v>
      </c>
      <c r="AV366" s="310">
        <f t="shared" si="198"/>
        <v>0</v>
      </c>
      <c r="AW366" s="310">
        <f t="shared" si="198"/>
        <v>0</v>
      </c>
      <c r="AX366" s="310">
        <f t="shared" si="199"/>
        <v>0</v>
      </c>
      <c r="AY366" s="310">
        <f t="shared" si="199"/>
        <v>0</v>
      </c>
      <c r="AZ366" s="310">
        <f t="shared" si="199"/>
        <v>0</v>
      </c>
      <c r="BA366" s="310">
        <f t="shared" si="199"/>
        <v>0</v>
      </c>
      <c r="BB366" s="310">
        <f t="shared" si="199"/>
        <v>0</v>
      </c>
      <c r="BC366" s="310">
        <f t="shared" si="199"/>
        <v>0</v>
      </c>
      <c r="BD366" s="310">
        <f t="shared" si="199"/>
        <v>0</v>
      </c>
      <c r="BE366" s="310">
        <f t="shared" si="199"/>
        <v>0</v>
      </c>
      <c r="BF366" s="310">
        <f t="shared" si="199"/>
        <v>0</v>
      </c>
      <c r="BG366" s="310">
        <f t="shared" si="199"/>
        <v>0</v>
      </c>
    </row>
    <row r="367" spans="9:59">
      <c r="I367" s="363" t="s">
        <v>420</v>
      </c>
      <c r="K367" t="s">
        <v>518</v>
      </c>
      <c r="T367" s="310">
        <f t="shared" si="196"/>
        <v>-300.56092485464785</v>
      </c>
      <c r="U367" s="310">
        <f t="shared" si="196"/>
        <v>-602.24579699654191</v>
      </c>
      <c r="V367" s="310">
        <f t="shared" si="196"/>
        <v>-1055.9007301214467</v>
      </c>
      <c r="W367" s="310">
        <f t="shared" si="196"/>
        <v>-1057.8749999999998</v>
      </c>
      <c r="X367" s="310">
        <f t="shared" si="196"/>
        <v>-1059.8529612687018</v>
      </c>
      <c r="Y367" s="310">
        <f t="shared" si="196"/>
        <v>-1061.8346208295277</v>
      </c>
      <c r="Z367" s="310">
        <f t="shared" si="196"/>
        <v>-1063.8199855973571</v>
      </c>
      <c r="AA367" s="310">
        <f t="shared" si="196"/>
        <v>-1065.8090624999995</v>
      </c>
      <c r="AB367" s="310">
        <f t="shared" si="196"/>
        <v>-1067.8018584782167</v>
      </c>
      <c r="AC367" s="310">
        <f t="shared" si="196"/>
        <v>-1069.7983804857488</v>
      </c>
      <c r="AD367" s="310">
        <f t="shared" si="197"/>
        <v>-1071.7986354893369</v>
      </c>
      <c r="AE367" s="310">
        <f t="shared" si="197"/>
        <v>-1073.8026304687492</v>
      </c>
      <c r="AF367" s="310">
        <f t="shared" si="197"/>
        <v>0</v>
      </c>
      <c r="AG367" s="310">
        <f t="shared" si="197"/>
        <v>0</v>
      </c>
      <c r="AH367" s="310">
        <f t="shared" si="197"/>
        <v>0</v>
      </c>
      <c r="AI367" s="310">
        <f t="shared" si="197"/>
        <v>0</v>
      </c>
      <c r="AJ367" s="310">
        <f t="shared" si="197"/>
        <v>0</v>
      </c>
      <c r="AK367" s="310">
        <f t="shared" si="197"/>
        <v>0</v>
      </c>
      <c r="AL367" s="310">
        <f t="shared" si="197"/>
        <v>0</v>
      </c>
      <c r="AM367" s="310">
        <f t="shared" si="197"/>
        <v>0</v>
      </c>
      <c r="AN367" s="310">
        <f t="shared" si="198"/>
        <v>0</v>
      </c>
      <c r="AO367" s="310">
        <f t="shared" si="198"/>
        <v>0</v>
      </c>
      <c r="AP367" s="310">
        <f t="shared" si="198"/>
        <v>0</v>
      </c>
      <c r="AQ367" s="310">
        <f t="shared" si="198"/>
        <v>0</v>
      </c>
      <c r="AR367" s="310">
        <f t="shared" si="198"/>
        <v>0</v>
      </c>
      <c r="AS367" s="310">
        <f t="shared" si="198"/>
        <v>0</v>
      </c>
      <c r="AT367" s="310">
        <f t="shared" si="198"/>
        <v>0</v>
      </c>
      <c r="AU367" s="310">
        <f t="shared" si="198"/>
        <v>0</v>
      </c>
      <c r="AV367" s="310">
        <f t="shared" si="198"/>
        <v>0</v>
      </c>
      <c r="AW367" s="310">
        <f t="shared" si="198"/>
        <v>0</v>
      </c>
      <c r="AX367" s="310">
        <f t="shared" si="199"/>
        <v>0</v>
      </c>
      <c r="AY367" s="310">
        <f t="shared" si="199"/>
        <v>0</v>
      </c>
      <c r="AZ367" s="310">
        <f t="shared" si="199"/>
        <v>0</v>
      </c>
      <c r="BA367" s="310">
        <f t="shared" si="199"/>
        <v>0</v>
      </c>
      <c r="BB367" s="310">
        <f t="shared" si="199"/>
        <v>0</v>
      </c>
      <c r="BC367" s="310">
        <f t="shared" si="199"/>
        <v>0</v>
      </c>
      <c r="BD367" s="310">
        <f t="shared" si="199"/>
        <v>0</v>
      </c>
      <c r="BE367" s="310">
        <f t="shared" si="199"/>
        <v>0</v>
      </c>
      <c r="BF367" s="310">
        <f t="shared" si="199"/>
        <v>0</v>
      </c>
      <c r="BG367" s="310">
        <f t="shared" si="199"/>
        <v>0</v>
      </c>
    </row>
    <row r="368" spans="9:59">
      <c r="I368" s="363" t="s">
        <v>424</v>
      </c>
      <c r="K368" t="s">
        <v>424</v>
      </c>
      <c r="T368" s="310">
        <f t="shared" si="196"/>
        <v>0</v>
      </c>
      <c r="U368" s="310">
        <f t="shared" si="196"/>
        <v>0</v>
      </c>
      <c r="V368" s="310">
        <f t="shared" si="196"/>
        <v>0</v>
      </c>
      <c r="W368" s="310">
        <f t="shared" si="196"/>
        <v>0</v>
      </c>
      <c r="X368" s="310">
        <f t="shared" si="196"/>
        <v>0</v>
      </c>
      <c r="Y368" s="310">
        <f t="shared" si="196"/>
        <v>0</v>
      </c>
      <c r="Z368" s="310">
        <f t="shared" si="196"/>
        <v>0</v>
      </c>
      <c r="AA368" s="310">
        <f t="shared" si="196"/>
        <v>0</v>
      </c>
      <c r="AB368" s="310">
        <f t="shared" si="196"/>
        <v>0</v>
      </c>
      <c r="AC368" s="310">
        <f t="shared" si="196"/>
        <v>0</v>
      </c>
      <c r="AD368" s="310">
        <f t="shared" si="197"/>
        <v>0</v>
      </c>
      <c r="AE368" s="310">
        <f t="shared" si="197"/>
        <v>0</v>
      </c>
      <c r="AF368" s="310">
        <f t="shared" si="197"/>
        <v>0</v>
      </c>
      <c r="AG368" s="310">
        <f t="shared" si="197"/>
        <v>0</v>
      </c>
      <c r="AH368" s="310">
        <f t="shared" si="197"/>
        <v>0</v>
      </c>
      <c r="AI368" s="310">
        <f t="shared" si="197"/>
        <v>0</v>
      </c>
      <c r="AJ368" s="310">
        <f t="shared" si="197"/>
        <v>0</v>
      </c>
      <c r="AK368" s="310">
        <f t="shared" si="197"/>
        <v>0</v>
      </c>
      <c r="AL368" s="310">
        <f t="shared" si="197"/>
        <v>0</v>
      </c>
      <c r="AM368" s="310">
        <f t="shared" si="197"/>
        <v>0</v>
      </c>
      <c r="AN368" s="310">
        <f t="shared" si="198"/>
        <v>0</v>
      </c>
      <c r="AO368" s="310">
        <f t="shared" si="198"/>
        <v>0</v>
      </c>
      <c r="AP368" s="310">
        <f t="shared" si="198"/>
        <v>0</v>
      </c>
      <c r="AQ368" s="310">
        <f t="shared" si="198"/>
        <v>0</v>
      </c>
      <c r="AR368" s="310">
        <f t="shared" si="198"/>
        <v>0</v>
      </c>
      <c r="AS368" s="310">
        <f t="shared" si="198"/>
        <v>0</v>
      </c>
      <c r="AT368" s="310">
        <f t="shared" si="198"/>
        <v>0</v>
      </c>
      <c r="AU368" s="310">
        <f t="shared" si="198"/>
        <v>0</v>
      </c>
      <c r="AV368" s="310">
        <f t="shared" si="198"/>
        <v>0</v>
      </c>
      <c r="AW368" s="310">
        <f t="shared" si="198"/>
        <v>0</v>
      </c>
      <c r="AX368" s="310">
        <f t="shared" si="199"/>
        <v>0</v>
      </c>
      <c r="AY368" s="310">
        <f t="shared" si="199"/>
        <v>0</v>
      </c>
      <c r="AZ368" s="310">
        <f t="shared" si="199"/>
        <v>0</v>
      </c>
      <c r="BA368" s="310">
        <f t="shared" si="199"/>
        <v>0</v>
      </c>
      <c r="BB368" s="310">
        <f t="shared" si="199"/>
        <v>0</v>
      </c>
      <c r="BC368" s="310">
        <f t="shared" si="199"/>
        <v>0</v>
      </c>
      <c r="BD368" s="310">
        <f t="shared" si="199"/>
        <v>0</v>
      </c>
      <c r="BE368" s="310">
        <f t="shared" si="199"/>
        <v>0</v>
      </c>
      <c r="BF368" s="310">
        <f t="shared" si="199"/>
        <v>0</v>
      </c>
      <c r="BG368" s="310">
        <f t="shared" si="199"/>
        <v>0</v>
      </c>
    </row>
    <row r="369" spans="9:59">
      <c r="K369" s="253" t="s">
        <v>435</v>
      </c>
      <c r="L369" s="253"/>
      <c r="M369" s="253"/>
      <c r="N369" s="253"/>
      <c r="O369" s="253"/>
      <c r="P369" s="253"/>
      <c r="Q369" s="253"/>
      <c r="R369" s="253"/>
      <c r="S369" s="253"/>
      <c r="T369" s="254">
        <f>SUM(T364:T368)+T362</f>
        <v>23139.170077132861</v>
      </c>
      <c r="U369" s="254">
        <f t="shared" ref="U369:BG369" si="200">SUM(U364:U368)+U362</f>
        <v>45805.659349324065</v>
      </c>
      <c r="V369" s="254">
        <f t="shared" si="200"/>
        <v>68932.227887864588</v>
      </c>
      <c r="W369" s="254">
        <f t="shared" si="200"/>
        <v>69051.656249999985</v>
      </c>
      <c r="X369" s="254">
        <f t="shared" si="200"/>
        <v>69171.260975649566</v>
      </c>
      <c r="Y369" s="254">
        <f t="shared" si="200"/>
        <v>69291.042161620804</v>
      </c>
      <c r="Z369" s="254">
        <f t="shared" si="200"/>
        <v>69410.999903746022</v>
      </c>
      <c r="AA369" s="254">
        <f t="shared" si="200"/>
        <v>69531.134296874967</v>
      </c>
      <c r="AB369" s="254">
        <f t="shared" si="200"/>
        <v>69651.445434867041</v>
      </c>
      <c r="AC369" s="254">
        <f t="shared" si="200"/>
        <v>69771.933410583748</v>
      </c>
      <c r="AD369" s="254">
        <f t="shared" si="200"/>
        <v>69892.598315881041</v>
      </c>
      <c r="AE369" s="254">
        <f t="shared" si="200"/>
        <v>70013.440241601493</v>
      </c>
      <c r="AF369" s="254">
        <f t="shared" si="200"/>
        <v>0</v>
      </c>
      <c r="AG369" s="254">
        <f t="shared" si="200"/>
        <v>0</v>
      </c>
      <c r="AH369" s="254">
        <f t="shared" si="200"/>
        <v>0</v>
      </c>
      <c r="AI369" s="254">
        <f t="shared" si="200"/>
        <v>0</v>
      </c>
      <c r="AJ369" s="254">
        <f t="shared" si="200"/>
        <v>0</v>
      </c>
      <c r="AK369" s="254">
        <f t="shared" si="200"/>
        <v>0</v>
      </c>
      <c r="AL369" s="254">
        <f t="shared" si="200"/>
        <v>0</v>
      </c>
      <c r="AM369" s="254">
        <f t="shared" si="200"/>
        <v>0</v>
      </c>
      <c r="AN369" s="254">
        <f t="shared" si="200"/>
        <v>0</v>
      </c>
      <c r="AO369" s="254">
        <f t="shared" si="200"/>
        <v>0</v>
      </c>
      <c r="AP369" s="254">
        <f t="shared" si="200"/>
        <v>0</v>
      </c>
      <c r="AQ369" s="254">
        <f t="shared" si="200"/>
        <v>0</v>
      </c>
      <c r="AR369" s="254">
        <f t="shared" si="200"/>
        <v>0</v>
      </c>
      <c r="AS369" s="254">
        <f t="shared" si="200"/>
        <v>0</v>
      </c>
      <c r="AT369" s="254">
        <f t="shared" si="200"/>
        <v>0</v>
      </c>
      <c r="AU369" s="254">
        <f t="shared" si="200"/>
        <v>0</v>
      </c>
      <c r="AV369" s="254">
        <f t="shared" si="200"/>
        <v>0</v>
      </c>
      <c r="AW369" s="254">
        <f t="shared" si="200"/>
        <v>0</v>
      </c>
      <c r="AX369" s="254">
        <f t="shared" si="200"/>
        <v>0</v>
      </c>
      <c r="AY369" s="254">
        <f t="shared" si="200"/>
        <v>0</v>
      </c>
      <c r="AZ369" s="254">
        <f t="shared" si="200"/>
        <v>0</v>
      </c>
      <c r="BA369" s="254">
        <f t="shared" si="200"/>
        <v>0</v>
      </c>
      <c r="BB369" s="254">
        <f t="shared" si="200"/>
        <v>0</v>
      </c>
      <c r="BC369" s="254">
        <f t="shared" si="200"/>
        <v>0</v>
      </c>
      <c r="BD369" s="254">
        <f t="shared" si="200"/>
        <v>0</v>
      </c>
      <c r="BE369" s="254">
        <f t="shared" si="200"/>
        <v>0</v>
      </c>
      <c r="BF369" s="254">
        <f t="shared" si="200"/>
        <v>0</v>
      </c>
      <c r="BG369" s="254">
        <f t="shared" si="200"/>
        <v>0</v>
      </c>
    </row>
    <row r="370" spans="9:59">
      <c r="I370" s="363" t="s">
        <v>435</v>
      </c>
      <c r="K370" s="255" t="s">
        <v>329</v>
      </c>
      <c r="M370" s="257" t="b">
        <f>COUNTIFS(T370:BG370,"true")=COUNTA(T370:BG370)</f>
        <v>1</v>
      </c>
      <c r="T370" s="257" t="b">
        <f t="shared" ref="T370:BG370" si="201">ROUND(T369,1)=ROUND(SUMIFS(T$20:T$278,$I$20:$I$278,$I370),1)</f>
        <v>1</v>
      </c>
      <c r="U370" s="257" t="b">
        <f t="shared" si="201"/>
        <v>1</v>
      </c>
      <c r="V370" s="257" t="b">
        <f t="shared" si="201"/>
        <v>1</v>
      </c>
      <c r="W370" s="257" t="b">
        <f t="shared" si="201"/>
        <v>1</v>
      </c>
      <c r="X370" s="257" t="b">
        <f t="shared" si="201"/>
        <v>1</v>
      </c>
      <c r="Y370" s="257" t="b">
        <f t="shared" si="201"/>
        <v>1</v>
      </c>
      <c r="Z370" s="257" t="b">
        <f t="shared" si="201"/>
        <v>1</v>
      </c>
      <c r="AA370" s="257" t="b">
        <f t="shared" si="201"/>
        <v>1</v>
      </c>
      <c r="AB370" s="257" t="b">
        <f t="shared" si="201"/>
        <v>1</v>
      </c>
      <c r="AC370" s="257" t="b">
        <f t="shared" si="201"/>
        <v>1</v>
      </c>
      <c r="AD370" s="257" t="b">
        <f t="shared" si="201"/>
        <v>1</v>
      </c>
      <c r="AE370" s="257" t="b">
        <f t="shared" si="201"/>
        <v>1</v>
      </c>
      <c r="AF370" s="257" t="b">
        <f t="shared" si="201"/>
        <v>1</v>
      </c>
      <c r="AG370" s="257" t="b">
        <f t="shared" si="201"/>
        <v>1</v>
      </c>
      <c r="AH370" s="257" t="b">
        <f t="shared" si="201"/>
        <v>1</v>
      </c>
      <c r="AI370" s="257" t="b">
        <f t="shared" si="201"/>
        <v>1</v>
      </c>
      <c r="AJ370" s="257" t="b">
        <f t="shared" si="201"/>
        <v>1</v>
      </c>
      <c r="AK370" s="257" t="b">
        <f t="shared" si="201"/>
        <v>1</v>
      </c>
      <c r="AL370" s="257" t="b">
        <f t="shared" si="201"/>
        <v>1</v>
      </c>
      <c r="AM370" s="257" t="b">
        <f t="shared" si="201"/>
        <v>1</v>
      </c>
      <c r="AN370" s="257" t="b">
        <f t="shared" si="201"/>
        <v>1</v>
      </c>
      <c r="AO370" s="257" t="b">
        <f t="shared" si="201"/>
        <v>1</v>
      </c>
      <c r="AP370" s="257" t="b">
        <f t="shared" si="201"/>
        <v>1</v>
      </c>
      <c r="AQ370" s="257" t="b">
        <f t="shared" si="201"/>
        <v>1</v>
      </c>
      <c r="AR370" s="257" t="b">
        <f t="shared" si="201"/>
        <v>1</v>
      </c>
      <c r="AS370" s="257" t="b">
        <f t="shared" si="201"/>
        <v>1</v>
      </c>
      <c r="AT370" s="257" t="b">
        <f t="shared" si="201"/>
        <v>1</v>
      </c>
      <c r="AU370" s="257" t="b">
        <f t="shared" si="201"/>
        <v>1</v>
      </c>
      <c r="AV370" s="257" t="b">
        <f t="shared" si="201"/>
        <v>1</v>
      </c>
      <c r="AW370" s="257" t="b">
        <f t="shared" si="201"/>
        <v>1</v>
      </c>
      <c r="AX370" s="257" t="b">
        <f t="shared" si="201"/>
        <v>1</v>
      </c>
      <c r="AY370" s="257" t="b">
        <f t="shared" si="201"/>
        <v>1</v>
      </c>
      <c r="AZ370" s="257" t="b">
        <f t="shared" si="201"/>
        <v>1</v>
      </c>
      <c r="BA370" s="257" t="b">
        <f t="shared" si="201"/>
        <v>1</v>
      </c>
      <c r="BB370" s="257" t="b">
        <f t="shared" si="201"/>
        <v>1</v>
      </c>
      <c r="BC370" s="257" t="b">
        <f t="shared" si="201"/>
        <v>1</v>
      </c>
      <c r="BD370" s="257" t="b">
        <f t="shared" si="201"/>
        <v>1</v>
      </c>
      <c r="BE370" s="257" t="b">
        <f t="shared" si="201"/>
        <v>1</v>
      </c>
      <c r="BF370" s="257" t="b">
        <f t="shared" si="201"/>
        <v>1</v>
      </c>
      <c r="BG370" s="257" t="b">
        <f t="shared" si="201"/>
        <v>1</v>
      </c>
    </row>
    <row r="372" spans="9:59">
      <c r="I372" s="363" t="s">
        <v>439</v>
      </c>
      <c r="K372" t="s">
        <v>520</v>
      </c>
      <c r="T372" s="310">
        <f t="shared" ref="T372:AC374" si="202">SUMIFS(T$20:T$278,$I$20:$I$278,$I372)</f>
        <v>0</v>
      </c>
      <c r="U372" s="310">
        <f t="shared" si="202"/>
        <v>0</v>
      </c>
      <c r="V372" s="310">
        <f t="shared" si="202"/>
        <v>0</v>
      </c>
      <c r="W372" s="310">
        <f t="shared" si="202"/>
        <v>0</v>
      </c>
      <c r="X372" s="310">
        <f t="shared" si="202"/>
        <v>0</v>
      </c>
      <c r="Y372" s="310">
        <f t="shared" si="202"/>
        <v>0</v>
      </c>
      <c r="Z372" s="310">
        <f t="shared" si="202"/>
        <v>0</v>
      </c>
      <c r="AA372" s="310">
        <f t="shared" si="202"/>
        <v>0</v>
      </c>
      <c r="AB372" s="310">
        <f t="shared" si="202"/>
        <v>0</v>
      </c>
      <c r="AC372" s="310">
        <f t="shared" si="202"/>
        <v>0</v>
      </c>
      <c r="AD372" s="310">
        <f t="shared" ref="AD372:AM374" si="203">SUMIFS(AD$20:AD$278,$I$20:$I$278,$I372)</f>
        <v>0</v>
      </c>
      <c r="AE372" s="310">
        <f t="shared" si="203"/>
        <v>0</v>
      </c>
      <c r="AF372" s="310">
        <f t="shared" si="203"/>
        <v>0</v>
      </c>
      <c r="AG372" s="310">
        <f t="shared" si="203"/>
        <v>0</v>
      </c>
      <c r="AH372" s="310">
        <f t="shared" si="203"/>
        <v>0</v>
      </c>
      <c r="AI372" s="310">
        <f t="shared" si="203"/>
        <v>0</v>
      </c>
      <c r="AJ372" s="310">
        <f t="shared" si="203"/>
        <v>0</v>
      </c>
      <c r="AK372" s="310">
        <f t="shared" si="203"/>
        <v>0</v>
      </c>
      <c r="AL372" s="310">
        <f t="shared" si="203"/>
        <v>0</v>
      </c>
      <c r="AM372" s="310">
        <f t="shared" si="203"/>
        <v>0</v>
      </c>
      <c r="AN372" s="310">
        <f t="shared" ref="AN372:AW374" si="204">SUMIFS(AN$20:AN$278,$I$20:$I$278,$I372)</f>
        <v>0</v>
      </c>
      <c r="AO372" s="310">
        <f t="shared" si="204"/>
        <v>0</v>
      </c>
      <c r="AP372" s="310">
        <f t="shared" si="204"/>
        <v>0</v>
      </c>
      <c r="AQ372" s="310">
        <f t="shared" si="204"/>
        <v>0</v>
      </c>
      <c r="AR372" s="310">
        <f t="shared" si="204"/>
        <v>0</v>
      </c>
      <c r="AS372" s="310">
        <f t="shared" si="204"/>
        <v>0</v>
      </c>
      <c r="AT372" s="310">
        <f t="shared" si="204"/>
        <v>0</v>
      </c>
      <c r="AU372" s="310">
        <f t="shared" si="204"/>
        <v>0</v>
      </c>
      <c r="AV372" s="310">
        <f t="shared" si="204"/>
        <v>0</v>
      </c>
      <c r="AW372" s="310">
        <f t="shared" si="204"/>
        <v>0</v>
      </c>
      <c r="AX372" s="310">
        <f t="shared" ref="AX372:BG374" si="205">SUMIFS(AX$20:AX$278,$I$20:$I$278,$I372)</f>
        <v>0</v>
      </c>
      <c r="AY372" s="310">
        <f t="shared" si="205"/>
        <v>0</v>
      </c>
      <c r="AZ372" s="310">
        <f t="shared" si="205"/>
        <v>0</v>
      </c>
      <c r="BA372" s="310">
        <f t="shared" si="205"/>
        <v>0</v>
      </c>
      <c r="BB372" s="310">
        <f t="shared" si="205"/>
        <v>0</v>
      </c>
      <c r="BC372" s="310">
        <f t="shared" si="205"/>
        <v>0</v>
      </c>
      <c r="BD372" s="310">
        <f t="shared" si="205"/>
        <v>0</v>
      </c>
      <c r="BE372" s="310">
        <f t="shared" si="205"/>
        <v>0</v>
      </c>
      <c r="BF372" s="310">
        <f t="shared" si="205"/>
        <v>0</v>
      </c>
      <c r="BG372" s="310">
        <f t="shared" si="205"/>
        <v>0</v>
      </c>
    </row>
    <row r="373" spans="9:59">
      <c r="I373" s="363" t="s">
        <v>441</v>
      </c>
      <c r="K373" t="s">
        <v>521</v>
      </c>
      <c r="T373" s="310">
        <f t="shared" si="202"/>
        <v>-1444.0970276188536</v>
      </c>
      <c r="U373" s="310">
        <f t="shared" si="202"/>
        <v>-2853.67432670578</v>
      </c>
      <c r="V373" s="310">
        <f t="shared" si="202"/>
        <v>-4240.5374999999995</v>
      </c>
      <c r="W373" s="310">
        <f t="shared" si="202"/>
        <v>-4240.5374999999995</v>
      </c>
      <c r="X373" s="310">
        <f t="shared" si="202"/>
        <v>-4240.5374999999995</v>
      </c>
      <c r="Y373" s="310">
        <f t="shared" si="202"/>
        <v>-4240.5374999999995</v>
      </c>
      <c r="Z373" s="310">
        <f t="shared" si="202"/>
        <v>-4240.5374999999995</v>
      </c>
      <c r="AA373" s="310">
        <f t="shared" si="202"/>
        <v>-4240.5374999999995</v>
      </c>
      <c r="AB373" s="310">
        <f t="shared" si="202"/>
        <v>-4240.5374999999995</v>
      </c>
      <c r="AC373" s="310">
        <f t="shared" si="202"/>
        <v>-4240.5374999999995</v>
      </c>
      <c r="AD373" s="310">
        <f t="shared" si="203"/>
        <v>-4240.5374999999995</v>
      </c>
      <c r="AE373" s="310">
        <f t="shared" si="203"/>
        <v>-4240.5374999999995</v>
      </c>
      <c r="AF373" s="310">
        <f t="shared" si="203"/>
        <v>0</v>
      </c>
      <c r="AG373" s="310">
        <f t="shared" si="203"/>
        <v>0</v>
      </c>
      <c r="AH373" s="310">
        <f t="shared" si="203"/>
        <v>0</v>
      </c>
      <c r="AI373" s="310">
        <f t="shared" si="203"/>
        <v>0</v>
      </c>
      <c r="AJ373" s="310">
        <f t="shared" si="203"/>
        <v>0</v>
      </c>
      <c r="AK373" s="310">
        <f t="shared" si="203"/>
        <v>0</v>
      </c>
      <c r="AL373" s="310">
        <f t="shared" si="203"/>
        <v>0</v>
      </c>
      <c r="AM373" s="310">
        <f t="shared" si="203"/>
        <v>0</v>
      </c>
      <c r="AN373" s="310">
        <f t="shared" si="204"/>
        <v>0</v>
      </c>
      <c r="AO373" s="310">
        <f t="shared" si="204"/>
        <v>0</v>
      </c>
      <c r="AP373" s="310">
        <f t="shared" si="204"/>
        <v>0</v>
      </c>
      <c r="AQ373" s="310">
        <f t="shared" si="204"/>
        <v>0</v>
      </c>
      <c r="AR373" s="310">
        <f t="shared" si="204"/>
        <v>0</v>
      </c>
      <c r="AS373" s="310">
        <f t="shared" si="204"/>
        <v>0</v>
      </c>
      <c r="AT373" s="310">
        <f t="shared" si="204"/>
        <v>0</v>
      </c>
      <c r="AU373" s="310">
        <f t="shared" si="204"/>
        <v>0</v>
      </c>
      <c r="AV373" s="310">
        <f t="shared" si="204"/>
        <v>0</v>
      </c>
      <c r="AW373" s="310">
        <f t="shared" si="204"/>
        <v>0</v>
      </c>
      <c r="AX373" s="310">
        <f t="shared" si="205"/>
        <v>0</v>
      </c>
      <c r="AY373" s="310">
        <f t="shared" si="205"/>
        <v>0</v>
      </c>
      <c r="AZ373" s="310">
        <f t="shared" si="205"/>
        <v>0</v>
      </c>
      <c r="BA373" s="310">
        <f t="shared" si="205"/>
        <v>0</v>
      </c>
      <c r="BB373" s="310">
        <f t="shared" si="205"/>
        <v>0</v>
      </c>
      <c r="BC373" s="310">
        <f t="shared" si="205"/>
        <v>0</v>
      </c>
      <c r="BD373" s="310">
        <f t="shared" si="205"/>
        <v>0</v>
      </c>
      <c r="BE373" s="310">
        <f t="shared" si="205"/>
        <v>0</v>
      </c>
      <c r="BF373" s="310">
        <f t="shared" si="205"/>
        <v>0</v>
      </c>
      <c r="BG373" s="310">
        <f t="shared" si="205"/>
        <v>0</v>
      </c>
    </row>
    <row r="374" spans="9:59">
      <c r="I374" s="363" t="s">
        <v>654</v>
      </c>
      <c r="K374" t="s">
        <v>654</v>
      </c>
      <c r="T374" s="310">
        <f t="shared" si="202"/>
        <v>-12562.036644665048</v>
      </c>
      <c r="U374" s="310">
        <f t="shared" si="202"/>
        <v>-12624.381172952601</v>
      </c>
      <c r="V374" s="310">
        <f t="shared" si="202"/>
        <v>-12687.035112868003</v>
      </c>
      <c r="W374" s="310">
        <f t="shared" si="202"/>
        <v>-12750</v>
      </c>
      <c r="X374" s="310">
        <f t="shared" si="202"/>
        <v>-12813.27737755835</v>
      </c>
      <c r="Y374" s="310">
        <f t="shared" si="202"/>
        <v>-12876.868796411654</v>
      </c>
      <c r="Z374" s="310">
        <f t="shared" si="202"/>
        <v>-12940.775815125369</v>
      </c>
      <c r="AA374" s="310">
        <f t="shared" si="202"/>
        <v>-13005.000000000007</v>
      </c>
      <c r="AB374" s="310">
        <f t="shared" si="202"/>
        <v>-13069.542925109523</v>
      </c>
      <c r="AC374" s="310">
        <f t="shared" si="202"/>
        <v>-13134.406172339892</v>
      </c>
      <c r="AD374" s="310">
        <f t="shared" si="203"/>
        <v>-13199.591331427881</v>
      </c>
      <c r="AE374" s="310">
        <f t="shared" si="203"/>
        <v>-13265.100000000009</v>
      </c>
      <c r="AF374" s="310">
        <f t="shared" si="203"/>
        <v>0</v>
      </c>
      <c r="AG374" s="310">
        <f t="shared" si="203"/>
        <v>0</v>
      </c>
      <c r="AH374" s="310">
        <f t="shared" si="203"/>
        <v>0</v>
      </c>
      <c r="AI374" s="310">
        <f t="shared" si="203"/>
        <v>0</v>
      </c>
      <c r="AJ374" s="310">
        <f t="shared" si="203"/>
        <v>0</v>
      </c>
      <c r="AK374" s="310">
        <f t="shared" si="203"/>
        <v>0</v>
      </c>
      <c r="AL374" s="310">
        <f t="shared" si="203"/>
        <v>0</v>
      </c>
      <c r="AM374" s="310">
        <f t="shared" si="203"/>
        <v>0</v>
      </c>
      <c r="AN374" s="310">
        <f t="shared" si="204"/>
        <v>0</v>
      </c>
      <c r="AO374" s="310">
        <f t="shared" si="204"/>
        <v>0</v>
      </c>
      <c r="AP374" s="310">
        <f t="shared" si="204"/>
        <v>0</v>
      </c>
      <c r="AQ374" s="310">
        <f t="shared" si="204"/>
        <v>0</v>
      </c>
      <c r="AR374" s="310">
        <f t="shared" si="204"/>
        <v>0</v>
      </c>
      <c r="AS374" s="310">
        <f t="shared" si="204"/>
        <v>0</v>
      </c>
      <c r="AT374" s="310">
        <f t="shared" si="204"/>
        <v>0</v>
      </c>
      <c r="AU374" s="310">
        <f t="shared" si="204"/>
        <v>0</v>
      </c>
      <c r="AV374" s="310">
        <f t="shared" si="204"/>
        <v>0</v>
      </c>
      <c r="AW374" s="310">
        <f t="shared" si="204"/>
        <v>0</v>
      </c>
      <c r="AX374" s="310">
        <f t="shared" si="205"/>
        <v>0</v>
      </c>
      <c r="AY374" s="310">
        <f t="shared" si="205"/>
        <v>0</v>
      </c>
      <c r="AZ374" s="310">
        <f t="shared" si="205"/>
        <v>0</v>
      </c>
      <c r="BA374" s="310">
        <f t="shared" si="205"/>
        <v>0</v>
      </c>
      <c r="BB374" s="310">
        <f t="shared" si="205"/>
        <v>0</v>
      </c>
      <c r="BC374" s="310">
        <f t="shared" si="205"/>
        <v>0</v>
      </c>
      <c r="BD374" s="310">
        <f t="shared" si="205"/>
        <v>0</v>
      </c>
      <c r="BE374" s="310">
        <f t="shared" si="205"/>
        <v>0</v>
      </c>
      <c r="BF374" s="310">
        <f t="shared" si="205"/>
        <v>0</v>
      </c>
      <c r="BG374" s="310">
        <f t="shared" si="205"/>
        <v>0</v>
      </c>
    </row>
    <row r="375" spans="9:59">
      <c r="K375" s="253" t="s">
        <v>522</v>
      </c>
      <c r="L375" s="253"/>
      <c r="M375" s="408"/>
      <c r="N375" s="408" t="s">
        <v>652</v>
      </c>
      <c r="O375" s="253"/>
      <c r="P375" s="253"/>
      <c r="Q375" s="253"/>
      <c r="R375" s="253"/>
      <c r="S375" s="253"/>
      <c r="T375" s="254">
        <f>SUM(T372:T374)+T369</f>
        <v>9133.036404848961</v>
      </c>
      <c r="U375" s="254">
        <f t="shared" ref="U375:BG375" si="206">SUM(U372:U374)+U369</f>
        <v>30327.603849665684</v>
      </c>
      <c r="V375" s="254">
        <f t="shared" si="206"/>
        <v>52004.655274996585</v>
      </c>
      <c r="W375" s="254">
        <f t="shared" si="206"/>
        <v>52061.118749999987</v>
      </c>
      <c r="X375" s="254">
        <f t="shared" si="206"/>
        <v>52117.446098091212</v>
      </c>
      <c r="Y375" s="254">
        <f t="shared" si="206"/>
        <v>52173.635865209151</v>
      </c>
      <c r="Z375" s="254">
        <f t="shared" si="206"/>
        <v>52229.686588620651</v>
      </c>
      <c r="AA375" s="254">
        <f t="shared" si="206"/>
        <v>52285.596796874961</v>
      </c>
      <c r="AB375" s="254">
        <f t="shared" si="206"/>
        <v>52341.365009757516</v>
      </c>
      <c r="AC375" s="254">
        <f t="shared" si="206"/>
        <v>52396.989738243858</v>
      </c>
      <c r="AD375" s="254">
        <f t="shared" si="206"/>
        <v>52452.469484453162</v>
      </c>
      <c r="AE375" s="254">
        <f t="shared" si="206"/>
        <v>52507.802741601481</v>
      </c>
      <c r="AF375" s="254">
        <f t="shared" si="206"/>
        <v>0</v>
      </c>
      <c r="AG375" s="254">
        <f t="shared" si="206"/>
        <v>0</v>
      </c>
      <c r="AH375" s="254">
        <f t="shared" si="206"/>
        <v>0</v>
      </c>
      <c r="AI375" s="254">
        <f t="shared" si="206"/>
        <v>0</v>
      </c>
      <c r="AJ375" s="254">
        <f t="shared" si="206"/>
        <v>0</v>
      </c>
      <c r="AK375" s="254">
        <f t="shared" si="206"/>
        <v>0</v>
      </c>
      <c r="AL375" s="254">
        <f t="shared" si="206"/>
        <v>0</v>
      </c>
      <c r="AM375" s="254">
        <f t="shared" si="206"/>
        <v>0</v>
      </c>
      <c r="AN375" s="254">
        <f t="shared" si="206"/>
        <v>0</v>
      </c>
      <c r="AO375" s="254">
        <f t="shared" si="206"/>
        <v>0</v>
      </c>
      <c r="AP375" s="254">
        <f t="shared" si="206"/>
        <v>0</v>
      </c>
      <c r="AQ375" s="254">
        <f t="shared" si="206"/>
        <v>0</v>
      </c>
      <c r="AR375" s="254">
        <f t="shared" si="206"/>
        <v>0</v>
      </c>
      <c r="AS375" s="254">
        <f t="shared" si="206"/>
        <v>0</v>
      </c>
      <c r="AT375" s="254">
        <f t="shared" si="206"/>
        <v>0</v>
      </c>
      <c r="AU375" s="254">
        <f t="shared" si="206"/>
        <v>0</v>
      </c>
      <c r="AV375" s="254">
        <f t="shared" si="206"/>
        <v>0</v>
      </c>
      <c r="AW375" s="254">
        <f t="shared" si="206"/>
        <v>0</v>
      </c>
      <c r="AX375" s="254">
        <f t="shared" si="206"/>
        <v>0</v>
      </c>
      <c r="AY375" s="254">
        <f t="shared" si="206"/>
        <v>0</v>
      </c>
      <c r="AZ375" s="254">
        <f t="shared" si="206"/>
        <v>0</v>
      </c>
      <c r="BA375" s="254">
        <f t="shared" si="206"/>
        <v>0</v>
      </c>
      <c r="BB375" s="254">
        <f t="shared" si="206"/>
        <v>0</v>
      </c>
      <c r="BC375" s="254">
        <f t="shared" si="206"/>
        <v>0</v>
      </c>
      <c r="BD375" s="254">
        <f t="shared" si="206"/>
        <v>0</v>
      </c>
      <c r="BE375" s="254">
        <f t="shared" si="206"/>
        <v>0</v>
      </c>
      <c r="BF375" s="254">
        <f t="shared" si="206"/>
        <v>0</v>
      </c>
      <c r="BG375" s="254">
        <f t="shared" si="206"/>
        <v>0</v>
      </c>
    </row>
    <row r="377" spans="9:59">
      <c r="I377" s="363" t="s">
        <v>446</v>
      </c>
      <c r="K377" t="s">
        <v>524</v>
      </c>
      <c r="T377" s="310">
        <f t="shared" ref="T377:AC382" si="207">SUMIFS(T$20:T$278,$I$20:$I$278,$I377)</f>
        <v>0</v>
      </c>
      <c r="U377" s="310">
        <f t="shared" si="207"/>
        <v>0</v>
      </c>
      <c r="V377" s="310">
        <f t="shared" si="207"/>
        <v>0</v>
      </c>
      <c r="W377" s="310">
        <f t="shared" si="207"/>
        <v>0</v>
      </c>
      <c r="X377" s="310">
        <f t="shared" si="207"/>
        <v>0</v>
      </c>
      <c r="Y377" s="310">
        <f t="shared" si="207"/>
        <v>0</v>
      </c>
      <c r="Z377" s="310">
        <f t="shared" si="207"/>
        <v>0</v>
      </c>
      <c r="AA377" s="310">
        <f t="shared" si="207"/>
        <v>0</v>
      </c>
      <c r="AB377" s="310">
        <f t="shared" si="207"/>
        <v>0</v>
      </c>
      <c r="AC377" s="310">
        <f t="shared" si="207"/>
        <v>0</v>
      </c>
      <c r="AD377" s="310">
        <f t="shared" ref="AD377:AM382" si="208">SUMIFS(AD$20:AD$278,$I$20:$I$278,$I377)</f>
        <v>0</v>
      </c>
      <c r="AE377" s="310">
        <f t="shared" si="208"/>
        <v>0</v>
      </c>
      <c r="AF377" s="310">
        <f t="shared" si="208"/>
        <v>0</v>
      </c>
      <c r="AG377" s="310">
        <f t="shared" si="208"/>
        <v>0</v>
      </c>
      <c r="AH377" s="310">
        <f t="shared" si="208"/>
        <v>0</v>
      </c>
      <c r="AI377" s="310">
        <f t="shared" si="208"/>
        <v>0</v>
      </c>
      <c r="AJ377" s="310">
        <f t="shared" si="208"/>
        <v>0</v>
      </c>
      <c r="AK377" s="310">
        <f t="shared" si="208"/>
        <v>0</v>
      </c>
      <c r="AL377" s="310">
        <f t="shared" si="208"/>
        <v>0</v>
      </c>
      <c r="AM377" s="310">
        <f t="shared" si="208"/>
        <v>0</v>
      </c>
      <c r="AN377" s="310">
        <f t="shared" ref="AN377:AW382" si="209">SUMIFS(AN$20:AN$278,$I$20:$I$278,$I377)</f>
        <v>0</v>
      </c>
      <c r="AO377" s="310">
        <f t="shared" si="209"/>
        <v>0</v>
      </c>
      <c r="AP377" s="310">
        <f t="shared" si="209"/>
        <v>0</v>
      </c>
      <c r="AQ377" s="310">
        <f t="shared" si="209"/>
        <v>0</v>
      </c>
      <c r="AR377" s="310">
        <f t="shared" si="209"/>
        <v>0</v>
      </c>
      <c r="AS377" s="310">
        <f t="shared" si="209"/>
        <v>0</v>
      </c>
      <c r="AT377" s="310">
        <f t="shared" si="209"/>
        <v>0</v>
      </c>
      <c r="AU377" s="310">
        <f t="shared" si="209"/>
        <v>0</v>
      </c>
      <c r="AV377" s="310">
        <f t="shared" si="209"/>
        <v>0</v>
      </c>
      <c r="AW377" s="310">
        <f t="shared" si="209"/>
        <v>0</v>
      </c>
      <c r="AX377" s="310">
        <f t="shared" ref="AX377:BG382" si="210">SUMIFS(AX$20:AX$278,$I$20:$I$278,$I377)</f>
        <v>0</v>
      </c>
      <c r="AY377" s="310">
        <f t="shared" si="210"/>
        <v>0</v>
      </c>
      <c r="AZ377" s="310">
        <f t="shared" si="210"/>
        <v>0</v>
      </c>
      <c r="BA377" s="310">
        <f t="shared" si="210"/>
        <v>0</v>
      </c>
      <c r="BB377" s="310">
        <f t="shared" si="210"/>
        <v>0</v>
      </c>
      <c r="BC377" s="310">
        <f t="shared" si="210"/>
        <v>0</v>
      </c>
      <c r="BD377" s="310">
        <f t="shared" si="210"/>
        <v>0</v>
      </c>
      <c r="BE377" s="310">
        <f t="shared" si="210"/>
        <v>0</v>
      </c>
      <c r="BF377" s="310">
        <f t="shared" si="210"/>
        <v>0</v>
      </c>
      <c r="BG377" s="310">
        <f t="shared" si="210"/>
        <v>0</v>
      </c>
    </row>
    <row r="378" spans="9:59">
      <c r="I378" s="363" t="s">
        <v>318</v>
      </c>
      <c r="K378" t="s">
        <v>318</v>
      </c>
      <c r="T378" s="310">
        <f t="shared" si="207"/>
        <v>0</v>
      </c>
      <c r="U378" s="310">
        <f t="shared" si="207"/>
        <v>0</v>
      </c>
      <c r="V378" s="310">
        <f t="shared" si="207"/>
        <v>0</v>
      </c>
      <c r="W378" s="310">
        <f t="shared" si="207"/>
        <v>0</v>
      </c>
      <c r="X378" s="310">
        <f t="shared" si="207"/>
        <v>0</v>
      </c>
      <c r="Y378" s="310">
        <f t="shared" si="207"/>
        <v>0</v>
      </c>
      <c r="Z378" s="310">
        <f t="shared" si="207"/>
        <v>0</v>
      </c>
      <c r="AA378" s="310">
        <f t="shared" si="207"/>
        <v>0</v>
      </c>
      <c r="AB378" s="310">
        <f t="shared" si="207"/>
        <v>0</v>
      </c>
      <c r="AC378" s="310">
        <f t="shared" si="207"/>
        <v>0</v>
      </c>
      <c r="AD378" s="310">
        <f t="shared" si="208"/>
        <v>0</v>
      </c>
      <c r="AE378" s="310">
        <f t="shared" si="208"/>
        <v>0</v>
      </c>
      <c r="AF378" s="310">
        <f t="shared" si="208"/>
        <v>0</v>
      </c>
      <c r="AG378" s="310">
        <f t="shared" si="208"/>
        <v>0</v>
      </c>
      <c r="AH378" s="310">
        <f t="shared" si="208"/>
        <v>0</v>
      </c>
      <c r="AI378" s="310">
        <f t="shared" si="208"/>
        <v>0</v>
      </c>
      <c r="AJ378" s="310">
        <f t="shared" si="208"/>
        <v>0</v>
      </c>
      <c r="AK378" s="310">
        <f t="shared" si="208"/>
        <v>0</v>
      </c>
      <c r="AL378" s="310">
        <f t="shared" si="208"/>
        <v>0</v>
      </c>
      <c r="AM378" s="310">
        <f t="shared" si="208"/>
        <v>0</v>
      </c>
      <c r="AN378" s="310">
        <f t="shared" si="209"/>
        <v>0</v>
      </c>
      <c r="AO378" s="310">
        <f t="shared" si="209"/>
        <v>0</v>
      </c>
      <c r="AP378" s="310">
        <f t="shared" si="209"/>
        <v>0</v>
      </c>
      <c r="AQ378" s="310">
        <f t="shared" si="209"/>
        <v>0</v>
      </c>
      <c r="AR378" s="310">
        <f t="shared" si="209"/>
        <v>0</v>
      </c>
      <c r="AS378" s="310">
        <f t="shared" si="209"/>
        <v>0</v>
      </c>
      <c r="AT378" s="310">
        <f t="shared" si="209"/>
        <v>0</v>
      </c>
      <c r="AU378" s="310">
        <f t="shared" si="209"/>
        <v>0</v>
      </c>
      <c r="AV378" s="310">
        <f t="shared" si="209"/>
        <v>0</v>
      </c>
      <c r="AW378" s="310">
        <f t="shared" si="209"/>
        <v>0</v>
      </c>
      <c r="AX378" s="310">
        <f t="shared" si="210"/>
        <v>0</v>
      </c>
      <c r="AY378" s="310">
        <f t="shared" si="210"/>
        <v>0</v>
      </c>
      <c r="AZ378" s="310">
        <f t="shared" si="210"/>
        <v>0</v>
      </c>
      <c r="BA378" s="310">
        <f t="shared" si="210"/>
        <v>0</v>
      </c>
      <c r="BB378" s="310">
        <f t="shared" si="210"/>
        <v>0</v>
      </c>
      <c r="BC378" s="310">
        <f t="shared" si="210"/>
        <v>0</v>
      </c>
      <c r="BD378" s="310">
        <f t="shared" si="210"/>
        <v>0</v>
      </c>
      <c r="BE378" s="310">
        <f t="shared" si="210"/>
        <v>0</v>
      </c>
      <c r="BF378" s="310">
        <f t="shared" si="210"/>
        <v>0</v>
      </c>
      <c r="BG378" s="310">
        <f t="shared" si="210"/>
        <v>0</v>
      </c>
    </row>
    <row r="379" spans="9:59">
      <c r="I379" s="363" t="s">
        <v>368</v>
      </c>
      <c r="K379" t="s">
        <v>368</v>
      </c>
      <c r="T379" s="310">
        <f t="shared" si="207"/>
        <v>0</v>
      </c>
      <c r="U379" s="310">
        <f t="shared" si="207"/>
        <v>0</v>
      </c>
      <c r="V379" s="310">
        <f t="shared" si="207"/>
        <v>0</v>
      </c>
      <c r="W379" s="310">
        <f t="shared" si="207"/>
        <v>0</v>
      </c>
      <c r="X379" s="310">
        <f t="shared" si="207"/>
        <v>0</v>
      </c>
      <c r="Y379" s="310">
        <f t="shared" si="207"/>
        <v>0</v>
      </c>
      <c r="Z379" s="310">
        <f t="shared" si="207"/>
        <v>0</v>
      </c>
      <c r="AA379" s="310">
        <f t="shared" si="207"/>
        <v>0</v>
      </c>
      <c r="AB379" s="310">
        <f t="shared" si="207"/>
        <v>0</v>
      </c>
      <c r="AC379" s="310">
        <f t="shared" si="207"/>
        <v>0</v>
      </c>
      <c r="AD379" s="310">
        <f t="shared" si="208"/>
        <v>0</v>
      </c>
      <c r="AE379" s="310">
        <f t="shared" si="208"/>
        <v>0</v>
      </c>
      <c r="AF379" s="310">
        <f t="shared" si="208"/>
        <v>0</v>
      </c>
      <c r="AG379" s="310">
        <f t="shared" si="208"/>
        <v>0</v>
      </c>
      <c r="AH379" s="310">
        <f t="shared" si="208"/>
        <v>0</v>
      </c>
      <c r="AI379" s="310">
        <f t="shared" si="208"/>
        <v>0</v>
      </c>
      <c r="AJ379" s="310">
        <f t="shared" si="208"/>
        <v>0</v>
      </c>
      <c r="AK379" s="310">
        <f t="shared" si="208"/>
        <v>0</v>
      </c>
      <c r="AL379" s="310">
        <f t="shared" si="208"/>
        <v>0</v>
      </c>
      <c r="AM379" s="310">
        <f t="shared" si="208"/>
        <v>0</v>
      </c>
      <c r="AN379" s="310">
        <f t="shared" si="209"/>
        <v>0</v>
      </c>
      <c r="AO379" s="310">
        <f t="shared" si="209"/>
        <v>0</v>
      </c>
      <c r="AP379" s="310">
        <f t="shared" si="209"/>
        <v>0</v>
      </c>
      <c r="AQ379" s="310">
        <f t="shared" si="209"/>
        <v>0</v>
      </c>
      <c r="AR379" s="310">
        <f t="shared" si="209"/>
        <v>0</v>
      </c>
      <c r="AS379" s="310">
        <f t="shared" si="209"/>
        <v>0</v>
      </c>
      <c r="AT379" s="310">
        <f t="shared" si="209"/>
        <v>0</v>
      </c>
      <c r="AU379" s="310">
        <f t="shared" si="209"/>
        <v>0</v>
      </c>
      <c r="AV379" s="310">
        <f t="shared" si="209"/>
        <v>0</v>
      </c>
      <c r="AW379" s="310">
        <f t="shared" si="209"/>
        <v>0</v>
      </c>
      <c r="AX379" s="310">
        <f t="shared" si="210"/>
        <v>0</v>
      </c>
      <c r="AY379" s="310">
        <f t="shared" si="210"/>
        <v>0</v>
      </c>
      <c r="AZ379" s="310">
        <f t="shared" si="210"/>
        <v>0</v>
      </c>
      <c r="BA379" s="310">
        <f t="shared" si="210"/>
        <v>0</v>
      </c>
      <c r="BB379" s="310">
        <f t="shared" si="210"/>
        <v>0</v>
      </c>
      <c r="BC379" s="310">
        <f t="shared" si="210"/>
        <v>0</v>
      </c>
      <c r="BD379" s="310">
        <f t="shared" si="210"/>
        <v>0</v>
      </c>
      <c r="BE379" s="310">
        <f t="shared" si="210"/>
        <v>0</v>
      </c>
      <c r="BF379" s="310">
        <f t="shared" si="210"/>
        <v>0</v>
      </c>
      <c r="BG379" s="310">
        <f t="shared" si="210"/>
        <v>0</v>
      </c>
    </row>
    <row r="380" spans="9:59">
      <c r="I380" s="363" t="s">
        <v>393</v>
      </c>
      <c r="K380" t="s">
        <v>525</v>
      </c>
      <c r="T380" s="310">
        <f t="shared" si="207"/>
        <v>0</v>
      </c>
      <c r="U380" s="310">
        <f t="shared" si="207"/>
        <v>0</v>
      </c>
      <c r="V380" s="310">
        <f t="shared" si="207"/>
        <v>0</v>
      </c>
      <c r="W380" s="310">
        <f t="shared" si="207"/>
        <v>0</v>
      </c>
      <c r="X380" s="310">
        <f t="shared" si="207"/>
        <v>0</v>
      </c>
      <c r="Y380" s="310">
        <f t="shared" si="207"/>
        <v>0</v>
      </c>
      <c r="Z380" s="310">
        <f t="shared" si="207"/>
        <v>0</v>
      </c>
      <c r="AA380" s="310">
        <f t="shared" si="207"/>
        <v>0</v>
      </c>
      <c r="AB380" s="310">
        <f t="shared" si="207"/>
        <v>0</v>
      </c>
      <c r="AC380" s="310">
        <f t="shared" si="207"/>
        <v>0</v>
      </c>
      <c r="AD380" s="310">
        <f t="shared" si="208"/>
        <v>0</v>
      </c>
      <c r="AE380" s="310">
        <f t="shared" si="208"/>
        <v>0</v>
      </c>
      <c r="AF380" s="310">
        <f t="shared" si="208"/>
        <v>0</v>
      </c>
      <c r="AG380" s="310">
        <f t="shared" si="208"/>
        <v>0</v>
      </c>
      <c r="AH380" s="310">
        <f t="shared" si="208"/>
        <v>0</v>
      </c>
      <c r="AI380" s="310">
        <f t="shared" si="208"/>
        <v>0</v>
      </c>
      <c r="AJ380" s="310">
        <f t="shared" si="208"/>
        <v>0</v>
      </c>
      <c r="AK380" s="310">
        <f t="shared" si="208"/>
        <v>0</v>
      </c>
      <c r="AL380" s="310">
        <f t="shared" si="208"/>
        <v>0</v>
      </c>
      <c r="AM380" s="310">
        <f t="shared" si="208"/>
        <v>0</v>
      </c>
      <c r="AN380" s="310">
        <f t="shared" si="209"/>
        <v>0</v>
      </c>
      <c r="AO380" s="310">
        <f t="shared" si="209"/>
        <v>0</v>
      </c>
      <c r="AP380" s="310">
        <f t="shared" si="209"/>
        <v>0</v>
      </c>
      <c r="AQ380" s="310">
        <f t="shared" si="209"/>
        <v>0</v>
      </c>
      <c r="AR380" s="310">
        <f t="shared" si="209"/>
        <v>0</v>
      </c>
      <c r="AS380" s="310">
        <f t="shared" si="209"/>
        <v>0</v>
      </c>
      <c r="AT380" s="310">
        <f t="shared" si="209"/>
        <v>0</v>
      </c>
      <c r="AU380" s="310">
        <f t="shared" si="209"/>
        <v>0</v>
      </c>
      <c r="AV380" s="310">
        <f t="shared" si="209"/>
        <v>0</v>
      </c>
      <c r="AW380" s="310">
        <f t="shared" si="209"/>
        <v>0</v>
      </c>
      <c r="AX380" s="310">
        <f t="shared" si="210"/>
        <v>0</v>
      </c>
      <c r="AY380" s="310">
        <f t="shared" si="210"/>
        <v>0</v>
      </c>
      <c r="AZ380" s="310">
        <f t="shared" si="210"/>
        <v>0</v>
      </c>
      <c r="BA380" s="310">
        <f t="shared" si="210"/>
        <v>0</v>
      </c>
      <c r="BB380" s="310">
        <f t="shared" si="210"/>
        <v>0</v>
      </c>
      <c r="BC380" s="310">
        <f t="shared" si="210"/>
        <v>0</v>
      </c>
      <c r="BD380" s="310">
        <f t="shared" si="210"/>
        <v>0</v>
      </c>
      <c r="BE380" s="310">
        <f t="shared" si="210"/>
        <v>0</v>
      </c>
      <c r="BF380" s="310">
        <f t="shared" si="210"/>
        <v>0</v>
      </c>
      <c r="BG380" s="310">
        <f t="shared" si="210"/>
        <v>0</v>
      </c>
    </row>
    <row r="381" spans="9:59">
      <c r="I381" s="73" t="s">
        <v>1159</v>
      </c>
      <c r="K381" t="s">
        <v>1281</v>
      </c>
      <c r="T381" s="310">
        <f t="shared" si="207"/>
        <v>0</v>
      </c>
      <c r="U381" s="310">
        <f t="shared" si="207"/>
        <v>0</v>
      </c>
      <c r="V381" s="310">
        <f t="shared" si="207"/>
        <v>0</v>
      </c>
      <c r="W381" s="310">
        <f t="shared" si="207"/>
        <v>0</v>
      </c>
      <c r="X381" s="310">
        <f t="shared" si="207"/>
        <v>0</v>
      </c>
      <c r="Y381" s="310">
        <f t="shared" si="207"/>
        <v>0</v>
      </c>
      <c r="Z381" s="310">
        <f t="shared" si="207"/>
        <v>0</v>
      </c>
      <c r="AA381" s="310">
        <f t="shared" si="207"/>
        <v>0</v>
      </c>
      <c r="AB381" s="310">
        <f t="shared" si="207"/>
        <v>0</v>
      </c>
      <c r="AC381" s="310">
        <f t="shared" si="207"/>
        <v>0</v>
      </c>
      <c r="AD381" s="310">
        <f t="shared" si="208"/>
        <v>0</v>
      </c>
      <c r="AE381" s="310">
        <f t="shared" si="208"/>
        <v>0</v>
      </c>
      <c r="AF381" s="310">
        <f t="shared" si="208"/>
        <v>0</v>
      </c>
      <c r="AG381" s="310">
        <f t="shared" si="208"/>
        <v>0</v>
      </c>
      <c r="AH381" s="310">
        <f t="shared" si="208"/>
        <v>0</v>
      </c>
      <c r="AI381" s="310">
        <f t="shared" si="208"/>
        <v>0</v>
      </c>
      <c r="AJ381" s="310">
        <f t="shared" si="208"/>
        <v>0</v>
      </c>
      <c r="AK381" s="310">
        <f t="shared" si="208"/>
        <v>0</v>
      </c>
      <c r="AL381" s="310">
        <f t="shared" si="208"/>
        <v>0</v>
      </c>
      <c r="AM381" s="310">
        <f t="shared" si="208"/>
        <v>0</v>
      </c>
      <c r="AN381" s="310">
        <f t="shared" si="209"/>
        <v>0</v>
      </c>
      <c r="AO381" s="310">
        <f t="shared" si="209"/>
        <v>0</v>
      </c>
      <c r="AP381" s="310">
        <f t="shared" si="209"/>
        <v>0</v>
      </c>
      <c r="AQ381" s="310">
        <f t="shared" si="209"/>
        <v>0</v>
      </c>
      <c r="AR381" s="310">
        <f t="shared" si="209"/>
        <v>0</v>
      </c>
      <c r="AS381" s="310">
        <f t="shared" si="209"/>
        <v>0</v>
      </c>
      <c r="AT381" s="310">
        <f t="shared" si="209"/>
        <v>0</v>
      </c>
      <c r="AU381" s="310">
        <f t="shared" si="209"/>
        <v>0</v>
      </c>
      <c r="AV381" s="310">
        <f t="shared" si="209"/>
        <v>0</v>
      </c>
      <c r="AW381" s="310">
        <f t="shared" si="209"/>
        <v>0</v>
      </c>
      <c r="AX381" s="310">
        <f t="shared" si="210"/>
        <v>0</v>
      </c>
      <c r="AY381" s="310">
        <f t="shared" si="210"/>
        <v>0</v>
      </c>
      <c r="AZ381" s="310">
        <f t="shared" si="210"/>
        <v>0</v>
      </c>
      <c r="BA381" s="310">
        <f t="shared" si="210"/>
        <v>0</v>
      </c>
      <c r="BB381" s="310">
        <f t="shared" si="210"/>
        <v>0</v>
      </c>
      <c r="BC381" s="310">
        <f t="shared" si="210"/>
        <v>0</v>
      </c>
      <c r="BD381" s="310">
        <f t="shared" si="210"/>
        <v>0</v>
      </c>
      <c r="BE381" s="310">
        <f t="shared" si="210"/>
        <v>0</v>
      </c>
      <c r="BF381" s="310">
        <f t="shared" si="210"/>
        <v>0</v>
      </c>
      <c r="BG381" s="310">
        <f t="shared" si="210"/>
        <v>0</v>
      </c>
    </row>
    <row r="382" spans="9:59">
      <c r="I382" s="363" t="s">
        <v>523</v>
      </c>
      <c r="K382" t="s">
        <v>373</v>
      </c>
      <c r="T382" s="310">
        <f t="shared" si="207"/>
        <v>0</v>
      </c>
      <c r="U382" s="310">
        <f t="shared" si="207"/>
        <v>0</v>
      </c>
      <c r="V382" s="310">
        <f t="shared" si="207"/>
        <v>0</v>
      </c>
      <c r="W382" s="310">
        <f t="shared" si="207"/>
        <v>0</v>
      </c>
      <c r="X382" s="310">
        <f t="shared" si="207"/>
        <v>0</v>
      </c>
      <c r="Y382" s="310">
        <f t="shared" si="207"/>
        <v>0</v>
      </c>
      <c r="Z382" s="310">
        <f t="shared" si="207"/>
        <v>0</v>
      </c>
      <c r="AA382" s="310">
        <f t="shared" si="207"/>
        <v>0</v>
      </c>
      <c r="AB382" s="310">
        <f t="shared" si="207"/>
        <v>0</v>
      </c>
      <c r="AC382" s="310">
        <f t="shared" si="207"/>
        <v>0</v>
      </c>
      <c r="AD382" s="310">
        <f t="shared" si="208"/>
        <v>0</v>
      </c>
      <c r="AE382" s="310">
        <f t="shared" si="208"/>
        <v>0</v>
      </c>
      <c r="AF382" s="310">
        <f t="shared" si="208"/>
        <v>0</v>
      </c>
      <c r="AG382" s="310">
        <f t="shared" si="208"/>
        <v>0</v>
      </c>
      <c r="AH382" s="310">
        <f t="shared" si="208"/>
        <v>0</v>
      </c>
      <c r="AI382" s="310">
        <f t="shared" si="208"/>
        <v>0</v>
      </c>
      <c r="AJ382" s="310">
        <f t="shared" si="208"/>
        <v>0</v>
      </c>
      <c r="AK382" s="310">
        <f t="shared" si="208"/>
        <v>0</v>
      </c>
      <c r="AL382" s="310">
        <f t="shared" si="208"/>
        <v>0</v>
      </c>
      <c r="AM382" s="310">
        <f t="shared" si="208"/>
        <v>0</v>
      </c>
      <c r="AN382" s="310">
        <f t="shared" si="209"/>
        <v>0</v>
      </c>
      <c r="AO382" s="310">
        <f t="shared" si="209"/>
        <v>0</v>
      </c>
      <c r="AP382" s="310">
        <f t="shared" si="209"/>
        <v>0</v>
      </c>
      <c r="AQ382" s="310">
        <f t="shared" si="209"/>
        <v>0</v>
      </c>
      <c r="AR382" s="310">
        <f t="shared" si="209"/>
        <v>0</v>
      </c>
      <c r="AS382" s="310">
        <f t="shared" si="209"/>
        <v>0</v>
      </c>
      <c r="AT382" s="310">
        <f t="shared" si="209"/>
        <v>0</v>
      </c>
      <c r="AU382" s="310">
        <f t="shared" si="209"/>
        <v>0</v>
      </c>
      <c r="AV382" s="310">
        <f t="shared" si="209"/>
        <v>0</v>
      </c>
      <c r="AW382" s="310">
        <f t="shared" si="209"/>
        <v>0</v>
      </c>
      <c r="AX382" s="310">
        <f t="shared" si="210"/>
        <v>0</v>
      </c>
      <c r="AY382" s="310">
        <f t="shared" si="210"/>
        <v>0</v>
      </c>
      <c r="AZ382" s="310">
        <f t="shared" si="210"/>
        <v>0</v>
      </c>
      <c r="BA382" s="310">
        <f t="shared" si="210"/>
        <v>0</v>
      </c>
      <c r="BB382" s="310">
        <f t="shared" si="210"/>
        <v>0</v>
      </c>
      <c r="BC382" s="310">
        <f t="shared" si="210"/>
        <v>0</v>
      </c>
      <c r="BD382" s="310">
        <f t="shared" si="210"/>
        <v>0</v>
      </c>
      <c r="BE382" s="310">
        <f t="shared" si="210"/>
        <v>0</v>
      </c>
      <c r="BF382" s="310">
        <f t="shared" si="210"/>
        <v>0</v>
      </c>
      <c r="BG382" s="310">
        <f t="shared" si="210"/>
        <v>0</v>
      </c>
    </row>
    <row r="383" spans="9:59">
      <c r="K383" s="253" t="s">
        <v>526</v>
      </c>
      <c r="L383" s="253"/>
      <c r="M383" s="253"/>
      <c r="N383" s="253"/>
      <c r="O383" s="253"/>
      <c r="P383" s="253"/>
      <c r="Q383" s="253"/>
      <c r="R383" s="253"/>
      <c r="S383" s="253"/>
      <c r="T383" s="254">
        <f>SUM(T377:T382)+T375</f>
        <v>9133.036404848961</v>
      </c>
      <c r="U383" s="254">
        <f t="shared" ref="U383:BG383" si="211">SUM(U377:U382)+U375</f>
        <v>30327.603849665684</v>
      </c>
      <c r="V383" s="254">
        <f t="shared" si="211"/>
        <v>52004.655274996585</v>
      </c>
      <c r="W383" s="254">
        <f t="shared" si="211"/>
        <v>52061.118749999987</v>
      </c>
      <c r="X383" s="254">
        <f t="shared" si="211"/>
        <v>52117.446098091212</v>
      </c>
      <c r="Y383" s="254">
        <f t="shared" si="211"/>
        <v>52173.635865209151</v>
      </c>
      <c r="Z383" s="254">
        <f t="shared" si="211"/>
        <v>52229.686588620651</v>
      </c>
      <c r="AA383" s="254">
        <f t="shared" si="211"/>
        <v>52285.596796874961</v>
      </c>
      <c r="AB383" s="254">
        <f t="shared" si="211"/>
        <v>52341.365009757516</v>
      </c>
      <c r="AC383" s="254">
        <f t="shared" si="211"/>
        <v>52396.989738243858</v>
      </c>
      <c r="AD383" s="254">
        <f t="shared" si="211"/>
        <v>52452.469484453162</v>
      </c>
      <c r="AE383" s="254">
        <f t="shared" si="211"/>
        <v>52507.802741601481</v>
      </c>
      <c r="AF383" s="254">
        <f t="shared" si="211"/>
        <v>0</v>
      </c>
      <c r="AG383" s="254">
        <f t="shared" si="211"/>
        <v>0</v>
      </c>
      <c r="AH383" s="254">
        <f t="shared" si="211"/>
        <v>0</v>
      </c>
      <c r="AI383" s="254">
        <f t="shared" si="211"/>
        <v>0</v>
      </c>
      <c r="AJ383" s="254">
        <f t="shared" si="211"/>
        <v>0</v>
      </c>
      <c r="AK383" s="254">
        <f t="shared" si="211"/>
        <v>0</v>
      </c>
      <c r="AL383" s="254">
        <f t="shared" si="211"/>
        <v>0</v>
      </c>
      <c r="AM383" s="254">
        <f t="shared" si="211"/>
        <v>0</v>
      </c>
      <c r="AN383" s="254">
        <f t="shared" si="211"/>
        <v>0</v>
      </c>
      <c r="AO383" s="254">
        <f t="shared" si="211"/>
        <v>0</v>
      </c>
      <c r="AP383" s="254">
        <f t="shared" si="211"/>
        <v>0</v>
      </c>
      <c r="AQ383" s="254">
        <f t="shared" si="211"/>
        <v>0</v>
      </c>
      <c r="AR383" s="254">
        <f t="shared" si="211"/>
        <v>0</v>
      </c>
      <c r="AS383" s="254">
        <f t="shared" si="211"/>
        <v>0</v>
      </c>
      <c r="AT383" s="254">
        <f t="shared" si="211"/>
        <v>0</v>
      </c>
      <c r="AU383" s="254">
        <f t="shared" si="211"/>
        <v>0</v>
      </c>
      <c r="AV383" s="254">
        <f t="shared" si="211"/>
        <v>0</v>
      </c>
      <c r="AW383" s="254">
        <f t="shared" si="211"/>
        <v>0</v>
      </c>
      <c r="AX383" s="254">
        <f t="shared" si="211"/>
        <v>0</v>
      </c>
      <c r="AY383" s="254">
        <f t="shared" si="211"/>
        <v>0</v>
      </c>
      <c r="AZ383" s="254">
        <f t="shared" si="211"/>
        <v>0</v>
      </c>
      <c r="BA383" s="254">
        <f t="shared" si="211"/>
        <v>0</v>
      </c>
      <c r="BB383" s="254">
        <f t="shared" si="211"/>
        <v>0</v>
      </c>
      <c r="BC383" s="254">
        <f t="shared" si="211"/>
        <v>0</v>
      </c>
      <c r="BD383" s="254">
        <f t="shared" si="211"/>
        <v>0</v>
      </c>
      <c r="BE383" s="254">
        <f t="shared" si="211"/>
        <v>0</v>
      </c>
      <c r="BF383" s="254">
        <f t="shared" si="211"/>
        <v>0</v>
      </c>
      <c r="BG383" s="254">
        <f t="shared" si="211"/>
        <v>0</v>
      </c>
    </row>
    <row r="385" spans="9:59">
      <c r="I385" s="363" t="s">
        <v>474</v>
      </c>
      <c r="K385" t="s">
        <v>528</v>
      </c>
      <c r="T385" s="310">
        <f t="shared" ref="T385:AC387" si="212">SUMIFS(T$20:T$278,$I$20:$I$278,$I385)</f>
        <v>0</v>
      </c>
      <c r="U385" s="310">
        <f t="shared" si="212"/>
        <v>0</v>
      </c>
      <c r="V385" s="310">
        <f t="shared" si="212"/>
        <v>0</v>
      </c>
      <c r="W385" s="310">
        <f t="shared" si="212"/>
        <v>0</v>
      </c>
      <c r="X385" s="310">
        <f t="shared" si="212"/>
        <v>0</v>
      </c>
      <c r="Y385" s="310">
        <f t="shared" si="212"/>
        <v>0</v>
      </c>
      <c r="Z385" s="310">
        <f t="shared" si="212"/>
        <v>0</v>
      </c>
      <c r="AA385" s="310">
        <f t="shared" si="212"/>
        <v>0</v>
      </c>
      <c r="AB385" s="310">
        <f t="shared" si="212"/>
        <v>0</v>
      </c>
      <c r="AC385" s="310">
        <f t="shared" si="212"/>
        <v>0</v>
      </c>
      <c r="AD385" s="310">
        <f t="shared" ref="AD385:AM387" si="213">SUMIFS(AD$20:AD$278,$I$20:$I$278,$I385)</f>
        <v>0</v>
      </c>
      <c r="AE385" s="310">
        <f t="shared" si="213"/>
        <v>3681609.018749997</v>
      </c>
      <c r="AF385" s="310">
        <f t="shared" si="213"/>
        <v>0</v>
      </c>
      <c r="AG385" s="310">
        <f t="shared" si="213"/>
        <v>0</v>
      </c>
      <c r="AH385" s="310">
        <f t="shared" si="213"/>
        <v>0</v>
      </c>
      <c r="AI385" s="310">
        <f t="shared" si="213"/>
        <v>0</v>
      </c>
      <c r="AJ385" s="310">
        <f t="shared" si="213"/>
        <v>0</v>
      </c>
      <c r="AK385" s="310">
        <f t="shared" si="213"/>
        <v>0</v>
      </c>
      <c r="AL385" s="310">
        <f t="shared" si="213"/>
        <v>0</v>
      </c>
      <c r="AM385" s="310">
        <f t="shared" si="213"/>
        <v>0</v>
      </c>
      <c r="AN385" s="310">
        <f t="shared" ref="AN385:AW387" si="214">SUMIFS(AN$20:AN$278,$I$20:$I$278,$I385)</f>
        <v>0</v>
      </c>
      <c r="AO385" s="310">
        <f t="shared" si="214"/>
        <v>0</v>
      </c>
      <c r="AP385" s="310">
        <f t="shared" si="214"/>
        <v>0</v>
      </c>
      <c r="AQ385" s="310">
        <f t="shared" si="214"/>
        <v>0</v>
      </c>
      <c r="AR385" s="310">
        <f t="shared" si="214"/>
        <v>0</v>
      </c>
      <c r="AS385" s="310">
        <f t="shared" si="214"/>
        <v>0</v>
      </c>
      <c r="AT385" s="310">
        <f t="shared" si="214"/>
        <v>0</v>
      </c>
      <c r="AU385" s="310">
        <f t="shared" si="214"/>
        <v>0</v>
      </c>
      <c r="AV385" s="310">
        <f t="shared" si="214"/>
        <v>0</v>
      </c>
      <c r="AW385" s="310">
        <f t="shared" si="214"/>
        <v>0</v>
      </c>
      <c r="AX385" s="310">
        <f t="shared" ref="AX385:BG387" si="215">SUMIFS(AX$20:AX$278,$I$20:$I$278,$I385)</f>
        <v>0</v>
      </c>
      <c r="AY385" s="310">
        <f t="shared" si="215"/>
        <v>0</v>
      </c>
      <c r="AZ385" s="310">
        <f t="shared" si="215"/>
        <v>0</v>
      </c>
      <c r="BA385" s="310">
        <f t="shared" si="215"/>
        <v>0</v>
      </c>
      <c r="BB385" s="310">
        <f t="shared" si="215"/>
        <v>0</v>
      </c>
      <c r="BC385" s="310">
        <f t="shared" si="215"/>
        <v>0</v>
      </c>
      <c r="BD385" s="310">
        <f t="shared" si="215"/>
        <v>0</v>
      </c>
      <c r="BE385" s="310">
        <f t="shared" si="215"/>
        <v>0</v>
      </c>
      <c r="BF385" s="310">
        <f t="shared" si="215"/>
        <v>0</v>
      </c>
      <c r="BG385" s="310">
        <f t="shared" si="215"/>
        <v>0</v>
      </c>
    </row>
    <row r="386" spans="9:59">
      <c r="I386" s="363" t="s">
        <v>483</v>
      </c>
      <c r="K386" t="s">
        <v>530</v>
      </c>
      <c r="T386" s="310">
        <f t="shared" si="212"/>
        <v>0</v>
      </c>
      <c r="U386" s="310">
        <f t="shared" si="212"/>
        <v>0</v>
      </c>
      <c r="V386" s="310">
        <f t="shared" si="212"/>
        <v>0</v>
      </c>
      <c r="W386" s="310">
        <f t="shared" si="212"/>
        <v>0</v>
      </c>
      <c r="X386" s="310">
        <f t="shared" si="212"/>
        <v>0</v>
      </c>
      <c r="Y386" s="310">
        <f t="shared" si="212"/>
        <v>0</v>
      </c>
      <c r="Z386" s="310">
        <f t="shared" si="212"/>
        <v>0</v>
      </c>
      <c r="AA386" s="310">
        <f t="shared" si="212"/>
        <v>0</v>
      </c>
      <c r="AB386" s="310">
        <f t="shared" si="212"/>
        <v>0</v>
      </c>
      <c r="AC386" s="310">
        <f t="shared" si="212"/>
        <v>0</v>
      </c>
      <c r="AD386" s="310">
        <f t="shared" si="213"/>
        <v>0</v>
      </c>
      <c r="AE386" s="310">
        <f t="shared" si="213"/>
        <v>0</v>
      </c>
      <c r="AF386" s="310">
        <f t="shared" si="213"/>
        <v>0</v>
      </c>
      <c r="AG386" s="310">
        <f t="shared" si="213"/>
        <v>0</v>
      </c>
      <c r="AH386" s="310">
        <f t="shared" si="213"/>
        <v>0</v>
      </c>
      <c r="AI386" s="310">
        <f t="shared" si="213"/>
        <v>0</v>
      </c>
      <c r="AJ386" s="310">
        <f t="shared" si="213"/>
        <v>0</v>
      </c>
      <c r="AK386" s="310">
        <f t="shared" si="213"/>
        <v>0</v>
      </c>
      <c r="AL386" s="310">
        <f t="shared" si="213"/>
        <v>0</v>
      </c>
      <c r="AM386" s="310">
        <f t="shared" si="213"/>
        <v>0</v>
      </c>
      <c r="AN386" s="310">
        <f t="shared" si="214"/>
        <v>0</v>
      </c>
      <c r="AO386" s="310">
        <f t="shared" si="214"/>
        <v>0</v>
      </c>
      <c r="AP386" s="310">
        <f t="shared" si="214"/>
        <v>0</v>
      </c>
      <c r="AQ386" s="310">
        <f t="shared" si="214"/>
        <v>0</v>
      </c>
      <c r="AR386" s="310">
        <f t="shared" si="214"/>
        <v>0</v>
      </c>
      <c r="AS386" s="310">
        <f t="shared" si="214"/>
        <v>0</v>
      </c>
      <c r="AT386" s="310">
        <f t="shared" si="214"/>
        <v>0</v>
      </c>
      <c r="AU386" s="310">
        <f t="shared" si="214"/>
        <v>0</v>
      </c>
      <c r="AV386" s="310">
        <f t="shared" si="214"/>
        <v>0</v>
      </c>
      <c r="AW386" s="310">
        <f t="shared" si="214"/>
        <v>0</v>
      </c>
      <c r="AX386" s="310">
        <f t="shared" si="215"/>
        <v>0</v>
      </c>
      <c r="AY386" s="310">
        <f t="shared" si="215"/>
        <v>0</v>
      </c>
      <c r="AZ386" s="310">
        <f t="shared" si="215"/>
        <v>0</v>
      </c>
      <c r="BA386" s="310">
        <f t="shared" si="215"/>
        <v>0</v>
      </c>
      <c r="BB386" s="310">
        <f t="shared" si="215"/>
        <v>0</v>
      </c>
      <c r="BC386" s="310">
        <f t="shared" si="215"/>
        <v>0</v>
      </c>
      <c r="BD386" s="310">
        <f t="shared" si="215"/>
        <v>0</v>
      </c>
      <c r="BE386" s="310">
        <f t="shared" si="215"/>
        <v>0</v>
      </c>
      <c r="BF386" s="310">
        <f t="shared" si="215"/>
        <v>0</v>
      </c>
      <c r="BG386" s="310">
        <f t="shared" si="215"/>
        <v>0</v>
      </c>
    </row>
    <row r="387" spans="9:59">
      <c r="I387" s="363" t="s">
        <v>527</v>
      </c>
      <c r="K387" t="s">
        <v>529</v>
      </c>
      <c r="T387" s="310">
        <f t="shared" si="212"/>
        <v>0</v>
      </c>
      <c r="U387" s="310">
        <f t="shared" si="212"/>
        <v>0</v>
      </c>
      <c r="V387" s="310">
        <f t="shared" si="212"/>
        <v>0</v>
      </c>
      <c r="W387" s="310">
        <f t="shared" si="212"/>
        <v>0</v>
      </c>
      <c r="X387" s="310">
        <f t="shared" si="212"/>
        <v>0</v>
      </c>
      <c r="Y387" s="310">
        <f t="shared" si="212"/>
        <v>0</v>
      </c>
      <c r="Z387" s="310">
        <f t="shared" si="212"/>
        <v>0</v>
      </c>
      <c r="AA387" s="310">
        <f t="shared" si="212"/>
        <v>0</v>
      </c>
      <c r="AB387" s="310">
        <f t="shared" si="212"/>
        <v>0</v>
      </c>
      <c r="AC387" s="310">
        <f t="shared" si="212"/>
        <v>0</v>
      </c>
      <c r="AD387" s="310">
        <f t="shared" si="213"/>
        <v>0</v>
      </c>
      <c r="AE387" s="310">
        <f t="shared" si="213"/>
        <v>0</v>
      </c>
      <c r="AF387" s="310">
        <f t="shared" si="213"/>
        <v>0</v>
      </c>
      <c r="AG387" s="310">
        <f t="shared" si="213"/>
        <v>0</v>
      </c>
      <c r="AH387" s="310">
        <f t="shared" si="213"/>
        <v>0</v>
      </c>
      <c r="AI387" s="310">
        <f t="shared" si="213"/>
        <v>0</v>
      </c>
      <c r="AJ387" s="310">
        <f t="shared" si="213"/>
        <v>0</v>
      </c>
      <c r="AK387" s="310">
        <f t="shared" si="213"/>
        <v>0</v>
      </c>
      <c r="AL387" s="310">
        <f t="shared" si="213"/>
        <v>0</v>
      </c>
      <c r="AM387" s="310">
        <f t="shared" si="213"/>
        <v>0</v>
      </c>
      <c r="AN387" s="310">
        <f t="shared" si="214"/>
        <v>0</v>
      </c>
      <c r="AO387" s="310">
        <f t="shared" si="214"/>
        <v>0</v>
      </c>
      <c r="AP387" s="310">
        <f t="shared" si="214"/>
        <v>0</v>
      </c>
      <c r="AQ387" s="310">
        <f t="shared" si="214"/>
        <v>0</v>
      </c>
      <c r="AR387" s="310">
        <f t="shared" si="214"/>
        <v>0</v>
      </c>
      <c r="AS387" s="310">
        <f t="shared" si="214"/>
        <v>0</v>
      </c>
      <c r="AT387" s="310">
        <f t="shared" si="214"/>
        <v>0</v>
      </c>
      <c r="AU387" s="310">
        <f t="shared" si="214"/>
        <v>0</v>
      </c>
      <c r="AV387" s="310">
        <f t="shared" si="214"/>
        <v>0</v>
      </c>
      <c r="AW387" s="310">
        <f t="shared" si="214"/>
        <v>0</v>
      </c>
      <c r="AX387" s="310">
        <f t="shared" si="215"/>
        <v>0</v>
      </c>
      <c r="AY387" s="310">
        <f t="shared" si="215"/>
        <v>0</v>
      </c>
      <c r="AZ387" s="310">
        <f t="shared" si="215"/>
        <v>0</v>
      </c>
      <c r="BA387" s="310">
        <f t="shared" si="215"/>
        <v>0</v>
      </c>
      <c r="BB387" s="310">
        <f t="shared" si="215"/>
        <v>0</v>
      </c>
      <c r="BC387" s="310">
        <f t="shared" si="215"/>
        <v>0</v>
      </c>
      <c r="BD387" s="310">
        <f t="shared" si="215"/>
        <v>0</v>
      </c>
      <c r="BE387" s="310">
        <f t="shared" si="215"/>
        <v>0</v>
      </c>
      <c r="BF387" s="310">
        <f t="shared" si="215"/>
        <v>0</v>
      </c>
      <c r="BG387" s="310">
        <f t="shared" si="215"/>
        <v>0</v>
      </c>
    </row>
    <row r="388" spans="9:59">
      <c r="K388" s="268" t="s">
        <v>531</v>
      </c>
      <c r="L388" s="268"/>
      <c r="M388" s="268"/>
      <c r="N388" s="268"/>
      <c r="O388" s="268"/>
      <c r="P388" s="268"/>
      <c r="Q388" s="268"/>
      <c r="R388" s="268"/>
      <c r="S388" s="268"/>
      <c r="T388" s="367">
        <f>SUM(T385:T387)</f>
        <v>0</v>
      </c>
      <c r="U388" s="367">
        <f t="shared" ref="U388:BG388" si="216">SUM(U385:U387)</f>
        <v>0</v>
      </c>
      <c r="V388" s="367">
        <f t="shared" si="216"/>
        <v>0</v>
      </c>
      <c r="W388" s="367">
        <f t="shared" si="216"/>
        <v>0</v>
      </c>
      <c r="X388" s="367">
        <f t="shared" si="216"/>
        <v>0</v>
      </c>
      <c r="Y388" s="367">
        <f t="shared" si="216"/>
        <v>0</v>
      </c>
      <c r="Z388" s="367">
        <f t="shared" si="216"/>
        <v>0</v>
      </c>
      <c r="AA388" s="367">
        <f t="shared" si="216"/>
        <v>0</v>
      </c>
      <c r="AB388" s="367">
        <f t="shared" si="216"/>
        <v>0</v>
      </c>
      <c r="AC388" s="367">
        <f t="shared" si="216"/>
        <v>0</v>
      </c>
      <c r="AD388" s="367">
        <f t="shared" si="216"/>
        <v>0</v>
      </c>
      <c r="AE388" s="367">
        <f t="shared" si="216"/>
        <v>3681609.018749997</v>
      </c>
      <c r="AF388" s="367">
        <f t="shared" si="216"/>
        <v>0</v>
      </c>
      <c r="AG388" s="367">
        <f t="shared" si="216"/>
        <v>0</v>
      </c>
      <c r="AH388" s="367">
        <f t="shared" si="216"/>
        <v>0</v>
      </c>
      <c r="AI388" s="367">
        <f t="shared" si="216"/>
        <v>0</v>
      </c>
      <c r="AJ388" s="367">
        <f t="shared" si="216"/>
        <v>0</v>
      </c>
      <c r="AK388" s="367">
        <f t="shared" si="216"/>
        <v>0</v>
      </c>
      <c r="AL388" s="367">
        <f t="shared" si="216"/>
        <v>0</v>
      </c>
      <c r="AM388" s="367">
        <f t="shared" si="216"/>
        <v>0</v>
      </c>
      <c r="AN388" s="367">
        <f t="shared" si="216"/>
        <v>0</v>
      </c>
      <c r="AO388" s="367">
        <f t="shared" si="216"/>
        <v>0</v>
      </c>
      <c r="AP388" s="367">
        <f t="shared" si="216"/>
        <v>0</v>
      </c>
      <c r="AQ388" s="367">
        <f t="shared" si="216"/>
        <v>0</v>
      </c>
      <c r="AR388" s="367">
        <f t="shared" si="216"/>
        <v>0</v>
      </c>
      <c r="AS388" s="367">
        <f t="shared" si="216"/>
        <v>0</v>
      </c>
      <c r="AT388" s="367">
        <f t="shared" si="216"/>
        <v>0</v>
      </c>
      <c r="AU388" s="367">
        <f t="shared" si="216"/>
        <v>0</v>
      </c>
      <c r="AV388" s="367">
        <f t="shared" si="216"/>
        <v>0</v>
      </c>
      <c r="AW388" s="367">
        <f t="shared" si="216"/>
        <v>0</v>
      </c>
      <c r="AX388" s="367">
        <f t="shared" si="216"/>
        <v>0</v>
      </c>
      <c r="AY388" s="367">
        <f t="shared" si="216"/>
        <v>0</v>
      </c>
      <c r="AZ388" s="367">
        <f t="shared" si="216"/>
        <v>0</v>
      </c>
      <c r="BA388" s="367">
        <f t="shared" si="216"/>
        <v>0</v>
      </c>
      <c r="BB388" s="367">
        <f t="shared" si="216"/>
        <v>0</v>
      </c>
      <c r="BC388" s="367">
        <f t="shared" si="216"/>
        <v>0</v>
      </c>
      <c r="BD388" s="367">
        <f t="shared" si="216"/>
        <v>0</v>
      </c>
      <c r="BE388" s="367">
        <f t="shared" si="216"/>
        <v>0</v>
      </c>
      <c r="BF388" s="367">
        <f t="shared" si="216"/>
        <v>0</v>
      </c>
      <c r="BG388" s="367">
        <f t="shared" si="216"/>
        <v>0</v>
      </c>
    </row>
    <row r="389" spans="9:59">
      <c r="I389" s="118">
        <f>GA!$G$484</f>
        <v>1.2999999999999999E-3</v>
      </c>
      <c r="K389" t="s">
        <v>532</v>
      </c>
      <c r="T389" s="310">
        <f>T$388*-$I389</f>
        <v>0</v>
      </c>
      <c r="U389" s="310">
        <f t="shared" ref="U389:BG390" si="217">U$388*-$I389</f>
        <v>0</v>
      </c>
      <c r="V389" s="310">
        <f t="shared" si="217"/>
        <v>0</v>
      </c>
      <c r="W389" s="310">
        <f t="shared" si="217"/>
        <v>0</v>
      </c>
      <c r="X389" s="310">
        <f t="shared" si="217"/>
        <v>0</v>
      </c>
      <c r="Y389" s="310">
        <f t="shared" si="217"/>
        <v>0</v>
      </c>
      <c r="Z389" s="310">
        <f t="shared" si="217"/>
        <v>0</v>
      </c>
      <c r="AA389" s="310">
        <f t="shared" si="217"/>
        <v>0</v>
      </c>
      <c r="AB389" s="310">
        <f t="shared" si="217"/>
        <v>0</v>
      </c>
      <c r="AC389" s="310">
        <f t="shared" si="217"/>
        <v>0</v>
      </c>
      <c r="AD389" s="310">
        <f t="shared" si="217"/>
        <v>0</v>
      </c>
      <c r="AE389" s="310">
        <f t="shared" si="217"/>
        <v>-4786.0917243749955</v>
      </c>
      <c r="AF389" s="310">
        <f t="shared" si="217"/>
        <v>0</v>
      </c>
      <c r="AG389" s="310">
        <f t="shared" si="217"/>
        <v>0</v>
      </c>
      <c r="AH389" s="310">
        <f t="shared" si="217"/>
        <v>0</v>
      </c>
      <c r="AI389" s="310">
        <f t="shared" si="217"/>
        <v>0</v>
      </c>
      <c r="AJ389" s="310">
        <f t="shared" si="217"/>
        <v>0</v>
      </c>
      <c r="AK389" s="310">
        <f t="shared" si="217"/>
        <v>0</v>
      </c>
      <c r="AL389" s="310">
        <f t="shared" si="217"/>
        <v>0</v>
      </c>
      <c r="AM389" s="310">
        <f t="shared" si="217"/>
        <v>0</v>
      </c>
      <c r="AN389" s="310">
        <f t="shared" si="217"/>
        <v>0</v>
      </c>
      <c r="AO389" s="310">
        <f t="shared" si="217"/>
        <v>0</v>
      </c>
      <c r="AP389" s="310">
        <f t="shared" si="217"/>
        <v>0</v>
      </c>
      <c r="AQ389" s="310">
        <f t="shared" si="217"/>
        <v>0</v>
      </c>
      <c r="AR389" s="310">
        <f t="shared" si="217"/>
        <v>0</v>
      </c>
      <c r="AS389" s="310">
        <f t="shared" si="217"/>
        <v>0</v>
      </c>
      <c r="AT389" s="310">
        <f t="shared" si="217"/>
        <v>0</v>
      </c>
      <c r="AU389" s="310">
        <f t="shared" si="217"/>
        <v>0</v>
      </c>
      <c r="AV389" s="310">
        <f t="shared" si="217"/>
        <v>0</v>
      </c>
      <c r="AW389" s="310">
        <f t="shared" si="217"/>
        <v>0</v>
      </c>
      <c r="AX389" s="310">
        <f t="shared" si="217"/>
        <v>0</v>
      </c>
      <c r="AY389" s="310">
        <f t="shared" si="217"/>
        <v>0</v>
      </c>
      <c r="AZ389" s="310">
        <f t="shared" si="217"/>
        <v>0</v>
      </c>
      <c r="BA389" s="310">
        <f t="shared" si="217"/>
        <v>0</v>
      </c>
      <c r="BB389" s="310">
        <f t="shared" si="217"/>
        <v>0</v>
      </c>
      <c r="BC389" s="310">
        <f t="shared" si="217"/>
        <v>0</v>
      </c>
      <c r="BD389" s="310">
        <f t="shared" si="217"/>
        <v>0</v>
      </c>
      <c r="BE389" s="310">
        <f t="shared" si="217"/>
        <v>0</v>
      </c>
      <c r="BF389" s="310">
        <f t="shared" si="217"/>
        <v>0</v>
      </c>
      <c r="BG389" s="310">
        <f t="shared" si="217"/>
        <v>0</v>
      </c>
    </row>
    <row r="390" spans="9:59">
      <c r="I390" s="118">
        <f>GA!$G$485</f>
        <v>0</v>
      </c>
      <c r="K390" t="s">
        <v>533</v>
      </c>
      <c r="T390" s="310">
        <f>T$388*-$I390</f>
        <v>0</v>
      </c>
      <c r="U390" s="310">
        <f t="shared" si="217"/>
        <v>0</v>
      </c>
      <c r="V390" s="310">
        <f t="shared" si="217"/>
        <v>0</v>
      </c>
      <c r="W390" s="310">
        <f t="shared" si="217"/>
        <v>0</v>
      </c>
      <c r="X390" s="310">
        <f t="shared" si="217"/>
        <v>0</v>
      </c>
      <c r="Y390" s="310">
        <f t="shared" si="217"/>
        <v>0</v>
      </c>
      <c r="Z390" s="310">
        <f t="shared" si="217"/>
        <v>0</v>
      </c>
      <c r="AA390" s="310">
        <f t="shared" si="217"/>
        <v>0</v>
      </c>
      <c r="AB390" s="310">
        <f t="shared" si="217"/>
        <v>0</v>
      </c>
      <c r="AC390" s="310">
        <f t="shared" si="217"/>
        <v>0</v>
      </c>
      <c r="AD390" s="310">
        <f t="shared" si="217"/>
        <v>0</v>
      </c>
      <c r="AE390" s="310">
        <f t="shared" si="217"/>
        <v>0</v>
      </c>
      <c r="AF390" s="310">
        <f t="shared" si="217"/>
        <v>0</v>
      </c>
      <c r="AG390" s="310">
        <f t="shared" si="217"/>
        <v>0</v>
      </c>
      <c r="AH390" s="310">
        <f t="shared" si="217"/>
        <v>0</v>
      </c>
      <c r="AI390" s="310">
        <f t="shared" si="217"/>
        <v>0</v>
      </c>
      <c r="AJ390" s="310">
        <f t="shared" si="217"/>
        <v>0</v>
      </c>
      <c r="AK390" s="310">
        <f t="shared" si="217"/>
        <v>0</v>
      </c>
      <c r="AL390" s="310">
        <f t="shared" si="217"/>
        <v>0</v>
      </c>
      <c r="AM390" s="310">
        <f t="shared" si="217"/>
        <v>0</v>
      </c>
      <c r="AN390" s="310">
        <f t="shared" si="217"/>
        <v>0</v>
      </c>
      <c r="AO390" s="310">
        <f t="shared" si="217"/>
        <v>0</v>
      </c>
      <c r="AP390" s="310">
        <f t="shared" si="217"/>
        <v>0</v>
      </c>
      <c r="AQ390" s="310">
        <f t="shared" si="217"/>
        <v>0</v>
      </c>
      <c r="AR390" s="310">
        <f t="shared" si="217"/>
        <v>0</v>
      </c>
      <c r="AS390" s="310">
        <f t="shared" si="217"/>
        <v>0</v>
      </c>
      <c r="AT390" s="310">
        <f t="shared" si="217"/>
        <v>0</v>
      </c>
      <c r="AU390" s="310">
        <f t="shared" si="217"/>
        <v>0</v>
      </c>
      <c r="AV390" s="310">
        <f t="shared" si="217"/>
        <v>0</v>
      </c>
      <c r="AW390" s="310">
        <f t="shared" si="217"/>
        <v>0</v>
      </c>
      <c r="AX390" s="310">
        <f t="shared" si="217"/>
        <v>0</v>
      </c>
      <c r="AY390" s="310">
        <f t="shared" si="217"/>
        <v>0</v>
      </c>
      <c r="AZ390" s="310">
        <f t="shared" si="217"/>
        <v>0</v>
      </c>
      <c r="BA390" s="310">
        <f t="shared" si="217"/>
        <v>0</v>
      </c>
      <c r="BB390" s="310">
        <f t="shared" si="217"/>
        <v>0</v>
      </c>
      <c r="BC390" s="310">
        <f t="shared" si="217"/>
        <v>0</v>
      </c>
      <c r="BD390" s="310">
        <f t="shared" si="217"/>
        <v>0</v>
      </c>
      <c r="BE390" s="310">
        <f t="shared" si="217"/>
        <v>0</v>
      </c>
      <c r="BF390" s="310">
        <f t="shared" si="217"/>
        <v>0</v>
      </c>
      <c r="BG390" s="310">
        <f t="shared" si="217"/>
        <v>0</v>
      </c>
    </row>
    <row r="391" spans="9:59">
      <c r="K391" s="253" t="s">
        <v>534</v>
      </c>
      <c r="L391" s="253"/>
      <c r="M391" s="253"/>
      <c r="N391" s="253"/>
      <c r="O391" s="253"/>
      <c r="P391" s="253"/>
      <c r="Q391" s="253"/>
      <c r="R391" s="253"/>
      <c r="S391" s="253"/>
      <c r="T391" s="254">
        <f>SUM(T388:T390)</f>
        <v>0</v>
      </c>
      <c r="U391" s="254">
        <f t="shared" ref="U391:BG391" si="218">SUM(U388:U390)</f>
        <v>0</v>
      </c>
      <c r="V391" s="254">
        <f t="shared" si="218"/>
        <v>0</v>
      </c>
      <c r="W391" s="254">
        <f t="shared" si="218"/>
        <v>0</v>
      </c>
      <c r="X391" s="254">
        <f t="shared" si="218"/>
        <v>0</v>
      </c>
      <c r="Y391" s="254">
        <f t="shared" si="218"/>
        <v>0</v>
      </c>
      <c r="Z391" s="254">
        <f t="shared" si="218"/>
        <v>0</v>
      </c>
      <c r="AA391" s="254">
        <f t="shared" si="218"/>
        <v>0</v>
      </c>
      <c r="AB391" s="254">
        <f t="shared" si="218"/>
        <v>0</v>
      </c>
      <c r="AC391" s="254">
        <f t="shared" si="218"/>
        <v>0</v>
      </c>
      <c r="AD391" s="254">
        <f t="shared" si="218"/>
        <v>0</v>
      </c>
      <c r="AE391" s="254">
        <f t="shared" si="218"/>
        <v>3676822.9270256222</v>
      </c>
      <c r="AF391" s="254">
        <f t="shared" si="218"/>
        <v>0</v>
      </c>
      <c r="AG391" s="254">
        <f t="shared" si="218"/>
        <v>0</v>
      </c>
      <c r="AH391" s="254">
        <f t="shared" si="218"/>
        <v>0</v>
      </c>
      <c r="AI391" s="254">
        <f t="shared" si="218"/>
        <v>0</v>
      </c>
      <c r="AJ391" s="254">
        <f t="shared" si="218"/>
        <v>0</v>
      </c>
      <c r="AK391" s="254">
        <f t="shared" si="218"/>
        <v>0</v>
      </c>
      <c r="AL391" s="254">
        <f t="shared" si="218"/>
        <v>0</v>
      </c>
      <c r="AM391" s="254">
        <f t="shared" si="218"/>
        <v>0</v>
      </c>
      <c r="AN391" s="254">
        <f t="shared" si="218"/>
        <v>0</v>
      </c>
      <c r="AO391" s="254">
        <f t="shared" si="218"/>
        <v>0</v>
      </c>
      <c r="AP391" s="254">
        <f t="shared" si="218"/>
        <v>0</v>
      </c>
      <c r="AQ391" s="254">
        <f t="shared" si="218"/>
        <v>0</v>
      </c>
      <c r="AR391" s="254">
        <f t="shared" si="218"/>
        <v>0</v>
      </c>
      <c r="AS391" s="254">
        <f t="shared" si="218"/>
        <v>0</v>
      </c>
      <c r="AT391" s="254">
        <f t="shared" si="218"/>
        <v>0</v>
      </c>
      <c r="AU391" s="254">
        <f t="shared" si="218"/>
        <v>0</v>
      </c>
      <c r="AV391" s="254">
        <f t="shared" si="218"/>
        <v>0</v>
      </c>
      <c r="AW391" s="254">
        <f t="shared" si="218"/>
        <v>0</v>
      </c>
      <c r="AX391" s="254">
        <f t="shared" si="218"/>
        <v>0</v>
      </c>
      <c r="AY391" s="254">
        <f t="shared" si="218"/>
        <v>0</v>
      </c>
      <c r="AZ391" s="254">
        <f t="shared" si="218"/>
        <v>0</v>
      </c>
      <c r="BA391" s="254">
        <f t="shared" si="218"/>
        <v>0</v>
      </c>
      <c r="BB391" s="254">
        <f t="shared" si="218"/>
        <v>0</v>
      </c>
      <c r="BC391" s="254">
        <f t="shared" si="218"/>
        <v>0</v>
      </c>
      <c r="BD391" s="254">
        <f t="shared" si="218"/>
        <v>0</v>
      </c>
      <c r="BE391" s="254">
        <f t="shared" si="218"/>
        <v>0</v>
      </c>
      <c r="BF391" s="254">
        <f t="shared" si="218"/>
        <v>0</v>
      </c>
      <c r="BG391" s="254">
        <f t="shared" si="218"/>
        <v>0</v>
      </c>
    </row>
    <row r="393" spans="9:59">
      <c r="K393" s="253" t="s">
        <v>535</v>
      </c>
      <c r="L393" s="253"/>
      <c r="M393" s="253"/>
      <c r="N393" s="253"/>
      <c r="O393" s="253"/>
      <c r="P393" s="253"/>
      <c r="Q393" s="253"/>
      <c r="R393" s="253"/>
      <c r="S393" s="253"/>
      <c r="T393" s="254">
        <f>T383+T391</f>
        <v>9133.036404848961</v>
      </c>
      <c r="U393" s="254">
        <f t="shared" ref="U393:BG393" si="219">U383+U391</f>
        <v>30327.603849665684</v>
      </c>
      <c r="V393" s="254">
        <f t="shared" si="219"/>
        <v>52004.655274996585</v>
      </c>
      <c r="W393" s="254">
        <f t="shared" si="219"/>
        <v>52061.118749999987</v>
      </c>
      <c r="X393" s="254">
        <f t="shared" si="219"/>
        <v>52117.446098091212</v>
      </c>
      <c r="Y393" s="254">
        <f t="shared" si="219"/>
        <v>52173.635865209151</v>
      </c>
      <c r="Z393" s="254">
        <f t="shared" si="219"/>
        <v>52229.686588620651</v>
      </c>
      <c r="AA393" s="254">
        <f t="shared" si="219"/>
        <v>52285.596796874961</v>
      </c>
      <c r="AB393" s="254">
        <f t="shared" si="219"/>
        <v>52341.365009757516</v>
      </c>
      <c r="AC393" s="254">
        <f t="shared" si="219"/>
        <v>52396.989738243858</v>
      </c>
      <c r="AD393" s="254">
        <f t="shared" si="219"/>
        <v>52452.469484453162</v>
      </c>
      <c r="AE393" s="254">
        <f t="shared" si="219"/>
        <v>3729330.7297672238</v>
      </c>
      <c r="AF393" s="254">
        <f t="shared" si="219"/>
        <v>0</v>
      </c>
      <c r="AG393" s="254">
        <f t="shared" si="219"/>
        <v>0</v>
      </c>
      <c r="AH393" s="254">
        <f t="shared" si="219"/>
        <v>0</v>
      </c>
      <c r="AI393" s="254">
        <f t="shared" si="219"/>
        <v>0</v>
      </c>
      <c r="AJ393" s="254">
        <f t="shared" si="219"/>
        <v>0</v>
      </c>
      <c r="AK393" s="254">
        <f t="shared" si="219"/>
        <v>0</v>
      </c>
      <c r="AL393" s="254">
        <f t="shared" si="219"/>
        <v>0</v>
      </c>
      <c r="AM393" s="254">
        <f t="shared" si="219"/>
        <v>0</v>
      </c>
      <c r="AN393" s="254">
        <f t="shared" si="219"/>
        <v>0</v>
      </c>
      <c r="AO393" s="254">
        <f t="shared" si="219"/>
        <v>0</v>
      </c>
      <c r="AP393" s="254">
        <f t="shared" si="219"/>
        <v>0</v>
      </c>
      <c r="AQ393" s="254">
        <f t="shared" si="219"/>
        <v>0</v>
      </c>
      <c r="AR393" s="254">
        <f t="shared" si="219"/>
        <v>0</v>
      </c>
      <c r="AS393" s="254">
        <f t="shared" si="219"/>
        <v>0</v>
      </c>
      <c r="AT393" s="254">
        <f t="shared" si="219"/>
        <v>0</v>
      </c>
      <c r="AU393" s="254">
        <f t="shared" si="219"/>
        <v>0</v>
      </c>
      <c r="AV393" s="254">
        <f t="shared" si="219"/>
        <v>0</v>
      </c>
      <c r="AW393" s="254">
        <f t="shared" si="219"/>
        <v>0</v>
      </c>
      <c r="AX393" s="254">
        <f t="shared" si="219"/>
        <v>0</v>
      </c>
      <c r="AY393" s="254">
        <f t="shared" si="219"/>
        <v>0</v>
      </c>
      <c r="AZ393" s="254">
        <f t="shared" si="219"/>
        <v>0</v>
      </c>
      <c r="BA393" s="254">
        <f t="shared" si="219"/>
        <v>0</v>
      </c>
      <c r="BB393" s="254">
        <f t="shared" si="219"/>
        <v>0</v>
      </c>
      <c r="BC393" s="254">
        <f t="shared" si="219"/>
        <v>0</v>
      </c>
      <c r="BD393" s="254">
        <f t="shared" si="219"/>
        <v>0</v>
      </c>
      <c r="BE393" s="254">
        <f t="shared" si="219"/>
        <v>0</v>
      </c>
      <c r="BF393" s="254">
        <f t="shared" si="219"/>
        <v>0</v>
      </c>
      <c r="BG393" s="254">
        <f t="shared" si="219"/>
        <v>0</v>
      </c>
    </row>
    <row r="394" spans="9:59">
      <c r="I394" s="363" t="s">
        <v>503</v>
      </c>
      <c r="K394" s="255" t="s">
        <v>329</v>
      </c>
      <c r="M394" s="257" t="b">
        <f>COUNTIFS(T394:BG394,"true")=COUNTA(T394:BG394)</f>
        <v>1</v>
      </c>
      <c r="T394" s="257" t="b">
        <f t="shared" ref="T394:BG394" si="220">ROUND(T393,1)=ROUND(SUMIFS(T$20:T$278,$I$20:$I$278,$I394),1)</f>
        <v>1</v>
      </c>
      <c r="U394" s="257" t="b">
        <f t="shared" si="220"/>
        <v>1</v>
      </c>
      <c r="V394" s="257" t="b">
        <f t="shared" si="220"/>
        <v>1</v>
      </c>
      <c r="W394" s="257" t="b">
        <f t="shared" si="220"/>
        <v>1</v>
      </c>
      <c r="X394" s="257" t="b">
        <f t="shared" si="220"/>
        <v>1</v>
      </c>
      <c r="Y394" s="257" t="b">
        <f t="shared" si="220"/>
        <v>1</v>
      </c>
      <c r="Z394" s="257" t="b">
        <f t="shared" si="220"/>
        <v>1</v>
      </c>
      <c r="AA394" s="257" t="b">
        <f t="shared" si="220"/>
        <v>1</v>
      </c>
      <c r="AB394" s="257" t="b">
        <f t="shared" si="220"/>
        <v>1</v>
      </c>
      <c r="AC394" s="257" t="b">
        <f t="shared" si="220"/>
        <v>1</v>
      </c>
      <c r="AD394" s="257" t="b">
        <f t="shared" si="220"/>
        <v>1</v>
      </c>
      <c r="AE394" s="257" t="b">
        <f t="shared" si="220"/>
        <v>1</v>
      </c>
      <c r="AF394" s="257" t="b">
        <f t="shared" si="220"/>
        <v>1</v>
      </c>
      <c r="AG394" s="257" t="b">
        <f t="shared" si="220"/>
        <v>1</v>
      </c>
      <c r="AH394" s="257" t="b">
        <f t="shared" si="220"/>
        <v>1</v>
      </c>
      <c r="AI394" s="257" t="b">
        <f t="shared" si="220"/>
        <v>1</v>
      </c>
      <c r="AJ394" s="257" t="b">
        <f t="shared" si="220"/>
        <v>1</v>
      </c>
      <c r="AK394" s="257" t="b">
        <f t="shared" si="220"/>
        <v>1</v>
      </c>
      <c r="AL394" s="257" t="b">
        <f t="shared" si="220"/>
        <v>1</v>
      </c>
      <c r="AM394" s="257" t="b">
        <f t="shared" si="220"/>
        <v>1</v>
      </c>
      <c r="AN394" s="257" t="b">
        <f t="shared" si="220"/>
        <v>1</v>
      </c>
      <c r="AO394" s="257" t="b">
        <f t="shared" si="220"/>
        <v>1</v>
      </c>
      <c r="AP394" s="257" t="b">
        <f t="shared" si="220"/>
        <v>1</v>
      </c>
      <c r="AQ394" s="257" t="b">
        <f t="shared" si="220"/>
        <v>1</v>
      </c>
      <c r="AR394" s="257" t="b">
        <f t="shared" si="220"/>
        <v>1</v>
      </c>
      <c r="AS394" s="257" t="b">
        <f t="shared" si="220"/>
        <v>1</v>
      </c>
      <c r="AT394" s="257" t="b">
        <f t="shared" si="220"/>
        <v>1</v>
      </c>
      <c r="AU394" s="257" t="b">
        <f t="shared" si="220"/>
        <v>1</v>
      </c>
      <c r="AV394" s="257" t="b">
        <f t="shared" si="220"/>
        <v>1</v>
      </c>
      <c r="AW394" s="257" t="b">
        <f t="shared" si="220"/>
        <v>1</v>
      </c>
      <c r="AX394" s="257" t="b">
        <f t="shared" si="220"/>
        <v>1</v>
      </c>
      <c r="AY394" s="257" t="b">
        <f t="shared" si="220"/>
        <v>1</v>
      </c>
      <c r="AZ394" s="257" t="b">
        <f t="shared" si="220"/>
        <v>1</v>
      </c>
      <c r="BA394" s="257" t="b">
        <f t="shared" si="220"/>
        <v>1</v>
      </c>
      <c r="BB394" s="257" t="b">
        <f t="shared" si="220"/>
        <v>1</v>
      </c>
      <c r="BC394" s="257" t="b">
        <f t="shared" si="220"/>
        <v>1</v>
      </c>
      <c r="BD394" s="257" t="b">
        <f t="shared" si="220"/>
        <v>1</v>
      </c>
      <c r="BE394" s="257" t="b">
        <f t="shared" si="220"/>
        <v>1</v>
      </c>
      <c r="BF394" s="257" t="b">
        <f t="shared" si="220"/>
        <v>1</v>
      </c>
      <c r="BG394" s="257" t="b">
        <f t="shared" si="220"/>
        <v>1</v>
      </c>
    </row>
    <row r="397" spans="9:59">
      <c r="K397" s="39" t="s">
        <v>536</v>
      </c>
    </row>
    <row r="398" spans="9:59">
      <c r="K398" s="269" t="s">
        <v>677</v>
      </c>
      <c r="L398" s="269"/>
      <c r="M398" s="269"/>
      <c r="N398" s="269"/>
      <c r="O398" s="269"/>
      <c r="P398" s="269"/>
      <c r="Q398" s="269"/>
      <c r="R398" s="269"/>
      <c r="S398" s="269"/>
      <c r="T398" s="368">
        <f t="shared" ref="T398:BG398" si="221">SUMPRODUCT(T$28:T$30,T$52:T$54)*4+SUMPRODUCT(T$124:T$126,T$28:T$30)*4</f>
        <v>0</v>
      </c>
      <c r="U398" s="368">
        <f t="shared" si="221"/>
        <v>0</v>
      </c>
      <c r="V398" s="368">
        <f t="shared" si="221"/>
        <v>0</v>
      </c>
      <c r="W398" s="368">
        <f t="shared" si="221"/>
        <v>0</v>
      </c>
      <c r="X398" s="368">
        <f t="shared" si="221"/>
        <v>0</v>
      </c>
      <c r="Y398" s="368">
        <f t="shared" si="221"/>
        <v>0</v>
      </c>
      <c r="Z398" s="368">
        <f t="shared" si="221"/>
        <v>0</v>
      </c>
      <c r="AA398" s="368">
        <f t="shared" si="221"/>
        <v>0</v>
      </c>
      <c r="AB398" s="368">
        <f t="shared" si="221"/>
        <v>0</v>
      </c>
      <c r="AC398" s="368">
        <f t="shared" si="221"/>
        <v>0</v>
      </c>
      <c r="AD398" s="368">
        <f t="shared" si="221"/>
        <v>0</v>
      </c>
      <c r="AE398" s="368">
        <f t="shared" si="221"/>
        <v>306800.75156249973</v>
      </c>
      <c r="AF398" s="368">
        <f t="shared" si="221"/>
        <v>0</v>
      </c>
      <c r="AG398" s="368">
        <f t="shared" si="221"/>
        <v>0</v>
      </c>
      <c r="AH398" s="368">
        <f t="shared" si="221"/>
        <v>0</v>
      </c>
      <c r="AI398" s="368">
        <f t="shared" si="221"/>
        <v>0</v>
      </c>
      <c r="AJ398" s="368">
        <f t="shared" si="221"/>
        <v>0</v>
      </c>
      <c r="AK398" s="368">
        <f t="shared" si="221"/>
        <v>0</v>
      </c>
      <c r="AL398" s="368">
        <f t="shared" si="221"/>
        <v>0</v>
      </c>
      <c r="AM398" s="368">
        <f t="shared" si="221"/>
        <v>0</v>
      </c>
      <c r="AN398" s="368">
        <f t="shared" si="221"/>
        <v>0</v>
      </c>
      <c r="AO398" s="368">
        <f t="shared" si="221"/>
        <v>0</v>
      </c>
      <c r="AP398" s="368">
        <f t="shared" si="221"/>
        <v>0</v>
      </c>
      <c r="AQ398" s="368">
        <f t="shared" si="221"/>
        <v>0</v>
      </c>
      <c r="AR398" s="368">
        <f t="shared" si="221"/>
        <v>0</v>
      </c>
      <c r="AS398" s="368">
        <f t="shared" si="221"/>
        <v>0</v>
      </c>
      <c r="AT398" s="368">
        <f t="shared" si="221"/>
        <v>0</v>
      </c>
      <c r="AU398" s="368">
        <f t="shared" si="221"/>
        <v>0</v>
      </c>
      <c r="AV398" s="368">
        <f t="shared" si="221"/>
        <v>0</v>
      </c>
      <c r="AW398" s="368">
        <f t="shared" si="221"/>
        <v>0</v>
      </c>
      <c r="AX398" s="368">
        <f t="shared" si="221"/>
        <v>0</v>
      </c>
      <c r="AY398" s="368">
        <f t="shared" si="221"/>
        <v>0</v>
      </c>
      <c r="AZ398" s="368">
        <f t="shared" si="221"/>
        <v>0</v>
      </c>
      <c r="BA398" s="368">
        <f t="shared" si="221"/>
        <v>0</v>
      </c>
      <c r="BB398" s="368">
        <f t="shared" si="221"/>
        <v>0</v>
      </c>
      <c r="BC398" s="368">
        <f t="shared" si="221"/>
        <v>0</v>
      </c>
      <c r="BD398" s="368">
        <f t="shared" si="221"/>
        <v>0</v>
      </c>
      <c r="BE398" s="368">
        <f t="shared" si="221"/>
        <v>0</v>
      </c>
      <c r="BF398" s="368">
        <f t="shared" si="221"/>
        <v>0</v>
      </c>
      <c r="BG398" s="368">
        <f t="shared" si="221"/>
        <v>0</v>
      </c>
    </row>
    <row r="399" spans="9:59">
      <c r="K399" t="s">
        <v>408</v>
      </c>
      <c r="T399" s="310">
        <f t="shared" ref="T399:BG399" si="222">SUMPRODUCT(T$28:T$30,T$76:T$78)*4</f>
        <v>0</v>
      </c>
      <c r="U399" s="310">
        <f t="shared" si="222"/>
        <v>0</v>
      </c>
      <c r="V399" s="310">
        <f t="shared" si="222"/>
        <v>0</v>
      </c>
      <c r="W399" s="310">
        <f t="shared" si="222"/>
        <v>0</v>
      </c>
      <c r="X399" s="310">
        <f t="shared" si="222"/>
        <v>0</v>
      </c>
      <c r="Y399" s="310">
        <f t="shared" si="222"/>
        <v>0</v>
      </c>
      <c r="Z399" s="310">
        <f t="shared" si="222"/>
        <v>0</v>
      </c>
      <c r="AA399" s="310">
        <f t="shared" si="222"/>
        <v>0</v>
      </c>
      <c r="AB399" s="310">
        <f t="shared" si="222"/>
        <v>0</v>
      </c>
      <c r="AC399" s="310">
        <f t="shared" si="222"/>
        <v>0</v>
      </c>
      <c r="AD399" s="310">
        <f t="shared" si="222"/>
        <v>0</v>
      </c>
      <c r="AE399" s="310">
        <f t="shared" si="222"/>
        <v>0</v>
      </c>
      <c r="AF399" s="310">
        <f t="shared" si="222"/>
        <v>0</v>
      </c>
      <c r="AG399" s="310">
        <f t="shared" si="222"/>
        <v>0</v>
      </c>
      <c r="AH399" s="310">
        <f t="shared" si="222"/>
        <v>0</v>
      </c>
      <c r="AI399" s="310">
        <f t="shared" si="222"/>
        <v>0</v>
      </c>
      <c r="AJ399" s="310">
        <f t="shared" si="222"/>
        <v>0</v>
      </c>
      <c r="AK399" s="310">
        <f t="shared" si="222"/>
        <v>0</v>
      </c>
      <c r="AL399" s="310">
        <f t="shared" si="222"/>
        <v>0</v>
      </c>
      <c r="AM399" s="310">
        <f t="shared" si="222"/>
        <v>0</v>
      </c>
      <c r="AN399" s="310">
        <f t="shared" si="222"/>
        <v>0</v>
      </c>
      <c r="AO399" s="310">
        <f t="shared" si="222"/>
        <v>0</v>
      </c>
      <c r="AP399" s="310">
        <f t="shared" si="222"/>
        <v>0</v>
      </c>
      <c r="AQ399" s="310">
        <f t="shared" si="222"/>
        <v>0</v>
      </c>
      <c r="AR399" s="310">
        <f t="shared" si="222"/>
        <v>0</v>
      </c>
      <c r="AS399" s="310">
        <f t="shared" si="222"/>
        <v>0</v>
      </c>
      <c r="AT399" s="310">
        <f t="shared" si="222"/>
        <v>0</v>
      </c>
      <c r="AU399" s="310">
        <f t="shared" si="222"/>
        <v>0</v>
      </c>
      <c r="AV399" s="310">
        <f t="shared" si="222"/>
        <v>0</v>
      </c>
      <c r="AW399" s="310">
        <f t="shared" si="222"/>
        <v>0</v>
      </c>
      <c r="AX399" s="310">
        <f t="shared" si="222"/>
        <v>0</v>
      </c>
      <c r="AY399" s="310">
        <f t="shared" si="222"/>
        <v>0</v>
      </c>
      <c r="AZ399" s="310">
        <f t="shared" si="222"/>
        <v>0</v>
      </c>
      <c r="BA399" s="310">
        <f t="shared" si="222"/>
        <v>0</v>
      </c>
      <c r="BB399" s="310">
        <f t="shared" si="222"/>
        <v>0</v>
      </c>
      <c r="BC399" s="310">
        <f t="shared" si="222"/>
        <v>0</v>
      </c>
      <c r="BD399" s="310">
        <f t="shared" si="222"/>
        <v>0</v>
      </c>
      <c r="BE399" s="310">
        <f t="shared" si="222"/>
        <v>0</v>
      </c>
      <c r="BF399" s="310">
        <f t="shared" si="222"/>
        <v>0</v>
      </c>
      <c r="BG399" s="310">
        <f t="shared" si="222"/>
        <v>0</v>
      </c>
    </row>
    <row r="400" spans="9:59">
      <c r="K400" t="s">
        <v>537</v>
      </c>
      <c r="T400" s="310">
        <f>SUM(T398:T399)</f>
        <v>0</v>
      </c>
      <c r="U400" s="310">
        <f t="shared" ref="U400:BG400" si="223">SUM(U398:U399)</f>
        <v>0</v>
      </c>
      <c r="V400" s="310">
        <f t="shared" si="223"/>
        <v>0</v>
      </c>
      <c r="W400" s="310">
        <f t="shared" si="223"/>
        <v>0</v>
      </c>
      <c r="X400" s="310">
        <f t="shared" si="223"/>
        <v>0</v>
      </c>
      <c r="Y400" s="310">
        <f t="shared" si="223"/>
        <v>0</v>
      </c>
      <c r="Z400" s="310">
        <f t="shared" si="223"/>
        <v>0</v>
      </c>
      <c r="AA400" s="310">
        <f t="shared" si="223"/>
        <v>0</v>
      </c>
      <c r="AB400" s="310">
        <f t="shared" si="223"/>
        <v>0</v>
      </c>
      <c r="AC400" s="310">
        <f t="shared" si="223"/>
        <v>0</v>
      </c>
      <c r="AD400" s="310">
        <f t="shared" si="223"/>
        <v>0</v>
      </c>
      <c r="AE400" s="310">
        <f t="shared" si="223"/>
        <v>306800.75156249973</v>
      </c>
      <c r="AF400" s="310">
        <f t="shared" si="223"/>
        <v>0</v>
      </c>
      <c r="AG400" s="310">
        <f t="shared" si="223"/>
        <v>0</v>
      </c>
      <c r="AH400" s="310">
        <f t="shared" si="223"/>
        <v>0</v>
      </c>
      <c r="AI400" s="310">
        <f t="shared" si="223"/>
        <v>0</v>
      </c>
      <c r="AJ400" s="310">
        <f t="shared" si="223"/>
        <v>0</v>
      </c>
      <c r="AK400" s="310">
        <f t="shared" si="223"/>
        <v>0</v>
      </c>
      <c r="AL400" s="310">
        <f t="shared" si="223"/>
        <v>0</v>
      </c>
      <c r="AM400" s="310">
        <f t="shared" si="223"/>
        <v>0</v>
      </c>
      <c r="AN400" s="310">
        <f t="shared" si="223"/>
        <v>0</v>
      </c>
      <c r="AO400" s="310">
        <f t="shared" si="223"/>
        <v>0</v>
      </c>
      <c r="AP400" s="310">
        <f t="shared" si="223"/>
        <v>0</v>
      </c>
      <c r="AQ400" s="310">
        <f t="shared" si="223"/>
        <v>0</v>
      </c>
      <c r="AR400" s="310">
        <f t="shared" si="223"/>
        <v>0</v>
      </c>
      <c r="AS400" s="310">
        <f t="shared" si="223"/>
        <v>0</v>
      </c>
      <c r="AT400" s="310">
        <f t="shared" si="223"/>
        <v>0</v>
      </c>
      <c r="AU400" s="310">
        <f t="shared" si="223"/>
        <v>0</v>
      </c>
      <c r="AV400" s="310">
        <f t="shared" si="223"/>
        <v>0</v>
      </c>
      <c r="AW400" s="310">
        <f t="shared" si="223"/>
        <v>0</v>
      </c>
      <c r="AX400" s="310">
        <f t="shared" si="223"/>
        <v>0</v>
      </c>
      <c r="AY400" s="310">
        <f t="shared" si="223"/>
        <v>0</v>
      </c>
      <c r="AZ400" s="310">
        <f t="shared" si="223"/>
        <v>0</v>
      </c>
      <c r="BA400" s="310">
        <f t="shared" si="223"/>
        <v>0</v>
      </c>
      <c r="BB400" s="310">
        <f t="shared" si="223"/>
        <v>0</v>
      </c>
      <c r="BC400" s="310">
        <f t="shared" si="223"/>
        <v>0</v>
      </c>
      <c r="BD400" s="310">
        <f t="shared" si="223"/>
        <v>0</v>
      </c>
      <c r="BE400" s="310">
        <f t="shared" si="223"/>
        <v>0</v>
      </c>
      <c r="BF400" s="310">
        <f t="shared" si="223"/>
        <v>0</v>
      </c>
      <c r="BG400" s="310">
        <f t="shared" si="223"/>
        <v>0</v>
      </c>
    </row>
    <row r="402" spans="2:59">
      <c r="K402" t="s">
        <v>435</v>
      </c>
      <c r="T402" s="310">
        <f t="shared" ref="T402:BG402" si="224">SUMPRODUCT(T$28:T$30,T$132:T$134)*4</f>
        <v>0</v>
      </c>
      <c r="U402" s="310">
        <f t="shared" si="224"/>
        <v>0</v>
      </c>
      <c r="V402" s="310">
        <f t="shared" si="224"/>
        <v>0</v>
      </c>
      <c r="W402" s="310">
        <f t="shared" si="224"/>
        <v>0</v>
      </c>
      <c r="X402" s="310">
        <f t="shared" si="224"/>
        <v>0</v>
      </c>
      <c r="Y402" s="310">
        <f t="shared" si="224"/>
        <v>0</v>
      </c>
      <c r="Z402" s="310">
        <f t="shared" si="224"/>
        <v>0</v>
      </c>
      <c r="AA402" s="310">
        <f t="shared" si="224"/>
        <v>0</v>
      </c>
      <c r="AB402" s="310">
        <f t="shared" si="224"/>
        <v>0</v>
      </c>
      <c r="AC402" s="310">
        <f t="shared" si="224"/>
        <v>0</v>
      </c>
      <c r="AD402" s="310">
        <f t="shared" si="224"/>
        <v>0</v>
      </c>
      <c r="AE402" s="310">
        <f t="shared" si="224"/>
        <v>280053.76096640597</v>
      </c>
      <c r="AF402" s="310">
        <f t="shared" si="224"/>
        <v>0</v>
      </c>
      <c r="AG402" s="310">
        <f t="shared" si="224"/>
        <v>0</v>
      </c>
      <c r="AH402" s="310">
        <f t="shared" si="224"/>
        <v>0</v>
      </c>
      <c r="AI402" s="310">
        <f t="shared" si="224"/>
        <v>0</v>
      </c>
      <c r="AJ402" s="310">
        <f t="shared" si="224"/>
        <v>0</v>
      </c>
      <c r="AK402" s="310">
        <f t="shared" si="224"/>
        <v>0</v>
      </c>
      <c r="AL402" s="310">
        <f t="shared" si="224"/>
        <v>0</v>
      </c>
      <c r="AM402" s="310">
        <f t="shared" si="224"/>
        <v>0</v>
      </c>
      <c r="AN402" s="310">
        <f t="shared" si="224"/>
        <v>0</v>
      </c>
      <c r="AO402" s="310">
        <f t="shared" si="224"/>
        <v>0</v>
      </c>
      <c r="AP402" s="310">
        <f t="shared" si="224"/>
        <v>0</v>
      </c>
      <c r="AQ402" s="310">
        <f t="shared" si="224"/>
        <v>0</v>
      </c>
      <c r="AR402" s="310">
        <f t="shared" si="224"/>
        <v>0</v>
      </c>
      <c r="AS402" s="310">
        <f t="shared" si="224"/>
        <v>0</v>
      </c>
      <c r="AT402" s="310">
        <f t="shared" si="224"/>
        <v>0</v>
      </c>
      <c r="AU402" s="310">
        <f t="shared" si="224"/>
        <v>0</v>
      </c>
      <c r="AV402" s="310">
        <f t="shared" si="224"/>
        <v>0</v>
      </c>
      <c r="AW402" s="310">
        <f t="shared" si="224"/>
        <v>0</v>
      </c>
      <c r="AX402" s="310">
        <f t="shared" si="224"/>
        <v>0</v>
      </c>
      <c r="AY402" s="310">
        <f t="shared" si="224"/>
        <v>0</v>
      </c>
      <c r="AZ402" s="310">
        <f t="shared" si="224"/>
        <v>0</v>
      </c>
      <c r="BA402" s="310">
        <f t="shared" si="224"/>
        <v>0</v>
      </c>
      <c r="BB402" s="310">
        <f t="shared" si="224"/>
        <v>0</v>
      </c>
      <c r="BC402" s="310">
        <f t="shared" si="224"/>
        <v>0</v>
      </c>
      <c r="BD402" s="310">
        <f t="shared" si="224"/>
        <v>0</v>
      </c>
      <c r="BE402" s="310">
        <f t="shared" si="224"/>
        <v>0</v>
      </c>
      <c r="BF402" s="310">
        <f t="shared" si="224"/>
        <v>0</v>
      </c>
      <c r="BG402" s="310">
        <f t="shared" si="224"/>
        <v>0</v>
      </c>
    </row>
    <row r="403" spans="2:59">
      <c r="K403" t="s">
        <v>522</v>
      </c>
      <c r="T403" s="310">
        <f t="shared" ref="T403:BG403" si="225">SUMPRODUCT(T$161:T$163,T$28:T$30)*4</f>
        <v>0</v>
      </c>
      <c r="U403" s="310">
        <f t="shared" si="225"/>
        <v>0</v>
      </c>
      <c r="V403" s="310">
        <f t="shared" si="225"/>
        <v>0</v>
      </c>
      <c r="W403" s="310">
        <f t="shared" si="225"/>
        <v>0</v>
      </c>
      <c r="X403" s="310">
        <f t="shared" si="225"/>
        <v>0</v>
      </c>
      <c r="Y403" s="310">
        <f t="shared" si="225"/>
        <v>0</v>
      </c>
      <c r="Z403" s="310">
        <f t="shared" si="225"/>
        <v>0</v>
      </c>
      <c r="AA403" s="310">
        <f t="shared" si="225"/>
        <v>0</v>
      </c>
      <c r="AB403" s="310">
        <f t="shared" si="225"/>
        <v>0</v>
      </c>
      <c r="AC403" s="310">
        <f t="shared" si="225"/>
        <v>0</v>
      </c>
      <c r="AD403" s="310">
        <f t="shared" si="225"/>
        <v>0</v>
      </c>
      <c r="AE403" s="310">
        <f t="shared" si="225"/>
        <v>210031.21096640592</v>
      </c>
      <c r="AF403" s="310">
        <f t="shared" si="225"/>
        <v>0</v>
      </c>
      <c r="AG403" s="310">
        <f t="shared" si="225"/>
        <v>0</v>
      </c>
      <c r="AH403" s="310">
        <f t="shared" si="225"/>
        <v>0</v>
      </c>
      <c r="AI403" s="310">
        <f t="shared" si="225"/>
        <v>0</v>
      </c>
      <c r="AJ403" s="310">
        <f t="shared" si="225"/>
        <v>0</v>
      </c>
      <c r="AK403" s="310">
        <f t="shared" si="225"/>
        <v>0</v>
      </c>
      <c r="AL403" s="310">
        <f t="shared" si="225"/>
        <v>0</v>
      </c>
      <c r="AM403" s="310">
        <f t="shared" si="225"/>
        <v>0</v>
      </c>
      <c r="AN403" s="310">
        <f t="shared" si="225"/>
        <v>0</v>
      </c>
      <c r="AO403" s="310">
        <f t="shared" si="225"/>
        <v>0</v>
      </c>
      <c r="AP403" s="310">
        <f t="shared" si="225"/>
        <v>0</v>
      </c>
      <c r="AQ403" s="310">
        <f t="shared" si="225"/>
        <v>0</v>
      </c>
      <c r="AR403" s="310">
        <f t="shared" si="225"/>
        <v>0</v>
      </c>
      <c r="AS403" s="310">
        <f t="shared" si="225"/>
        <v>0</v>
      </c>
      <c r="AT403" s="310">
        <f t="shared" si="225"/>
        <v>0</v>
      </c>
      <c r="AU403" s="310">
        <f t="shared" si="225"/>
        <v>0</v>
      </c>
      <c r="AV403" s="310">
        <f t="shared" si="225"/>
        <v>0</v>
      </c>
      <c r="AW403" s="310">
        <f t="shared" si="225"/>
        <v>0</v>
      </c>
      <c r="AX403" s="310">
        <f t="shared" si="225"/>
        <v>0</v>
      </c>
      <c r="AY403" s="310">
        <f t="shared" si="225"/>
        <v>0</v>
      </c>
      <c r="AZ403" s="310">
        <f t="shared" si="225"/>
        <v>0</v>
      </c>
      <c r="BA403" s="310">
        <f t="shared" si="225"/>
        <v>0</v>
      </c>
      <c r="BB403" s="310">
        <f t="shared" si="225"/>
        <v>0</v>
      </c>
      <c r="BC403" s="310">
        <f t="shared" si="225"/>
        <v>0</v>
      </c>
      <c r="BD403" s="310">
        <f t="shared" si="225"/>
        <v>0</v>
      </c>
      <c r="BE403" s="310">
        <f t="shared" si="225"/>
        <v>0</v>
      </c>
      <c r="BF403" s="310">
        <f t="shared" si="225"/>
        <v>0</v>
      </c>
      <c r="BG403" s="310">
        <f t="shared" si="225"/>
        <v>0</v>
      </c>
    </row>
    <row r="405" spans="2:59">
      <c r="K405" s="17" t="s">
        <v>303</v>
      </c>
      <c r="L405" s="17"/>
      <c r="M405" s="17"/>
      <c r="N405" s="17"/>
      <c r="O405" s="17"/>
      <c r="P405" s="17"/>
      <c r="Q405" s="17"/>
      <c r="R405" s="17"/>
      <c r="S405" s="17"/>
      <c r="T405" s="369">
        <f t="shared" ref="T405:BG405" si="226">SUMPRODUCT(T$28:T$30,T$36:T$38)</f>
        <v>0</v>
      </c>
      <c r="U405" s="369">
        <f t="shared" si="226"/>
        <v>0</v>
      </c>
      <c r="V405" s="369">
        <f t="shared" si="226"/>
        <v>0</v>
      </c>
      <c r="W405" s="369">
        <f t="shared" si="226"/>
        <v>0</v>
      </c>
      <c r="X405" s="369">
        <f t="shared" si="226"/>
        <v>0</v>
      </c>
      <c r="Y405" s="369">
        <f t="shared" si="226"/>
        <v>0</v>
      </c>
      <c r="Z405" s="369">
        <f t="shared" si="226"/>
        <v>0</v>
      </c>
      <c r="AA405" s="369">
        <f t="shared" si="226"/>
        <v>0</v>
      </c>
      <c r="AB405" s="369">
        <f t="shared" si="226"/>
        <v>0</v>
      </c>
      <c r="AC405" s="369">
        <f t="shared" si="226"/>
        <v>0</v>
      </c>
      <c r="AD405" s="369">
        <f t="shared" si="226"/>
        <v>0</v>
      </c>
      <c r="AE405" s="369">
        <f t="shared" si="226"/>
        <v>3000</v>
      </c>
      <c r="AF405" s="369">
        <f t="shared" si="226"/>
        <v>0</v>
      </c>
      <c r="AG405" s="369">
        <f t="shared" si="226"/>
        <v>0</v>
      </c>
      <c r="AH405" s="369">
        <f t="shared" si="226"/>
        <v>0</v>
      </c>
      <c r="AI405" s="369">
        <f t="shared" si="226"/>
        <v>0</v>
      </c>
      <c r="AJ405" s="369">
        <f t="shared" si="226"/>
        <v>0</v>
      </c>
      <c r="AK405" s="369">
        <f t="shared" si="226"/>
        <v>0</v>
      </c>
      <c r="AL405" s="369">
        <f t="shared" si="226"/>
        <v>0</v>
      </c>
      <c r="AM405" s="369">
        <f t="shared" si="226"/>
        <v>0</v>
      </c>
      <c r="AN405" s="369">
        <f t="shared" si="226"/>
        <v>0</v>
      </c>
      <c r="AO405" s="369">
        <f t="shared" si="226"/>
        <v>0</v>
      </c>
      <c r="AP405" s="369">
        <f t="shared" si="226"/>
        <v>0</v>
      </c>
      <c r="AQ405" s="369">
        <f t="shared" si="226"/>
        <v>0</v>
      </c>
      <c r="AR405" s="369">
        <f t="shared" si="226"/>
        <v>0</v>
      </c>
      <c r="AS405" s="369">
        <f t="shared" si="226"/>
        <v>0</v>
      </c>
      <c r="AT405" s="369">
        <f t="shared" si="226"/>
        <v>0</v>
      </c>
      <c r="AU405" s="369">
        <f t="shared" si="226"/>
        <v>0</v>
      </c>
      <c r="AV405" s="369">
        <f t="shared" si="226"/>
        <v>0</v>
      </c>
      <c r="AW405" s="369">
        <f t="shared" si="226"/>
        <v>0</v>
      </c>
      <c r="AX405" s="369">
        <f t="shared" si="226"/>
        <v>0</v>
      </c>
      <c r="AY405" s="369">
        <f t="shared" si="226"/>
        <v>0</v>
      </c>
      <c r="AZ405" s="369">
        <f t="shared" si="226"/>
        <v>0</v>
      </c>
      <c r="BA405" s="369">
        <f t="shared" si="226"/>
        <v>0</v>
      </c>
      <c r="BB405" s="369">
        <f t="shared" si="226"/>
        <v>0</v>
      </c>
      <c r="BC405" s="369">
        <f t="shared" si="226"/>
        <v>0</v>
      </c>
      <c r="BD405" s="369">
        <f t="shared" si="226"/>
        <v>0</v>
      </c>
      <c r="BE405" s="369">
        <f t="shared" si="226"/>
        <v>0</v>
      </c>
      <c r="BF405" s="369">
        <f t="shared" si="226"/>
        <v>0</v>
      </c>
      <c r="BG405" s="369">
        <f t="shared" si="226"/>
        <v>0</v>
      </c>
    </row>
    <row r="408" spans="2:59" s="90" customFormat="1">
      <c r="B408" s="370" t="s">
        <v>332</v>
      </c>
      <c r="C408" s="92"/>
    </row>
  </sheetData>
  <conditionalFormatting sqref="T303:BG303">
    <cfRule type="cellIs" dxfId="81" priority="27" operator="equal">
      <formula>FALSE</formula>
    </cfRule>
    <cfRule type="cellIs" dxfId="80" priority="28" operator="equal">
      <formula>TRUE</formula>
    </cfRule>
  </conditionalFormatting>
  <conditionalFormatting sqref="M303">
    <cfRule type="cellIs" dxfId="79" priority="25" operator="equal">
      <formula>FALSE</formula>
    </cfRule>
    <cfRule type="cellIs" dxfId="78" priority="26" operator="equal">
      <formula>TRUE</formula>
    </cfRule>
  </conditionalFormatting>
  <conditionalFormatting sqref="M330">
    <cfRule type="cellIs" dxfId="77" priority="23" operator="equal">
      <formula>FALSE</formula>
    </cfRule>
    <cfRule type="cellIs" dxfId="76" priority="24" operator="equal">
      <formula>TRUE</formula>
    </cfRule>
  </conditionalFormatting>
  <conditionalFormatting sqref="T330:BG330">
    <cfRule type="cellIs" dxfId="75" priority="21" operator="equal">
      <formula>FALSE</formula>
    </cfRule>
    <cfRule type="cellIs" dxfId="74" priority="22" operator="equal">
      <formula>TRUE</formula>
    </cfRule>
  </conditionalFormatting>
  <conditionalFormatting sqref="M339">
    <cfRule type="cellIs" dxfId="73" priority="19" operator="equal">
      <formula>FALSE</formula>
    </cfRule>
    <cfRule type="cellIs" dxfId="72" priority="20" operator="equal">
      <formula>TRUE</formula>
    </cfRule>
  </conditionalFormatting>
  <conditionalFormatting sqref="T339:BG339">
    <cfRule type="cellIs" dxfId="71" priority="17" operator="equal">
      <formula>FALSE</formula>
    </cfRule>
    <cfRule type="cellIs" dxfId="70" priority="18" operator="equal">
      <formula>TRUE</formula>
    </cfRule>
  </conditionalFormatting>
  <conditionalFormatting sqref="M356">
    <cfRule type="cellIs" dxfId="69" priority="15" operator="equal">
      <formula>FALSE</formula>
    </cfRule>
    <cfRule type="cellIs" dxfId="68" priority="16" operator="equal">
      <formula>TRUE</formula>
    </cfRule>
  </conditionalFormatting>
  <conditionalFormatting sqref="T356:BG356">
    <cfRule type="cellIs" dxfId="67" priority="13" operator="equal">
      <formula>FALSE</formula>
    </cfRule>
    <cfRule type="cellIs" dxfId="66" priority="14" operator="equal">
      <formula>TRUE</formula>
    </cfRule>
  </conditionalFormatting>
  <conditionalFormatting sqref="M348">
    <cfRule type="cellIs" dxfId="65" priority="11" operator="equal">
      <formula>FALSE</formula>
    </cfRule>
    <cfRule type="cellIs" dxfId="64" priority="12" operator="equal">
      <formula>TRUE</formula>
    </cfRule>
  </conditionalFormatting>
  <conditionalFormatting sqref="T348:BG348">
    <cfRule type="cellIs" dxfId="63" priority="9" operator="equal">
      <formula>FALSE</formula>
    </cfRule>
    <cfRule type="cellIs" dxfId="62" priority="10" operator="equal">
      <formula>TRUE</formula>
    </cfRule>
  </conditionalFormatting>
  <conditionalFormatting sqref="M370">
    <cfRule type="cellIs" dxfId="61" priority="7" operator="equal">
      <formula>FALSE</formula>
    </cfRule>
    <cfRule type="cellIs" dxfId="60" priority="8" operator="equal">
      <formula>TRUE</formula>
    </cfRule>
  </conditionalFormatting>
  <conditionalFormatting sqref="T370:BG370">
    <cfRule type="cellIs" dxfId="59" priority="5" operator="equal">
      <formula>FALSE</formula>
    </cfRule>
    <cfRule type="cellIs" dxfId="58" priority="6" operator="equal">
      <formula>TRUE</formula>
    </cfRule>
  </conditionalFormatting>
  <conditionalFormatting sqref="M394">
    <cfRule type="cellIs" dxfId="57" priority="3" operator="equal">
      <formula>FALSE</formula>
    </cfRule>
    <cfRule type="cellIs" dxfId="56" priority="4" operator="equal">
      <formula>TRUE</formula>
    </cfRule>
  </conditionalFormatting>
  <conditionalFormatting sqref="T394:BG394">
    <cfRule type="cellIs" dxfId="55" priority="1" operator="equal">
      <formula>FALSE</formula>
    </cfRule>
    <cfRule type="cellIs" dxfId="54" priority="2" operator="equal">
      <formula>TRUE</formula>
    </cfRule>
  </conditionalFormatting>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093B3-57EC-4205-92FD-7217F83C49F9}">
  <sheetPr codeName="Sheet14">
    <tabColor rgb="FFC00000"/>
  </sheetPr>
  <dimension ref="A1:BK147"/>
  <sheetViews>
    <sheetView topLeftCell="A58" workbookViewId="0">
      <selection activeCell="O101" sqref="O101"/>
    </sheetView>
  </sheetViews>
  <sheetFormatPr baseColWidth="10" defaultColWidth="8.7109375" defaultRowHeight="15" outlineLevelRow="1"/>
  <cols>
    <col min="1" max="1" width="4.5703125" customWidth="1"/>
    <col min="2" max="2" width="5.5703125" customWidth="1"/>
    <col min="5" max="5" width="3.42578125" customWidth="1"/>
    <col min="6" max="6" width="20.42578125" bestFit="1" customWidth="1"/>
    <col min="7" max="7" width="3.5703125" customWidth="1"/>
    <col min="8" max="8" width="19.7109375" customWidth="1"/>
    <col min="9" max="9" width="2.5703125" customWidth="1"/>
    <col min="10" max="11" width="11.5703125" bestFit="1" customWidth="1"/>
    <col min="12" max="12" width="3.5703125" customWidth="1"/>
    <col min="13" max="13" width="16.7109375" bestFit="1" customWidth="1"/>
    <col min="14" max="14" width="22.28515625" bestFit="1" customWidth="1"/>
    <col min="15" max="15" width="18.42578125" bestFit="1" customWidth="1"/>
    <col min="16" max="16" width="15.5703125" bestFit="1" customWidth="1"/>
    <col min="17" max="17" width="12.42578125" bestFit="1" customWidth="1"/>
    <col min="18" max="18" width="9.42578125" bestFit="1" customWidth="1"/>
    <col min="19" max="19" width="16" bestFit="1" customWidth="1"/>
    <col min="20" max="20" width="16.5703125" bestFit="1" customWidth="1"/>
    <col min="21" max="21" width="15.42578125" bestFit="1" customWidth="1"/>
    <col min="22" max="22" width="14.42578125" bestFit="1" customWidth="1"/>
    <col min="23" max="23" width="15.42578125" bestFit="1" customWidth="1"/>
    <col min="24" max="24" width="14.7109375" bestFit="1" customWidth="1"/>
    <col min="25" max="25" width="15" bestFit="1" customWidth="1"/>
    <col min="26" max="26" width="14" bestFit="1" customWidth="1"/>
    <col min="27" max="27" width="14.7109375" bestFit="1" customWidth="1"/>
    <col min="28" max="29" width="15.42578125" bestFit="1" customWidth="1"/>
    <col min="30" max="30" width="14.42578125" bestFit="1" customWidth="1"/>
    <col min="31" max="33" width="15.42578125" bestFit="1" customWidth="1"/>
    <col min="34" max="34" width="14.42578125" bestFit="1" customWidth="1"/>
    <col min="35" max="37" width="15.42578125" bestFit="1" customWidth="1"/>
    <col min="38" max="38" width="14.42578125" bestFit="1" customWidth="1"/>
    <col min="39" max="41" width="15.42578125" bestFit="1" customWidth="1"/>
    <col min="42" max="42" width="14.42578125" bestFit="1" customWidth="1"/>
    <col min="43" max="45" width="15.42578125" bestFit="1" customWidth="1"/>
    <col min="46" max="46" width="14.42578125" bestFit="1" customWidth="1"/>
    <col min="47" max="49" width="15.42578125" bestFit="1" customWidth="1"/>
    <col min="50" max="50" width="14.42578125" bestFit="1" customWidth="1"/>
    <col min="51" max="53" width="15.42578125" bestFit="1" customWidth="1"/>
    <col min="54" max="54" width="14.42578125" bestFit="1" customWidth="1"/>
    <col min="55" max="57" width="15.42578125" bestFit="1" customWidth="1"/>
    <col min="58" max="58" width="14.42578125" bestFit="1" customWidth="1"/>
    <col min="59" max="59" width="15.42578125" bestFit="1" customWidth="1"/>
    <col min="60" max="60" width="3.28515625" customWidth="1"/>
    <col min="61" max="61" width="16.42578125" customWidth="1"/>
    <col min="62" max="62" width="3.42578125" customWidth="1"/>
    <col min="63" max="63" width="16.5703125" bestFit="1" customWidth="1"/>
  </cols>
  <sheetData>
    <row r="1" spans="1:61" s="1" customFormat="1">
      <c r="A1" s="1" t="str">
        <f ca="1">UPPER(MID(CELL("filename",A1),FIND("[",CELL("filename",A1))+1,FIND("]",CELL("filename",A1))-FIND("[",CELL("filename",A1))-5))</f>
        <v>VORLAGE.</v>
      </c>
    </row>
    <row r="2" spans="1:61" s="1" customFormat="1">
      <c r="A2" s="1" t="s">
        <v>146</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401</v>
      </c>
      <c r="K14" s="318">
        <f>GA!$F$145</f>
        <v>1.8697495154929022E-3</v>
      </c>
      <c r="S14" s="207">
        <v>1</v>
      </c>
      <c r="T14" s="319">
        <f>S14*(1+$K14)</f>
        <v>1.0018697495154929</v>
      </c>
      <c r="U14" s="319">
        <f t="shared" ref="U14:BG14" si="0">T14*(1+$K14)</f>
        <v>1.0037429949942365</v>
      </c>
      <c r="V14" s="319">
        <f t="shared" si="0"/>
        <v>1.0056197429728064</v>
      </c>
      <c r="W14" s="319">
        <f t="shared" si="0"/>
        <v>1.0074999999999998</v>
      </c>
      <c r="X14" s="319">
        <f t="shared" si="0"/>
        <v>1.0093837726368589</v>
      </c>
      <c r="Y14" s="319">
        <f t="shared" si="0"/>
        <v>1.0112710674566929</v>
      </c>
      <c r="Z14" s="319">
        <f t="shared" si="0"/>
        <v>1.0131618910451021</v>
      </c>
      <c r="AA14" s="319">
        <f t="shared" si="0"/>
        <v>1.0150562499999995</v>
      </c>
      <c r="AB14" s="319">
        <f t="shared" si="0"/>
        <v>1.0169541509316351</v>
      </c>
      <c r="AC14" s="319">
        <f t="shared" si="0"/>
        <v>1.0188556004626179</v>
      </c>
      <c r="AD14" s="319">
        <f t="shared" si="0"/>
        <v>1.0207606052279401</v>
      </c>
      <c r="AE14" s="319">
        <f t="shared" si="0"/>
        <v>1.0226691718749992</v>
      </c>
      <c r="AF14" s="319">
        <f t="shared" si="0"/>
        <v>1.024581307063622</v>
      </c>
      <c r="AG14" s="319">
        <f t="shared" si="0"/>
        <v>1.0264970174660872</v>
      </c>
      <c r="AH14" s="319">
        <f t="shared" si="0"/>
        <v>1.0284163097671493</v>
      </c>
      <c r="AI14" s="319">
        <f t="shared" si="0"/>
        <v>1.0303391906640613</v>
      </c>
      <c r="AJ14" s="319">
        <f t="shared" si="0"/>
        <v>1.0322656668665988</v>
      </c>
      <c r="AK14" s="319">
        <f t="shared" si="0"/>
        <v>1.0341957450970827</v>
      </c>
      <c r="AL14" s="319">
        <f t="shared" si="0"/>
        <v>1.0361294320904029</v>
      </c>
      <c r="AM14" s="319">
        <f t="shared" si="0"/>
        <v>1.0380667345940418</v>
      </c>
      <c r="AN14" s="319">
        <f t="shared" si="0"/>
        <v>1.0400076593680982</v>
      </c>
      <c r="AO14" s="319">
        <f t="shared" si="0"/>
        <v>1.0419522131853107</v>
      </c>
      <c r="AP14" s="319">
        <f t="shared" si="0"/>
        <v>1.0439004028310808</v>
      </c>
      <c r="AQ14" s="319">
        <f t="shared" si="0"/>
        <v>1.0458522351034971</v>
      </c>
      <c r="AR14" s="319">
        <f t="shared" si="0"/>
        <v>1.047807716813359</v>
      </c>
      <c r="AS14" s="319">
        <f t="shared" si="0"/>
        <v>1.0497668547842005</v>
      </c>
      <c r="AT14" s="319">
        <f t="shared" si="0"/>
        <v>1.0517296558523137</v>
      </c>
      <c r="AU14" s="319">
        <f t="shared" si="0"/>
        <v>1.0536961268667731</v>
      </c>
      <c r="AV14" s="319">
        <f t="shared" si="0"/>
        <v>1.0556662746894589</v>
      </c>
      <c r="AW14" s="319">
        <f t="shared" si="0"/>
        <v>1.0576401061950818</v>
      </c>
      <c r="AX14" s="319">
        <f t="shared" si="0"/>
        <v>1.0596176282712058</v>
      </c>
      <c r="AY14" s="319">
        <f t="shared" si="0"/>
        <v>1.0615988478182736</v>
      </c>
      <c r="AZ14" s="319">
        <f t="shared" si="0"/>
        <v>1.0635837717496297</v>
      </c>
      <c r="BA14" s="319">
        <f t="shared" si="0"/>
        <v>1.0655724069915447</v>
      </c>
      <c r="BB14" s="319">
        <f t="shared" si="0"/>
        <v>1.0675647604832397</v>
      </c>
      <c r="BC14" s="319">
        <f t="shared" si="0"/>
        <v>1.0695608391769105</v>
      </c>
      <c r="BD14" s="319">
        <f t="shared" si="0"/>
        <v>1.0715606500377517</v>
      </c>
      <c r="BE14" s="319">
        <f t="shared" si="0"/>
        <v>1.0735642000439811</v>
      </c>
      <c r="BF14" s="319">
        <f t="shared" si="0"/>
        <v>1.0755714961868639</v>
      </c>
      <c r="BG14" s="319">
        <f t="shared" si="0"/>
        <v>1.0775825454707373</v>
      </c>
    </row>
    <row r="15" spans="1:61">
      <c r="C15" t="s">
        <v>402</v>
      </c>
      <c r="K15" s="278" t="str">
        <f>GA!$G$143</f>
        <v>Quarterly</v>
      </c>
      <c r="S15" s="207">
        <v>1</v>
      </c>
      <c r="T15" s="319">
        <f>IF($K$15="Annually",IF(T$9=1,T14,S15),T14)</f>
        <v>1.0018697495154929</v>
      </c>
      <c r="U15" s="319">
        <f t="shared" ref="U15:BG15" si="1">IF($K$15="Annually",IF(U$9=1,U14,T15),U14)</f>
        <v>1.0037429949942365</v>
      </c>
      <c r="V15" s="319">
        <f t="shared" si="1"/>
        <v>1.0056197429728064</v>
      </c>
      <c r="W15" s="319">
        <f t="shared" si="1"/>
        <v>1.0074999999999998</v>
      </c>
      <c r="X15" s="319">
        <f t="shared" si="1"/>
        <v>1.0093837726368589</v>
      </c>
      <c r="Y15" s="319">
        <f t="shared" si="1"/>
        <v>1.0112710674566929</v>
      </c>
      <c r="Z15" s="319">
        <f t="shared" si="1"/>
        <v>1.0131618910451021</v>
      </c>
      <c r="AA15" s="319">
        <f t="shared" si="1"/>
        <v>1.0150562499999995</v>
      </c>
      <c r="AB15" s="319">
        <f t="shared" si="1"/>
        <v>1.0169541509316351</v>
      </c>
      <c r="AC15" s="319">
        <f t="shared" si="1"/>
        <v>1.0188556004626179</v>
      </c>
      <c r="AD15" s="319">
        <f t="shared" si="1"/>
        <v>1.0207606052279401</v>
      </c>
      <c r="AE15" s="319">
        <f t="shared" si="1"/>
        <v>1.0226691718749992</v>
      </c>
      <c r="AF15" s="319">
        <f t="shared" si="1"/>
        <v>1.024581307063622</v>
      </c>
      <c r="AG15" s="319">
        <f t="shared" si="1"/>
        <v>1.0264970174660872</v>
      </c>
      <c r="AH15" s="319">
        <f t="shared" si="1"/>
        <v>1.0284163097671493</v>
      </c>
      <c r="AI15" s="319">
        <f t="shared" si="1"/>
        <v>1.0303391906640613</v>
      </c>
      <c r="AJ15" s="319">
        <f t="shared" si="1"/>
        <v>1.0322656668665988</v>
      </c>
      <c r="AK15" s="319">
        <f t="shared" si="1"/>
        <v>1.0341957450970827</v>
      </c>
      <c r="AL15" s="319">
        <f t="shared" si="1"/>
        <v>1.0361294320904029</v>
      </c>
      <c r="AM15" s="319">
        <f t="shared" si="1"/>
        <v>1.0380667345940418</v>
      </c>
      <c r="AN15" s="319">
        <f t="shared" si="1"/>
        <v>1.0400076593680982</v>
      </c>
      <c r="AO15" s="319">
        <f t="shared" si="1"/>
        <v>1.0419522131853107</v>
      </c>
      <c r="AP15" s="319">
        <f t="shared" si="1"/>
        <v>1.0439004028310808</v>
      </c>
      <c r="AQ15" s="319">
        <f t="shared" si="1"/>
        <v>1.0458522351034971</v>
      </c>
      <c r="AR15" s="319">
        <f t="shared" si="1"/>
        <v>1.047807716813359</v>
      </c>
      <c r="AS15" s="319">
        <f t="shared" si="1"/>
        <v>1.0497668547842005</v>
      </c>
      <c r="AT15" s="319">
        <f t="shared" si="1"/>
        <v>1.0517296558523137</v>
      </c>
      <c r="AU15" s="319">
        <f t="shared" si="1"/>
        <v>1.0536961268667731</v>
      </c>
      <c r="AV15" s="319">
        <f t="shared" si="1"/>
        <v>1.0556662746894589</v>
      </c>
      <c r="AW15" s="319">
        <f t="shared" si="1"/>
        <v>1.0576401061950818</v>
      </c>
      <c r="AX15" s="319">
        <f t="shared" si="1"/>
        <v>1.0596176282712058</v>
      </c>
      <c r="AY15" s="319">
        <f t="shared" si="1"/>
        <v>1.0615988478182736</v>
      </c>
      <c r="AZ15" s="319">
        <f t="shared" si="1"/>
        <v>1.0635837717496297</v>
      </c>
      <c r="BA15" s="319">
        <f t="shared" si="1"/>
        <v>1.0655724069915447</v>
      </c>
      <c r="BB15" s="319">
        <f t="shared" si="1"/>
        <v>1.0675647604832397</v>
      </c>
      <c r="BC15" s="319">
        <f t="shared" si="1"/>
        <v>1.0695608391769105</v>
      </c>
      <c r="BD15" s="319">
        <f t="shared" si="1"/>
        <v>1.0715606500377517</v>
      </c>
      <c r="BE15" s="319">
        <f t="shared" si="1"/>
        <v>1.0735642000439811</v>
      </c>
      <c r="BF15" s="319">
        <f t="shared" si="1"/>
        <v>1.0755714961868639</v>
      </c>
      <c r="BG15" s="319">
        <f t="shared" si="1"/>
        <v>1.0775825454707373</v>
      </c>
    </row>
    <row r="17" spans="2:63" s="90" customFormat="1">
      <c r="B17" s="91">
        <f ca="1">MAX(A$1:$B16)+1</f>
        <v>2</v>
      </c>
      <c r="C17" s="92" t="s">
        <v>147</v>
      </c>
    </row>
    <row r="19" spans="2:63" s="95" customFormat="1" ht="30" outlineLevel="1">
      <c r="C19" s="96" t="s">
        <v>4</v>
      </c>
      <c r="D19" s="97" t="s">
        <v>148</v>
      </c>
      <c r="F19" s="97" t="s">
        <v>149</v>
      </c>
      <c r="H19" s="97" t="s">
        <v>150</v>
      </c>
      <c r="J19" s="97" t="s">
        <v>272</v>
      </c>
      <c r="K19" s="97" t="s">
        <v>1711</v>
      </c>
      <c r="M19" s="101" t="s">
        <v>151</v>
      </c>
      <c r="BI19" s="104" t="s">
        <v>152</v>
      </c>
      <c r="BK19" s="102"/>
    </row>
    <row r="20" spans="2:63" outlineLevel="1">
      <c r="C20" s="98">
        <f>RR!C23</f>
        <v>1</v>
      </c>
      <c r="D20" s="98" t="str">
        <f>RR!E23</f>
        <v>1 - 1</v>
      </c>
      <c r="F20" s="93" t="str">
        <f>INDEX(RR!K:K,MATCH(D20,RR!E:E,0))</f>
        <v>backup</v>
      </c>
      <c r="H20" s="72" t="s">
        <v>147</v>
      </c>
      <c r="J20" s="1324">
        <f>INDEX(AA!E:E,MATCH($C20,AA!C:C,0))</f>
        <v>1</v>
      </c>
      <c r="K20" s="1324">
        <f>INDEX(AA!$T$13:$T$47,MATCH($C20,AA!$C$13:$C$47,0))</f>
        <v>1</v>
      </c>
      <c r="M20" s="1324">
        <f>INDEX(AA!AA:AA,MATCH($C20,AA!C:C,0))</f>
        <v>12</v>
      </c>
      <c r="T20" s="230">
        <f>(T$5&lt;=$M20)*$J20*(T$5&gt;=$K20)</f>
        <v>1</v>
      </c>
      <c r="U20" s="230">
        <f t="shared" ref="U20:BG22" si="2">(U$5&lt;=$M20)*$J20*(U$5&gt;=$K20)</f>
        <v>1</v>
      </c>
      <c r="V20" s="230">
        <f t="shared" si="2"/>
        <v>1</v>
      </c>
      <c r="W20" s="230">
        <f t="shared" si="2"/>
        <v>1</v>
      </c>
      <c r="X20" s="230">
        <f t="shared" si="2"/>
        <v>1</v>
      </c>
      <c r="Y20" s="230">
        <f t="shared" si="2"/>
        <v>1</v>
      </c>
      <c r="Z20" s="230">
        <f t="shared" si="2"/>
        <v>1</v>
      </c>
      <c r="AA20" s="230">
        <f t="shared" si="2"/>
        <v>1</v>
      </c>
      <c r="AB20" s="230">
        <f t="shared" si="2"/>
        <v>1</v>
      </c>
      <c r="AC20" s="230">
        <f t="shared" si="2"/>
        <v>1</v>
      </c>
      <c r="AD20" s="230">
        <f t="shared" si="2"/>
        <v>1</v>
      </c>
      <c r="AE20" s="230">
        <f t="shared" si="2"/>
        <v>1</v>
      </c>
      <c r="AF20" s="230">
        <f t="shared" si="2"/>
        <v>0</v>
      </c>
      <c r="AG20" s="230">
        <f t="shared" si="2"/>
        <v>0</v>
      </c>
      <c r="AH20" s="230">
        <f t="shared" si="2"/>
        <v>0</v>
      </c>
      <c r="AI20" s="230">
        <f t="shared" si="2"/>
        <v>0</v>
      </c>
      <c r="AJ20" s="230">
        <f t="shared" si="2"/>
        <v>0</v>
      </c>
      <c r="AK20" s="230">
        <f t="shared" si="2"/>
        <v>0</v>
      </c>
      <c r="AL20" s="230">
        <f t="shared" si="2"/>
        <v>0</v>
      </c>
      <c r="AM20" s="230">
        <f t="shared" si="2"/>
        <v>0</v>
      </c>
      <c r="AN20" s="230">
        <f t="shared" si="2"/>
        <v>0</v>
      </c>
      <c r="AO20" s="230">
        <f t="shared" si="2"/>
        <v>0</v>
      </c>
      <c r="AP20" s="230">
        <f t="shared" si="2"/>
        <v>0</v>
      </c>
      <c r="AQ20" s="230">
        <f t="shared" si="2"/>
        <v>0</v>
      </c>
      <c r="AR20" s="230">
        <f t="shared" si="2"/>
        <v>0</v>
      </c>
      <c r="AS20" s="230">
        <f t="shared" si="2"/>
        <v>0</v>
      </c>
      <c r="AT20" s="230">
        <f t="shared" si="2"/>
        <v>0</v>
      </c>
      <c r="AU20" s="230">
        <f t="shared" si="2"/>
        <v>0</v>
      </c>
      <c r="AV20" s="230">
        <f t="shared" si="2"/>
        <v>0</v>
      </c>
      <c r="AW20" s="230">
        <f t="shared" si="2"/>
        <v>0</v>
      </c>
      <c r="AX20" s="230">
        <f t="shared" si="2"/>
        <v>0</v>
      </c>
      <c r="AY20" s="230">
        <f t="shared" si="2"/>
        <v>0</v>
      </c>
      <c r="AZ20" s="230">
        <f t="shared" si="2"/>
        <v>0</v>
      </c>
      <c r="BA20" s="230">
        <f t="shared" si="2"/>
        <v>0</v>
      </c>
      <c r="BB20" s="230">
        <f t="shared" si="2"/>
        <v>0</v>
      </c>
      <c r="BC20" s="230">
        <f t="shared" si="2"/>
        <v>0</v>
      </c>
      <c r="BD20" s="230">
        <f t="shared" si="2"/>
        <v>0</v>
      </c>
      <c r="BE20" s="230">
        <f t="shared" si="2"/>
        <v>0</v>
      </c>
      <c r="BF20" s="230">
        <f t="shared" si="2"/>
        <v>0</v>
      </c>
      <c r="BG20" s="230">
        <f t="shared" si="2"/>
        <v>0</v>
      </c>
      <c r="BI20" s="105" t="s">
        <v>153</v>
      </c>
      <c r="BK20" s="103"/>
    </row>
    <row r="21" spans="2:63" outlineLevel="1">
      <c r="C21" s="99">
        <f>RR!C24</f>
        <v>2</v>
      </c>
      <c r="D21" s="99" t="str">
        <f>RR!E24</f>
        <v>2 - 1</v>
      </c>
      <c r="F21" s="94" t="str">
        <f>INDEX(RR!K:K,MATCH(D21,RR!E:E,0))</f>
        <v>backup</v>
      </c>
      <c r="H21" s="73" t="s">
        <v>147</v>
      </c>
      <c r="J21" s="1325">
        <f>INDEX(AA!E:E,MATCH($C21,AA!C:C,0))</f>
        <v>1</v>
      </c>
      <c r="K21" s="1325">
        <f>INDEX(AA!$T$13:$T$47,MATCH($C21,AA!$C$13:$C$47,0))</f>
        <v>2</v>
      </c>
      <c r="M21" s="1325">
        <f>INDEX(AA!AA:AA,MATCH($C21,AA!C:C,0))</f>
        <v>12</v>
      </c>
      <c r="T21" s="230">
        <f t="shared" ref="T21:AI22" si="3">(T$5&lt;=$M21)*$J21*(T$5&gt;=$K21)</f>
        <v>0</v>
      </c>
      <c r="U21" s="230">
        <f t="shared" si="3"/>
        <v>1</v>
      </c>
      <c r="V21" s="230">
        <f t="shared" si="3"/>
        <v>1</v>
      </c>
      <c r="W21" s="230">
        <f t="shared" si="3"/>
        <v>1</v>
      </c>
      <c r="X21" s="230">
        <f t="shared" si="3"/>
        <v>1</v>
      </c>
      <c r="Y21" s="230">
        <f t="shared" si="3"/>
        <v>1</v>
      </c>
      <c r="Z21" s="230">
        <f t="shared" si="3"/>
        <v>1</v>
      </c>
      <c r="AA21" s="230">
        <f t="shared" si="3"/>
        <v>1</v>
      </c>
      <c r="AB21" s="230">
        <f t="shared" si="3"/>
        <v>1</v>
      </c>
      <c r="AC21" s="230">
        <f t="shared" si="3"/>
        <v>1</v>
      </c>
      <c r="AD21" s="230">
        <f t="shared" si="3"/>
        <v>1</v>
      </c>
      <c r="AE21" s="230">
        <f t="shared" si="3"/>
        <v>1</v>
      </c>
      <c r="AF21" s="230">
        <f t="shared" si="3"/>
        <v>0</v>
      </c>
      <c r="AG21" s="230">
        <f t="shared" si="3"/>
        <v>0</v>
      </c>
      <c r="AH21" s="230">
        <f t="shared" si="3"/>
        <v>0</v>
      </c>
      <c r="AI21" s="230">
        <f t="shared" si="3"/>
        <v>0</v>
      </c>
      <c r="AJ21" s="230">
        <f t="shared" si="2"/>
        <v>0</v>
      </c>
      <c r="AK21" s="230">
        <f t="shared" si="2"/>
        <v>0</v>
      </c>
      <c r="AL21" s="230">
        <f t="shared" si="2"/>
        <v>0</v>
      </c>
      <c r="AM21" s="230">
        <f t="shared" si="2"/>
        <v>0</v>
      </c>
      <c r="AN21" s="230">
        <f t="shared" si="2"/>
        <v>0</v>
      </c>
      <c r="AO21" s="230">
        <f t="shared" si="2"/>
        <v>0</v>
      </c>
      <c r="AP21" s="230">
        <f t="shared" si="2"/>
        <v>0</v>
      </c>
      <c r="AQ21" s="230">
        <f t="shared" si="2"/>
        <v>0</v>
      </c>
      <c r="AR21" s="230">
        <f t="shared" si="2"/>
        <v>0</v>
      </c>
      <c r="AS21" s="230">
        <f t="shared" si="2"/>
        <v>0</v>
      </c>
      <c r="AT21" s="230">
        <f t="shared" si="2"/>
        <v>0</v>
      </c>
      <c r="AU21" s="230">
        <f t="shared" si="2"/>
        <v>0</v>
      </c>
      <c r="AV21" s="230">
        <f t="shared" si="2"/>
        <v>0</v>
      </c>
      <c r="AW21" s="230">
        <f t="shared" si="2"/>
        <v>0</v>
      </c>
      <c r="AX21" s="230">
        <f t="shared" si="2"/>
        <v>0</v>
      </c>
      <c r="AY21" s="230">
        <f t="shared" si="2"/>
        <v>0</v>
      </c>
      <c r="AZ21" s="230">
        <f t="shared" si="2"/>
        <v>0</v>
      </c>
      <c r="BA21" s="230">
        <f t="shared" si="2"/>
        <v>0</v>
      </c>
      <c r="BB21" s="230">
        <f t="shared" si="2"/>
        <v>0</v>
      </c>
      <c r="BC21" s="230">
        <f t="shared" si="2"/>
        <v>0</v>
      </c>
      <c r="BD21" s="230">
        <f t="shared" si="2"/>
        <v>0</v>
      </c>
      <c r="BE21" s="230">
        <f t="shared" si="2"/>
        <v>0</v>
      </c>
      <c r="BF21" s="230">
        <f t="shared" si="2"/>
        <v>0</v>
      </c>
      <c r="BG21" s="230">
        <f t="shared" si="2"/>
        <v>0</v>
      </c>
      <c r="BI21" s="106" t="s">
        <v>153</v>
      </c>
      <c r="BK21" s="103"/>
    </row>
    <row r="22" spans="2:63" outlineLevel="1">
      <c r="C22" s="99">
        <f>RR!C25</f>
        <v>3</v>
      </c>
      <c r="D22" s="99" t="str">
        <f>RR!E25</f>
        <v>3 - 1</v>
      </c>
      <c r="F22" s="94" t="str">
        <f>INDEX(RR!K:K,MATCH(D22,RR!E:E,0))</f>
        <v>backup</v>
      </c>
      <c r="H22" s="73" t="s">
        <v>147</v>
      </c>
      <c r="J22" s="1325">
        <f>INDEX(AA!E:E,MATCH($C22,AA!C:C,0))</f>
        <v>1</v>
      </c>
      <c r="K22" s="1325">
        <f>INDEX(AA!$T$13:$T$47,MATCH($C22,AA!$C$13:$C$47,0))</f>
        <v>3</v>
      </c>
      <c r="M22" s="1325">
        <f>INDEX(AA!AA:AA,MATCH($C22,AA!C:C,0))</f>
        <v>12</v>
      </c>
      <c r="T22" s="230">
        <f t="shared" si="3"/>
        <v>0</v>
      </c>
      <c r="U22" s="230">
        <f t="shared" si="2"/>
        <v>0</v>
      </c>
      <c r="V22" s="230">
        <f t="shared" si="2"/>
        <v>1</v>
      </c>
      <c r="W22" s="230">
        <f t="shared" si="2"/>
        <v>1</v>
      </c>
      <c r="X22" s="230">
        <f t="shared" si="2"/>
        <v>1</v>
      </c>
      <c r="Y22" s="230">
        <f t="shared" si="2"/>
        <v>1</v>
      </c>
      <c r="Z22" s="230">
        <f t="shared" si="2"/>
        <v>1</v>
      </c>
      <c r="AA22" s="230">
        <f t="shared" si="2"/>
        <v>1</v>
      </c>
      <c r="AB22" s="230">
        <f t="shared" si="2"/>
        <v>1</v>
      </c>
      <c r="AC22" s="230">
        <f t="shared" si="2"/>
        <v>1</v>
      </c>
      <c r="AD22" s="230">
        <f t="shared" si="2"/>
        <v>1</v>
      </c>
      <c r="AE22" s="230">
        <f t="shared" si="2"/>
        <v>1</v>
      </c>
      <c r="AF22" s="230">
        <f t="shared" si="2"/>
        <v>0</v>
      </c>
      <c r="AG22" s="230">
        <f t="shared" si="2"/>
        <v>0</v>
      </c>
      <c r="AH22" s="230">
        <f t="shared" si="2"/>
        <v>0</v>
      </c>
      <c r="AI22" s="230">
        <f t="shared" si="2"/>
        <v>0</v>
      </c>
      <c r="AJ22" s="230">
        <f t="shared" si="2"/>
        <v>0</v>
      </c>
      <c r="AK22" s="230">
        <f t="shared" si="2"/>
        <v>0</v>
      </c>
      <c r="AL22" s="230">
        <f t="shared" si="2"/>
        <v>0</v>
      </c>
      <c r="AM22" s="230">
        <f t="shared" si="2"/>
        <v>0</v>
      </c>
      <c r="AN22" s="230">
        <f t="shared" si="2"/>
        <v>0</v>
      </c>
      <c r="AO22" s="230">
        <f t="shared" si="2"/>
        <v>0</v>
      </c>
      <c r="AP22" s="230">
        <f t="shared" si="2"/>
        <v>0</v>
      </c>
      <c r="AQ22" s="230">
        <f t="shared" si="2"/>
        <v>0</v>
      </c>
      <c r="AR22" s="230">
        <f t="shared" si="2"/>
        <v>0</v>
      </c>
      <c r="AS22" s="230">
        <f t="shared" si="2"/>
        <v>0</v>
      </c>
      <c r="AT22" s="230">
        <f t="shared" si="2"/>
        <v>0</v>
      </c>
      <c r="AU22" s="230">
        <f t="shared" si="2"/>
        <v>0</v>
      </c>
      <c r="AV22" s="230">
        <f t="shared" si="2"/>
        <v>0</v>
      </c>
      <c r="AW22" s="230">
        <f t="shared" si="2"/>
        <v>0</v>
      </c>
      <c r="AX22" s="230">
        <f t="shared" si="2"/>
        <v>0</v>
      </c>
      <c r="AY22" s="230">
        <f t="shared" si="2"/>
        <v>0</v>
      </c>
      <c r="AZ22" s="230">
        <f t="shared" si="2"/>
        <v>0</v>
      </c>
      <c r="BA22" s="230">
        <f t="shared" si="2"/>
        <v>0</v>
      </c>
      <c r="BB22" s="230">
        <f t="shared" si="2"/>
        <v>0</v>
      </c>
      <c r="BC22" s="230">
        <f t="shared" si="2"/>
        <v>0</v>
      </c>
      <c r="BD22" s="230">
        <f t="shared" si="2"/>
        <v>0</v>
      </c>
      <c r="BE22" s="230">
        <f t="shared" si="2"/>
        <v>0</v>
      </c>
      <c r="BF22" s="230">
        <f t="shared" si="2"/>
        <v>0</v>
      </c>
      <c r="BG22" s="230">
        <f t="shared" si="2"/>
        <v>0</v>
      </c>
      <c r="BI22" s="106" t="s">
        <v>153</v>
      </c>
      <c r="BK22" s="103"/>
    </row>
    <row r="23" spans="2:63" outlineLevel="1">
      <c r="C23" s="269"/>
      <c r="D23" s="269"/>
      <c r="F23" s="269"/>
      <c r="H23" s="269"/>
      <c r="J23" s="269"/>
      <c r="K23" s="269"/>
      <c r="M23" s="269"/>
      <c r="BI23" s="269"/>
      <c r="BK23" s="269"/>
    </row>
    <row r="24" spans="2:63" outlineLevel="1"/>
    <row r="25" spans="2:63" s="90" customFormat="1" outlineLevel="1">
      <c r="B25" s="91">
        <f ca="1">MAX(A$1:$B24)+1</f>
        <v>3</v>
      </c>
      <c r="C25" s="92" t="s">
        <v>154</v>
      </c>
    </row>
    <row r="26" spans="2:63" outlineLevel="1"/>
    <row r="27" spans="2:63" outlineLevel="1">
      <c r="M27" s="226" t="s">
        <v>11</v>
      </c>
      <c r="N27" s="225"/>
    </row>
    <row r="28" spans="2:63" ht="30" outlineLevel="1">
      <c r="C28" s="96" t="s">
        <v>4</v>
      </c>
      <c r="D28" s="97" t="s">
        <v>148</v>
      </c>
      <c r="E28" s="95"/>
      <c r="F28" s="97" t="s">
        <v>149</v>
      </c>
      <c r="G28" s="95"/>
      <c r="H28" s="97" t="s">
        <v>150</v>
      </c>
      <c r="I28" s="95"/>
      <c r="J28" s="97" t="s">
        <v>272</v>
      </c>
      <c r="K28" s="97" t="s">
        <v>273</v>
      </c>
      <c r="M28" s="96" t="s">
        <v>292</v>
      </c>
      <c r="N28" s="97" t="s">
        <v>293</v>
      </c>
      <c r="BI28" s="104" t="s">
        <v>152</v>
      </c>
      <c r="BJ28" s="95"/>
      <c r="BK28" s="102"/>
    </row>
    <row r="29" spans="2:63" outlineLevel="1">
      <c r="C29" s="98">
        <f>RR!C23</f>
        <v>1</v>
      </c>
      <c r="D29" s="98" t="str">
        <f>RR!E23</f>
        <v>1 - 1</v>
      </c>
      <c r="F29" s="93" t="str">
        <f>INDEX(RR!K:K,MATCH(D29,RR!E:E,0))</f>
        <v>backup</v>
      </c>
      <c r="H29" s="72" t="s">
        <v>154</v>
      </c>
      <c r="J29" s="1324">
        <f>INDEX(AA!E:E,MATCH($C29,AA!C:C,0))</f>
        <v>1</v>
      </c>
      <c r="K29" s="1324">
        <f>INDEX(TA!$G:$G,MATCH($D29,TA!$D:$D,0))</f>
        <v>1</v>
      </c>
      <c r="M29" s="223">
        <f>INDEX(TA!$AA:$AA,MATCH($D29,TA!$D:$D,0))</f>
        <v>43466</v>
      </c>
      <c r="N29" s="223">
        <f>INDEX(TA!$AF:$AF,MATCH($D29,TA!$D:$D,0))</f>
        <v>50770</v>
      </c>
      <c r="T29" s="230">
        <f>$J29*$K29*MAX(0,MIN(T$4,$N29)-MAX(S$4,$M29))/T$7</f>
        <v>1</v>
      </c>
      <c r="U29" s="230">
        <f t="shared" ref="U29:BG29" si="4">$J29*$K29*MAX(0,MIN(U$4,$N29)-MAX(T$4,$M29))/U$7</f>
        <v>1</v>
      </c>
      <c r="V29" s="230">
        <f t="shared" si="4"/>
        <v>1</v>
      </c>
      <c r="W29" s="230">
        <f t="shared" si="4"/>
        <v>1</v>
      </c>
      <c r="X29" s="230">
        <f t="shared" si="4"/>
        <v>1</v>
      </c>
      <c r="Y29" s="230">
        <f t="shared" si="4"/>
        <v>1</v>
      </c>
      <c r="Z29" s="230">
        <f t="shared" si="4"/>
        <v>1</v>
      </c>
      <c r="AA29" s="230">
        <f t="shared" si="4"/>
        <v>1</v>
      </c>
      <c r="AB29" s="230">
        <f t="shared" si="4"/>
        <v>1</v>
      </c>
      <c r="AC29" s="230">
        <f t="shared" si="4"/>
        <v>1</v>
      </c>
      <c r="AD29" s="230">
        <f t="shared" si="4"/>
        <v>1</v>
      </c>
      <c r="AE29" s="230">
        <f t="shared" si="4"/>
        <v>1</v>
      </c>
      <c r="AF29" s="230">
        <f t="shared" si="4"/>
        <v>1</v>
      </c>
      <c r="AG29" s="230">
        <f t="shared" si="4"/>
        <v>1</v>
      </c>
      <c r="AH29" s="230">
        <f t="shared" si="4"/>
        <v>1</v>
      </c>
      <c r="AI29" s="230">
        <f t="shared" si="4"/>
        <v>1</v>
      </c>
      <c r="AJ29" s="230">
        <f t="shared" si="4"/>
        <v>1</v>
      </c>
      <c r="AK29" s="230">
        <f t="shared" si="4"/>
        <v>1</v>
      </c>
      <c r="AL29" s="230">
        <f t="shared" si="4"/>
        <v>1</v>
      </c>
      <c r="AM29" s="230">
        <f t="shared" si="4"/>
        <v>1</v>
      </c>
      <c r="AN29" s="230">
        <f t="shared" si="4"/>
        <v>1</v>
      </c>
      <c r="AO29" s="230">
        <f t="shared" si="4"/>
        <v>1</v>
      </c>
      <c r="AP29" s="230">
        <f t="shared" si="4"/>
        <v>1</v>
      </c>
      <c r="AQ29" s="230">
        <f t="shared" si="4"/>
        <v>1</v>
      </c>
      <c r="AR29" s="230">
        <f t="shared" si="4"/>
        <v>1</v>
      </c>
      <c r="AS29" s="230">
        <f t="shared" si="4"/>
        <v>1</v>
      </c>
      <c r="AT29" s="230">
        <f t="shared" si="4"/>
        <v>1</v>
      </c>
      <c r="AU29" s="230">
        <f t="shared" si="4"/>
        <v>1</v>
      </c>
      <c r="AV29" s="230">
        <f t="shared" si="4"/>
        <v>1</v>
      </c>
      <c r="AW29" s="230">
        <f t="shared" si="4"/>
        <v>1</v>
      </c>
      <c r="AX29" s="230">
        <f t="shared" si="4"/>
        <v>1</v>
      </c>
      <c r="AY29" s="230">
        <f t="shared" si="4"/>
        <v>1</v>
      </c>
      <c r="AZ29" s="230">
        <f t="shared" si="4"/>
        <v>1</v>
      </c>
      <c r="BA29" s="230">
        <f t="shared" si="4"/>
        <v>1</v>
      </c>
      <c r="BB29" s="230">
        <f t="shared" si="4"/>
        <v>1</v>
      </c>
      <c r="BC29" s="230">
        <f t="shared" si="4"/>
        <v>1</v>
      </c>
      <c r="BD29" s="230">
        <f t="shared" si="4"/>
        <v>1</v>
      </c>
      <c r="BE29" s="230">
        <f t="shared" si="4"/>
        <v>1</v>
      </c>
      <c r="BF29" s="230">
        <f t="shared" si="4"/>
        <v>1</v>
      </c>
      <c r="BG29" s="230">
        <f t="shared" si="4"/>
        <v>1</v>
      </c>
      <c r="BI29" s="105" t="s">
        <v>153</v>
      </c>
      <c r="BK29" s="103"/>
    </row>
    <row r="30" spans="2:63" outlineLevel="1">
      <c r="C30" s="99">
        <f>RR!C24</f>
        <v>2</v>
      </c>
      <c r="D30" s="99" t="str">
        <f>RR!E24</f>
        <v>2 - 1</v>
      </c>
      <c r="F30" s="94" t="str">
        <f>INDEX(RR!K:K,MATCH(D30,RR!E:E,0))</f>
        <v>backup</v>
      </c>
      <c r="H30" s="73" t="s">
        <v>154</v>
      </c>
      <c r="J30" s="1325">
        <f>INDEX(AA!E:E,MATCH($C30,AA!C:C,0))</f>
        <v>1</v>
      </c>
      <c r="K30" s="1325">
        <f>INDEX(TA!$G:$G,MATCH($D30,TA!$D:$D,0))</f>
        <v>1</v>
      </c>
      <c r="M30" s="224">
        <f>INDEX(TA!$AA:$AA,MATCH($D30,TA!$D:$D,0))</f>
        <v>43466</v>
      </c>
      <c r="N30" s="224">
        <f>INDEX(TA!$AF:$AF,MATCH($D30,TA!$D:$D,0))</f>
        <v>50770</v>
      </c>
      <c r="T30" s="230">
        <f t="shared" ref="T30:BG30" si="5">$J30*$K30*MAX(0,MIN(T$4,$N30)-MAX(S$4,$M30))/T$7</f>
        <v>1</v>
      </c>
      <c r="U30" s="230">
        <f t="shared" si="5"/>
        <v>1</v>
      </c>
      <c r="V30" s="230">
        <f t="shared" si="5"/>
        <v>1</v>
      </c>
      <c r="W30" s="230">
        <f t="shared" si="5"/>
        <v>1</v>
      </c>
      <c r="X30" s="230">
        <f t="shared" si="5"/>
        <v>1</v>
      </c>
      <c r="Y30" s="230">
        <f t="shared" si="5"/>
        <v>1</v>
      </c>
      <c r="Z30" s="230">
        <f t="shared" si="5"/>
        <v>1</v>
      </c>
      <c r="AA30" s="230">
        <f t="shared" si="5"/>
        <v>1</v>
      </c>
      <c r="AB30" s="230">
        <f t="shared" si="5"/>
        <v>1</v>
      </c>
      <c r="AC30" s="230">
        <f t="shared" si="5"/>
        <v>1</v>
      </c>
      <c r="AD30" s="230">
        <f t="shared" si="5"/>
        <v>1</v>
      </c>
      <c r="AE30" s="230">
        <f t="shared" si="5"/>
        <v>1</v>
      </c>
      <c r="AF30" s="230">
        <f t="shared" si="5"/>
        <v>1</v>
      </c>
      <c r="AG30" s="230">
        <f t="shared" si="5"/>
        <v>1</v>
      </c>
      <c r="AH30" s="230">
        <f t="shared" si="5"/>
        <v>1</v>
      </c>
      <c r="AI30" s="230">
        <f t="shared" si="5"/>
        <v>1</v>
      </c>
      <c r="AJ30" s="230">
        <f t="shared" si="5"/>
        <v>1</v>
      </c>
      <c r="AK30" s="230">
        <f t="shared" si="5"/>
        <v>1</v>
      </c>
      <c r="AL30" s="230">
        <f t="shared" si="5"/>
        <v>1</v>
      </c>
      <c r="AM30" s="230">
        <f t="shared" si="5"/>
        <v>1</v>
      </c>
      <c r="AN30" s="230">
        <f t="shared" si="5"/>
        <v>1</v>
      </c>
      <c r="AO30" s="230">
        <f t="shared" si="5"/>
        <v>1</v>
      </c>
      <c r="AP30" s="230">
        <f t="shared" si="5"/>
        <v>1</v>
      </c>
      <c r="AQ30" s="230">
        <f t="shared" si="5"/>
        <v>1</v>
      </c>
      <c r="AR30" s="230">
        <f t="shared" si="5"/>
        <v>1</v>
      </c>
      <c r="AS30" s="230">
        <f t="shared" si="5"/>
        <v>1</v>
      </c>
      <c r="AT30" s="230">
        <f t="shared" si="5"/>
        <v>1</v>
      </c>
      <c r="AU30" s="230">
        <f t="shared" si="5"/>
        <v>1</v>
      </c>
      <c r="AV30" s="230">
        <f t="shared" si="5"/>
        <v>1</v>
      </c>
      <c r="AW30" s="230">
        <f t="shared" si="5"/>
        <v>1</v>
      </c>
      <c r="AX30" s="230">
        <f t="shared" si="5"/>
        <v>1</v>
      </c>
      <c r="AY30" s="230">
        <f t="shared" si="5"/>
        <v>1</v>
      </c>
      <c r="AZ30" s="230">
        <f t="shared" si="5"/>
        <v>1</v>
      </c>
      <c r="BA30" s="230">
        <f t="shared" si="5"/>
        <v>1</v>
      </c>
      <c r="BB30" s="230">
        <f t="shared" si="5"/>
        <v>1</v>
      </c>
      <c r="BC30" s="230">
        <f t="shared" si="5"/>
        <v>1</v>
      </c>
      <c r="BD30" s="230">
        <f t="shared" si="5"/>
        <v>1</v>
      </c>
      <c r="BE30" s="230">
        <f t="shared" si="5"/>
        <v>1</v>
      </c>
      <c r="BF30" s="230">
        <f t="shared" si="5"/>
        <v>1</v>
      </c>
      <c r="BG30" s="230">
        <f t="shared" si="5"/>
        <v>1</v>
      </c>
      <c r="BI30" s="106" t="s">
        <v>153</v>
      </c>
      <c r="BK30" s="103"/>
    </row>
    <row r="31" spans="2:63" outlineLevel="1">
      <c r="C31" s="99">
        <f>RR!C25</f>
        <v>3</v>
      </c>
      <c r="D31" s="99" t="str">
        <f>RR!E25</f>
        <v>3 - 1</v>
      </c>
      <c r="F31" s="94" t="str">
        <f>INDEX(RR!K:K,MATCH(D31,RR!E:E,0))</f>
        <v>backup</v>
      </c>
      <c r="H31" s="73" t="s">
        <v>154</v>
      </c>
      <c r="J31" s="1325">
        <f>INDEX(AA!E:E,MATCH($C31,AA!C:C,0))</f>
        <v>1</v>
      </c>
      <c r="K31" s="1325">
        <f>INDEX(TA!$G:$G,MATCH($D31,TA!$D:$D,0))</f>
        <v>1</v>
      </c>
      <c r="M31" s="224">
        <f>INDEX(TA!$AA:$AA,MATCH($D31,TA!$D:$D,0))</f>
        <v>43466</v>
      </c>
      <c r="N31" s="224">
        <f>INDEX(TA!$AF:$AF,MATCH($D31,TA!$D:$D,0))</f>
        <v>50770</v>
      </c>
      <c r="T31" s="230">
        <f t="shared" ref="T31" si="6">$J31*$K31*MAX(0,MIN(T$4,$N31)-MAX(S$4,$M31))/T$7</f>
        <v>1</v>
      </c>
      <c r="U31" s="230">
        <f t="shared" ref="U31" si="7">$J31*$K31*MAX(0,MIN(U$4,$N31)-MAX(T$4,$M31))/U$7</f>
        <v>1</v>
      </c>
      <c r="V31" s="230">
        <f t="shared" ref="V31" si="8">$J31*$K31*MAX(0,MIN(V$4,$N31)-MAX(U$4,$M31))/V$7</f>
        <v>1</v>
      </c>
      <c r="W31" s="230">
        <f t="shared" ref="W31" si="9">$J31*$K31*MAX(0,MIN(W$4,$N31)-MAX(V$4,$M31))/W$7</f>
        <v>1</v>
      </c>
      <c r="X31" s="230">
        <f t="shared" ref="X31" si="10">$J31*$K31*MAX(0,MIN(X$4,$N31)-MAX(W$4,$M31))/X$7</f>
        <v>1</v>
      </c>
      <c r="Y31" s="230">
        <f t="shared" ref="Y31" si="11">$J31*$K31*MAX(0,MIN(Y$4,$N31)-MAX(X$4,$M31))/Y$7</f>
        <v>1</v>
      </c>
      <c r="Z31" s="230">
        <f t="shared" ref="Z31" si="12">$J31*$K31*MAX(0,MIN(Z$4,$N31)-MAX(Y$4,$M31))/Z$7</f>
        <v>1</v>
      </c>
      <c r="AA31" s="230">
        <f t="shared" ref="AA31" si="13">$J31*$K31*MAX(0,MIN(AA$4,$N31)-MAX(Z$4,$M31))/AA$7</f>
        <v>1</v>
      </c>
      <c r="AB31" s="230">
        <f t="shared" ref="AB31" si="14">$J31*$K31*MAX(0,MIN(AB$4,$N31)-MAX(AA$4,$M31))/AB$7</f>
        <v>1</v>
      </c>
      <c r="AC31" s="230">
        <f t="shared" ref="AC31" si="15">$J31*$K31*MAX(0,MIN(AC$4,$N31)-MAX(AB$4,$M31))/AC$7</f>
        <v>1</v>
      </c>
      <c r="AD31" s="230">
        <f t="shared" ref="AD31" si="16">$J31*$K31*MAX(0,MIN(AD$4,$N31)-MAX(AC$4,$M31))/AD$7</f>
        <v>1</v>
      </c>
      <c r="AE31" s="230">
        <f t="shared" ref="AE31" si="17">$J31*$K31*MAX(0,MIN(AE$4,$N31)-MAX(AD$4,$M31))/AE$7</f>
        <v>1</v>
      </c>
      <c r="AF31" s="230">
        <f t="shared" ref="AF31" si="18">$J31*$K31*MAX(0,MIN(AF$4,$N31)-MAX(AE$4,$M31))/AF$7</f>
        <v>1</v>
      </c>
      <c r="AG31" s="230">
        <f t="shared" ref="AG31" si="19">$J31*$K31*MAX(0,MIN(AG$4,$N31)-MAX(AF$4,$M31))/AG$7</f>
        <v>1</v>
      </c>
      <c r="AH31" s="230">
        <f t="shared" ref="AH31" si="20">$J31*$K31*MAX(0,MIN(AH$4,$N31)-MAX(AG$4,$M31))/AH$7</f>
        <v>1</v>
      </c>
      <c r="AI31" s="230">
        <f t="shared" ref="AI31" si="21">$J31*$K31*MAX(0,MIN(AI$4,$N31)-MAX(AH$4,$M31))/AI$7</f>
        <v>1</v>
      </c>
      <c r="AJ31" s="230">
        <f t="shared" ref="AJ31" si="22">$J31*$K31*MAX(0,MIN(AJ$4,$N31)-MAX(AI$4,$M31))/AJ$7</f>
        <v>1</v>
      </c>
      <c r="AK31" s="230">
        <f t="shared" ref="AK31" si="23">$J31*$K31*MAX(0,MIN(AK$4,$N31)-MAX(AJ$4,$M31))/AK$7</f>
        <v>1</v>
      </c>
      <c r="AL31" s="230">
        <f t="shared" ref="AL31" si="24">$J31*$K31*MAX(0,MIN(AL$4,$N31)-MAX(AK$4,$M31))/AL$7</f>
        <v>1</v>
      </c>
      <c r="AM31" s="230">
        <f t="shared" ref="AM31" si="25">$J31*$K31*MAX(0,MIN(AM$4,$N31)-MAX(AL$4,$M31))/AM$7</f>
        <v>1</v>
      </c>
      <c r="AN31" s="230">
        <f t="shared" ref="AN31" si="26">$J31*$K31*MAX(0,MIN(AN$4,$N31)-MAX(AM$4,$M31))/AN$7</f>
        <v>1</v>
      </c>
      <c r="AO31" s="230">
        <f t="shared" ref="AO31" si="27">$J31*$K31*MAX(0,MIN(AO$4,$N31)-MAX(AN$4,$M31))/AO$7</f>
        <v>1</v>
      </c>
      <c r="AP31" s="230">
        <f t="shared" ref="AP31" si="28">$J31*$K31*MAX(0,MIN(AP$4,$N31)-MAX(AO$4,$M31))/AP$7</f>
        <v>1</v>
      </c>
      <c r="AQ31" s="230">
        <f t="shared" ref="AQ31" si="29">$J31*$K31*MAX(0,MIN(AQ$4,$N31)-MAX(AP$4,$M31))/AQ$7</f>
        <v>1</v>
      </c>
      <c r="AR31" s="230">
        <f t="shared" ref="AR31" si="30">$J31*$K31*MAX(0,MIN(AR$4,$N31)-MAX(AQ$4,$M31))/AR$7</f>
        <v>1</v>
      </c>
      <c r="AS31" s="230">
        <f t="shared" ref="AS31" si="31">$J31*$K31*MAX(0,MIN(AS$4,$N31)-MAX(AR$4,$M31))/AS$7</f>
        <v>1</v>
      </c>
      <c r="AT31" s="230">
        <f t="shared" ref="AT31" si="32">$J31*$K31*MAX(0,MIN(AT$4,$N31)-MAX(AS$4,$M31))/AT$7</f>
        <v>1</v>
      </c>
      <c r="AU31" s="230">
        <f t="shared" ref="AU31" si="33">$J31*$K31*MAX(0,MIN(AU$4,$N31)-MAX(AT$4,$M31))/AU$7</f>
        <v>1</v>
      </c>
      <c r="AV31" s="230">
        <f t="shared" ref="AV31" si="34">$J31*$K31*MAX(0,MIN(AV$4,$N31)-MAX(AU$4,$M31))/AV$7</f>
        <v>1</v>
      </c>
      <c r="AW31" s="230">
        <f t="shared" ref="AW31" si="35">$J31*$K31*MAX(0,MIN(AW$4,$N31)-MAX(AV$4,$M31))/AW$7</f>
        <v>1</v>
      </c>
      <c r="AX31" s="230">
        <f t="shared" ref="AX31" si="36">$J31*$K31*MAX(0,MIN(AX$4,$N31)-MAX(AW$4,$M31))/AX$7</f>
        <v>1</v>
      </c>
      <c r="AY31" s="230">
        <f t="shared" ref="AY31" si="37">$J31*$K31*MAX(0,MIN(AY$4,$N31)-MAX(AX$4,$M31))/AY$7</f>
        <v>1</v>
      </c>
      <c r="AZ31" s="230">
        <f t="shared" ref="AZ31" si="38">$J31*$K31*MAX(0,MIN(AZ$4,$N31)-MAX(AY$4,$M31))/AZ$7</f>
        <v>1</v>
      </c>
      <c r="BA31" s="230">
        <f t="shared" ref="BA31" si="39">$J31*$K31*MAX(0,MIN(BA$4,$N31)-MAX(AZ$4,$M31))/BA$7</f>
        <v>1</v>
      </c>
      <c r="BB31" s="230">
        <f t="shared" ref="BB31" si="40">$J31*$K31*MAX(0,MIN(BB$4,$N31)-MAX(BA$4,$M31))/BB$7</f>
        <v>1</v>
      </c>
      <c r="BC31" s="230">
        <f t="shared" ref="BC31" si="41">$J31*$K31*MAX(0,MIN(BC$4,$N31)-MAX(BB$4,$M31))/BC$7</f>
        <v>1</v>
      </c>
      <c r="BD31" s="230">
        <f t="shared" ref="BD31" si="42">$J31*$K31*MAX(0,MIN(BD$4,$N31)-MAX(BC$4,$M31))/BD$7</f>
        <v>1</v>
      </c>
      <c r="BE31" s="230">
        <f t="shared" ref="BE31" si="43">$J31*$K31*MAX(0,MIN(BE$4,$N31)-MAX(BD$4,$M31))/BE$7</f>
        <v>1</v>
      </c>
      <c r="BF31" s="230">
        <f t="shared" ref="BF31" si="44">$J31*$K31*MAX(0,MIN(BF$4,$N31)-MAX(BE$4,$M31))/BF$7</f>
        <v>1</v>
      </c>
      <c r="BG31" s="230">
        <f t="shared" ref="BG31" si="45">$J31*$K31*MAX(0,MIN(BG$4,$N31)-MAX(BF$4,$M31))/BG$7</f>
        <v>1</v>
      </c>
      <c r="BI31" s="106" t="s">
        <v>153</v>
      </c>
      <c r="BK31" s="103"/>
    </row>
    <row r="32" spans="2:63" outlineLevel="1">
      <c r="C32" s="269"/>
      <c r="D32" s="269"/>
      <c r="F32" s="269"/>
      <c r="H32" s="269"/>
      <c r="J32" s="269"/>
      <c r="K32" s="269"/>
      <c r="M32" s="269"/>
      <c r="N32" s="269"/>
      <c r="BI32" s="269"/>
      <c r="BK32" s="269"/>
    </row>
    <row r="33" spans="2:63" outlineLevel="1"/>
    <row r="34" spans="2:63" s="90" customFormat="1" outlineLevel="1">
      <c r="B34" s="91">
        <f ca="1">MAX(A$1:$B33)+1</f>
        <v>4</v>
      </c>
      <c r="C34" s="92" t="s">
        <v>296</v>
      </c>
    </row>
    <row r="35" spans="2:63" outlineLevel="1">
      <c r="B35" s="228"/>
      <c r="C35" s="229"/>
    </row>
    <row r="36" spans="2:63" outlineLevel="1">
      <c r="M36" s="226" t="s">
        <v>297</v>
      </c>
      <c r="N36" s="225"/>
    </row>
    <row r="37" spans="2:63" ht="30" outlineLevel="1">
      <c r="C37" s="96" t="s">
        <v>4</v>
      </c>
      <c r="D37" s="97" t="s">
        <v>148</v>
      </c>
      <c r="E37" s="95"/>
      <c r="F37" s="97" t="s">
        <v>149</v>
      </c>
      <c r="G37" s="95"/>
      <c r="H37" s="97" t="s">
        <v>150</v>
      </c>
      <c r="I37" s="95"/>
      <c r="J37" s="97" t="s">
        <v>272</v>
      </c>
      <c r="K37" s="97" t="s">
        <v>273</v>
      </c>
      <c r="M37" s="96" t="s">
        <v>292</v>
      </c>
      <c r="N37" s="97" t="s">
        <v>293</v>
      </c>
      <c r="BI37" s="104" t="s">
        <v>152</v>
      </c>
      <c r="BJ37" s="95"/>
      <c r="BK37" s="102"/>
    </row>
    <row r="38" spans="2:63" outlineLevel="1">
      <c r="C38" s="98">
        <f>RR!C23</f>
        <v>1</v>
      </c>
      <c r="D38" s="98" t="str">
        <f>RR!E23</f>
        <v>1 - 1</v>
      </c>
      <c r="F38" s="93" t="str">
        <f>INDEX(RR!K:K,MATCH(D38,RR!E:E,0))</f>
        <v>backup</v>
      </c>
      <c r="H38" s="72" t="s">
        <v>296</v>
      </c>
      <c r="J38" s="1324">
        <f>INDEX(AA!E:E,MATCH($C38,AA!C:C,0))</f>
        <v>1</v>
      </c>
      <c r="K38" s="1324">
        <f>INDEX(TA!$G:$G,MATCH($D38,TA!$D:$D,0))</f>
        <v>1</v>
      </c>
      <c r="M38" s="223">
        <f>INDEX(TA!$AA:$AA,MATCH($D38,TA!$D:$D,0))</f>
        <v>43466</v>
      </c>
      <c r="N38" s="223">
        <f>INDEX(TA!$AF:$AF,MATCH($D38,TA!$D:$D,0))</f>
        <v>50770</v>
      </c>
      <c r="T38" s="230">
        <f>$J38*$K38*MAX(0,MIN(T$4,$N38)-MAX(S$4,$M38))/T$7</f>
        <v>1</v>
      </c>
      <c r="U38" s="230">
        <f t="shared" ref="U38:U39" si="46">$J38*$K38*MAX(0,MIN(U$4,$N38)-MAX(T$4,$M38))/U$7</f>
        <v>1</v>
      </c>
      <c r="V38" s="230">
        <f t="shared" ref="V38:V39" si="47">$J38*$K38*MAX(0,MIN(V$4,$N38)-MAX(U$4,$M38))/V$7</f>
        <v>1</v>
      </c>
      <c r="W38" s="230">
        <f t="shared" ref="W38:W39" si="48">$J38*$K38*MAX(0,MIN(W$4,$N38)-MAX(V$4,$M38))/W$7</f>
        <v>1</v>
      </c>
      <c r="X38" s="230">
        <f t="shared" ref="X38:X39" si="49">$J38*$K38*MAX(0,MIN(X$4,$N38)-MAX(W$4,$M38))/X$7</f>
        <v>1</v>
      </c>
      <c r="Y38" s="230">
        <f t="shared" ref="Y38:Y39" si="50">$J38*$K38*MAX(0,MIN(Y$4,$N38)-MAX(X$4,$M38))/Y$7</f>
        <v>1</v>
      </c>
      <c r="Z38" s="230">
        <f t="shared" ref="Z38:Z39" si="51">$J38*$K38*MAX(0,MIN(Z$4,$N38)-MAX(Y$4,$M38))/Z$7</f>
        <v>1</v>
      </c>
      <c r="AA38" s="230">
        <f t="shared" ref="AA38:AA39" si="52">$J38*$K38*MAX(0,MIN(AA$4,$N38)-MAX(Z$4,$M38))/AA$7</f>
        <v>1</v>
      </c>
      <c r="AB38" s="230">
        <f t="shared" ref="AB38:AB39" si="53">$J38*$K38*MAX(0,MIN(AB$4,$N38)-MAX(AA$4,$M38))/AB$7</f>
        <v>1</v>
      </c>
      <c r="AC38" s="230">
        <f t="shared" ref="AC38:AC39" si="54">$J38*$K38*MAX(0,MIN(AC$4,$N38)-MAX(AB$4,$M38))/AC$7</f>
        <v>1</v>
      </c>
      <c r="AD38" s="230">
        <f t="shared" ref="AD38:AD39" si="55">$J38*$K38*MAX(0,MIN(AD$4,$N38)-MAX(AC$4,$M38))/AD$7</f>
        <v>1</v>
      </c>
      <c r="AE38" s="230">
        <f t="shared" ref="AE38:AE39" si="56">$J38*$K38*MAX(0,MIN(AE$4,$N38)-MAX(AD$4,$M38))/AE$7</f>
        <v>1</v>
      </c>
      <c r="AF38" s="230">
        <f t="shared" ref="AF38:AF39" si="57">$J38*$K38*MAX(0,MIN(AF$4,$N38)-MAX(AE$4,$M38))/AF$7</f>
        <v>1</v>
      </c>
      <c r="AG38" s="230">
        <f t="shared" ref="AG38:AG39" si="58">$J38*$K38*MAX(0,MIN(AG$4,$N38)-MAX(AF$4,$M38))/AG$7</f>
        <v>1</v>
      </c>
      <c r="AH38" s="230">
        <f t="shared" ref="AH38:AH39" si="59">$J38*$K38*MAX(0,MIN(AH$4,$N38)-MAX(AG$4,$M38))/AH$7</f>
        <v>1</v>
      </c>
      <c r="AI38" s="230">
        <f t="shared" ref="AI38:AI39" si="60">$J38*$K38*MAX(0,MIN(AI$4,$N38)-MAX(AH$4,$M38))/AI$7</f>
        <v>1</v>
      </c>
      <c r="AJ38" s="230">
        <f t="shared" ref="AJ38:AJ39" si="61">$J38*$K38*MAX(0,MIN(AJ$4,$N38)-MAX(AI$4,$M38))/AJ$7</f>
        <v>1</v>
      </c>
      <c r="AK38" s="230">
        <f t="shared" ref="AK38:AK39" si="62">$J38*$K38*MAX(0,MIN(AK$4,$N38)-MAX(AJ$4,$M38))/AK$7</f>
        <v>1</v>
      </c>
      <c r="AL38" s="230">
        <f t="shared" ref="AL38:AL39" si="63">$J38*$K38*MAX(0,MIN(AL$4,$N38)-MAX(AK$4,$M38))/AL$7</f>
        <v>1</v>
      </c>
      <c r="AM38" s="230">
        <f t="shared" ref="AM38:AM39" si="64">$J38*$K38*MAX(0,MIN(AM$4,$N38)-MAX(AL$4,$M38))/AM$7</f>
        <v>1</v>
      </c>
      <c r="AN38" s="230">
        <f t="shared" ref="AN38:AN39" si="65">$J38*$K38*MAX(0,MIN(AN$4,$N38)-MAX(AM$4,$M38))/AN$7</f>
        <v>1</v>
      </c>
      <c r="AO38" s="230">
        <f t="shared" ref="AO38:AO39" si="66">$J38*$K38*MAX(0,MIN(AO$4,$N38)-MAX(AN$4,$M38))/AO$7</f>
        <v>1</v>
      </c>
      <c r="AP38" s="230">
        <f t="shared" ref="AP38:AP39" si="67">$J38*$K38*MAX(0,MIN(AP$4,$N38)-MAX(AO$4,$M38))/AP$7</f>
        <v>1</v>
      </c>
      <c r="AQ38" s="230">
        <f t="shared" ref="AQ38:AQ39" si="68">$J38*$K38*MAX(0,MIN(AQ$4,$N38)-MAX(AP$4,$M38))/AQ$7</f>
        <v>1</v>
      </c>
      <c r="AR38" s="230">
        <f t="shared" ref="AR38:AR39" si="69">$J38*$K38*MAX(0,MIN(AR$4,$N38)-MAX(AQ$4,$M38))/AR$7</f>
        <v>1</v>
      </c>
      <c r="AS38" s="230">
        <f t="shared" ref="AS38:AS39" si="70">$J38*$K38*MAX(0,MIN(AS$4,$N38)-MAX(AR$4,$M38))/AS$7</f>
        <v>1</v>
      </c>
      <c r="AT38" s="230">
        <f t="shared" ref="AT38:AT39" si="71">$J38*$K38*MAX(0,MIN(AT$4,$N38)-MAX(AS$4,$M38))/AT$7</f>
        <v>1</v>
      </c>
      <c r="AU38" s="230">
        <f t="shared" ref="AU38:AU39" si="72">$J38*$K38*MAX(0,MIN(AU$4,$N38)-MAX(AT$4,$M38))/AU$7</f>
        <v>1</v>
      </c>
      <c r="AV38" s="230">
        <f t="shared" ref="AV38:AV39" si="73">$J38*$K38*MAX(0,MIN(AV$4,$N38)-MAX(AU$4,$M38))/AV$7</f>
        <v>1</v>
      </c>
      <c r="AW38" s="230">
        <f t="shared" ref="AW38:AW39" si="74">$J38*$K38*MAX(0,MIN(AW$4,$N38)-MAX(AV$4,$M38))/AW$7</f>
        <v>1</v>
      </c>
      <c r="AX38" s="230">
        <f t="shared" ref="AX38:AX39" si="75">$J38*$K38*MAX(0,MIN(AX$4,$N38)-MAX(AW$4,$M38))/AX$7</f>
        <v>1</v>
      </c>
      <c r="AY38" s="230">
        <f t="shared" ref="AY38:AY39" si="76">$J38*$K38*MAX(0,MIN(AY$4,$N38)-MAX(AX$4,$M38))/AY$7</f>
        <v>1</v>
      </c>
      <c r="AZ38" s="230">
        <f t="shared" ref="AZ38:AZ39" si="77">$J38*$K38*MAX(0,MIN(AZ$4,$N38)-MAX(AY$4,$M38))/AZ$7</f>
        <v>1</v>
      </c>
      <c r="BA38" s="230">
        <f t="shared" ref="BA38:BA39" si="78">$J38*$K38*MAX(0,MIN(BA$4,$N38)-MAX(AZ$4,$M38))/BA$7</f>
        <v>1</v>
      </c>
      <c r="BB38" s="230">
        <f t="shared" ref="BB38:BB39" si="79">$J38*$K38*MAX(0,MIN(BB$4,$N38)-MAX(BA$4,$M38))/BB$7</f>
        <v>1</v>
      </c>
      <c r="BC38" s="230">
        <f t="shared" ref="BC38:BC39" si="80">$J38*$K38*MAX(0,MIN(BC$4,$N38)-MAX(BB$4,$M38))/BC$7</f>
        <v>1</v>
      </c>
      <c r="BD38" s="230">
        <f t="shared" ref="BD38:BD39" si="81">$J38*$K38*MAX(0,MIN(BD$4,$N38)-MAX(BC$4,$M38))/BD$7</f>
        <v>1</v>
      </c>
      <c r="BE38" s="230">
        <f t="shared" ref="BE38:BE39" si="82">$J38*$K38*MAX(0,MIN(BE$4,$N38)-MAX(BD$4,$M38))/BE$7</f>
        <v>1</v>
      </c>
      <c r="BF38" s="230">
        <f t="shared" ref="BF38:BF39" si="83">$J38*$K38*MAX(0,MIN(BF$4,$N38)-MAX(BE$4,$M38))/BF$7</f>
        <v>1</v>
      </c>
      <c r="BG38" s="230">
        <f t="shared" ref="BG38:BG39" si="84">$J38*$K38*MAX(0,MIN(BG$4,$N38)-MAX(BF$4,$M38))/BG$7</f>
        <v>1</v>
      </c>
      <c r="BI38" s="105" t="s">
        <v>153</v>
      </c>
      <c r="BK38" s="103"/>
    </row>
    <row r="39" spans="2:63" outlineLevel="1">
      <c r="C39" s="99">
        <f>RR!C24</f>
        <v>2</v>
      </c>
      <c r="D39" s="99" t="str">
        <f>RR!E24</f>
        <v>2 - 1</v>
      </c>
      <c r="F39" s="94" t="str">
        <f>INDEX(RR!K:K,MATCH(D39,RR!E:E,0))</f>
        <v>backup</v>
      </c>
      <c r="H39" s="73" t="s">
        <v>296</v>
      </c>
      <c r="J39" s="1325">
        <f>INDEX(AA!E:E,MATCH($C39,AA!C:C,0))</f>
        <v>1</v>
      </c>
      <c r="K39" s="1325">
        <f>INDEX(TA!$G:$G,MATCH($D39,TA!$D:$D,0))</f>
        <v>1</v>
      </c>
      <c r="M39" s="224">
        <f>INDEX(TA!$AA:$AA,MATCH($D39,TA!$D:$D,0))</f>
        <v>43466</v>
      </c>
      <c r="N39" s="224">
        <f>INDEX(TA!$AF:$AF,MATCH($D39,TA!$D:$D,0))</f>
        <v>50770</v>
      </c>
      <c r="T39" s="230">
        <f t="shared" ref="T39" si="85">$J39*$K39*MAX(0,MIN(T$4,$N39)-MAX(S$4,$M39))/T$7</f>
        <v>1</v>
      </c>
      <c r="U39" s="230">
        <f t="shared" si="46"/>
        <v>1</v>
      </c>
      <c r="V39" s="230">
        <f t="shared" si="47"/>
        <v>1</v>
      </c>
      <c r="W39" s="230">
        <f t="shared" si="48"/>
        <v>1</v>
      </c>
      <c r="X39" s="230">
        <f t="shared" si="49"/>
        <v>1</v>
      </c>
      <c r="Y39" s="230">
        <f t="shared" si="50"/>
        <v>1</v>
      </c>
      <c r="Z39" s="230">
        <f t="shared" si="51"/>
        <v>1</v>
      </c>
      <c r="AA39" s="230">
        <f t="shared" si="52"/>
        <v>1</v>
      </c>
      <c r="AB39" s="230">
        <f t="shared" si="53"/>
        <v>1</v>
      </c>
      <c r="AC39" s="230">
        <f t="shared" si="54"/>
        <v>1</v>
      </c>
      <c r="AD39" s="230">
        <f t="shared" si="55"/>
        <v>1</v>
      </c>
      <c r="AE39" s="230">
        <f t="shared" si="56"/>
        <v>1</v>
      </c>
      <c r="AF39" s="230">
        <f t="shared" si="57"/>
        <v>1</v>
      </c>
      <c r="AG39" s="230">
        <f t="shared" si="58"/>
        <v>1</v>
      </c>
      <c r="AH39" s="230">
        <f t="shared" si="59"/>
        <v>1</v>
      </c>
      <c r="AI39" s="230">
        <f t="shared" si="60"/>
        <v>1</v>
      </c>
      <c r="AJ39" s="230">
        <f t="shared" si="61"/>
        <v>1</v>
      </c>
      <c r="AK39" s="230">
        <f t="shared" si="62"/>
        <v>1</v>
      </c>
      <c r="AL39" s="230">
        <f t="shared" si="63"/>
        <v>1</v>
      </c>
      <c r="AM39" s="230">
        <f t="shared" si="64"/>
        <v>1</v>
      </c>
      <c r="AN39" s="230">
        <f t="shared" si="65"/>
        <v>1</v>
      </c>
      <c r="AO39" s="230">
        <f t="shared" si="66"/>
        <v>1</v>
      </c>
      <c r="AP39" s="230">
        <f t="shared" si="67"/>
        <v>1</v>
      </c>
      <c r="AQ39" s="230">
        <f t="shared" si="68"/>
        <v>1</v>
      </c>
      <c r="AR39" s="230">
        <f t="shared" si="69"/>
        <v>1</v>
      </c>
      <c r="AS39" s="230">
        <f t="shared" si="70"/>
        <v>1</v>
      </c>
      <c r="AT39" s="230">
        <f t="shared" si="71"/>
        <v>1</v>
      </c>
      <c r="AU39" s="230">
        <f t="shared" si="72"/>
        <v>1</v>
      </c>
      <c r="AV39" s="230">
        <f t="shared" si="73"/>
        <v>1</v>
      </c>
      <c r="AW39" s="230">
        <f t="shared" si="74"/>
        <v>1</v>
      </c>
      <c r="AX39" s="230">
        <f t="shared" si="75"/>
        <v>1</v>
      </c>
      <c r="AY39" s="230">
        <f t="shared" si="76"/>
        <v>1</v>
      </c>
      <c r="AZ39" s="230">
        <f t="shared" si="77"/>
        <v>1</v>
      </c>
      <c r="BA39" s="230">
        <f t="shared" si="78"/>
        <v>1</v>
      </c>
      <c r="BB39" s="230">
        <f t="shared" si="79"/>
        <v>1</v>
      </c>
      <c r="BC39" s="230">
        <f t="shared" si="80"/>
        <v>1</v>
      </c>
      <c r="BD39" s="230">
        <f t="shared" si="81"/>
        <v>1</v>
      </c>
      <c r="BE39" s="230">
        <f t="shared" si="82"/>
        <v>1</v>
      </c>
      <c r="BF39" s="230">
        <f t="shared" si="83"/>
        <v>1</v>
      </c>
      <c r="BG39" s="230">
        <f t="shared" si="84"/>
        <v>1</v>
      </c>
      <c r="BI39" s="106" t="s">
        <v>153</v>
      </c>
      <c r="BK39" s="103"/>
    </row>
    <row r="40" spans="2:63" outlineLevel="1">
      <c r="C40" s="99">
        <f>RR!C25</f>
        <v>3</v>
      </c>
      <c r="D40" s="99" t="str">
        <f>RR!E25</f>
        <v>3 - 1</v>
      </c>
      <c r="F40" s="94" t="str">
        <f>INDEX(RR!K:K,MATCH(D40,RR!E:E,0))</f>
        <v>backup</v>
      </c>
      <c r="H40" s="73" t="s">
        <v>296</v>
      </c>
      <c r="J40" s="1325">
        <f>INDEX(AA!E:E,MATCH($C40,AA!C:C,0))</f>
        <v>1</v>
      </c>
      <c r="K40" s="1325">
        <f>INDEX(TA!$G:$G,MATCH($D40,TA!$D:$D,0))</f>
        <v>1</v>
      </c>
      <c r="M40" s="224">
        <f>INDEX(TA!$AA:$AA,MATCH($D40,TA!$D:$D,0))</f>
        <v>43466</v>
      </c>
      <c r="N40" s="224">
        <f>INDEX(TA!$AF:$AF,MATCH($D40,TA!$D:$D,0))</f>
        <v>50770</v>
      </c>
      <c r="T40" s="230">
        <f t="shared" ref="T40" si="86">$J40*$K40*MAX(0,MIN(T$4,$N40)-MAX(S$4,$M40))/T$7</f>
        <v>1</v>
      </c>
      <c r="U40" s="230">
        <f t="shared" ref="U40" si="87">$J40*$K40*MAX(0,MIN(U$4,$N40)-MAX(T$4,$M40))/U$7</f>
        <v>1</v>
      </c>
      <c r="V40" s="230">
        <f t="shared" ref="V40" si="88">$J40*$K40*MAX(0,MIN(V$4,$N40)-MAX(U$4,$M40))/V$7</f>
        <v>1</v>
      </c>
      <c r="W40" s="230">
        <f t="shared" ref="W40" si="89">$J40*$K40*MAX(0,MIN(W$4,$N40)-MAX(V$4,$M40))/W$7</f>
        <v>1</v>
      </c>
      <c r="X40" s="230">
        <f t="shared" ref="X40" si="90">$J40*$K40*MAX(0,MIN(X$4,$N40)-MAX(W$4,$M40))/X$7</f>
        <v>1</v>
      </c>
      <c r="Y40" s="230">
        <f t="shared" ref="Y40" si="91">$J40*$K40*MAX(0,MIN(Y$4,$N40)-MAX(X$4,$M40))/Y$7</f>
        <v>1</v>
      </c>
      <c r="Z40" s="230">
        <f t="shared" ref="Z40" si="92">$J40*$K40*MAX(0,MIN(Z$4,$N40)-MAX(Y$4,$M40))/Z$7</f>
        <v>1</v>
      </c>
      <c r="AA40" s="230">
        <f t="shared" ref="AA40" si="93">$J40*$K40*MAX(0,MIN(AA$4,$N40)-MAX(Z$4,$M40))/AA$7</f>
        <v>1</v>
      </c>
      <c r="AB40" s="230">
        <f t="shared" ref="AB40" si="94">$J40*$K40*MAX(0,MIN(AB$4,$N40)-MAX(AA$4,$M40))/AB$7</f>
        <v>1</v>
      </c>
      <c r="AC40" s="230">
        <f t="shared" ref="AC40" si="95">$J40*$K40*MAX(0,MIN(AC$4,$N40)-MAX(AB$4,$M40))/AC$7</f>
        <v>1</v>
      </c>
      <c r="AD40" s="230">
        <f t="shared" ref="AD40" si="96">$J40*$K40*MAX(0,MIN(AD$4,$N40)-MAX(AC$4,$M40))/AD$7</f>
        <v>1</v>
      </c>
      <c r="AE40" s="230">
        <f t="shared" ref="AE40" si="97">$J40*$K40*MAX(0,MIN(AE$4,$N40)-MAX(AD$4,$M40))/AE$7</f>
        <v>1</v>
      </c>
      <c r="AF40" s="230">
        <f t="shared" ref="AF40" si="98">$J40*$K40*MAX(0,MIN(AF$4,$N40)-MAX(AE$4,$M40))/AF$7</f>
        <v>1</v>
      </c>
      <c r="AG40" s="230">
        <f t="shared" ref="AG40" si="99">$J40*$K40*MAX(0,MIN(AG$4,$N40)-MAX(AF$4,$M40))/AG$7</f>
        <v>1</v>
      </c>
      <c r="AH40" s="230">
        <f t="shared" ref="AH40" si="100">$J40*$K40*MAX(0,MIN(AH$4,$N40)-MAX(AG$4,$M40))/AH$7</f>
        <v>1</v>
      </c>
      <c r="AI40" s="230">
        <f t="shared" ref="AI40" si="101">$J40*$K40*MAX(0,MIN(AI$4,$N40)-MAX(AH$4,$M40))/AI$7</f>
        <v>1</v>
      </c>
      <c r="AJ40" s="230">
        <f t="shared" ref="AJ40" si="102">$J40*$K40*MAX(0,MIN(AJ$4,$N40)-MAX(AI$4,$M40))/AJ$7</f>
        <v>1</v>
      </c>
      <c r="AK40" s="230">
        <f t="shared" ref="AK40" si="103">$J40*$K40*MAX(0,MIN(AK$4,$N40)-MAX(AJ$4,$M40))/AK$7</f>
        <v>1</v>
      </c>
      <c r="AL40" s="230">
        <f t="shared" ref="AL40" si="104">$J40*$K40*MAX(0,MIN(AL$4,$N40)-MAX(AK$4,$M40))/AL$7</f>
        <v>1</v>
      </c>
      <c r="AM40" s="230">
        <f t="shared" ref="AM40" si="105">$J40*$K40*MAX(0,MIN(AM$4,$N40)-MAX(AL$4,$M40))/AM$7</f>
        <v>1</v>
      </c>
      <c r="AN40" s="230">
        <f t="shared" ref="AN40" si="106">$J40*$K40*MAX(0,MIN(AN$4,$N40)-MAX(AM$4,$M40))/AN$7</f>
        <v>1</v>
      </c>
      <c r="AO40" s="230">
        <f t="shared" ref="AO40" si="107">$J40*$K40*MAX(0,MIN(AO$4,$N40)-MAX(AN$4,$M40))/AO$7</f>
        <v>1</v>
      </c>
      <c r="AP40" s="230">
        <f t="shared" ref="AP40" si="108">$J40*$K40*MAX(0,MIN(AP$4,$N40)-MAX(AO$4,$M40))/AP$7</f>
        <v>1</v>
      </c>
      <c r="AQ40" s="230">
        <f t="shared" ref="AQ40" si="109">$J40*$K40*MAX(0,MIN(AQ$4,$N40)-MAX(AP$4,$M40))/AQ$7</f>
        <v>1</v>
      </c>
      <c r="AR40" s="230">
        <f t="shared" ref="AR40" si="110">$J40*$K40*MAX(0,MIN(AR$4,$N40)-MAX(AQ$4,$M40))/AR$7</f>
        <v>1</v>
      </c>
      <c r="AS40" s="230">
        <f t="shared" ref="AS40" si="111">$J40*$K40*MAX(0,MIN(AS$4,$N40)-MAX(AR$4,$M40))/AS$7</f>
        <v>1</v>
      </c>
      <c r="AT40" s="230">
        <f t="shared" ref="AT40" si="112">$J40*$K40*MAX(0,MIN(AT$4,$N40)-MAX(AS$4,$M40))/AT$7</f>
        <v>1</v>
      </c>
      <c r="AU40" s="230">
        <f t="shared" ref="AU40" si="113">$J40*$K40*MAX(0,MIN(AU$4,$N40)-MAX(AT$4,$M40))/AU$7</f>
        <v>1</v>
      </c>
      <c r="AV40" s="230">
        <f t="shared" ref="AV40" si="114">$J40*$K40*MAX(0,MIN(AV$4,$N40)-MAX(AU$4,$M40))/AV$7</f>
        <v>1</v>
      </c>
      <c r="AW40" s="230">
        <f t="shared" ref="AW40" si="115">$J40*$K40*MAX(0,MIN(AW$4,$N40)-MAX(AV$4,$M40))/AW$7</f>
        <v>1</v>
      </c>
      <c r="AX40" s="230">
        <f t="shared" ref="AX40" si="116">$J40*$K40*MAX(0,MIN(AX$4,$N40)-MAX(AW$4,$M40))/AX$7</f>
        <v>1</v>
      </c>
      <c r="AY40" s="230">
        <f t="shared" ref="AY40" si="117">$J40*$K40*MAX(0,MIN(AY$4,$N40)-MAX(AX$4,$M40))/AY$7</f>
        <v>1</v>
      </c>
      <c r="AZ40" s="230">
        <f t="shared" ref="AZ40" si="118">$J40*$K40*MAX(0,MIN(AZ$4,$N40)-MAX(AY$4,$M40))/AZ$7</f>
        <v>1</v>
      </c>
      <c r="BA40" s="230">
        <f t="shared" ref="BA40" si="119">$J40*$K40*MAX(0,MIN(BA$4,$N40)-MAX(AZ$4,$M40))/BA$7</f>
        <v>1</v>
      </c>
      <c r="BB40" s="230">
        <f t="shared" ref="BB40" si="120">$J40*$K40*MAX(0,MIN(BB$4,$N40)-MAX(BA$4,$M40))/BB$7</f>
        <v>1</v>
      </c>
      <c r="BC40" s="230">
        <f t="shared" ref="BC40" si="121">$J40*$K40*MAX(0,MIN(BC$4,$N40)-MAX(BB$4,$M40))/BC$7</f>
        <v>1</v>
      </c>
      <c r="BD40" s="230">
        <f t="shared" ref="BD40" si="122">$J40*$K40*MAX(0,MIN(BD$4,$N40)-MAX(BC$4,$M40))/BD$7</f>
        <v>1</v>
      </c>
      <c r="BE40" s="230">
        <f t="shared" ref="BE40" si="123">$J40*$K40*MAX(0,MIN(BE$4,$N40)-MAX(BD$4,$M40))/BE$7</f>
        <v>1</v>
      </c>
      <c r="BF40" s="230">
        <f t="shared" ref="BF40" si="124">$J40*$K40*MAX(0,MIN(BF$4,$N40)-MAX(BE$4,$M40))/BF$7</f>
        <v>1</v>
      </c>
      <c r="BG40" s="230">
        <f t="shared" ref="BG40" si="125">$J40*$K40*MAX(0,MIN(BG$4,$N40)-MAX(BF$4,$M40))/BG$7</f>
        <v>1</v>
      </c>
      <c r="BI40" s="106" t="s">
        <v>153</v>
      </c>
      <c r="BK40" s="103"/>
    </row>
    <row r="41" spans="2:63" outlineLevel="1">
      <c r="C41" s="268"/>
      <c r="D41" s="268"/>
      <c r="F41" s="268"/>
      <c r="H41" s="268"/>
      <c r="J41" s="268"/>
      <c r="K41" s="268"/>
      <c r="M41" s="268"/>
      <c r="N41" s="268"/>
      <c r="BI41" s="268"/>
      <c r="BK41" s="268"/>
    </row>
    <row r="42" spans="2:63" s="90" customFormat="1" outlineLevel="1">
      <c r="B42" s="91">
        <f ca="1">MAX(A$1:$B41)+1</f>
        <v>5</v>
      </c>
      <c r="C42" s="92" t="s">
        <v>1270</v>
      </c>
    </row>
    <row r="43" spans="2:63" outlineLevel="1"/>
    <row r="44" spans="2:63" outlineLevel="1"/>
    <row r="45" spans="2:63" ht="30" outlineLevel="1">
      <c r="C45" s="96" t="s">
        <v>4</v>
      </c>
      <c r="D45" s="97" t="s">
        <v>148</v>
      </c>
      <c r="E45" s="95"/>
      <c r="F45" s="97" t="s">
        <v>149</v>
      </c>
      <c r="G45" s="95"/>
      <c r="H45" s="97" t="s">
        <v>150</v>
      </c>
      <c r="I45" s="95"/>
      <c r="J45" s="97" t="s">
        <v>272</v>
      </c>
      <c r="K45" s="97" t="s">
        <v>273</v>
      </c>
      <c r="M45" s="97" t="s">
        <v>1275</v>
      </c>
      <c r="N45" s="97" t="s">
        <v>1276</v>
      </c>
      <c r="O45" s="97" t="s">
        <v>1277</v>
      </c>
      <c r="P45" s="97" t="s">
        <v>1278</v>
      </c>
      <c r="Q45" s="97" t="s">
        <v>1279</v>
      </c>
      <c r="R45" s="97" t="s">
        <v>1280</v>
      </c>
      <c r="BI45" s="104" t="s">
        <v>152</v>
      </c>
      <c r="BJ45" s="95"/>
      <c r="BK45" s="102"/>
    </row>
    <row r="46" spans="2:63" outlineLevel="1">
      <c r="C46" s="98">
        <f>RR!C23</f>
        <v>1</v>
      </c>
      <c r="D46" s="98" t="str">
        <f>RR!E23</f>
        <v>1 - 1</v>
      </c>
      <c r="F46" s="93" t="str">
        <f>INDEX(RR!K:K,MATCH(D46,RR!E:E,0))</f>
        <v>backup</v>
      </c>
      <c r="H46" s="72" t="s">
        <v>402</v>
      </c>
      <c r="J46" s="1324">
        <f>INDEX(AA!E:E,MATCH($C46,AA!C:C,0))</f>
        <v>1</v>
      </c>
      <c r="K46" s="1324">
        <f>INDEX(TA!$G:$G,MATCH($D46,TA!$D:$D,0))</f>
        <v>1</v>
      </c>
      <c r="M46" s="223">
        <f>INDEX(TA!$AR:$AR,MATCH($D46,TA!$D:$D,0))</f>
        <v>0</v>
      </c>
      <c r="N46" s="223">
        <f>INDEX(TA!$AS:$AS,MATCH($D46,TA!$D:$D,0))</f>
        <v>0</v>
      </c>
      <c r="O46" s="223">
        <f>INDEX(TA!$AT:$AT,MATCH($D46,TA!$D:$D,0))</f>
        <v>0</v>
      </c>
      <c r="P46" s="223">
        <f>INDEX(TA!$AU:$AU,MATCH($D46,TA!$D:$D,0))</f>
        <v>0</v>
      </c>
      <c r="Q46" s="1178">
        <f>INDEX(TA!$AP:$AP,MATCH($D46,TA!$D:$D,0))</f>
        <v>0</v>
      </c>
      <c r="R46" s="1178">
        <f>INDEX(TA!$AQ:$AQ,MATCH($D46,TA!$D:$D,0))</f>
        <v>0</v>
      </c>
      <c r="S46" s="1179">
        <f>$S$15</f>
        <v>1</v>
      </c>
      <c r="T46" s="799">
        <f>IF($Q46=0,T$15,S46+(AND(T$3&lt;=$M46,T$4&gt;=$M46)+AND(T$3&lt;=$N46,T$4&gt;=$N46)+AND(T$3&lt;=$O46,T$4&gt;=$O46)+AND(T$3&lt;=$P46,T$4&gt;=$P46))*(($Q46*$R46))*S46)</f>
        <v>1.0018697495154929</v>
      </c>
      <c r="U46" s="799">
        <f t="shared" ref="U46:BG46" si="126">IF($Q46=0,U$15,T46+(AND(U$3&lt;=$M46,U$4&gt;=$M46)+AND(U$3&lt;=$N46,U$4&gt;=$N46)+AND(U$3&lt;=$O46,U$4&gt;=$O46)+AND(U$3&lt;=$P46,U$4&gt;=$P46))*(($Q46*$R46))*T46)</f>
        <v>1.0037429949942365</v>
      </c>
      <c r="V46" s="799">
        <f t="shared" si="126"/>
        <v>1.0056197429728064</v>
      </c>
      <c r="W46" s="799">
        <f t="shared" si="126"/>
        <v>1.0074999999999998</v>
      </c>
      <c r="X46" s="799">
        <f t="shared" si="126"/>
        <v>1.0093837726368589</v>
      </c>
      <c r="Y46" s="799">
        <f t="shared" si="126"/>
        <v>1.0112710674566929</v>
      </c>
      <c r="Z46" s="799">
        <f t="shared" si="126"/>
        <v>1.0131618910451021</v>
      </c>
      <c r="AA46" s="799">
        <f t="shared" si="126"/>
        <v>1.0150562499999995</v>
      </c>
      <c r="AB46" s="799">
        <f t="shared" si="126"/>
        <v>1.0169541509316351</v>
      </c>
      <c r="AC46" s="799">
        <f t="shared" si="126"/>
        <v>1.0188556004626179</v>
      </c>
      <c r="AD46" s="799">
        <f t="shared" si="126"/>
        <v>1.0207606052279401</v>
      </c>
      <c r="AE46" s="799">
        <f t="shared" si="126"/>
        <v>1.0226691718749992</v>
      </c>
      <c r="AF46" s="799">
        <f t="shared" si="126"/>
        <v>1.024581307063622</v>
      </c>
      <c r="AG46" s="799">
        <f t="shared" si="126"/>
        <v>1.0264970174660872</v>
      </c>
      <c r="AH46" s="799">
        <f t="shared" si="126"/>
        <v>1.0284163097671493</v>
      </c>
      <c r="AI46" s="799">
        <f t="shared" si="126"/>
        <v>1.0303391906640613</v>
      </c>
      <c r="AJ46" s="799">
        <f t="shared" si="126"/>
        <v>1.0322656668665988</v>
      </c>
      <c r="AK46" s="799">
        <f t="shared" si="126"/>
        <v>1.0341957450970827</v>
      </c>
      <c r="AL46" s="799">
        <f t="shared" si="126"/>
        <v>1.0361294320904029</v>
      </c>
      <c r="AM46" s="799">
        <f t="shared" si="126"/>
        <v>1.0380667345940418</v>
      </c>
      <c r="AN46" s="799">
        <f t="shared" si="126"/>
        <v>1.0400076593680982</v>
      </c>
      <c r="AO46" s="799">
        <f t="shared" si="126"/>
        <v>1.0419522131853107</v>
      </c>
      <c r="AP46" s="799">
        <f t="shared" si="126"/>
        <v>1.0439004028310808</v>
      </c>
      <c r="AQ46" s="799">
        <f t="shared" si="126"/>
        <v>1.0458522351034971</v>
      </c>
      <c r="AR46" s="799">
        <f t="shared" si="126"/>
        <v>1.047807716813359</v>
      </c>
      <c r="AS46" s="799">
        <f t="shared" si="126"/>
        <v>1.0497668547842005</v>
      </c>
      <c r="AT46" s="799">
        <f t="shared" si="126"/>
        <v>1.0517296558523137</v>
      </c>
      <c r="AU46" s="799">
        <f t="shared" si="126"/>
        <v>1.0536961268667731</v>
      </c>
      <c r="AV46" s="799">
        <f t="shared" si="126"/>
        <v>1.0556662746894589</v>
      </c>
      <c r="AW46" s="799">
        <f t="shared" si="126"/>
        <v>1.0576401061950818</v>
      </c>
      <c r="AX46" s="799">
        <f t="shared" si="126"/>
        <v>1.0596176282712058</v>
      </c>
      <c r="AY46" s="799">
        <f t="shared" si="126"/>
        <v>1.0615988478182736</v>
      </c>
      <c r="AZ46" s="799">
        <f t="shared" si="126"/>
        <v>1.0635837717496297</v>
      </c>
      <c r="BA46" s="799">
        <f t="shared" si="126"/>
        <v>1.0655724069915447</v>
      </c>
      <c r="BB46" s="799">
        <f t="shared" si="126"/>
        <v>1.0675647604832397</v>
      </c>
      <c r="BC46" s="799">
        <f t="shared" si="126"/>
        <v>1.0695608391769105</v>
      </c>
      <c r="BD46" s="799">
        <f t="shared" si="126"/>
        <v>1.0715606500377517</v>
      </c>
      <c r="BE46" s="799">
        <f t="shared" si="126"/>
        <v>1.0735642000439811</v>
      </c>
      <c r="BF46" s="799">
        <f t="shared" si="126"/>
        <v>1.0755714961868639</v>
      </c>
      <c r="BG46" s="799">
        <f t="shared" si="126"/>
        <v>1.0775825454707373</v>
      </c>
      <c r="BI46" s="105" t="s">
        <v>153</v>
      </c>
      <c r="BK46" s="103"/>
    </row>
    <row r="47" spans="2:63" outlineLevel="1">
      <c r="C47" s="99">
        <f>RR!C24</f>
        <v>2</v>
      </c>
      <c r="D47" s="99" t="str">
        <f>RR!E24</f>
        <v>2 - 1</v>
      </c>
      <c r="F47" s="94" t="str">
        <f>INDEX(RR!K:K,MATCH(D47,RR!E:E,0))</f>
        <v>backup</v>
      </c>
      <c r="H47" s="73" t="s">
        <v>402</v>
      </c>
      <c r="J47" s="1325">
        <f>INDEX(AA!E:E,MATCH($C47,AA!C:C,0))</f>
        <v>1</v>
      </c>
      <c r="K47" s="1325">
        <f>INDEX(TA!$G:$G,MATCH($D47,TA!$D:$D,0))</f>
        <v>1</v>
      </c>
      <c r="M47" s="224">
        <f>INDEX(TA!$AR:$AR,MATCH($D47,TA!$D:$D,0))</f>
        <v>0</v>
      </c>
      <c r="N47" s="224">
        <f>INDEX(TA!$AS:$AS,MATCH($D47,TA!$D:$D,0))</f>
        <v>0</v>
      </c>
      <c r="O47" s="224">
        <f>INDEX(TA!$AT:$AT,MATCH($D47,TA!$D:$D,0))</f>
        <v>0</v>
      </c>
      <c r="P47" s="224">
        <f>INDEX(TA!$AU:$AU,MATCH($D47,TA!$D:$D,0))</f>
        <v>0</v>
      </c>
      <c r="Q47" s="1410">
        <f>INDEX(TA!$AP:$AP,MATCH($D47,TA!$D:$D,0))</f>
        <v>0</v>
      </c>
      <c r="R47" s="1410">
        <f>INDEX(TA!$AQ:$AQ,MATCH($D47,TA!$D:$D,0))</f>
        <v>0</v>
      </c>
      <c r="S47" s="1179">
        <f t="shared" ref="S47:S48" si="127">$S$15</f>
        <v>1</v>
      </c>
      <c r="T47" s="799">
        <f t="shared" ref="T47:BG47" si="128">IF($Q47=0,T$15,S47+(AND(T$3&lt;=$M47,T$4&gt;=$M47)+AND(T$3&lt;=$N47,T$4&gt;=$N47)+AND(T$3&lt;=$O47,T$4&gt;=$O47)+AND(T$3&lt;=$P47,T$4&gt;=$P47))*(($Q47*$R47))*S47)</f>
        <v>1.0018697495154929</v>
      </c>
      <c r="U47" s="799">
        <f t="shared" si="128"/>
        <v>1.0037429949942365</v>
      </c>
      <c r="V47" s="799">
        <f t="shared" si="128"/>
        <v>1.0056197429728064</v>
      </c>
      <c r="W47" s="799">
        <f t="shared" si="128"/>
        <v>1.0074999999999998</v>
      </c>
      <c r="X47" s="799">
        <f t="shared" si="128"/>
        <v>1.0093837726368589</v>
      </c>
      <c r="Y47" s="799">
        <f t="shared" si="128"/>
        <v>1.0112710674566929</v>
      </c>
      <c r="Z47" s="799">
        <f t="shared" si="128"/>
        <v>1.0131618910451021</v>
      </c>
      <c r="AA47" s="799">
        <f t="shared" si="128"/>
        <v>1.0150562499999995</v>
      </c>
      <c r="AB47" s="799">
        <f t="shared" si="128"/>
        <v>1.0169541509316351</v>
      </c>
      <c r="AC47" s="799">
        <f t="shared" si="128"/>
        <v>1.0188556004626179</v>
      </c>
      <c r="AD47" s="799">
        <f t="shared" si="128"/>
        <v>1.0207606052279401</v>
      </c>
      <c r="AE47" s="799">
        <f t="shared" si="128"/>
        <v>1.0226691718749992</v>
      </c>
      <c r="AF47" s="799">
        <f t="shared" si="128"/>
        <v>1.024581307063622</v>
      </c>
      <c r="AG47" s="799">
        <f t="shared" si="128"/>
        <v>1.0264970174660872</v>
      </c>
      <c r="AH47" s="799">
        <f t="shared" si="128"/>
        <v>1.0284163097671493</v>
      </c>
      <c r="AI47" s="799">
        <f t="shared" si="128"/>
        <v>1.0303391906640613</v>
      </c>
      <c r="AJ47" s="799">
        <f t="shared" si="128"/>
        <v>1.0322656668665988</v>
      </c>
      <c r="AK47" s="799">
        <f t="shared" si="128"/>
        <v>1.0341957450970827</v>
      </c>
      <c r="AL47" s="799">
        <f t="shared" si="128"/>
        <v>1.0361294320904029</v>
      </c>
      <c r="AM47" s="799">
        <f t="shared" si="128"/>
        <v>1.0380667345940418</v>
      </c>
      <c r="AN47" s="799">
        <f t="shared" si="128"/>
        <v>1.0400076593680982</v>
      </c>
      <c r="AO47" s="799">
        <f t="shared" si="128"/>
        <v>1.0419522131853107</v>
      </c>
      <c r="AP47" s="799">
        <f t="shared" si="128"/>
        <v>1.0439004028310808</v>
      </c>
      <c r="AQ47" s="799">
        <f t="shared" si="128"/>
        <v>1.0458522351034971</v>
      </c>
      <c r="AR47" s="799">
        <f t="shared" si="128"/>
        <v>1.047807716813359</v>
      </c>
      <c r="AS47" s="799">
        <f t="shared" si="128"/>
        <v>1.0497668547842005</v>
      </c>
      <c r="AT47" s="799">
        <f t="shared" si="128"/>
        <v>1.0517296558523137</v>
      </c>
      <c r="AU47" s="799">
        <f t="shared" si="128"/>
        <v>1.0536961268667731</v>
      </c>
      <c r="AV47" s="799">
        <f t="shared" si="128"/>
        <v>1.0556662746894589</v>
      </c>
      <c r="AW47" s="799">
        <f t="shared" si="128"/>
        <v>1.0576401061950818</v>
      </c>
      <c r="AX47" s="799">
        <f t="shared" si="128"/>
        <v>1.0596176282712058</v>
      </c>
      <c r="AY47" s="799">
        <f t="shared" si="128"/>
        <v>1.0615988478182736</v>
      </c>
      <c r="AZ47" s="799">
        <f t="shared" si="128"/>
        <v>1.0635837717496297</v>
      </c>
      <c r="BA47" s="799">
        <f t="shared" si="128"/>
        <v>1.0655724069915447</v>
      </c>
      <c r="BB47" s="799">
        <f t="shared" si="128"/>
        <v>1.0675647604832397</v>
      </c>
      <c r="BC47" s="799">
        <f t="shared" si="128"/>
        <v>1.0695608391769105</v>
      </c>
      <c r="BD47" s="799">
        <f t="shared" si="128"/>
        <v>1.0715606500377517</v>
      </c>
      <c r="BE47" s="799">
        <f t="shared" si="128"/>
        <v>1.0735642000439811</v>
      </c>
      <c r="BF47" s="799">
        <f t="shared" si="128"/>
        <v>1.0755714961868639</v>
      </c>
      <c r="BG47" s="799">
        <f t="shared" si="128"/>
        <v>1.0775825454707373</v>
      </c>
      <c r="BI47" s="106" t="s">
        <v>153</v>
      </c>
      <c r="BK47" s="103"/>
    </row>
    <row r="48" spans="2:63" outlineLevel="1">
      <c r="C48" s="99">
        <f>RR!C25</f>
        <v>3</v>
      </c>
      <c r="D48" s="99" t="str">
        <f>RR!E25</f>
        <v>3 - 1</v>
      </c>
      <c r="F48" s="94" t="str">
        <f>INDEX(RR!K:K,MATCH(D48,RR!E:E,0))</f>
        <v>backup</v>
      </c>
      <c r="H48" s="73" t="s">
        <v>402</v>
      </c>
      <c r="J48" s="1325">
        <f>INDEX(AA!E:E,MATCH($C48,AA!C:C,0))</f>
        <v>1</v>
      </c>
      <c r="K48" s="1325">
        <f>INDEX(TA!$G:$G,MATCH($D48,TA!$D:$D,0))</f>
        <v>1</v>
      </c>
      <c r="M48" s="224">
        <f>INDEX(TA!$AR:$AR,MATCH($D48,TA!$D:$D,0))</f>
        <v>0</v>
      </c>
      <c r="N48" s="224">
        <f>INDEX(TA!$AS:$AS,MATCH($D48,TA!$D:$D,0))</f>
        <v>0</v>
      </c>
      <c r="O48" s="224">
        <f>INDEX(TA!$AT:$AT,MATCH($D48,TA!$D:$D,0))</f>
        <v>0</v>
      </c>
      <c r="P48" s="224">
        <f>INDEX(TA!$AU:$AU,MATCH($D48,TA!$D:$D,0))</f>
        <v>0</v>
      </c>
      <c r="Q48" s="1410">
        <f>INDEX(TA!$AP:$AP,MATCH($D48,TA!$D:$D,0))</f>
        <v>0</v>
      </c>
      <c r="R48" s="1410">
        <f>INDEX(TA!$AQ:$AQ,MATCH($D48,TA!$D:$D,0))</f>
        <v>0</v>
      </c>
      <c r="S48" s="1179">
        <f t="shared" si="127"/>
        <v>1</v>
      </c>
      <c r="T48" s="799">
        <f t="shared" ref="T48" si="129">IF($Q48=0,T$15,S48+(AND(T$3&lt;=$M48,T$4&gt;=$M48)+AND(T$3&lt;=$N48,T$4&gt;=$N48)+AND(T$3&lt;=$O48,T$4&gt;=$O48)+AND(T$3&lt;=$P48,T$4&gt;=$P48))*(($Q48*$R48))*S48)</f>
        <v>1.0018697495154929</v>
      </c>
      <c r="U48" s="799">
        <f t="shared" ref="U48" si="130">IF($Q48=0,U$15,T48+(AND(U$3&lt;=$M48,U$4&gt;=$M48)+AND(U$3&lt;=$N48,U$4&gt;=$N48)+AND(U$3&lt;=$O48,U$4&gt;=$O48)+AND(U$3&lt;=$P48,U$4&gt;=$P48))*(($Q48*$R48))*T48)</f>
        <v>1.0037429949942365</v>
      </c>
      <c r="V48" s="799">
        <f t="shared" ref="V48" si="131">IF($Q48=0,V$15,U48+(AND(V$3&lt;=$M48,V$4&gt;=$M48)+AND(V$3&lt;=$N48,V$4&gt;=$N48)+AND(V$3&lt;=$O48,V$4&gt;=$O48)+AND(V$3&lt;=$P48,V$4&gt;=$P48))*(($Q48*$R48))*U48)</f>
        <v>1.0056197429728064</v>
      </c>
      <c r="W48" s="799">
        <f t="shared" ref="W48" si="132">IF($Q48=0,W$15,V48+(AND(W$3&lt;=$M48,W$4&gt;=$M48)+AND(W$3&lt;=$N48,W$4&gt;=$N48)+AND(W$3&lt;=$O48,W$4&gt;=$O48)+AND(W$3&lt;=$P48,W$4&gt;=$P48))*(($Q48*$R48))*V48)</f>
        <v>1.0074999999999998</v>
      </c>
      <c r="X48" s="799">
        <f t="shared" ref="X48" si="133">IF($Q48=0,X$15,W48+(AND(X$3&lt;=$M48,X$4&gt;=$M48)+AND(X$3&lt;=$N48,X$4&gt;=$N48)+AND(X$3&lt;=$O48,X$4&gt;=$O48)+AND(X$3&lt;=$P48,X$4&gt;=$P48))*(($Q48*$R48))*W48)</f>
        <v>1.0093837726368589</v>
      </c>
      <c r="Y48" s="799">
        <f t="shared" ref="Y48" si="134">IF($Q48=0,Y$15,X48+(AND(Y$3&lt;=$M48,Y$4&gt;=$M48)+AND(Y$3&lt;=$N48,Y$4&gt;=$N48)+AND(Y$3&lt;=$O48,Y$4&gt;=$O48)+AND(Y$3&lt;=$P48,Y$4&gt;=$P48))*(($Q48*$R48))*X48)</f>
        <v>1.0112710674566929</v>
      </c>
      <c r="Z48" s="799">
        <f t="shared" ref="Z48" si="135">IF($Q48=0,Z$15,Y48+(AND(Z$3&lt;=$M48,Z$4&gt;=$M48)+AND(Z$3&lt;=$N48,Z$4&gt;=$N48)+AND(Z$3&lt;=$O48,Z$4&gt;=$O48)+AND(Z$3&lt;=$P48,Z$4&gt;=$P48))*(($Q48*$R48))*Y48)</f>
        <v>1.0131618910451021</v>
      </c>
      <c r="AA48" s="799">
        <f t="shared" ref="AA48" si="136">IF($Q48=0,AA$15,Z48+(AND(AA$3&lt;=$M48,AA$4&gt;=$M48)+AND(AA$3&lt;=$N48,AA$4&gt;=$N48)+AND(AA$3&lt;=$O48,AA$4&gt;=$O48)+AND(AA$3&lt;=$P48,AA$4&gt;=$P48))*(($Q48*$R48))*Z48)</f>
        <v>1.0150562499999995</v>
      </c>
      <c r="AB48" s="799">
        <f t="shared" ref="AB48" si="137">IF($Q48=0,AB$15,AA48+(AND(AB$3&lt;=$M48,AB$4&gt;=$M48)+AND(AB$3&lt;=$N48,AB$4&gt;=$N48)+AND(AB$3&lt;=$O48,AB$4&gt;=$O48)+AND(AB$3&lt;=$P48,AB$4&gt;=$P48))*(($Q48*$R48))*AA48)</f>
        <v>1.0169541509316351</v>
      </c>
      <c r="AC48" s="799">
        <f t="shared" ref="AC48" si="138">IF($Q48=0,AC$15,AB48+(AND(AC$3&lt;=$M48,AC$4&gt;=$M48)+AND(AC$3&lt;=$N48,AC$4&gt;=$N48)+AND(AC$3&lt;=$O48,AC$4&gt;=$O48)+AND(AC$3&lt;=$P48,AC$4&gt;=$P48))*(($Q48*$R48))*AB48)</f>
        <v>1.0188556004626179</v>
      </c>
      <c r="AD48" s="799">
        <f t="shared" ref="AD48" si="139">IF($Q48=0,AD$15,AC48+(AND(AD$3&lt;=$M48,AD$4&gt;=$M48)+AND(AD$3&lt;=$N48,AD$4&gt;=$N48)+AND(AD$3&lt;=$O48,AD$4&gt;=$O48)+AND(AD$3&lt;=$P48,AD$4&gt;=$P48))*(($Q48*$R48))*AC48)</f>
        <v>1.0207606052279401</v>
      </c>
      <c r="AE48" s="799">
        <f t="shared" ref="AE48" si="140">IF($Q48=0,AE$15,AD48+(AND(AE$3&lt;=$M48,AE$4&gt;=$M48)+AND(AE$3&lt;=$N48,AE$4&gt;=$N48)+AND(AE$3&lt;=$O48,AE$4&gt;=$O48)+AND(AE$3&lt;=$P48,AE$4&gt;=$P48))*(($Q48*$R48))*AD48)</f>
        <v>1.0226691718749992</v>
      </c>
      <c r="AF48" s="799">
        <f t="shared" ref="AF48" si="141">IF($Q48=0,AF$15,AE48+(AND(AF$3&lt;=$M48,AF$4&gt;=$M48)+AND(AF$3&lt;=$N48,AF$4&gt;=$N48)+AND(AF$3&lt;=$O48,AF$4&gt;=$O48)+AND(AF$3&lt;=$P48,AF$4&gt;=$P48))*(($Q48*$R48))*AE48)</f>
        <v>1.024581307063622</v>
      </c>
      <c r="AG48" s="799">
        <f t="shared" ref="AG48" si="142">IF($Q48=0,AG$15,AF48+(AND(AG$3&lt;=$M48,AG$4&gt;=$M48)+AND(AG$3&lt;=$N48,AG$4&gt;=$N48)+AND(AG$3&lt;=$O48,AG$4&gt;=$O48)+AND(AG$3&lt;=$P48,AG$4&gt;=$P48))*(($Q48*$R48))*AF48)</f>
        <v>1.0264970174660872</v>
      </c>
      <c r="AH48" s="799">
        <f t="shared" ref="AH48" si="143">IF($Q48=0,AH$15,AG48+(AND(AH$3&lt;=$M48,AH$4&gt;=$M48)+AND(AH$3&lt;=$N48,AH$4&gt;=$N48)+AND(AH$3&lt;=$O48,AH$4&gt;=$O48)+AND(AH$3&lt;=$P48,AH$4&gt;=$P48))*(($Q48*$R48))*AG48)</f>
        <v>1.0284163097671493</v>
      </c>
      <c r="AI48" s="799">
        <f t="shared" ref="AI48" si="144">IF($Q48=0,AI$15,AH48+(AND(AI$3&lt;=$M48,AI$4&gt;=$M48)+AND(AI$3&lt;=$N48,AI$4&gt;=$N48)+AND(AI$3&lt;=$O48,AI$4&gt;=$O48)+AND(AI$3&lt;=$P48,AI$4&gt;=$P48))*(($Q48*$R48))*AH48)</f>
        <v>1.0303391906640613</v>
      </c>
      <c r="AJ48" s="799">
        <f t="shared" ref="AJ48" si="145">IF($Q48=0,AJ$15,AI48+(AND(AJ$3&lt;=$M48,AJ$4&gt;=$M48)+AND(AJ$3&lt;=$N48,AJ$4&gt;=$N48)+AND(AJ$3&lt;=$O48,AJ$4&gt;=$O48)+AND(AJ$3&lt;=$P48,AJ$4&gt;=$P48))*(($Q48*$R48))*AI48)</f>
        <v>1.0322656668665988</v>
      </c>
      <c r="AK48" s="799">
        <f t="shared" ref="AK48" si="146">IF($Q48=0,AK$15,AJ48+(AND(AK$3&lt;=$M48,AK$4&gt;=$M48)+AND(AK$3&lt;=$N48,AK$4&gt;=$N48)+AND(AK$3&lt;=$O48,AK$4&gt;=$O48)+AND(AK$3&lt;=$P48,AK$4&gt;=$P48))*(($Q48*$R48))*AJ48)</f>
        <v>1.0341957450970827</v>
      </c>
      <c r="AL48" s="799">
        <f t="shared" ref="AL48" si="147">IF($Q48=0,AL$15,AK48+(AND(AL$3&lt;=$M48,AL$4&gt;=$M48)+AND(AL$3&lt;=$N48,AL$4&gt;=$N48)+AND(AL$3&lt;=$O48,AL$4&gt;=$O48)+AND(AL$3&lt;=$P48,AL$4&gt;=$P48))*(($Q48*$R48))*AK48)</f>
        <v>1.0361294320904029</v>
      </c>
      <c r="AM48" s="799">
        <f t="shared" ref="AM48" si="148">IF($Q48=0,AM$15,AL48+(AND(AM$3&lt;=$M48,AM$4&gt;=$M48)+AND(AM$3&lt;=$N48,AM$4&gt;=$N48)+AND(AM$3&lt;=$O48,AM$4&gt;=$O48)+AND(AM$3&lt;=$P48,AM$4&gt;=$P48))*(($Q48*$R48))*AL48)</f>
        <v>1.0380667345940418</v>
      </c>
      <c r="AN48" s="799">
        <f t="shared" ref="AN48" si="149">IF($Q48=0,AN$15,AM48+(AND(AN$3&lt;=$M48,AN$4&gt;=$M48)+AND(AN$3&lt;=$N48,AN$4&gt;=$N48)+AND(AN$3&lt;=$O48,AN$4&gt;=$O48)+AND(AN$3&lt;=$P48,AN$4&gt;=$P48))*(($Q48*$R48))*AM48)</f>
        <v>1.0400076593680982</v>
      </c>
      <c r="AO48" s="799">
        <f t="shared" ref="AO48" si="150">IF($Q48=0,AO$15,AN48+(AND(AO$3&lt;=$M48,AO$4&gt;=$M48)+AND(AO$3&lt;=$N48,AO$4&gt;=$N48)+AND(AO$3&lt;=$O48,AO$4&gt;=$O48)+AND(AO$3&lt;=$P48,AO$4&gt;=$P48))*(($Q48*$R48))*AN48)</f>
        <v>1.0419522131853107</v>
      </c>
      <c r="AP48" s="799">
        <f t="shared" ref="AP48" si="151">IF($Q48=0,AP$15,AO48+(AND(AP$3&lt;=$M48,AP$4&gt;=$M48)+AND(AP$3&lt;=$N48,AP$4&gt;=$N48)+AND(AP$3&lt;=$O48,AP$4&gt;=$O48)+AND(AP$3&lt;=$P48,AP$4&gt;=$P48))*(($Q48*$R48))*AO48)</f>
        <v>1.0439004028310808</v>
      </c>
      <c r="AQ48" s="799">
        <f t="shared" ref="AQ48" si="152">IF($Q48=0,AQ$15,AP48+(AND(AQ$3&lt;=$M48,AQ$4&gt;=$M48)+AND(AQ$3&lt;=$N48,AQ$4&gt;=$N48)+AND(AQ$3&lt;=$O48,AQ$4&gt;=$O48)+AND(AQ$3&lt;=$P48,AQ$4&gt;=$P48))*(($Q48*$R48))*AP48)</f>
        <v>1.0458522351034971</v>
      </c>
      <c r="AR48" s="799">
        <f t="shared" ref="AR48" si="153">IF($Q48=0,AR$15,AQ48+(AND(AR$3&lt;=$M48,AR$4&gt;=$M48)+AND(AR$3&lt;=$N48,AR$4&gt;=$N48)+AND(AR$3&lt;=$O48,AR$4&gt;=$O48)+AND(AR$3&lt;=$P48,AR$4&gt;=$P48))*(($Q48*$R48))*AQ48)</f>
        <v>1.047807716813359</v>
      </c>
      <c r="AS48" s="799">
        <f t="shared" ref="AS48" si="154">IF($Q48=0,AS$15,AR48+(AND(AS$3&lt;=$M48,AS$4&gt;=$M48)+AND(AS$3&lt;=$N48,AS$4&gt;=$N48)+AND(AS$3&lt;=$O48,AS$4&gt;=$O48)+AND(AS$3&lt;=$P48,AS$4&gt;=$P48))*(($Q48*$R48))*AR48)</f>
        <v>1.0497668547842005</v>
      </c>
      <c r="AT48" s="799">
        <f t="shared" ref="AT48" si="155">IF($Q48=0,AT$15,AS48+(AND(AT$3&lt;=$M48,AT$4&gt;=$M48)+AND(AT$3&lt;=$N48,AT$4&gt;=$N48)+AND(AT$3&lt;=$O48,AT$4&gt;=$O48)+AND(AT$3&lt;=$P48,AT$4&gt;=$P48))*(($Q48*$R48))*AS48)</f>
        <v>1.0517296558523137</v>
      </c>
      <c r="AU48" s="799">
        <f t="shared" ref="AU48" si="156">IF($Q48=0,AU$15,AT48+(AND(AU$3&lt;=$M48,AU$4&gt;=$M48)+AND(AU$3&lt;=$N48,AU$4&gt;=$N48)+AND(AU$3&lt;=$O48,AU$4&gt;=$O48)+AND(AU$3&lt;=$P48,AU$4&gt;=$P48))*(($Q48*$R48))*AT48)</f>
        <v>1.0536961268667731</v>
      </c>
      <c r="AV48" s="799">
        <f t="shared" ref="AV48" si="157">IF($Q48=0,AV$15,AU48+(AND(AV$3&lt;=$M48,AV$4&gt;=$M48)+AND(AV$3&lt;=$N48,AV$4&gt;=$N48)+AND(AV$3&lt;=$O48,AV$4&gt;=$O48)+AND(AV$3&lt;=$P48,AV$4&gt;=$P48))*(($Q48*$R48))*AU48)</f>
        <v>1.0556662746894589</v>
      </c>
      <c r="AW48" s="799">
        <f t="shared" ref="AW48" si="158">IF($Q48=0,AW$15,AV48+(AND(AW$3&lt;=$M48,AW$4&gt;=$M48)+AND(AW$3&lt;=$N48,AW$4&gt;=$N48)+AND(AW$3&lt;=$O48,AW$4&gt;=$O48)+AND(AW$3&lt;=$P48,AW$4&gt;=$P48))*(($Q48*$R48))*AV48)</f>
        <v>1.0576401061950818</v>
      </c>
      <c r="AX48" s="799">
        <f t="shared" ref="AX48" si="159">IF($Q48=0,AX$15,AW48+(AND(AX$3&lt;=$M48,AX$4&gt;=$M48)+AND(AX$3&lt;=$N48,AX$4&gt;=$N48)+AND(AX$3&lt;=$O48,AX$4&gt;=$O48)+AND(AX$3&lt;=$P48,AX$4&gt;=$P48))*(($Q48*$R48))*AW48)</f>
        <v>1.0596176282712058</v>
      </c>
      <c r="AY48" s="799">
        <f t="shared" ref="AY48" si="160">IF($Q48=0,AY$15,AX48+(AND(AY$3&lt;=$M48,AY$4&gt;=$M48)+AND(AY$3&lt;=$N48,AY$4&gt;=$N48)+AND(AY$3&lt;=$O48,AY$4&gt;=$O48)+AND(AY$3&lt;=$P48,AY$4&gt;=$P48))*(($Q48*$R48))*AX48)</f>
        <v>1.0615988478182736</v>
      </c>
      <c r="AZ48" s="799">
        <f t="shared" ref="AZ48" si="161">IF($Q48=0,AZ$15,AY48+(AND(AZ$3&lt;=$M48,AZ$4&gt;=$M48)+AND(AZ$3&lt;=$N48,AZ$4&gt;=$N48)+AND(AZ$3&lt;=$O48,AZ$4&gt;=$O48)+AND(AZ$3&lt;=$P48,AZ$4&gt;=$P48))*(($Q48*$R48))*AY48)</f>
        <v>1.0635837717496297</v>
      </c>
      <c r="BA48" s="799">
        <f t="shared" ref="BA48" si="162">IF($Q48=0,BA$15,AZ48+(AND(BA$3&lt;=$M48,BA$4&gt;=$M48)+AND(BA$3&lt;=$N48,BA$4&gt;=$N48)+AND(BA$3&lt;=$O48,BA$4&gt;=$O48)+AND(BA$3&lt;=$P48,BA$4&gt;=$P48))*(($Q48*$R48))*AZ48)</f>
        <v>1.0655724069915447</v>
      </c>
      <c r="BB48" s="799">
        <f t="shared" ref="BB48" si="163">IF($Q48=0,BB$15,BA48+(AND(BB$3&lt;=$M48,BB$4&gt;=$M48)+AND(BB$3&lt;=$N48,BB$4&gt;=$N48)+AND(BB$3&lt;=$O48,BB$4&gt;=$O48)+AND(BB$3&lt;=$P48,BB$4&gt;=$P48))*(($Q48*$R48))*BA48)</f>
        <v>1.0675647604832397</v>
      </c>
      <c r="BC48" s="799">
        <f t="shared" ref="BC48" si="164">IF($Q48=0,BC$15,BB48+(AND(BC$3&lt;=$M48,BC$4&gt;=$M48)+AND(BC$3&lt;=$N48,BC$4&gt;=$N48)+AND(BC$3&lt;=$O48,BC$4&gt;=$O48)+AND(BC$3&lt;=$P48,BC$4&gt;=$P48))*(($Q48*$R48))*BB48)</f>
        <v>1.0695608391769105</v>
      </c>
      <c r="BD48" s="799">
        <f t="shared" ref="BD48" si="165">IF($Q48=0,BD$15,BC48+(AND(BD$3&lt;=$M48,BD$4&gt;=$M48)+AND(BD$3&lt;=$N48,BD$4&gt;=$N48)+AND(BD$3&lt;=$O48,BD$4&gt;=$O48)+AND(BD$3&lt;=$P48,BD$4&gt;=$P48))*(($Q48*$R48))*BC48)</f>
        <v>1.0715606500377517</v>
      </c>
      <c r="BE48" s="799">
        <f t="shared" ref="BE48" si="166">IF($Q48=0,BE$15,BD48+(AND(BE$3&lt;=$M48,BE$4&gt;=$M48)+AND(BE$3&lt;=$N48,BE$4&gt;=$N48)+AND(BE$3&lt;=$O48,BE$4&gt;=$O48)+AND(BE$3&lt;=$P48,BE$4&gt;=$P48))*(($Q48*$R48))*BD48)</f>
        <v>1.0735642000439811</v>
      </c>
      <c r="BF48" s="799">
        <f t="shared" ref="BF48" si="167">IF($Q48=0,BF$15,BE48+(AND(BF$3&lt;=$M48,BF$4&gt;=$M48)+AND(BF$3&lt;=$N48,BF$4&gt;=$N48)+AND(BF$3&lt;=$O48,BF$4&gt;=$O48)+AND(BF$3&lt;=$P48,BF$4&gt;=$P48))*(($Q48*$R48))*BE48)</f>
        <v>1.0755714961868639</v>
      </c>
      <c r="BG48" s="799">
        <f t="shared" ref="BG48" si="168">IF($Q48=0,BG$15,BF48+(AND(BG$3&lt;=$M48,BG$4&gt;=$M48)+AND(BG$3&lt;=$N48,BG$4&gt;=$N48)+AND(BG$3&lt;=$O48,BG$4&gt;=$O48)+AND(BG$3&lt;=$P48,BG$4&gt;=$P48))*(($Q48*$R48))*BF48)</f>
        <v>1.0775825454707373</v>
      </c>
      <c r="BI48" s="106" t="s">
        <v>153</v>
      </c>
      <c r="BK48" s="103"/>
    </row>
    <row r="49" spans="2:63" outlineLevel="1">
      <c r="C49" s="269"/>
      <c r="D49" s="269"/>
      <c r="F49" s="269"/>
      <c r="H49" s="269"/>
      <c r="J49" s="269"/>
      <c r="K49" s="269"/>
      <c r="M49" s="269"/>
      <c r="N49" s="269"/>
      <c r="O49" s="269"/>
      <c r="P49" s="269"/>
      <c r="Q49" s="269"/>
      <c r="R49" s="269"/>
      <c r="BI49" s="269"/>
      <c r="BK49" s="269"/>
    </row>
    <row r="50" spans="2:63" outlineLevel="1"/>
    <row r="51" spans="2:63" outlineLevel="1"/>
    <row r="52" spans="2:63" s="90" customFormat="1" outlineLevel="1">
      <c r="B52" s="91">
        <f ca="1">MAX(A$1:$B51)+1</f>
        <v>6</v>
      </c>
      <c r="C52" s="92" t="s">
        <v>299</v>
      </c>
    </row>
    <row r="53" spans="2:63" outlineLevel="1"/>
    <row r="54" spans="2:63" outlineLevel="1">
      <c r="M54" s="226" t="s">
        <v>299</v>
      </c>
      <c r="N54" s="225"/>
    </row>
    <row r="55" spans="2:63" ht="30" outlineLevel="1">
      <c r="C55" s="96" t="s">
        <v>4</v>
      </c>
      <c r="D55" s="97" t="s">
        <v>148</v>
      </c>
      <c r="E55" s="95"/>
      <c r="F55" s="97" t="s">
        <v>149</v>
      </c>
      <c r="G55" s="95"/>
      <c r="H55" s="97" t="s">
        <v>150</v>
      </c>
      <c r="I55" s="95"/>
      <c r="J55" s="97" t="s">
        <v>272</v>
      </c>
      <c r="K55" s="97" t="s">
        <v>273</v>
      </c>
      <c r="M55" s="96" t="s">
        <v>292</v>
      </c>
      <c r="N55" s="97" t="s">
        <v>293</v>
      </c>
      <c r="BI55" s="104" t="s">
        <v>152</v>
      </c>
      <c r="BJ55" s="95"/>
      <c r="BK55" s="102"/>
    </row>
    <row r="56" spans="2:63" outlineLevel="1">
      <c r="C56" s="98">
        <f>RR!C23</f>
        <v>1</v>
      </c>
      <c r="D56" s="98" t="str">
        <f>RR!E23</f>
        <v>1 - 1</v>
      </c>
      <c r="F56" s="93" t="str">
        <f>INDEX(RR!K:K,MATCH(D56,RR!E:E,0))</f>
        <v>backup</v>
      </c>
      <c r="H56" s="72" t="s">
        <v>299</v>
      </c>
      <c r="J56" s="1324">
        <f>INDEX(AA!E:E,MATCH($C56,AA!C:C,0))</f>
        <v>1</v>
      </c>
      <c r="K56" s="1324">
        <f>INDEX(TA!$G:$G,MATCH($D56,TA!$D:$D,0))</f>
        <v>1</v>
      </c>
      <c r="M56" s="232"/>
      <c r="N56" s="232"/>
      <c r="T56" s="234"/>
      <c r="U56" s="234"/>
      <c r="V56" s="234"/>
      <c r="W56" s="234"/>
      <c r="X56" s="234"/>
      <c r="Y56" s="234"/>
      <c r="Z56" s="234"/>
      <c r="AA56" s="234"/>
      <c r="AB56" s="234"/>
      <c r="AC56" s="234"/>
      <c r="AD56" s="234"/>
      <c r="AE56" s="234"/>
      <c r="AF56" s="234"/>
      <c r="AG56" s="234"/>
      <c r="AH56" s="234"/>
      <c r="AI56" s="234"/>
      <c r="AJ56" s="234"/>
      <c r="AK56" s="234"/>
      <c r="AL56" s="234"/>
      <c r="AM56" s="234"/>
      <c r="AN56" s="234"/>
      <c r="AO56" s="234"/>
      <c r="AP56" s="234"/>
      <c r="AQ56" s="234"/>
      <c r="AR56" s="234"/>
      <c r="AS56" s="234"/>
      <c r="AT56" s="234"/>
      <c r="AU56" s="234"/>
      <c r="AV56" s="234"/>
      <c r="AW56" s="234"/>
      <c r="AX56" s="234"/>
      <c r="AY56" s="234"/>
      <c r="AZ56" s="234"/>
      <c r="BA56" s="234"/>
      <c r="BB56" s="234"/>
      <c r="BC56" s="234"/>
      <c r="BD56" s="234"/>
      <c r="BE56" s="234"/>
      <c r="BF56" s="234"/>
      <c r="BG56" s="234"/>
      <c r="BI56" s="105" t="s">
        <v>153</v>
      </c>
      <c r="BK56" s="103"/>
    </row>
    <row r="57" spans="2:63" outlineLevel="1">
      <c r="C57" s="99">
        <f>RR!C24</f>
        <v>2</v>
      </c>
      <c r="D57" s="99" t="str">
        <f>RR!E24</f>
        <v>2 - 1</v>
      </c>
      <c r="F57" s="94" t="str">
        <f>INDEX(RR!K:K,MATCH(D57,RR!E:E,0))</f>
        <v>backup</v>
      </c>
      <c r="H57" s="73" t="s">
        <v>299</v>
      </c>
      <c r="J57" s="1325">
        <f>INDEX(AA!E:E,MATCH($C57,AA!C:C,0))</f>
        <v>1</v>
      </c>
      <c r="K57" s="1325">
        <f>INDEX(TA!$G:$G,MATCH($D57,TA!$D:$D,0))</f>
        <v>1</v>
      </c>
      <c r="M57" s="233"/>
      <c r="N57" s="233"/>
      <c r="T57" s="234"/>
      <c r="U57" s="234"/>
      <c r="V57" s="234"/>
      <c r="W57" s="234"/>
      <c r="X57" s="234"/>
      <c r="Y57" s="234"/>
      <c r="Z57" s="234"/>
      <c r="AA57" s="234"/>
      <c r="AB57" s="234"/>
      <c r="AC57" s="234"/>
      <c r="AD57" s="234"/>
      <c r="AE57" s="234"/>
      <c r="AF57" s="234"/>
      <c r="AG57" s="234"/>
      <c r="AH57" s="234"/>
      <c r="AI57" s="234"/>
      <c r="AJ57" s="234"/>
      <c r="AK57" s="234"/>
      <c r="AL57" s="234"/>
      <c r="AM57" s="234"/>
      <c r="AN57" s="234"/>
      <c r="AO57" s="234"/>
      <c r="AP57" s="234"/>
      <c r="AQ57" s="234"/>
      <c r="AR57" s="234"/>
      <c r="AS57" s="234"/>
      <c r="AT57" s="234"/>
      <c r="AU57" s="234"/>
      <c r="AV57" s="234"/>
      <c r="AW57" s="234"/>
      <c r="AX57" s="234"/>
      <c r="AY57" s="234"/>
      <c r="AZ57" s="234"/>
      <c r="BA57" s="234"/>
      <c r="BB57" s="234"/>
      <c r="BC57" s="234"/>
      <c r="BD57" s="234"/>
      <c r="BE57" s="234"/>
      <c r="BF57" s="234"/>
      <c r="BG57" s="234"/>
      <c r="BI57" s="106" t="s">
        <v>153</v>
      </c>
      <c r="BK57" s="103"/>
    </row>
    <row r="58" spans="2:63" outlineLevel="1">
      <c r="C58" s="99">
        <f>RR!C25</f>
        <v>3</v>
      </c>
      <c r="D58" s="99" t="str">
        <f>RR!E25</f>
        <v>3 - 1</v>
      </c>
      <c r="F58" s="94" t="str">
        <f>INDEX(RR!K:K,MATCH(D58,RR!E:E,0))</f>
        <v>backup</v>
      </c>
      <c r="H58" s="73" t="s">
        <v>299</v>
      </c>
      <c r="J58" s="1325">
        <f>INDEX(AA!E:E,MATCH($C58,AA!C:C,0))</f>
        <v>1</v>
      </c>
      <c r="K58" s="1325">
        <f>INDEX(TA!$G:$G,MATCH($D58,TA!$D:$D,0))</f>
        <v>1</v>
      </c>
      <c r="M58" s="233"/>
      <c r="N58" s="233"/>
      <c r="T58" s="234"/>
      <c r="U58" s="234"/>
      <c r="V58" s="234"/>
      <c r="W58" s="234"/>
      <c r="X58" s="234"/>
      <c r="Y58" s="234"/>
      <c r="Z58" s="234"/>
      <c r="AA58" s="234"/>
      <c r="AB58" s="234"/>
      <c r="AC58" s="234"/>
      <c r="AD58" s="234"/>
      <c r="AE58" s="234"/>
      <c r="AF58" s="234"/>
      <c r="AG58" s="234"/>
      <c r="AH58" s="234"/>
      <c r="AI58" s="234"/>
      <c r="AJ58" s="234"/>
      <c r="AK58" s="234"/>
      <c r="AL58" s="234"/>
      <c r="AM58" s="234"/>
      <c r="AN58" s="234"/>
      <c r="AO58" s="234"/>
      <c r="AP58" s="234"/>
      <c r="AQ58" s="234"/>
      <c r="AR58" s="234"/>
      <c r="AS58" s="234"/>
      <c r="AT58" s="234"/>
      <c r="AU58" s="234"/>
      <c r="AV58" s="234"/>
      <c r="AW58" s="234"/>
      <c r="AX58" s="234"/>
      <c r="AY58" s="234"/>
      <c r="AZ58" s="234"/>
      <c r="BA58" s="234"/>
      <c r="BB58" s="234"/>
      <c r="BC58" s="234"/>
      <c r="BD58" s="234"/>
      <c r="BE58" s="234"/>
      <c r="BF58" s="234"/>
      <c r="BG58" s="234"/>
      <c r="BI58" s="106" t="s">
        <v>153</v>
      </c>
      <c r="BK58" s="103"/>
    </row>
    <row r="59" spans="2:63" outlineLevel="1">
      <c r="C59" s="269"/>
      <c r="D59" s="269"/>
      <c r="F59" s="269"/>
      <c r="H59" s="269"/>
      <c r="J59" s="269"/>
      <c r="K59" s="269"/>
      <c r="M59" s="269"/>
      <c r="N59" s="269"/>
      <c r="BI59" s="269"/>
      <c r="BK59" s="269"/>
    </row>
    <row r="60" spans="2:63" outlineLevel="1"/>
    <row r="61" spans="2:63" s="90" customFormat="1" outlineLevel="1">
      <c r="B61" s="91">
        <f ca="1">MAX(A$1:$B60)+1</f>
        <v>7</v>
      </c>
      <c r="C61" s="92" t="s">
        <v>300</v>
      </c>
    </row>
    <row r="62" spans="2:63" outlineLevel="1"/>
    <row r="63" spans="2:63" outlineLevel="1">
      <c r="M63" s="226" t="s">
        <v>297</v>
      </c>
      <c r="N63" s="225"/>
      <c r="T63" s="155"/>
    </row>
    <row r="64" spans="2:63" ht="30" outlineLevel="1">
      <c r="C64" s="96" t="s">
        <v>4</v>
      </c>
      <c r="D64" s="97" t="s">
        <v>148</v>
      </c>
      <c r="E64" s="95"/>
      <c r="F64" s="97" t="s">
        <v>149</v>
      </c>
      <c r="G64" s="95"/>
      <c r="H64" s="97" t="s">
        <v>150</v>
      </c>
      <c r="I64" s="95"/>
      <c r="J64" s="97" t="s">
        <v>272</v>
      </c>
      <c r="K64" s="97" t="s">
        <v>273</v>
      </c>
      <c r="M64" s="96" t="s">
        <v>292</v>
      </c>
      <c r="N64" s="97" t="s">
        <v>293</v>
      </c>
      <c r="BI64" s="104" t="s">
        <v>152</v>
      </c>
      <c r="BJ64" s="95"/>
      <c r="BK64" s="102"/>
    </row>
    <row r="65" spans="2:63" outlineLevel="1">
      <c r="C65" s="98">
        <f>RR!C23</f>
        <v>1</v>
      </c>
      <c r="D65" s="98" t="str">
        <f>RR!E23</f>
        <v>1 - 1</v>
      </c>
      <c r="F65" s="93" t="str">
        <f>INDEX(RR!K:K,MATCH(D65,RR!E:E,0))</f>
        <v>backup</v>
      </c>
      <c r="H65" s="72" t="s">
        <v>300</v>
      </c>
      <c r="J65" s="1324">
        <f>INDEX(AA!E:E,MATCH($C65,AA!C:C,0))</f>
        <v>1</v>
      </c>
      <c r="K65" s="1324">
        <f>INDEX(TA!$G:$G,MATCH($D65,TA!$D:$D,0))</f>
        <v>1</v>
      </c>
      <c r="M65" s="223">
        <f>INDEX(TA!$AA:$AA,MATCH($D65,TA!$D:$D,0))</f>
        <v>43466</v>
      </c>
      <c r="N65" s="223">
        <f>INDEX(TA!$AF:$AF,MATCH($D65,TA!$D:$D,0))</f>
        <v>50770</v>
      </c>
      <c r="T65" s="230">
        <f>MAX(($N65-T$4)/365,0)*$J65*$K65</f>
        <v>17.597260273972601</v>
      </c>
      <c r="U65" s="230">
        <f t="shared" ref="U65:BG66" si="169">MAX(($N65-U$4)/365,0)*$J65*$K65</f>
        <v>17.345205479452055</v>
      </c>
      <c r="V65" s="230">
        <f t="shared" si="169"/>
        <v>17.095890410958905</v>
      </c>
      <c r="W65" s="230">
        <f t="shared" si="169"/>
        <v>16.849315068493151</v>
      </c>
      <c r="X65" s="230">
        <f t="shared" si="169"/>
        <v>16.597260273972601</v>
      </c>
      <c r="Y65" s="230">
        <f t="shared" si="169"/>
        <v>16.345205479452055</v>
      </c>
      <c r="Z65" s="230">
        <f t="shared" si="169"/>
        <v>16.095890410958905</v>
      </c>
      <c r="AA65" s="230">
        <f t="shared" si="169"/>
        <v>15.849315068493151</v>
      </c>
      <c r="AB65" s="230">
        <f t="shared" si="169"/>
        <v>15.597260273972603</v>
      </c>
      <c r="AC65" s="230">
        <f t="shared" si="169"/>
        <v>15.345205479452055</v>
      </c>
      <c r="AD65" s="230">
        <f t="shared" si="169"/>
        <v>15.095890410958905</v>
      </c>
      <c r="AE65" s="230">
        <f t="shared" si="169"/>
        <v>14.846575342465753</v>
      </c>
      <c r="AF65" s="230">
        <f t="shared" si="169"/>
        <v>14.594520547945205</v>
      </c>
      <c r="AG65" s="230">
        <f t="shared" si="169"/>
        <v>14.342465753424657</v>
      </c>
      <c r="AH65" s="230">
        <f t="shared" si="169"/>
        <v>14.093150684931507</v>
      </c>
      <c r="AI65" s="230">
        <f t="shared" si="169"/>
        <v>13.846575342465753</v>
      </c>
      <c r="AJ65" s="230">
        <f t="shared" si="169"/>
        <v>13.594520547945205</v>
      </c>
      <c r="AK65" s="230">
        <f t="shared" si="169"/>
        <v>13.342465753424657</v>
      </c>
      <c r="AL65" s="230">
        <f t="shared" si="169"/>
        <v>13.093150684931507</v>
      </c>
      <c r="AM65" s="230">
        <f t="shared" si="169"/>
        <v>12.846575342465753</v>
      </c>
      <c r="AN65" s="230">
        <f t="shared" si="169"/>
        <v>12.594520547945205</v>
      </c>
      <c r="AO65" s="230">
        <f t="shared" si="169"/>
        <v>12.342465753424657</v>
      </c>
      <c r="AP65" s="230">
        <f t="shared" si="169"/>
        <v>12.093150684931507</v>
      </c>
      <c r="AQ65" s="230">
        <f t="shared" si="169"/>
        <v>11.846575342465753</v>
      </c>
      <c r="AR65" s="230">
        <f t="shared" si="169"/>
        <v>11.594520547945205</v>
      </c>
      <c r="AS65" s="230">
        <f t="shared" si="169"/>
        <v>11.342465753424657</v>
      </c>
      <c r="AT65" s="230">
        <f t="shared" si="169"/>
        <v>11.093150684931507</v>
      </c>
      <c r="AU65" s="230">
        <f t="shared" si="169"/>
        <v>10.843835616438357</v>
      </c>
      <c r="AV65" s="230">
        <f t="shared" si="169"/>
        <v>10.591780821917808</v>
      </c>
      <c r="AW65" s="230">
        <f t="shared" si="169"/>
        <v>10.33972602739726</v>
      </c>
      <c r="AX65" s="230">
        <f t="shared" si="169"/>
        <v>10.09041095890411</v>
      </c>
      <c r="AY65" s="230">
        <f t="shared" si="169"/>
        <v>9.8438356164383567</v>
      </c>
      <c r="AZ65" s="230">
        <f t="shared" si="169"/>
        <v>9.5917808219178085</v>
      </c>
      <c r="BA65" s="230">
        <f t="shared" si="169"/>
        <v>9.3397260273972602</v>
      </c>
      <c r="BB65" s="230">
        <f t="shared" si="169"/>
        <v>9.0904109589041102</v>
      </c>
      <c r="BC65" s="230">
        <f t="shared" si="169"/>
        <v>8.8438356164383567</v>
      </c>
      <c r="BD65" s="230">
        <f t="shared" si="169"/>
        <v>8.5917808219178085</v>
      </c>
      <c r="BE65" s="230">
        <f t="shared" si="169"/>
        <v>8.3397260273972602</v>
      </c>
      <c r="BF65" s="230">
        <f t="shared" si="169"/>
        <v>8.0904109589041102</v>
      </c>
      <c r="BG65" s="230">
        <f t="shared" si="169"/>
        <v>7.8438356164383558</v>
      </c>
      <c r="BI65" s="105" t="s">
        <v>153</v>
      </c>
      <c r="BK65" s="103"/>
    </row>
    <row r="66" spans="2:63" outlineLevel="1">
      <c r="C66" s="99">
        <f>RR!C24</f>
        <v>2</v>
      </c>
      <c r="D66" s="99" t="str">
        <f>RR!E24</f>
        <v>2 - 1</v>
      </c>
      <c r="F66" s="94" t="str">
        <f>INDEX(RR!K:K,MATCH(D66,RR!E:E,0))</f>
        <v>backup</v>
      </c>
      <c r="H66" s="73" t="s">
        <v>300</v>
      </c>
      <c r="J66" s="1325">
        <f>INDEX(AA!E:E,MATCH($C66,AA!C:C,0))</f>
        <v>1</v>
      </c>
      <c r="K66" s="1325">
        <f>INDEX(TA!$G:$G,MATCH($D66,TA!$D:$D,0))</f>
        <v>1</v>
      </c>
      <c r="M66" s="224">
        <f>INDEX(TA!$AA:$AA,MATCH($D66,TA!$D:$D,0))</f>
        <v>43466</v>
      </c>
      <c r="N66" s="224">
        <f>INDEX(TA!$AF:$AF,MATCH($D66,TA!$D:$D,0))</f>
        <v>50770</v>
      </c>
      <c r="T66" s="230">
        <f t="shared" ref="T66:AI67" si="170">MAX(($N66-T$4)/365,0)*$J66*$K66</f>
        <v>17.597260273972601</v>
      </c>
      <c r="U66" s="230">
        <f t="shared" si="170"/>
        <v>17.345205479452055</v>
      </c>
      <c r="V66" s="230">
        <f t="shared" si="170"/>
        <v>17.095890410958905</v>
      </c>
      <c r="W66" s="230">
        <f t="shared" si="170"/>
        <v>16.849315068493151</v>
      </c>
      <c r="X66" s="230">
        <f t="shared" si="170"/>
        <v>16.597260273972601</v>
      </c>
      <c r="Y66" s="230">
        <f t="shared" si="170"/>
        <v>16.345205479452055</v>
      </c>
      <c r="Z66" s="230">
        <f t="shared" si="170"/>
        <v>16.095890410958905</v>
      </c>
      <c r="AA66" s="230">
        <f t="shared" si="170"/>
        <v>15.849315068493151</v>
      </c>
      <c r="AB66" s="230">
        <f t="shared" si="170"/>
        <v>15.597260273972603</v>
      </c>
      <c r="AC66" s="230">
        <f t="shared" si="170"/>
        <v>15.345205479452055</v>
      </c>
      <c r="AD66" s="230">
        <f t="shared" si="170"/>
        <v>15.095890410958905</v>
      </c>
      <c r="AE66" s="230">
        <f t="shared" si="170"/>
        <v>14.846575342465753</v>
      </c>
      <c r="AF66" s="230">
        <f t="shared" si="170"/>
        <v>14.594520547945205</v>
      </c>
      <c r="AG66" s="230">
        <f t="shared" si="170"/>
        <v>14.342465753424657</v>
      </c>
      <c r="AH66" s="230">
        <f t="shared" si="170"/>
        <v>14.093150684931507</v>
      </c>
      <c r="AI66" s="230">
        <f t="shared" si="170"/>
        <v>13.846575342465753</v>
      </c>
      <c r="AJ66" s="230">
        <f t="shared" si="169"/>
        <v>13.594520547945205</v>
      </c>
      <c r="AK66" s="230">
        <f t="shared" si="169"/>
        <v>13.342465753424657</v>
      </c>
      <c r="AL66" s="230">
        <f t="shared" si="169"/>
        <v>13.093150684931507</v>
      </c>
      <c r="AM66" s="230">
        <f t="shared" si="169"/>
        <v>12.846575342465753</v>
      </c>
      <c r="AN66" s="230">
        <f t="shared" si="169"/>
        <v>12.594520547945205</v>
      </c>
      <c r="AO66" s="230">
        <f t="shared" si="169"/>
        <v>12.342465753424657</v>
      </c>
      <c r="AP66" s="230">
        <f t="shared" si="169"/>
        <v>12.093150684931507</v>
      </c>
      <c r="AQ66" s="230">
        <f t="shared" si="169"/>
        <v>11.846575342465753</v>
      </c>
      <c r="AR66" s="230">
        <f t="shared" si="169"/>
        <v>11.594520547945205</v>
      </c>
      <c r="AS66" s="230">
        <f t="shared" si="169"/>
        <v>11.342465753424657</v>
      </c>
      <c r="AT66" s="230">
        <f t="shared" si="169"/>
        <v>11.093150684931507</v>
      </c>
      <c r="AU66" s="230">
        <f t="shared" si="169"/>
        <v>10.843835616438357</v>
      </c>
      <c r="AV66" s="230">
        <f t="shared" si="169"/>
        <v>10.591780821917808</v>
      </c>
      <c r="AW66" s="230">
        <f t="shared" si="169"/>
        <v>10.33972602739726</v>
      </c>
      <c r="AX66" s="230">
        <f t="shared" si="169"/>
        <v>10.09041095890411</v>
      </c>
      <c r="AY66" s="230">
        <f t="shared" si="169"/>
        <v>9.8438356164383567</v>
      </c>
      <c r="AZ66" s="230">
        <f t="shared" si="169"/>
        <v>9.5917808219178085</v>
      </c>
      <c r="BA66" s="230">
        <f t="shared" si="169"/>
        <v>9.3397260273972602</v>
      </c>
      <c r="BB66" s="230">
        <f t="shared" si="169"/>
        <v>9.0904109589041102</v>
      </c>
      <c r="BC66" s="230">
        <f t="shared" si="169"/>
        <v>8.8438356164383567</v>
      </c>
      <c r="BD66" s="230">
        <f t="shared" si="169"/>
        <v>8.5917808219178085</v>
      </c>
      <c r="BE66" s="230">
        <f t="shared" si="169"/>
        <v>8.3397260273972602</v>
      </c>
      <c r="BF66" s="230">
        <f t="shared" si="169"/>
        <v>8.0904109589041102</v>
      </c>
      <c r="BG66" s="230">
        <f t="shared" si="169"/>
        <v>7.8438356164383558</v>
      </c>
      <c r="BI66" s="106" t="s">
        <v>153</v>
      </c>
      <c r="BK66" s="103"/>
    </row>
    <row r="67" spans="2:63" outlineLevel="1">
      <c r="C67" s="99">
        <f>RR!C25</f>
        <v>3</v>
      </c>
      <c r="D67" s="99" t="str">
        <f>RR!E25</f>
        <v>3 - 1</v>
      </c>
      <c r="F67" s="94" t="str">
        <f>INDEX(RR!K:K,MATCH(D67,RR!E:E,0))</f>
        <v>backup</v>
      </c>
      <c r="H67" s="73" t="s">
        <v>300</v>
      </c>
      <c r="J67" s="1325">
        <f>INDEX(AA!E:E,MATCH($C67,AA!C:C,0))</f>
        <v>1</v>
      </c>
      <c r="K67" s="1325">
        <f>INDEX(TA!$G:$G,MATCH($D67,TA!$D:$D,0))</f>
        <v>1</v>
      </c>
      <c r="M67" s="224">
        <f>INDEX(TA!$AA:$AA,MATCH($D67,TA!$D:$D,0))</f>
        <v>43466</v>
      </c>
      <c r="N67" s="224">
        <f>INDEX(TA!$AF:$AF,MATCH($D67,TA!$D:$D,0))</f>
        <v>50770</v>
      </c>
      <c r="T67" s="230">
        <f t="shared" si="170"/>
        <v>17.597260273972601</v>
      </c>
      <c r="U67" s="230">
        <f t="shared" si="170"/>
        <v>17.345205479452055</v>
      </c>
      <c r="V67" s="230">
        <f t="shared" si="170"/>
        <v>17.095890410958905</v>
      </c>
      <c r="W67" s="230">
        <f t="shared" si="170"/>
        <v>16.849315068493151</v>
      </c>
      <c r="X67" s="230">
        <f t="shared" si="170"/>
        <v>16.597260273972601</v>
      </c>
      <c r="Y67" s="230">
        <f t="shared" si="170"/>
        <v>16.345205479452055</v>
      </c>
      <c r="Z67" s="230">
        <f t="shared" si="170"/>
        <v>16.095890410958905</v>
      </c>
      <c r="AA67" s="230">
        <f t="shared" si="170"/>
        <v>15.849315068493151</v>
      </c>
      <c r="AB67" s="230">
        <f t="shared" si="170"/>
        <v>15.597260273972603</v>
      </c>
      <c r="AC67" s="230">
        <f t="shared" si="170"/>
        <v>15.345205479452055</v>
      </c>
      <c r="AD67" s="230">
        <f t="shared" si="170"/>
        <v>15.095890410958905</v>
      </c>
      <c r="AE67" s="230">
        <f t="shared" si="170"/>
        <v>14.846575342465753</v>
      </c>
      <c r="AF67" s="230">
        <f t="shared" si="170"/>
        <v>14.594520547945205</v>
      </c>
      <c r="AG67" s="230">
        <f t="shared" si="170"/>
        <v>14.342465753424657</v>
      </c>
      <c r="AH67" s="230">
        <f t="shared" si="170"/>
        <v>14.093150684931507</v>
      </c>
      <c r="AI67" s="230">
        <f t="shared" si="170"/>
        <v>13.846575342465753</v>
      </c>
      <c r="AJ67" s="230">
        <f t="shared" ref="AJ67:AY67" si="171">MAX(($N67-AJ$4)/365,0)*$J67*$K67</f>
        <v>13.594520547945205</v>
      </c>
      <c r="AK67" s="230">
        <f t="shared" si="171"/>
        <v>13.342465753424657</v>
      </c>
      <c r="AL67" s="230">
        <f t="shared" si="171"/>
        <v>13.093150684931507</v>
      </c>
      <c r="AM67" s="230">
        <f t="shared" si="171"/>
        <v>12.846575342465753</v>
      </c>
      <c r="AN67" s="230">
        <f t="shared" si="171"/>
        <v>12.594520547945205</v>
      </c>
      <c r="AO67" s="230">
        <f t="shared" si="171"/>
        <v>12.342465753424657</v>
      </c>
      <c r="AP67" s="230">
        <f t="shared" si="171"/>
        <v>12.093150684931507</v>
      </c>
      <c r="AQ67" s="230">
        <f t="shared" si="171"/>
        <v>11.846575342465753</v>
      </c>
      <c r="AR67" s="230">
        <f t="shared" si="171"/>
        <v>11.594520547945205</v>
      </c>
      <c r="AS67" s="230">
        <f t="shared" si="171"/>
        <v>11.342465753424657</v>
      </c>
      <c r="AT67" s="230">
        <f t="shared" si="171"/>
        <v>11.093150684931507</v>
      </c>
      <c r="AU67" s="230">
        <f t="shared" si="171"/>
        <v>10.843835616438357</v>
      </c>
      <c r="AV67" s="230">
        <f t="shared" si="171"/>
        <v>10.591780821917808</v>
      </c>
      <c r="AW67" s="230">
        <f t="shared" si="171"/>
        <v>10.33972602739726</v>
      </c>
      <c r="AX67" s="230">
        <f t="shared" si="171"/>
        <v>10.09041095890411</v>
      </c>
      <c r="AY67" s="230">
        <f t="shared" si="171"/>
        <v>9.8438356164383567</v>
      </c>
      <c r="AZ67" s="230">
        <f t="shared" ref="AZ67:BG67" si="172">MAX(($N67-AZ$4)/365,0)*$J67*$K67</f>
        <v>9.5917808219178085</v>
      </c>
      <c r="BA67" s="230">
        <f t="shared" si="172"/>
        <v>9.3397260273972602</v>
      </c>
      <c r="BB67" s="230">
        <f t="shared" si="172"/>
        <v>9.0904109589041102</v>
      </c>
      <c r="BC67" s="230">
        <f t="shared" si="172"/>
        <v>8.8438356164383567</v>
      </c>
      <c r="BD67" s="230">
        <f t="shared" si="172"/>
        <v>8.5917808219178085</v>
      </c>
      <c r="BE67" s="230">
        <f t="shared" si="172"/>
        <v>8.3397260273972602</v>
      </c>
      <c r="BF67" s="230">
        <f t="shared" si="172"/>
        <v>8.0904109589041102</v>
      </c>
      <c r="BG67" s="230">
        <f t="shared" si="172"/>
        <v>7.8438356164383558</v>
      </c>
      <c r="BI67" s="106" t="s">
        <v>153</v>
      </c>
      <c r="BK67" s="103"/>
    </row>
    <row r="68" spans="2:63" outlineLevel="1">
      <c r="C68" s="269"/>
      <c r="D68" s="269"/>
      <c r="F68" s="269"/>
      <c r="H68" s="269"/>
      <c r="J68" s="269"/>
      <c r="K68" s="269"/>
      <c r="M68" s="269"/>
      <c r="N68" s="269"/>
      <c r="BI68" s="269"/>
      <c r="BK68" s="269"/>
    </row>
    <row r="69" spans="2:63" outlineLevel="1"/>
    <row r="70" spans="2:63" s="90" customFormat="1" outlineLevel="1">
      <c r="B70" s="91">
        <f ca="1">MAX(A$1:$B69)+1</f>
        <v>8</v>
      </c>
      <c r="C70" s="92" t="s">
        <v>383</v>
      </c>
    </row>
    <row r="71" spans="2:63" outlineLevel="1"/>
    <row r="72" spans="2:63" outlineLevel="1">
      <c r="M72" s="226" t="s">
        <v>383</v>
      </c>
      <c r="N72" s="225"/>
      <c r="O72" s="225"/>
    </row>
    <row r="73" spans="2:63" ht="30" outlineLevel="1">
      <c r="C73" s="96" t="s">
        <v>4</v>
      </c>
      <c r="D73" s="97" t="s">
        <v>148</v>
      </c>
      <c r="E73" s="95"/>
      <c r="F73" s="97" t="s">
        <v>149</v>
      </c>
      <c r="G73" s="95"/>
      <c r="H73" s="97" t="s">
        <v>150</v>
      </c>
      <c r="I73" s="95"/>
      <c r="J73" s="97" t="s">
        <v>272</v>
      </c>
      <c r="K73" s="97" t="s">
        <v>273</v>
      </c>
      <c r="M73" s="96" t="s">
        <v>384</v>
      </c>
      <c r="N73" s="97" t="s">
        <v>385</v>
      </c>
      <c r="O73" s="97" t="s">
        <v>305</v>
      </c>
      <c r="BI73" s="104" t="s">
        <v>152</v>
      </c>
      <c r="BJ73" s="95"/>
      <c r="BK73" s="102"/>
    </row>
    <row r="74" spans="2:63" outlineLevel="1">
      <c r="C74" s="98">
        <f>RR!C23</f>
        <v>1</v>
      </c>
      <c r="D74" s="98" t="str">
        <f>RR!E23</f>
        <v>1 - 1</v>
      </c>
      <c r="F74" s="93" t="str">
        <f>INDEX(RR!K:K,MATCH(D74,RR!E:E,0))</f>
        <v>backup</v>
      </c>
      <c r="H74" s="72" t="s">
        <v>383</v>
      </c>
      <c r="J74" s="1324">
        <f>INDEX(AA!E:E,MATCH($C74,AA!C:C,0))</f>
        <v>1</v>
      </c>
      <c r="K74" s="1324">
        <f>INDEX(TA!$G:$G,MATCH($D74,TA!$D:$D,0))</f>
        <v>1</v>
      </c>
      <c r="M74" s="305">
        <f>INDEX(TA!$BN$15:$BN$17,MATCH($D74,TA!$D$15:$D$17,0))</f>
        <v>0</v>
      </c>
      <c r="N74" s="307">
        <f>INDEX(TA!$CA$15:$CA$17,MATCH($D74,TA!$D$15:$D$17,0))</f>
        <v>0</v>
      </c>
      <c r="O74" s="1324" t="str">
        <f>INDEX(TA!$U:$U,MATCH($D74,TA!$D:$D,0))</f>
        <v>FMCG-F</v>
      </c>
      <c r="T74" s="231">
        <f>$M74*(T$5&gt;=$N74)</f>
        <v>0</v>
      </c>
      <c r="U74" s="231">
        <f t="shared" ref="U74:BG75" si="173">$M74*(U$5&gt;=$N74)</f>
        <v>0</v>
      </c>
      <c r="V74" s="231">
        <f t="shared" si="173"/>
        <v>0</v>
      </c>
      <c r="W74" s="231">
        <f t="shared" si="173"/>
        <v>0</v>
      </c>
      <c r="X74" s="231">
        <f t="shared" si="173"/>
        <v>0</v>
      </c>
      <c r="Y74" s="231">
        <f t="shared" si="173"/>
        <v>0</v>
      </c>
      <c r="Z74" s="231">
        <f t="shared" si="173"/>
        <v>0</v>
      </c>
      <c r="AA74" s="231">
        <f t="shared" si="173"/>
        <v>0</v>
      </c>
      <c r="AB74" s="231">
        <f t="shared" si="173"/>
        <v>0</v>
      </c>
      <c r="AC74" s="231">
        <f t="shared" si="173"/>
        <v>0</v>
      </c>
      <c r="AD74" s="231">
        <f t="shared" si="173"/>
        <v>0</v>
      </c>
      <c r="AE74" s="231">
        <f t="shared" si="173"/>
        <v>0</v>
      </c>
      <c r="AF74" s="231">
        <f t="shared" si="173"/>
        <v>0</v>
      </c>
      <c r="AG74" s="231">
        <f t="shared" si="173"/>
        <v>0</v>
      </c>
      <c r="AH74" s="231">
        <f t="shared" si="173"/>
        <v>0</v>
      </c>
      <c r="AI74" s="231">
        <f t="shared" si="173"/>
        <v>0</v>
      </c>
      <c r="AJ74" s="231">
        <f t="shared" si="173"/>
        <v>0</v>
      </c>
      <c r="AK74" s="231">
        <f t="shared" si="173"/>
        <v>0</v>
      </c>
      <c r="AL74" s="231">
        <f t="shared" si="173"/>
        <v>0</v>
      </c>
      <c r="AM74" s="231">
        <f t="shared" si="173"/>
        <v>0</v>
      </c>
      <c r="AN74" s="231">
        <f t="shared" si="173"/>
        <v>0</v>
      </c>
      <c r="AO74" s="231">
        <f t="shared" si="173"/>
        <v>0</v>
      </c>
      <c r="AP74" s="231">
        <f t="shared" si="173"/>
        <v>0</v>
      </c>
      <c r="AQ74" s="231">
        <f t="shared" si="173"/>
        <v>0</v>
      </c>
      <c r="AR74" s="231">
        <f t="shared" si="173"/>
        <v>0</v>
      </c>
      <c r="AS74" s="231">
        <f t="shared" si="173"/>
        <v>0</v>
      </c>
      <c r="AT74" s="231">
        <f t="shared" si="173"/>
        <v>0</v>
      </c>
      <c r="AU74" s="231">
        <f t="shared" si="173"/>
        <v>0</v>
      </c>
      <c r="AV74" s="231">
        <f t="shared" si="173"/>
        <v>0</v>
      </c>
      <c r="AW74" s="231">
        <f t="shared" si="173"/>
        <v>0</v>
      </c>
      <c r="AX74" s="231">
        <f t="shared" si="173"/>
        <v>0</v>
      </c>
      <c r="AY74" s="231">
        <f t="shared" si="173"/>
        <v>0</v>
      </c>
      <c r="AZ74" s="231">
        <f t="shared" si="173"/>
        <v>0</v>
      </c>
      <c r="BA74" s="231">
        <f t="shared" si="173"/>
        <v>0</v>
      </c>
      <c r="BB74" s="231">
        <f t="shared" si="173"/>
        <v>0</v>
      </c>
      <c r="BC74" s="231">
        <f t="shared" si="173"/>
        <v>0</v>
      </c>
      <c r="BD74" s="231">
        <f t="shared" si="173"/>
        <v>0</v>
      </c>
      <c r="BE74" s="231">
        <f t="shared" si="173"/>
        <v>0</v>
      </c>
      <c r="BF74" s="231">
        <f t="shared" si="173"/>
        <v>0</v>
      </c>
      <c r="BG74" s="231">
        <f t="shared" si="173"/>
        <v>0</v>
      </c>
      <c r="BI74" s="105" t="s">
        <v>153</v>
      </c>
      <c r="BK74" s="103"/>
    </row>
    <row r="75" spans="2:63" outlineLevel="1">
      <c r="C75" s="99">
        <f>RR!C24</f>
        <v>2</v>
      </c>
      <c r="D75" s="99" t="str">
        <f>RR!E24</f>
        <v>2 - 1</v>
      </c>
      <c r="F75" s="94" t="str">
        <f>INDEX(RR!K:K,MATCH(D75,RR!E:E,0))</f>
        <v>backup</v>
      </c>
      <c r="H75" s="73" t="s">
        <v>383</v>
      </c>
      <c r="J75" s="1325">
        <f>INDEX(AA!E:E,MATCH($C75,AA!C:C,0))</f>
        <v>1</v>
      </c>
      <c r="K75" s="1325">
        <f>INDEX(TA!$G:$G,MATCH($D75,TA!$D:$D,0))</f>
        <v>1</v>
      </c>
      <c r="M75" s="306">
        <f>INDEX(TA!$BN$15:$BN$17,MATCH($D75,TA!$D$15:$D$17,0))</f>
        <v>0</v>
      </c>
      <c r="N75" s="308">
        <f>INDEX(TA!$CA$15:$CA$17,MATCH($D75,TA!$D$15:$D$17,0))</f>
        <v>0</v>
      </c>
      <c r="O75" s="1325" t="str">
        <f>INDEX(TA!$U:$U,MATCH($D75,TA!$D:$D,0))</f>
        <v>FMCG-F</v>
      </c>
      <c r="T75" s="231">
        <f t="shared" ref="T75:AI76" si="174">$M75*(T$5&gt;=$N75)</f>
        <v>0</v>
      </c>
      <c r="U75" s="231">
        <f t="shared" si="174"/>
        <v>0</v>
      </c>
      <c r="V75" s="231">
        <f t="shared" si="174"/>
        <v>0</v>
      </c>
      <c r="W75" s="231">
        <f t="shared" si="174"/>
        <v>0</v>
      </c>
      <c r="X75" s="231">
        <f t="shared" si="174"/>
        <v>0</v>
      </c>
      <c r="Y75" s="231">
        <f t="shared" si="174"/>
        <v>0</v>
      </c>
      <c r="Z75" s="231">
        <f t="shared" si="174"/>
        <v>0</v>
      </c>
      <c r="AA75" s="231">
        <f t="shared" si="174"/>
        <v>0</v>
      </c>
      <c r="AB75" s="231">
        <f t="shared" si="174"/>
        <v>0</v>
      </c>
      <c r="AC75" s="231">
        <f t="shared" si="174"/>
        <v>0</v>
      </c>
      <c r="AD75" s="231">
        <f t="shared" si="174"/>
        <v>0</v>
      </c>
      <c r="AE75" s="231">
        <f t="shared" si="174"/>
        <v>0</v>
      </c>
      <c r="AF75" s="231">
        <f t="shared" si="174"/>
        <v>0</v>
      </c>
      <c r="AG75" s="231">
        <f t="shared" si="174"/>
        <v>0</v>
      </c>
      <c r="AH75" s="231">
        <f t="shared" si="174"/>
        <v>0</v>
      </c>
      <c r="AI75" s="231">
        <f t="shared" si="174"/>
        <v>0</v>
      </c>
      <c r="AJ75" s="231">
        <f t="shared" si="173"/>
        <v>0</v>
      </c>
      <c r="AK75" s="231">
        <f t="shared" si="173"/>
        <v>0</v>
      </c>
      <c r="AL75" s="231">
        <f t="shared" si="173"/>
        <v>0</v>
      </c>
      <c r="AM75" s="231">
        <f t="shared" si="173"/>
        <v>0</v>
      </c>
      <c r="AN75" s="231">
        <f t="shared" si="173"/>
        <v>0</v>
      </c>
      <c r="AO75" s="231">
        <f t="shared" si="173"/>
        <v>0</v>
      </c>
      <c r="AP75" s="231">
        <f t="shared" si="173"/>
        <v>0</v>
      </c>
      <c r="AQ75" s="231">
        <f t="shared" si="173"/>
        <v>0</v>
      </c>
      <c r="AR75" s="231">
        <f t="shared" si="173"/>
        <v>0</v>
      </c>
      <c r="AS75" s="231">
        <f t="shared" si="173"/>
        <v>0</v>
      </c>
      <c r="AT75" s="231">
        <f t="shared" si="173"/>
        <v>0</v>
      </c>
      <c r="AU75" s="231">
        <f t="shared" si="173"/>
        <v>0</v>
      </c>
      <c r="AV75" s="231">
        <f t="shared" si="173"/>
        <v>0</v>
      </c>
      <c r="AW75" s="231">
        <f t="shared" si="173"/>
        <v>0</v>
      </c>
      <c r="AX75" s="231">
        <f t="shared" si="173"/>
        <v>0</v>
      </c>
      <c r="AY75" s="231">
        <f t="shared" si="173"/>
        <v>0</v>
      </c>
      <c r="AZ75" s="231">
        <f t="shared" si="173"/>
        <v>0</v>
      </c>
      <c r="BA75" s="231">
        <f t="shared" si="173"/>
        <v>0</v>
      </c>
      <c r="BB75" s="231">
        <f t="shared" si="173"/>
        <v>0</v>
      </c>
      <c r="BC75" s="231">
        <f t="shared" si="173"/>
        <v>0</v>
      </c>
      <c r="BD75" s="231">
        <f t="shared" si="173"/>
        <v>0</v>
      </c>
      <c r="BE75" s="231">
        <f t="shared" si="173"/>
        <v>0</v>
      </c>
      <c r="BF75" s="231">
        <f t="shared" si="173"/>
        <v>0</v>
      </c>
      <c r="BG75" s="231">
        <f t="shared" si="173"/>
        <v>0</v>
      </c>
      <c r="BI75" s="106" t="s">
        <v>153</v>
      </c>
      <c r="BK75" s="103"/>
    </row>
    <row r="76" spans="2:63" outlineLevel="1">
      <c r="C76" s="99">
        <f>RR!C25</f>
        <v>3</v>
      </c>
      <c r="D76" s="99" t="str">
        <f>RR!E25</f>
        <v>3 - 1</v>
      </c>
      <c r="F76" s="94" t="str">
        <f>INDEX(RR!K:K,MATCH(D76,RR!E:E,0))</f>
        <v>backup</v>
      </c>
      <c r="H76" s="73" t="s">
        <v>383</v>
      </c>
      <c r="J76" s="1325">
        <f>INDEX(AA!E:E,MATCH($C76,AA!C:C,0))</f>
        <v>1</v>
      </c>
      <c r="K76" s="1325">
        <f>INDEX(TA!$G:$G,MATCH($D76,TA!$D:$D,0))</f>
        <v>1</v>
      </c>
      <c r="M76" s="306">
        <f>INDEX(TA!$BN$15:$BN$17,MATCH($D76,TA!$D$15:$D$17,0))</f>
        <v>0</v>
      </c>
      <c r="N76" s="308">
        <f>INDEX(TA!$CA$15:$CA$17,MATCH($D76,TA!$D$15:$D$17,0))</f>
        <v>0</v>
      </c>
      <c r="O76" s="1325" t="str">
        <f>INDEX(TA!$U:$U,MATCH($D76,TA!$D:$D,0))</f>
        <v>FMCG-F</v>
      </c>
      <c r="T76" s="231">
        <f t="shared" si="174"/>
        <v>0</v>
      </c>
      <c r="U76" s="231">
        <f t="shared" si="174"/>
        <v>0</v>
      </c>
      <c r="V76" s="231">
        <f t="shared" si="174"/>
        <v>0</v>
      </c>
      <c r="W76" s="231">
        <f t="shared" si="174"/>
        <v>0</v>
      </c>
      <c r="X76" s="231">
        <f t="shared" si="174"/>
        <v>0</v>
      </c>
      <c r="Y76" s="231">
        <f t="shared" si="174"/>
        <v>0</v>
      </c>
      <c r="Z76" s="231">
        <f t="shared" si="174"/>
        <v>0</v>
      </c>
      <c r="AA76" s="231">
        <f t="shared" si="174"/>
        <v>0</v>
      </c>
      <c r="AB76" s="231">
        <f t="shared" si="174"/>
        <v>0</v>
      </c>
      <c r="AC76" s="231">
        <f t="shared" si="174"/>
        <v>0</v>
      </c>
      <c r="AD76" s="231">
        <f t="shared" si="174"/>
        <v>0</v>
      </c>
      <c r="AE76" s="231">
        <f t="shared" si="174"/>
        <v>0</v>
      </c>
      <c r="AF76" s="231">
        <f t="shared" si="174"/>
        <v>0</v>
      </c>
      <c r="AG76" s="231">
        <f t="shared" si="174"/>
        <v>0</v>
      </c>
      <c r="AH76" s="231">
        <f t="shared" si="174"/>
        <v>0</v>
      </c>
      <c r="AI76" s="231">
        <f t="shared" si="174"/>
        <v>0</v>
      </c>
      <c r="AJ76" s="231">
        <f t="shared" ref="AJ76:AY76" si="175">$M76*(AJ$5&gt;=$N76)</f>
        <v>0</v>
      </c>
      <c r="AK76" s="231">
        <f t="shared" si="175"/>
        <v>0</v>
      </c>
      <c r="AL76" s="231">
        <f t="shared" si="175"/>
        <v>0</v>
      </c>
      <c r="AM76" s="231">
        <f t="shared" si="175"/>
        <v>0</v>
      </c>
      <c r="AN76" s="231">
        <f t="shared" si="175"/>
        <v>0</v>
      </c>
      <c r="AO76" s="231">
        <f t="shared" si="175"/>
        <v>0</v>
      </c>
      <c r="AP76" s="231">
        <f t="shared" si="175"/>
        <v>0</v>
      </c>
      <c r="AQ76" s="231">
        <f t="shared" si="175"/>
        <v>0</v>
      </c>
      <c r="AR76" s="231">
        <f t="shared" si="175"/>
        <v>0</v>
      </c>
      <c r="AS76" s="231">
        <f t="shared" si="175"/>
        <v>0</v>
      </c>
      <c r="AT76" s="231">
        <f t="shared" si="175"/>
        <v>0</v>
      </c>
      <c r="AU76" s="231">
        <f t="shared" si="175"/>
        <v>0</v>
      </c>
      <c r="AV76" s="231">
        <f t="shared" si="175"/>
        <v>0</v>
      </c>
      <c r="AW76" s="231">
        <f t="shared" si="175"/>
        <v>0</v>
      </c>
      <c r="AX76" s="231">
        <f t="shared" si="175"/>
        <v>0</v>
      </c>
      <c r="AY76" s="231">
        <f t="shared" si="175"/>
        <v>0</v>
      </c>
      <c r="AZ76" s="231">
        <f t="shared" ref="AZ76:BG76" si="176">$M76*(AZ$5&gt;=$N76)</f>
        <v>0</v>
      </c>
      <c r="BA76" s="231">
        <f t="shared" si="176"/>
        <v>0</v>
      </c>
      <c r="BB76" s="231">
        <f t="shared" si="176"/>
        <v>0</v>
      </c>
      <c r="BC76" s="231">
        <f t="shared" si="176"/>
        <v>0</v>
      </c>
      <c r="BD76" s="231">
        <f t="shared" si="176"/>
        <v>0</v>
      </c>
      <c r="BE76" s="231">
        <f t="shared" si="176"/>
        <v>0</v>
      </c>
      <c r="BF76" s="231">
        <f t="shared" si="176"/>
        <v>0</v>
      </c>
      <c r="BG76" s="231">
        <f t="shared" si="176"/>
        <v>0</v>
      </c>
      <c r="BI76" s="106" t="s">
        <v>153</v>
      </c>
      <c r="BK76" s="103"/>
    </row>
    <row r="77" spans="2:63" outlineLevel="1">
      <c r="C77" s="269"/>
      <c r="D77" s="269"/>
      <c r="F77" s="269"/>
      <c r="H77" s="269"/>
      <c r="J77" s="269"/>
      <c r="K77" s="269"/>
      <c r="M77" s="269"/>
      <c r="N77" s="269"/>
      <c r="O77" s="269"/>
      <c r="BI77" s="269"/>
      <c r="BK77" s="269"/>
    </row>
    <row r="78" spans="2:63" outlineLevel="1"/>
    <row r="79" spans="2:63" s="90" customFormat="1" outlineLevel="1">
      <c r="B79" s="91">
        <f ca="1">MAX(A$1:$B78)+1</f>
        <v>9</v>
      </c>
      <c r="C79" s="92" t="s">
        <v>302</v>
      </c>
    </row>
    <row r="80" spans="2:63" outlineLevel="1"/>
    <row r="81" spans="2:63" outlineLevel="1">
      <c r="M81" s="226" t="s">
        <v>303</v>
      </c>
      <c r="N81" s="225"/>
    </row>
    <row r="82" spans="2:63" ht="30" outlineLevel="1">
      <c r="C82" s="96" t="s">
        <v>4</v>
      </c>
      <c r="D82" s="97" t="s">
        <v>148</v>
      </c>
      <c r="E82" s="95"/>
      <c r="F82" s="97" t="s">
        <v>149</v>
      </c>
      <c r="G82" s="95"/>
      <c r="H82" s="97" t="s">
        <v>150</v>
      </c>
      <c r="I82" s="95"/>
      <c r="J82" s="97" t="s">
        <v>272</v>
      </c>
      <c r="K82" s="97" t="s">
        <v>273</v>
      </c>
      <c r="M82" s="96" t="s">
        <v>304</v>
      </c>
      <c r="N82" s="97" t="s">
        <v>305</v>
      </c>
      <c r="BI82" s="104" t="s">
        <v>152</v>
      </c>
      <c r="BJ82" s="95"/>
      <c r="BK82" s="102"/>
    </row>
    <row r="83" spans="2:63" outlineLevel="1">
      <c r="C83" s="98">
        <f>RR!C23</f>
        <v>1</v>
      </c>
      <c r="D83" s="98" t="str">
        <f>RR!E23</f>
        <v>1 - 1</v>
      </c>
      <c r="F83" s="93" t="str">
        <f>INDEX(RR!K:K,MATCH(D83,RR!E:E,0))</f>
        <v>backup</v>
      </c>
      <c r="H83" s="72" t="s">
        <v>301</v>
      </c>
      <c r="J83" s="1324">
        <f>INDEX(AA!E:E,MATCH($C83,AA!C:C,0))</f>
        <v>1</v>
      </c>
      <c r="K83" s="1324">
        <f>INDEX(TA!$G:$G,MATCH($D83,TA!$D:$D,0))</f>
        <v>1</v>
      </c>
      <c r="M83" s="1324">
        <f>INDEX(TA!V:V,MATCH($D83,TA!D:D,0))</f>
        <v>1000</v>
      </c>
      <c r="N83" s="1324" t="str">
        <f>INDEX(TA!$U:$U,MATCH($D83,TA!$D:$D,0))</f>
        <v>FMCG-F</v>
      </c>
      <c r="T83" s="231">
        <f t="shared" ref="T83:BG83" si="177">T20*($M83+T74)*T29</f>
        <v>1000</v>
      </c>
      <c r="U83" s="231">
        <f t="shared" si="177"/>
        <v>1000</v>
      </c>
      <c r="V83" s="231">
        <f t="shared" si="177"/>
        <v>1000</v>
      </c>
      <c r="W83" s="231">
        <f t="shared" si="177"/>
        <v>1000</v>
      </c>
      <c r="X83" s="231">
        <f t="shared" si="177"/>
        <v>1000</v>
      </c>
      <c r="Y83" s="231">
        <f t="shared" si="177"/>
        <v>1000</v>
      </c>
      <c r="Z83" s="231">
        <f t="shared" si="177"/>
        <v>1000</v>
      </c>
      <c r="AA83" s="231">
        <f t="shared" si="177"/>
        <v>1000</v>
      </c>
      <c r="AB83" s="231">
        <f t="shared" si="177"/>
        <v>1000</v>
      </c>
      <c r="AC83" s="231">
        <f t="shared" si="177"/>
        <v>1000</v>
      </c>
      <c r="AD83" s="231">
        <f t="shared" si="177"/>
        <v>1000</v>
      </c>
      <c r="AE83" s="231">
        <f t="shared" si="177"/>
        <v>1000</v>
      </c>
      <c r="AF83" s="231">
        <f t="shared" si="177"/>
        <v>0</v>
      </c>
      <c r="AG83" s="231">
        <f t="shared" si="177"/>
        <v>0</v>
      </c>
      <c r="AH83" s="231">
        <f t="shared" si="177"/>
        <v>0</v>
      </c>
      <c r="AI83" s="231">
        <f t="shared" si="177"/>
        <v>0</v>
      </c>
      <c r="AJ83" s="231">
        <f t="shared" si="177"/>
        <v>0</v>
      </c>
      <c r="AK83" s="231">
        <f t="shared" si="177"/>
        <v>0</v>
      </c>
      <c r="AL83" s="231">
        <f t="shared" si="177"/>
        <v>0</v>
      </c>
      <c r="AM83" s="231">
        <f t="shared" si="177"/>
        <v>0</v>
      </c>
      <c r="AN83" s="231">
        <f t="shared" si="177"/>
        <v>0</v>
      </c>
      <c r="AO83" s="231">
        <f t="shared" si="177"/>
        <v>0</v>
      </c>
      <c r="AP83" s="231">
        <f t="shared" si="177"/>
        <v>0</v>
      </c>
      <c r="AQ83" s="231">
        <f t="shared" si="177"/>
        <v>0</v>
      </c>
      <c r="AR83" s="231">
        <f t="shared" si="177"/>
        <v>0</v>
      </c>
      <c r="AS83" s="231">
        <f t="shared" si="177"/>
        <v>0</v>
      </c>
      <c r="AT83" s="231">
        <f t="shared" si="177"/>
        <v>0</v>
      </c>
      <c r="AU83" s="231">
        <f t="shared" si="177"/>
        <v>0</v>
      </c>
      <c r="AV83" s="231">
        <f t="shared" si="177"/>
        <v>0</v>
      </c>
      <c r="AW83" s="231">
        <f t="shared" si="177"/>
        <v>0</v>
      </c>
      <c r="AX83" s="231">
        <f t="shared" si="177"/>
        <v>0</v>
      </c>
      <c r="AY83" s="231">
        <f t="shared" si="177"/>
        <v>0</v>
      </c>
      <c r="AZ83" s="231">
        <f t="shared" si="177"/>
        <v>0</v>
      </c>
      <c r="BA83" s="231">
        <f t="shared" si="177"/>
        <v>0</v>
      </c>
      <c r="BB83" s="231">
        <f t="shared" si="177"/>
        <v>0</v>
      </c>
      <c r="BC83" s="231">
        <f t="shared" si="177"/>
        <v>0</v>
      </c>
      <c r="BD83" s="231">
        <f t="shared" si="177"/>
        <v>0</v>
      </c>
      <c r="BE83" s="231">
        <f t="shared" si="177"/>
        <v>0</v>
      </c>
      <c r="BF83" s="231">
        <f t="shared" si="177"/>
        <v>0</v>
      </c>
      <c r="BG83" s="231">
        <f t="shared" si="177"/>
        <v>0</v>
      </c>
      <c r="BI83" s="105" t="s">
        <v>153</v>
      </c>
      <c r="BK83" s="103"/>
    </row>
    <row r="84" spans="2:63" outlineLevel="1">
      <c r="C84" s="99">
        <f>RR!C24</f>
        <v>2</v>
      </c>
      <c r="D84" s="99" t="str">
        <f>RR!E24</f>
        <v>2 - 1</v>
      </c>
      <c r="F84" s="94" t="str">
        <f>INDEX(RR!K:K,MATCH(D84,RR!E:E,0))</f>
        <v>backup</v>
      </c>
      <c r="H84" s="73" t="s">
        <v>301</v>
      </c>
      <c r="J84" s="1325">
        <f>INDEX(AA!E:E,MATCH($C84,AA!C:C,0))</f>
        <v>1</v>
      </c>
      <c r="K84" s="1325">
        <f>INDEX(TA!$G:$G,MATCH($D84,TA!$D:$D,0))</f>
        <v>1</v>
      </c>
      <c r="M84" s="1325">
        <f>INDEX(TA!V:V,MATCH($D84,TA!D:D,0))</f>
        <v>1000</v>
      </c>
      <c r="N84" s="1325" t="str">
        <f>INDEX(TA!$U:$U,MATCH($D84,TA!$D:$D,0))</f>
        <v>FMCG-F</v>
      </c>
      <c r="T84" s="231">
        <f t="shared" ref="T84:BG84" si="178">T21*($M84+T75)*T30</f>
        <v>0</v>
      </c>
      <c r="U84" s="231">
        <f t="shared" si="178"/>
        <v>1000</v>
      </c>
      <c r="V84" s="231">
        <f t="shared" si="178"/>
        <v>1000</v>
      </c>
      <c r="W84" s="231">
        <f t="shared" si="178"/>
        <v>1000</v>
      </c>
      <c r="X84" s="231">
        <f t="shared" si="178"/>
        <v>1000</v>
      </c>
      <c r="Y84" s="231">
        <f t="shared" si="178"/>
        <v>1000</v>
      </c>
      <c r="Z84" s="231">
        <f t="shared" si="178"/>
        <v>1000</v>
      </c>
      <c r="AA84" s="231">
        <f t="shared" si="178"/>
        <v>1000</v>
      </c>
      <c r="AB84" s="231">
        <f t="shared" si="178"/>
        <v>1000</v>
      </c>
      <c r="AC84" s="231">
        <f t="shared" si="178"/>
        <v>1000</v>
      </c>
      <c r="AD84" s="231">
        <f t="shared" si="178"/>
        <v>1000</v>
      </c>
      <c r="AE84" s="231">
        <f t="shared" si="178"/>
        <v>1000</v>
      </c>
      <c r="AF84" s="231">
        <f t="shared" si="178"/>
        <v>0</v>
      </c>
      <c r="AG84" s="231">
        <f t="shared" si="178"/>
        <v>0</v>
      </c>
      <c r="AH84" s="231">
        <f t="shared" si="178"/>
        <v>0</v>
      </c>
      <c r="AI84" s="231">
        <f t="shared" si="178"/>
        <v>0</v>
      </c>
      <c r="AJ84" s="231">
        <f t="shared" si="178"/>
        <v>0</v>
      </c>
      <c r="AK84" s="231">
        <f t="shared" si="178"/>
        <v>0</v>
      </c>
      <c r="AL84" s="231">
        <f t="shared" si="178"/>
        <v>0</v>
      </c>
      <c r="AM84" s="231">
        <f t="shared" si="178"/>
        <v>0</v>
      </c>
      <c r="AN84" s="231">
        <f t="shared" si="178"/>
        <v>0</v>
      </c>
      <c r="AO84" s="231">
        <f t="shared" si="178"/>
        <v>0</v>
      </c>
      <c r="AP84" s="231">
        <f t="shared" si="178"/>
        <v>0</v>
      </c>
      <c r="AQ84" s="231">
        <f t="shared" si="178"/>
        <v>0</v>
      </c>
      <c r="AR84" s="231">
        <f t="shared" si="178"/>
        <v>0</v>
      </c>
      <c r="AS84" s="231">
        <f t="shared" si="178"/>
        <v>0</v>
      </c>
      <c r="AT84" s="231">
        <f t="shared" si="178"/>
        <v>0</v>
      </c>
      <c r="AU84" s="231">
        <f t="shared" si="178"/>
        <v>0</v>
      </c>
      <c r="AV84" s="231">
        <f t="shared" si="178"/>
        <v>0</v>
      </c>
      <c r="AW84" s="231">
        <f t="shared" si="178"/>
        <v>0</v>
      </c>
      <c r="AX84" s="231">
        <f t="shared" si="178"/>
        <v>0</v>
      </c>
      <c r="AY84" s="231">
        <f t="shared" si="178"/>
        <v>0</v>
      </c>
      <c r="AZ84" s="231">
        <f t="shared" si="178"/>
        <v>0</v>
      </c>
      <c r="BA84" s="231">
        <f t="shared" si="178"/>
        <v>0</v>
      </c>
      <c r="BB84" s="231">
        <f t="shared" si="178"/>
        <v>0</v>
      </c>
      <c r="BC84" s="231">
        <f t="shared" si="178"/>
        <v>0</v>
      </c>
      <c r="BD84" s="231">
        <f t="shared" si="178"/>
        <v>0</v>
      </c>
      <c r="BE84" s="231">
        <f t="shared" si="178"/>
        <v>0</v>
      </c>
      <c r="BF84" s="231">
        <f t="shared" si="178"/>
        <v>0</v>
      </c>
      <c r="BG84" s="231">
        <f t="shared" si="178"/>
        <v>0</v>
      </c>
      <c r="BI84" s="106" t="s">
        <v>153</v>
      </c>
      <c r="BK84" s="103"/>
    </row>
    <row r="85" spans="2:63" outlineLevel="1">
      <c r="C85" s="99">
        <f>RR!C25</f>
        <v>3</v>
      </c>
      <c r="D85" s="99" t="str">
        <f>RR!E25</f>
        <v>3 - 1</v>
      </c>
      <c r="F85" s="94" t="str">
        <f>INDEX(RR!K:K,MATCH(D85,RR!E:E,0))</f>
        <v>backup</v>
      </c>
      <c r="H85" s="73" t="s">
        <v>301</v>
      </c>
      <c r="J85" s="1325">
        <f>INDEX(AA!E:E,MATCH($C85,AA!C:C,0))</f>
        <v>1</v>
      </c>
      <c r="K85" s="1325">
        <f>INDEX(TA!$G:$G,MATCH($D85,TA!$D:$D,0))</f>
        <v>1</v>
      </c>
      <c r="M85" s="1325">
        <f>INDEX(TA!V:V,MATCH($D85,TA!D:D,0))</f>
        <v>1000</v>
      </c>
      <c r="N85" s="1325" t="str">
        <f>INDEX(TA!$U:$U,MATCH($D85,TA!$D:$D,0))</f>
        <v>FMCG-F</v>
      </c>
      <c r="T85" s="231">
        <f t="shared" ref="T85:BG85" si="179">T22*($M85+T76)*T31</f>
        <v>0</v>
      </c>
      <c r="U85" s="231">
        <f t="shared" si="179"/>
        <v>0</v>
      </c>
      <c r="V85" s="231">
        <f t="shared" si="179"/>
        <v>1000</v>
      </c>
      <c r="W85" s="231">
        <f t="shared" si="179"/>
        <v>1000</v>
      </c>
      <c r="X85" s="231">
        <f t="shared" si="179"/>
        <v>1000</v>
      </c>
      <c r="Y85" s="231">
        <f t="shared" si="179"/>
        <v>1000</v>
      </c>
      <c r="Z85" s="231">
        <f t="shared" si="179"/>
        <v>1000</v>
      </c>
      <c r="AA85" s="231">
        <f t="shared" si="179"/>
        <v>1000</v>
      </c>
      <c r="AB85" s="231">
        <f t="shared" si="179"/>
        <v>1000</v>
      </c>
      <c r="AC85" s="231">
        <f t="shared" si="179"/>
        <v>1000</v>
      </c>
      <c r="AD85" s="231">
        <f t="shared" si="179"/>
        <v>1000</v>
      </c>
      <c r="AE85" s="231">
        <f t="shared" si="179"/>
        <v>1000</v>
      </c>
      <c r="AF85" s="231">
        <f t="shared" si="179"/>
        <v>0</v>
      </c>
      <c r="AG85" s="231">
        <f t="shared" si="179"/>
        <v>0</v>
      </c>
      <c r="AH85" s="231">
        <f t="shared" si="179"/>
        <v>0</v>
      </c>
      <c r="AI85" s="231">
        <f t="shared" si="179"/>
        <v>0</v>
      </c>
      <c r="AJ85" s="231">
        <f t="shared" si="179"/>
        <v>0</v>
      </c>
      <c r="AK85" s="231">
        <f t="shared" si="179"/>
        <v>0</v>
      </c>
      <c r="AL85" s="231">
        <f t="shared" si="179"/>
        <v>0</v>
      </c>
      <c r="AM85" s="231">
        <f t="shared" si="179"/>
        <v>0</v>
      </c>
      <c r="AN85" s="231">
        <f t="shared" si="179"/>
        <v>0</v>
      </c>
      <c r="AO85" s="231">
        <f t="shared" si="179"/>
        <v>0</v>
      </c>
      <c r="AP85" s="231">
        <f t="shared" si="179"/>
        <v>0</v>
      </c>
      <c r="AQ85" s="231">
        <f t="shared" si="179"/>
        <v>0</v>
      </c>
      <c r="AR85" s="231">
        <f t="shared" si="179"/>
        <v>0</v>
      </c>
      <c r="AS85" s="231">
        <f t="shared" si="179"/>
        <v>0</v>
      </c>
      <c r="AT85" s="231">
        <f t="shared" si="179"/>
        <v>0</v>
      </c>
      <c r="AU85" s="231">
        <f t="shared" si="179"/>
        <v>0</v>
      </c>
      <c r="AV85" s="231">
        <f t="shared" si="179"/>
        <v>0</v>
      </c>
      <c r="AW85" s="231">
        <f t="shared" si="179"/>
        <v>0</v>
      </c>
      <c r="AX85" s="231">
        <f t="shared" si="179"/>
        <v>0</v>
      </c>
      <c r="AY85" s="231">
        <f t="shared" si="179"/>
        <v>0</v>
      </c>
      <c r="AZ85" s="231">
        <f t="shared" si="179"/>
        <v>0</v>
      </c>
      <c r="BA85" s="231">
        <f t="shared" si="179"/>
        <v>0</v>
      </c>
      <c r="BB85" s="231">
        <f t="shared" si="179"/>
        <v>0</v>
      </c>
      <c r="BC85" s="231">
        <f t="shared" si="179"/>
        <v>0</v>
      </c>
      <c r="BD85" s="231">
        <f t="shared" si="179"/>
        <v>0</v>
      </c>
      <c r="BE85" s="231">
        <f t="shared" si="179"/>
        <v>0</v>
      </c>
      <c r="BF85" s="231">
        <f t="shared" si="179"/>
        <v>0</v>
      </c>
      <c r="BG85" s="231">
        <f t="shared" si="179"/>
        <v>0</v>
      </c>
      <c r="BI85" s="106" t="s">
        <v>153</v>
      </c>
      <c r="BK85" s="103"/>
    </row>
    <row r="86" spans="2:63" outlineLevel="1">
      <c r="C86" s="269"/>
      <c r="D86" s="269"/>
      <c r="F86" s="269"/>
      <c r="H86" s="269"/>
      <c r="J86" s="269"/>
      <c r="K86" s="269"/>
      <c r="M86" s="269"/>
      <c r="N86" s="269"/>
      <c r="BI86" s="269"/>
      <c r="BK86" s="269"/>
    </row>
    <row r="87" spans="2:63" outlineLevel="1"/>
    <row r="88" spans="2:63" s="90" customFormat="1">
      <c r="B88" s="91">
        <f ca="1">MAX(A$1:$B87)+1</f>
        <v>10</v>
      </c>
      <c r="C88" s="92" t="s">
        <v>308</v>
      </c>
    </row>
    <row r="89" spans="2:63">
      <c r="T89" s="155"/>
    </row>
    <row r="90" spans="2:63">
      <c r="M90" s="226" t="s">
        <v>313</v>
      </c>
      <c r="N90" s="225"/>
      <c r="O90" s="225"/>
      <c r="T90" s="155"/>
    </row>
    <row r="91" spans="2:63" ht="30">
      <c r="C91" s="96" t="s">
        <v>4</v>
      </c>
      <c r="D91" s="97" t="s">
        <v>148</v>
      </c>
      <c r="E91" s="95"/>
      <c r="F91" s="97" t="s">
        <v>149</v>
      </c>
      <c r="G91" s="95"/>
      <c r="H91" s="97" t="s">
        <v>150</v>
      </c>
      <c r="I91" s="95"/>
      <c r="J91" s="97" t="s">
        <v>272</v>
      </c>
      <c r="K91" s="97" t="s">
        <v>273</v>
      </c>
      <c r="M91" s="97" t="s">
        <v>311</v>
      </c>
      <c r="N91" s="97" t="s">
        <v>312</v>
      </c>
      <c r="O91" s="97" t="s">
        <v>313</v>
      </c>
      <c r="BI91" s="239" t="s">
        <v>152</v>
      </c>
      <c r="BJ91" s="95"/>
      <c r="BK91" s="102"/>
    </row>
    <row r="92" spans="2:63">
      <c r="C92" s="98">
        <f>RR!C23</f>
        <v>1</v>
      </c>
      <c r="D92" s="98" t="str">
        <f>RR!E23</f>
        <v>1 - 1</v>
      </c>
      <c r="F92" s="93" t="str">
        <f>INDEX(RR!K:K,MATCH(D92,RR!E:E,0))</f>
        <v>backup</v>
      </c>
      <c r="H92" s="72" t="s">
        <v>309</v>
      </c>
      <c r="J92" s="1324">
        <f>INDEX(AA!E:E,MATCH($C92,AA!C:C,0))</f>
        <v>1</v>
      </c>
      <c r="K92" s="1324">
        <f>INDEX(TA!$G:$G,MATCH($D92,TA!$D:$D,0))</f>
        <v>1</v>
      </c>
      <c r="M92" s="1411">
        <f>INDEX(TA!$AL$15:$AL$17,MATCH($D92,TA!$D$15:$D$17,0))</f>
        <v>0</v>
      </c>
      <c r="N92" s="223">
        <f>INDEX(TA!$AM$15:$AM$17,MATCH($D92,TA!$D$15:$D$17,0))</f>
        <v>0</v>
      </c>
      <c r="O92" s="1412">
        <f>INDEX(TA!$AN$15:$AN$17,MATCH($D92,TA!$D$15:$D$17,0))</f>
        <v>0</v>
      </c>
      <c r="T92" s="231">
        <f t="shared" ref="T92:BG92" si="180">(($M101/4*T29)-((AND(T$4&gt;=$M92,$N92&gt;=S$4)*MIN(T$7,$N92-S$4)/T$7)*($M101/4*(T29&gt;0)*$O92)))*T46</f>
        <v>25046.743737887322</v>
      </c>
      <c r="U92" s="231">
        <f t="shared" si="180"/>
        <v>25093.574874855913</v>
      </c>
      <c r="V92" s="231">
        <f t="shared" si="180"/>
        <v>25140.49357432016</v>
      </c>
      <c r="W92" s="231">
        <f t="shared" si="180"/>
        <v>25187.499999999996</v>
      </c>
      <c r="X92" s="231">
        <f t="shared" si="180"/>
        <v>25234.594315921473</v>
      </c>
      <c r="Y92" s="231">
        <f t="shared" si="180"/>
        <v>25281.776686417325</v>
      </c>
      <c r="Z92" s="231">
        <f t="shared" si="180"/>
        <v>25329.047276127552</v>
      </c>
      <c r="AA92" s="231">
        <f t="shared" si="180"/>
        <v>25376.406249999989</v>
      </c>
      <c r="AB92" s="231">
        <f t="shared" si="180"/>
        <v>25423.853773290877</v>
      </c>
      <c r="AC92" s="231">
        <f t="shared" si="180"/>
        <v>25471.390011565447</v>
      </c>
      <c r="AD92" s="231">
        <f t="shared" si="180"/>
        <v>25519.015130698503</v>
      </c>
      <c r="AE92" s="231">
        <f t="shared" si="180"/>
        <v>25566.729296874979</v>
      </c>
      <c r="AF92" s="231">
        <f t="shared" si="180"/>
        <v>25614.532676590552</v>
      </c>
      <c r="AG92" s="231">
        <f t="shared" si="180"/>
        <v>25662.425436652182</v>
      </c>
      <c r="AH92" s="231">
        <f t="shared" si="180"/>
        <v>25710.40774417873</v>
      </c>
      <c r="AI92" s="231">
        <f t="shared" si="180"/>
        <v>25758.479766601533</v>
      </c>
      <c r="AJ92" s="231">
        <f t="shared" si="180"/>
        <v>25806.641671664969</v>
      </c>
      <c r="AK92" s="231">
        <f t="shared" si="180"/>
        <v>25854.893627427067</v>
      </c>
      <c r="AL92" s="231">
        <f t="shared" si="180"/>
        <v>25903.235802260071</v>
      </c>
      <c r="AM92" s="231">
        <f t="shared" si="180"/>
        <v>25951.668364851044</v>
      </c>
      <c r="AN92" s="231">
        <f t="shared" si="180"/>
        <v>26000.191484202456</v>
      </c>
      <c r="AO92" s="231">
        <f t="shared" si="180"/>
        <v>26048.805329632767</v>
      </c>
      <c r="AP92" s="231">
        <f t="shared" si="180"/>
        <v>26097.510070777018</v>
      </c>
      <c r="AQ92" s="231">
        <f t="shared" si="180"/>
        <v>26146.305877587427</v>
      </c>
      <c r="AR92" s="231">
        <f t="shared" si="180"/>
        <v>26195.192920333975</v>
      </c>
      <c r="AS92" s="231">
        <f t="shared" si="180"/>
        <v>26244.171369605014</v>
      </c>
      <c r="AT92" s="231">
        <f t="shared" si="180"/>
        <v>26293.241396307843</v>
      </c>
      <c r="AU92" s="231">
        <f t="shared" si="180"/>
        <v>26342.403171669328</v>
      </c>
      <c r="AV92" s="231">
        <f t="shared" si="180"/>
        <v>26391.656867236474</v>
      </c>
      <c r="AW92" s="231">
        <f t="shared" si="180"/>
        <v>26441.002654877044</v>
      </c>
      <c r="AX92" s="231">
        <f t="shared" si="180"/>
        <v>26490.440706780144</v>
      </c>
      <c r="AY92" s="231">
        <f t="shared" si="180"/>
        <v>26539.971195456841</v>
      </c>
      <c r="AZ92" s="231">
        <f t="shared" si="180"/>
        <v>26589.594293740742</v>
      </c>
      <c r="BA92" s="231">
        <f t="shared" si="180"/>
        <v>26639.310174788618</v>
      </c>
      <c r="BB92" s="231">
        <f t="shared" si="180"/>
        <v>26689.119012080992</v>
      </c>
      <c r="BC92" s="231">
        <f t="shared" si="180"/>
        <v>26739.020979422763</v>
      </c>
      <c r="BD92" s="231">
        <f t="shared" si="180"/>
        <v>26789.016250943794</v>
      </c>
      <c r="BE92" s="231">
        <f t="shared" si="180"/>
        <v>26839.105001099528</v>
      </c>
      <c r="BF92" s="231">
        <f t="shared" si="180"/>
        <v>26889.287404671595</v>
      </c>
      <c r="BG92" s="231">
        <f t="shared" si="180"/>
        <v>26939.563636768431</v>
      </c>
      <c r="BI92" s="238">
        <f>SUM(T92:BG92)</f>
        <v>1039278.3198161679</v>
      </c>
      <c r="BK92" s="103"/>
    </row>
    <row r="93" spans="2:63">
      <c r="C93" s="99">
        <f>RR!C24</f>
        <v>2</v>
      </c>
      <c r="D93" s="99" t="str">
        <f>RR!E24</f>
        <v>2 - 1</v>
      </c>
      <c r="F93" s="94" t="str">
        <f>INDEX(RR!K:K,MATCH(D93,RR!E:E,0))</f>
        <v>backup</v>
      </c>
      <c r="H93" s="73" t="s">
        <v>309</v>
      </c>
      <c r="J93" s="1325">
        <f>INDEX(AA!E:E,MATCH($C93,AA!C:C,0))</f>
        <v>1</v>
      </c>
      <c r="K93" s="1325">
        <f>INDEX(TA!$G:$G,MATCH($D93,TA!$D:$D,0))</f>
        <v>1</v>
      </c>
      <c r="M93" s="1413">
        <f>INDEX(TA!$AL$15:$AL$17,MATCH($D93,TA!$D$15:$D$17,0))</f>
        <v>0</v>
      </c>
      <c r="N93" s="224">
        <f>INDEX(TA!$AM$15:$AM$17,MATCH($D93,TA!$D$15:$D$17,0))</f>
        <v>0</v>
      </c>
      <c r="O93" s="1414">
        <f>INDEX(TA!$AN$15:$AN$17,MATCH($D93,TA!$D$15:$D$17,0))</f>
        <v>0</v>
      </c>
      <c r="T93" s="231">
        <f t="shared" ref="T93:BG93" si="181">(($M102/4*T30)-((AND(T$4&gt;=$M93,$N93&gt;=S$4)*MIN(T$7,$N93-S$4)/T$7)*($M102/4*(T30&gt;0)*$O93)))*T47</f>
        <v>25046.743737887322</v>
      </c>
      <c r="U93" s="231">
        <f t="shared" si="181"/>
        <v>25093.574874855913</v>
      </c>
      <c r="V93" s="231">
        <f t="shared" si="181"/>
        <v>25140.49357432016</v>
      </c>
      <c r="W93" s="231">
        <f t="shared" si="181"/>
        <v>25187.499999999996</v>
      </c>
      <c r="X93" s="231">
        <f t="shared" si="181"/>
        <v>25234.594315921473</v>
      </c>
      <c r="Y93" s="231">
        <f t="shared" si="181"/>
        <v>25281.776686417325</v>
      </c>
      <c r="Z93" s="231">
        <f t="shared" si="181"/>
        <v>25329.047276127552</v>
      </c>
      <c r="AA93" s="231">
        <f t="shared" si="181"/>
        <v>25376.406249999989</v>
      </c>
      <c r="AB93" s="231">
        <f t="shared" si="181"/>
        <v>25423.853773290877</v>
      </c>
      <c r="AC93" s="231">
        <f t="shared" si="181"/>
        <v>25471.390011565447</v>
      </c>
      <c r="AD93" s="231">
        <f t="shared" si="181"/>
        <v>25519.015130698503</v>
      </c>
      <c r="AE93" s="231">
        <f t="shared" si="181"/>
        <v>25566.729296874979</v>
      </c>
      <c r="AF93" s="231">
        <f t="shared" si="181"/>
        <v>25614.532676590552</v>
      </c>
      <c r="AG93" s="231">
        <f t="shared" si="181"/>
        <v>25662.425436652182</v>
      </c>
      <c r="AH93" s="231">
        <f t="shared" si="181"/>
        <v>25710.40774417873</v>
      </c>
      <c r="AI93" s="231">
        <f t="shared" si="181"/>
        <v>25758.479766601533</v>
      </c>
      <c r="AJ93" s="231">
        <f t="shared" si="181"/>
        <v>25806.641671664969</v>
      </c>
      <c r="AK93" s="231">
        <f t="shared" si="181"/>
        <v>25854.893627427067</v>
      </c>
      <c r="AL93" s="231">
        <f t="shared" si="181"/>
        <v>25903.235802260071</v>
      </c>
      <c r="AM93" s="231">
        <f t="shared" si="181"/>
        <v>25951.668364851044</v>
      </c>
      <c r="AN93" s="231">
        <f t="shared" si="181"/>
        <v>26000.191484202456</v>
      </c>
      <c r="AO93" s="231">
        <f t="shared" si="181"/>
        <v>26048.805329632767</v>
      </c>
      <c r="AP93" s="231">
        <f t="shared" si="181"/>
        <v>26097.510070777018</v>
      </c>
      <c r="AQ93" s="231">
        <f t="shared" si="181"/>
        <v>26146.305877587427</v>
      </c>
      <c r="AR93" s="231">
        <f t="shared" si="181"/>
        <v>26195.192920333975</v>
      </c>
      <c r="AS93" s="231">
        <f t="shared" si="181"/>
        <v>26244.171369605014</v>
      </c>
      <c r="AT93" s="231">
        <f t="shared" si="181"/>
        <v>26293.241396307843</v>
      </c>
      <c r="AU93" s="231">
        <f t="shared" si="181"/>
        <v>26342.403171669328</v>
      </c>
      <c r="AV93" s="231">
        <f t="shared" si="181"/>
        <v>26391.656867236474</v>
      </c>
      <c r="AW93" s="231">
        <f t="shared" si="181"/>
        <v>26441.002654877044</v>
      </c>
      <c r="AX93" s="231">
        <f t="shared" si="181"/>
        <v>26490.440706780144</v>
      </c>
      <c r="AY93" s="231">
        <f t="shared" si="181"/>
        <v>26539.971195456841</v>
      </c>
      <c r="AZ93" s="231">
        <f t="shared" si="181"/>
        <v>26589.594293740742</v>
      </c>
      <c r="BA93" s="231">
        <f t="shared" si="181"/>
        <v>26639.310174788618</v>
      </c>
      <c r="BB93" s="231">
        <f t="shared" si="181"/>
        <v>26689.119012080992</v>
      </c>
      <c r="BC93" s="231">
        <f t="shared" si="181"/>
        <v>26739.020979422763</v>
      </c>
      <c r="BD93" s="231">
        <f t="shared" si="181"/>
        <v>26789.016250943794</v>
      </c>
      <c r="BE93" s="231">
        <f t="shared" si="181"/>
        <v>26839.105001099528</v>
      </c>
      <c r="BF93" s="231">
        <f t="shared" si="181"/>
        <v>26889.287404671595</v>
      </c>
      <c r="BG93" s="231">
        <f t="shared" si="181"/>
        <v>26939.563636768431</v>
      </c>
      <c r="BI93" s="240">
        <f t="shared" ref="BI93" si="182">SUM(T93:BG93)</f>
        <v>1039278.3198161679</v>
      </c>
      <c r="BK93" s="103"/>
    </row>
    <row r="94" spans="2:63">
      <c r="C94" s="99">
        <f>RR!C25</f>
        <v>3</v>
      </c>
      <c r="D94" s="99" t="str">
        <f>RR!E25</f>
        <v>3 - 1</v>
      </c>
      <c r="F94" s="94" t="str">
        <f>INDEX(RR!K:K,MATCH(D94,RR!E:E,0))</f>
        <v>backup</v>
      </c>
      <c r="H94" s="73" t="s">
        <v>309</v>
      </c>
      <c r="J94" s="1325">
        <f>INDEX(AA!E:E,MATCH($C94,AA!C:C,0))</f>
        <v>1</v>
      </c>
      <c r="K94" s="1325">
        <f>INDEX(TA!$G:$G,MATCH($D94,TA!$D:$D,0))</f>
        <v>1</v>
      </c>
      <c r="M94" s="1413">
        <f>INDEX(TA!$AL$15:$AL$17,MATCH($D94,TA!$D$15:$D$17,0))</f>
        <v>0</v>
      </c>
      <c r="N94" s="224">
        <f>INDEX(TA!$AM$15:$AM$17,MATCH($D94,TA!$D$15:$D$17,0))</f>
        <v>0</v>
      </c>
      <c r="O94" s="1414">
        <f>INDEX(TA!$AN$15:$AN$17,MATCH($D94,TA!$D$15:$D$17,0))</f>
        <v>0</v>
      </c>
      <c r="T94" s="231">
        <f t="shared" ref="T94:BG94" si="183">(($M103/4*T31)-((AND(T$4&gt;=$M94,$N94&gt;=S$4)*MIN(T$7,$N94-S$4)/T$7)*($M103/4*(T31&gt;0)*$O94)))*T48</f>
        <v>25046.743737887322</v>
      </c>
      <c r="U94" s="231">
        <f t="shared" si="183"/>
        <v>25093.574874855913</v>
      </c>
      <c r="V94" s="231">
        <f t="shared" si="183"/>
        <v>25140.49357432016</v>
      </c>
      <c r="W94" s="231">
        <f t="shared" si="183"/>
        <v>25187.499999999996</v>
      </c>
      <c r="X94" s="231">
        <f t="shared" si="183"/>
        <v>25234.594315921473</v>
      </c>
      <c r="Y94" s="231">
        <f t="shared" si="183"/>
        <v>25281.776686417325</v>
      </c>
      <c r="Z94" s="231">
        <f t="shared" si="183"/>
        <v>25329.047276127552</v>
      </c>
      <c r="AA94" s="231">
        <f t="shared" si="183"/>
        <v>25376.406249999989</v>
      </c>
      <c r="AB94" s="231">
        <f t="shared" si="183"/>
        <v>25423.853773290877</v>
      </c>
      <c r="AC94" s="231">
        <f t="shared" si="183"/>
        <v>25471.390011565447</v>
      </c>
      <c r="AD94" s="231">
        <f t="shared" si="183"/>
        <v>25519.015130698503</v>
      </c>
      <c r="AE94" s="231">
        <f t="shared" si="183"/>
        <v>25566.729296874979</v>
      </c>
      <c r="AF94" s="231">
        <f t="shared" si="183"/>
        <v>25614.532676590552</v>
      </c>
      <c r="AG94" s="231">
        <f t="shared" si="183"/>
        <v>25662.425436652182</v>
      </c>
      <c r="AH94" s="231">
        <f t="shared" si="183"/>
        <v>25710.40774417873</v>
      </c>
      <c r="AI94" s="231">
        <f t="shared" si="183"/>
        <v>25758.479766601533</v>
      </c>
      <c r="AJ94" s="231">
        <f t="shared" si="183"/>
        <v>25806.641671664969</v>
      </c>
      <c r="AK94" s="231">
        <f t="shared" si="183"/>
        <v>25854.893627427067</v>
      </c>
      <c r="AL94" s="231">
        <f t="shared" si="183"/>
        <v>25903.235802260071</v>
      </c>
      <c r="AM94" s="231">
        <f t="shared" si="183"/>
        <v>25951.668364851044</v>
      </c>
      <c r="AN94" s="231">
        <f t="shared" si="183"/>
        <v>26000.191484202456</v>
      </c>
      <c r="AO94" s="231">
        <f t="shared" si="183"/>
        <v>26048.805329632767</v>
      </c>
      <c r="AP94" s="231">
        <f t="shared" si="183"/>
        <v>26097.510070777018</v>
      </c>
      <c r="AQ94" s="231">
        <f t="shared" si="183"/>
        <v>26146.305877587427</v>
      </c>
      <c r="AR94" s="231">
        <f t="shared" si="183"/>
        <v>26195.192920333975</v>
      </c>
      <c r="AS94" s="231">
        <f t="shared" si="183"/>
        <v>26244.171369605014</v>
      </c>
      <c r="AT94" s="231">
        <f t="shared" si="183"/>
        <v>26293.241396307843</v>
      </c>
      <c r="AU94" s="231">
        <f t="shared" si="183"/>
        <v>26342.403171669328</v>
      </c>
      <c r="AV94" s="231">
        <f t="shared" si="183"/>
        <v>26391.656867236474</v>
      </c>
      <c r="AW94" s="231">
        <f t="shared" si="183"/>
        <v>26441.002654877044</v>
      </c>
      <c r="AX94" s="231">
        <f t="shared" si="183"/>
        <v>26490.440706780144</v>
      </c>
      <c r="AY94" s="231">
        <f t="shared" si="183"/>
        <v>26539.971195456841</v>
      </c>
      <c r="AZ94" s="231">
        <f t="shared" si="183"/>
        <v>26589.594293740742</v>
      </c>
      <c r="BA94" s="231">
        <f t="shared" si="183"/>
        <v>26639.310174788618</v>
      </c>
      <c r="BB94" s="231">
        <f t="shared" si="183"/>
        <v>26689.119012080992</v>
      </c>
      <c r="BC94" s="231">
        <f t="shared" si="183"/>
        <v>26739.020979422763</v>
      </c>
      <c r="BD94" s="231">
        <f t="shared" si="183"/>
        <v>26789.016250943794</v>
      </c>
      <c r="BE94" s="231">
        <f t="shared" si="183"/>
        <v>26839.105001099528</v>
      </c>
      <c r="BF94" s="231">
        <f t="shared" si="183"/>
        <v>26889.287404671595</v>
      </c>
      <c r="BG94" s="231">
        <f t="shared" si="183"/>
        <v>26939.563636768431</v>
      </c>
      <c r="BI94" s="240">
        <f t="shared" ref="BI94" si="184">SUM(T94:BG94)</f>
        <v>1039278.3198161679</v>
      </c>
      <c r="BK94" s="103"/>
    </row>
    <row r="95" spans="2:63">
      <c r="C95" s="269"/>
      <c r="D95" s="269"/>
      <c r="F95" s="269"/>
      <c r="H95" s="269"/>
      <c r="J95" s="269"/>
      <c r="K95" s="269"/>
      <c r="M95" s="269"/>
      <c r="N95" s="269"/>
      <c r="O95" s="269"/>
      <c r="BI95" s="269"/>
      <c r="BK95" s="269"/>
    </row>
    <row r="97" spans="2:63" s="90" customFormat="1">
      <c r="B97" s="91">
        <f ca="1">MAX(A$1:$B96)+1</f>
        <v>11</v>
      </c>
      <c r="C97" s="92" t="s">
        <v>317</v>
      </c>
    </row>
    <row r="99" spans="2:63">
      <c r="O99" s="226" t="s">
        <v>303</v>
      </c>
      <c r="P99" s="225"/>
    </row>
    <row r="100" spans="2:63" ht="30">
      <c r="C100" s="96" t="s">
        <v>4</v>
      </c>
      <c r="D100" s="97" t="s">
        <v>148</v>
      </c>
      <c r="E100" s="95"/>
      <c r="F100" s="97" t="s">
        <v>149</v>
      </c>
      <c r="G100" s="95"/>
      <c r="H100" s="97" t="s">
        <v>150</v>
      </c>
      <c r="I100" s="95"/>
      <c r="J100" s="97" t="s">
        <v>272</v>
      </c>
      <c r="K100" s="97" t="s">
        <v>273</v>
      </c>
      <c r="M100" s="101" t="s">
        <v>310</v>
      </c>
      <c r="O100" s="171" t="s">
        <v>11</v>
      </c>
      <c r="P100" s="101" t="s">
        <v>151</v>
      </c>
      <c r="BI100" s="239" t="s">
        <v>152</v>
      </c>
      <c r="BK100" s="239" t="s">
        <v>320</v>
      </c>
    </row>
    <row r="101" spans="2:63">
      <c r="C101" s="98">
        <f>RR!C23</f>
        <v>1</v>
      </c>
      <c r="D101" s="98" t="str">
        <f>RR!E23</f>
        <v>1 - 1</v>
      </c>
      <c r="F101" s="93" t="str">
        <f>INDEX(RR!K:K,MATCH(D101,RR!E:E,0))</f>
        <v>backup</v>
      </c>
      <c r="H101" s="72" t="s">
        <v>318</v>
      </c>
      <c r="J101" s="1324">
        <f>INDEX(AA!E:E,MATCH($C101,AA!C:C,0))</f>
        <v>1</v>
      </c>
      <c r="K101" s="1324">
        <f>INDEX(TA!$G:$G,MATCH($D101,TA!$D:$D,0))</f>
        <v>1</v>
      </c>
      <c r="M101" s="1324">
        <f>INDEX(TA!AJ:AJ,MATCH($D101,TA!D:D,0))</f>
        <v>100000</v>
      </c>
      <c r="O101" s="241">
        <f>M29</f>
        <v>43466</v>
      </c>
      <c r="P101" s="1324">
        <f>INDEX(AA!$AA:$AA,MATCH($C101,AA!$C:$C,0))</f>
        <v>12</v>
      </c>
      <c r="T101" s="231">
        <f t="shared" ref="T101:BG101" si="185">-$M101/4*(T29-T38)*T46</f>
        <v>0</v>
      </c>
      <c r="U101" s="231">
        <f t="shared" si="185"/>
        <v>0</v>
      </c>
      <c r="V101" s="231">
        <f t="shared" si="185"/>
        <v>0</v>
      </c>
      <c r="W101" s="231">
        <f t="shared" si="185"/>
        <v>0</v>
      </c>
      <c r="X101" s="231">
        <f t="shared" si="185"/>
        <v>0</v>
      </c>
      <c r="Y101" s="231">
        <f t="shared" si="185"/>
        <v>0</v>
      </c>
      <c r="Z101" s="231">
        <f t="shared" si="185"/>
        <v>0</v>
      </c>
      <c r="AA101" s="231">
        <f t="shared" si="185"/>
        <v>0</v>
      </c>
      <c r="AB101" s="231">
        <f t="shared" si="185"/>
        <v>0</v>
      </c>
      <c r="AC101" s="231">
        <f t="shared" si="185"/>
        <v>0</v>
      </c>
      <c r="AD101" s="231">
        <f t="shared" si="185"/>
        <v>0</v>
      </c>
      <c r="AE101" s="231">
        <f t="shared" si="185"/>
        <v>0</v>
      </c>
      <c r="AF101" s="231">
        <f t="shared" si="185"/>
        <v>0</v>
      </c>
      <c r="AG101" s="231">
        <f t="shared" si="185"/>
        <v>0</v>
      </c>
      <c r="AH101" s="231">
        <f t="shared" si="185"/>
        <v>0</v>
      </c>
      <c r="AI101" s="231">
        <f t="shared" si="185"/>
        <v>0</v>
      </c>
      <c r="AJ101" s="231">
        <f t="shared" si="185"/>
        <v>0</v>
      </c>
      <c r="AK101" s="231">
        <f t="shared" si="185"/>
        <v>0</v>
      </c>
      <c r="AL101" s="231">
        <f t="shared" si="185"/>
        <v>0</v>
      </c>
      <c r="AM101" s="231">
        <f t="shared" si="185"/>
        <v>0</v>
      </c>
      <c r="AN101" s="231">
        <f t="shared" si="185"/>
        <v>0</v>
      </c>
      <c r="AO101" s="231">
        <f t="shared" si="185"/>
        <v>0</v>
      </c>
      <c r="AP101" s="231">
        <f t="shared" si="185"/>
        <v>0</v>
      </c>
      <c r="AQ101" s="231">
        <f t="shared" si="185"/>
        <v>0</v>
      </c>
      <c r="AR101" s="231">
        <f t="shared" si="185"/>
        <v>0</v>
      </c>
      <c r="AS101" s="231">
        <f t="shared" si="185"/>
        <v>0</v>
      </c>
      <c r="AT101" s="231">
        <f t="shared" si="185"/>
        <v>0</v>
      </c>
      <c r="AU101" s="231">
        <f t="shared" si="185"/>
        <v>0</v>
      </c>
      <c r="AV101" s="231">
        <f t="shared" si="185"/>
        <v>0</v>
      </c>
      <c r="AW101" s="231">
        <f t="shared" si="185"/>
        <v>0</v>
      </c>
      <c r="AX101" s="231">
        <f t="shared" si="185"/>
        <v>0</v>
      </c>
      <c r="AY101" s="231">
        <f t="shared" si="185"/>
        <v>0</v>
      </c>
      <c r="AZ101" s="231">
        <f t="shared" si="185"/>
        <v>0</v>
      </c>
      <c r="BA101" s="231">
        <f t="shared" si="185"/>
        <v>0</v>
      </c>
      <c r="BB101" s="231">
        <f t="shared" si="185"/>
        <v>0</v>
      </c>
      <c r="BC101" s="231">
        <f t="shared" si="185"/>
        <v>0</v>
      </c>
      <c r="BD101" s="231">
        <f t="shared" si="185"/>
        <v>0</v>
      </c>
      <c r="BE101" s="231">
        <f t="shared" si="185"/>
        <v>0</v>
      </c>
      <c r="BF101" s="231">
        <f t="shared" si="185"/>
        <v>0</v>
      </c>
      <c r="BG101" s="231">
        <f t="shared" si="185"/>
        <v>0</v>
      </c>
      <c r="BI101" s="238">
        <f>SUM(T101:BG101)</f>
        <v>0</v>
      </c>
      <c r="BK101" s="243">
        <f>SUMPRODUCT(--($T$5:$BG$5&gt;$P101),($T101:$BG101))*(SUMPRODUCT(--($T$5:$BG$5=$P101),($T$4:$BG$4))&gt;$O101)</f>
        <v>0</v>
      </c>
    </row>
    <row r="102" spans="2:63">
      <c r="C102" s="99">
        <f>RR!C24</f>
        <v>2</v>
      </c>
      <c r="D102" s="99" t="str">
        <f>RR!E24</f>
        <v>2 - 1</v>
      </c>
      <c r="F102" s="94" t="str">
        <f>INDEX(RR!K:K,MATCH(D102,RR!E:E,0))</f>
        <v>backup</v>
      </c>
      <c r="H102" s="73" t="s">
        <v>318</v>
      </c>
      <c r="J102" s="1325">
        <f>INDEX(AA!E:E,MATCH($C102,AA!C:C,0))</f>
        <v>1</v>
      </c>
      <c r="K102" s="1325">
        <f>INDEX(TA!$G:$G,MATCH($D102,TA!$D:$D,0))</f>
        <v>1</v>
      </c>
      <c r="M102" s="1325">
        <f>INDEX(TA!AJ:AJ,MATCH($D102,TA!D:D,0))</f>
        <v>100000</v>
      </c>
      <c r="O102" s="242">
        <f>M30</f>
        <v>43466</v>
      </c>
      <c r="P102" s="1325">
        <f>INDEX(AA!$AA:$AA,MATCH($C102,AA!$C:$C,0))</f>
        <v>12</v>
      </c>
      <c r="T102" s="231">
        <f t="shared" ref="T102:BG102" si="186">-$M102/4*(T30-T39)*T47</f>
        <v>0</v>
      </c>
      <c r="U102" s="231">
        <f t="shared" si="186"/>
        <v>0</v>
      </c>
      <c r="V102" s="231">
        <f t="shared" si="186"/>
        <v>0</v>
      </c>
      <c r="W102" s="231">
        <f t="shared" si="186"/>
        <v>0</v>
      </c>
      <c r="X102" s="231">
        <f t="shared" si="186"/>
        <v>0</v>
      </c>
      <c r="Y102" s="231">
        <f t="shared" si="186"/>
        <v>0</v>
      </c>
      <c r="Z102" s="231">
        <f t="shared" si="186"/>
        <v>0</v>
      </c>
      <c r="AA102" s="231">
        <f t="shared" si="186"/>
        <v>0</v>
      </c>
      <c r="AB102" s="231">
        <f t="shared" si="186"/>
        <v>0</v>
      </c>
      <c r="AC102" s="231">
        <f t="shared" si="186"/>
        <v>0</v>
      </c>
      <c r="AD102" s="231">
        <f t="shared" si="186"/>
        <v>0</v>
      </c>
      <c r="AE102" s="231">
        <f t="shared" si="186"/>
        <v>0</v>
      </c>
      <c r="AF102" s="231">
        <f t="shared" si="186"/>
        <v>0</v>
      </c>
      <c r="AG102" s="231">
        <f t="shared" si="186"/>
        <v>0</v>
      </c>
      <c r="AH102" s="231">
        <f t="shared" si="186"/>
        <v>0</v>
      </c>
      <c r="AI102" s="231">
        <f t="shared" si="186"/>
        <v>0</v>
      </c>
      <c r="AJ102" s="231">
        <f t="shared" si="186"/>
        <v>0</v>
      </c>
      <c r="AK102" s="231">
        <f t="shared" si="186"/>
        <v>0</v>
      </c>
      <c r="AL102" s="231">
        <f t="shared" si="186"/>
        <v>0</v>
      </c>
      <c r="AM102" s="231">
        <f t="shared" si="186"/>
        <v>0</v>
      </c>
      <c r="AN102" s="231">
        <f t="shared" si="186"/>
        <v>0</v>
      </c>
      <c r="AO102" s="231">
        <f t="shared" si="186"/>
        <v>0</v>
      </c>
      <c r="AP102" s="231">
        <f t="shared" si="186"/>
        <v>0</v>
      </c>
      <c r="AQ102" s="231">
        <f t="shared" si="186"/>
        <v>0</v>
      </c>
      <c r="AR102" s="231">
        <f t="shared" si="186"/>
        <v>0</v>
      </c>
      <c r="AS102" s="231">
        <f t="shared" si="186"/>
        <v>0</v>
      </c>
      <c r="AT102" s="231">
        <f t="shared" si="186"/>
        <v>0</v>
      </c>
      <c r="AU102" s="231">
        <f t="shared" si="186"/>
        <v>0</v>
      </c>
      <c r="AV102" s="231">
        <f t="shared" si="186"/>
        <v>0</v>
      </c>
      <c r="AW102" s="231">
        <f t="shared" si="186"/>
        <v>0</v>
      </c>
      <c r="AX102" s="231">
        <f t="shared" si="186"/>
        <v>0</v>
      </c>
      <c r="AY102" s="231">
        <f t="shared" si="186"/>
        <v>0</v>
      </c>
      <c r="AZ102" s="231">
        <f t="shared" si="186"/>
        <v>0</v>
      </c>
      <c r="BA102" s="231">
        <f t="shared" si="186"/>
        <v>0</v>
      </c>
      <c r="BB102" s="231">
        <f t="shared" si="186"/>
        <v>0</v>
      </c>
      <c r="BC102" s="231">
        <f t="shared" si="186"/>
        <v>0</v>
      </c>
      <c r="BD102" s="231">
        <f t="shared" si="186"/>
        <v>0</v>
      </c>
      <c r="BE102" s="231">
        <f t="shared" si="186"/>
        <v>0</v>
      </c>
      <c r="BF102" s="231">
        <f t="shared" si="186"/>
        <v>0</v>
      </c>
      <c r="BG102" s="231">
        <f t="shared" si="186"/>
        <v>0</v>
      </c>
      <c r="BI102" s="240">
        <f t="shared" ref="BI102" si="187">SUM(T102:BG102)</f>
        <v>0</v>
      </c>
      <c r="BK102" s="244">
        <f t="shared" ref="BK102:BK103" si="188">SUMPRODUCT(--($T$5:$BG$5&gt;$P102),($T102:$BG102))*(SUMPRODUCT(--($T$5:$BG$5=$P102),($T$4:$BG$4))&gt;$O102)</f>
        <v>0</v>
      </c>
    </row>
    <row r="103" spans="2:63">
      <c r="C103" s="99">
        <f>RR!C25</f>
        <v>3</v>
      </c>
      <c r="D103" s="99" t="str">
        <f>RR!E25</f>
        <v>3 - 1</v>
      </c>
      <c r="F103" s="94" t="str">
        <f>INDEX(RR!K:K,MATCH(D103,RR!E:E,0))</f>
        <v>backup</v>
      </c>
      <c r="H103" s="73" t="s">
        <v>318</v>
      </c>
      <c r="J103" s="1325">
        <f>INDEX(AA!E:E,MATCH($C103,AA!C:C,0))</f>
        <v>1</v>
      </c>
      <c r="K103" s="1325">
        <f>INDEX(TA!$G:$G,MATCH($D103,TA!$D:$D,0))</f>
        <v>1</v>
      </c>
      <c r="M103" s="1325">
        <f>INDEX(TA!AJ:AJ,MATCH($D103,TA!D:D,0))</f>
        <v>100000</v>
      </c>
      <c r="O103" s="242">
        <f>M31</f>
        <v>43466</v>
      </c>
      <c r="P103" s="1325">
        <f>INDEX(AA!$AA:$AA,MATCH($C103,AA!$C:$C,0))</f>
        <v>12</v>
      </c>
      <c r="T103" s="231">
        <f t="shared" ref="T103:BG103" si="189">-$M103/4*(T31-T40)*T48</f>
        <v>0</v>
      </c>
      <c r="U103" s="231">
        <f t="shared" si="189"/>
        <v>0</v>
      </c>
      <c r="V103" s="231">
        <f t="shared" si="189"/>
        <v>0</v>
      </c>
      <c r="W103" s="231">
        <f t="shared" si="189"/>
        <v>0</v>
      </c>
      <c r="X103" s="231">
        <f t="shared" si="189"/>
        <v>0</v>
      </c>
      <c r="Y103" s="231">
        <f t="shared" si="189"/>
        <v>0</v>
      </c>
      <c r="Z103" s="231">
        <f t="shared" si="189"/>
        <v>0</v>
      </c>
      <c r="AA103" s="231">
        <f t="shared" si="189"/>
        <v>0</v>
      </c>
      <c r="AB103" s="231">
        <f t="shared" si="189"/>
        <v>0</v>
      </c>
      <c r="AC103" s="231">
        <f t="shared" si="189"/>
        <v>0</v>
      </c>
      <c r="AD103" s="231">
        <f t="shared" si="189"/>
        <v>0</v>
      </c>
      <c r="AE103" s="231">
        <f t="shared" si="189"/>
        <v>0</v>
      </c>
      <c r="AF103" s="231">
        <f t="shared" si="189"/>
        <v>0</v>
      </c>
      <c r="AG103" s="231">
        <f t="shared" si="189"/>
        <v>0</v>
      </c>
      <c r="AH103" s="231">
        <f t="shared" si="189"/>
        <v>0</v>
      </c>
      <c r="AI103" s="231">
        <f t="shared" si="189"/>
        <v>0</v>
      </c>
      <c r="AJ103" s="231">
        <f t="shared" si="189"/>
        <v>0</v>
      </c>
      <c r="AK103" s="231">
        <f t="shared" si="189"/>
        <v>0</v>
      </c>
      <c r="AL103" s="231">
        <f t="shared" si="189"/>
        <v>0</v>
      </c>
      <c r="AM103" s="231">
        <f t="shared" si="189"/>
        <v>0</v>
      </c>
      <c r="AN103" s="231">
        <f t="shared" si="189"/>
        <v>0</v>
      </c>
      <c r="AO103" s="231">
        <f t="shared" si="189"/>
        <v>0</v>
      </c>
      <c r="AP103" s="231">
        <f t="shared" si="189"/>
        <v>0</v>
      </c>
      <c r="AQ103" s="231">
        <f t="shared" si="189"/>
        <v>0</v>
      </c>
      <c r="AR103" s="231">
        <f t="shared" si="189"/>
        <v>0</v>
      </c>
      <c r="AS103" s="231">
        <f t="shared" si="189"/>
        <v>0</v>
      </c>
      <c r="AT103" s="231">
        <f t="shared" si="189"/>
        <v>0</v>
      </c>
      <c r="AU103" s="231">
        <f t="shared" si="189"/>
        <v>0</v>
      </c>
      <c r="AV103" s="231">
        <f t="shared" si="189"/>
        <v>0</v>
      </c>
      <c r="AW103" s="231">
        <f t="shared" si="189"/>
        <v>0</v>
      </c>
      <c r="AX103" s="231">
        <f t="shared" si="189"/>
        <v>0</v>
      </c>
      <c r="AY103" s="231">
        <f t="shared" si="189"/>
        <v>0</v>
      </c>
      <c r="AZ103" s="231">
        <f t="shared" si="189"/>
        <v>0</v>
      </c>
      <c r="BA103" s="231">
        <f t="shared" si="189"/>
        <v>0</v>
      </c>
      <c r="BB103" s="231">
        <f t="shared" si="189"/>
        <v>0</v>
      </c>
      <c r="BC103" s="231">
        <f t="shared" si="189"/>
        <v>0</v>
      </c>
      <c r="BD103" s="231">
        <f t="shared" si="189"/>
        <v>0</v>
      </c>
      <c r="BE103" s="231">
        <f t="shared" si="189"/>
        <v>0</v>
      </c>
      <c r="BF103" s="231">
        <f t="shared" si="189"/>
        <v>0</v>
      </c>
      <c r="BG103" s="231">
        <f t="shared" si="189"/>
        <v>0</v>
      </c>
      <c r="BI103" s="240">
        <f t="shared" ref="BI103" si="190">SUM(T103:BG103)</f>
        <v>0</v>
      </c>
      <c r="BK103" s="244">
        <f t="shared" si="188"/>
        <v>0</v>
      </c>
    </row>
    <row r="104" spans="2:63">
      <c r="C104" s="269"/>
      <c r="D104" s="269"/>
      <c r="F104" s="269"/>
      <c r="H104" s="269"/>
      <c r="J104" s="269"/>
      <c r="K104" s="269"/>
      <c r="M104" s="269"/>
      <c r="O104" s="269"/>
      <c r="P104" s="269"/>
      <c r="BI104" s="269"/>
      <c r="BK104" s="269"/>
    </row>
    <row r="106" spans="2:63" s="90" customFormat="1">
      <c r="B106" s="91">
        <f ca="1">MAX(A$1:$B105)+1</f>
        <v>12</v>
      </c>
      <c r="C106" s="92" t="s">
        <v>322</v>
      </c>
    </row>
    <row r="108" spans="2:63" ht="30">
      <c r="C108" s="96" t="s">
        <v>4</v>
      </c>
      <c r="D108" s="97" t="s">
        <v>148</v>
      </c>
      <c r="E108" s="95"/>
      <c r="F108" s="97" t="s">
        <v>149</v>
      </c>
      <c r="G108" s="95"/>
      <c r="H108" s="97" t="s">
        <v>150</v>
      </c>
      <c r="I108" s="95"/>
      <c r="J108" s="97" t="s">
        <v>272</v>
      </c>
      <c r="K108" s="97" t="s">
        <v>273</v>
      </c>
      <c r="M108" s="101" t="s">
        <v>323</v>
      </c>
      <c r="N108" s="101" t="s">
        <v>387</v>
      </c>
      <c r="O108" s="97" t="s">
        <v>392</v>
      </c>
      <c r="BI108" s="239" t="s">
        <v>152</v>
      </c>
      <c r="BJ108" s="95"/>
      <c r="BK108" s="102"/>
    </row>
    <row r="109" spans="2:63">
      <c r="C109" s="98">
        <f>RR!C23</f>
        <v>1</v>
      </c>
      <c r="D109" s="98" t="str">
        <f>RR!E23</f>
        <v>1 - 1</v>
      </c>
      <c r="F109" s="93" t="str">
        <f>INDEX(RR!K:K,MATCH(D109,RR!E:E,0))</f>
        <v>backup</v>
      </c>
      <c r="H109" s="72" t="s">
        <v>321</v>
      </c>
      <c r="J109" s="1324">
        <f>INDEX(AA!E:E,MATCH($C109,AA!C:C,0))</f>
        <v>1</v>
      </c>
      <c r="K109" s="1324">
        <f>INDEX(TA!$G:$G,MATCH($D109,TA!$D:$D,0))</f>
        <v>1</v>
      </c>
      <c r="M109" s="1324">
        <f>INDEX(TA!$AX:$AX,MATCH($D109,TA!$D:$D,0))</f>
        <v>0</v>
      </c>
      <c r="N109" s="1324">
        <f>INDEX(TA!$CB:$CB,MATCH($D109,TA!$D:$D,0))</f>
        <v>0</v>
      </c>
      <c r="O109" s="307">
        <f>INDEX(TA!$CA$15:$CA$17,MATCH($D109,TA!$D$15:$D$17,0))</f>
        <v>0</v>
      </c>
      <c r="T109" s="231">
        <f t="shared" ref="T109:BG109" si="191">T29*($M109/4+$N109/4*(T$5&gt;=$O109))</f>
        <v>0</v>
      </c>
      <c r="U109" s="231">
        <f t="shared" si="191"/>
        <v>0</v>
      </c>
      <c r="V109" s="231">
        <f t="shared" si="191"/>
        <v>0</v>
      </c>
      <c r="W109" s="231">
        <f t="shared" si="191"/>
        <v>0</v>
      </c>
      <c r="X109" s="231">
        <f t="shared" si="191"/>
        <v>0</v>
      </c>
      <c r="Y109" s="231">
        <f t="shared" si="191"/>
        <v>0</v>
      </c>
      <c r="Z109" s="231">
        <f t="shared" si="191"/>
        <v>0</v>
      </c>
      <c r="AA109" s="231">
        <f t="shared" si="191"/>
        <v>0</v>
      </c>
      <c r="AB109" s="231">
        <f t="shared" si="191"/>
        <v>0</v>
      </c>
      <c r="AC109" s="231">
        <f t="shared" si="191"/>
        <v>0</v>
      </c>
      <c r="AD109" s="231">
        <f t="shared" si="191"/>
        <v>0</v>
      </c>
      <c r="AE109" s="231">
        <f t="shared" si="191"/>
        <v>0</v>
      </c>
      <c r="AF109" s="231">
        <f t="shared" si="191"/>
        <v>0</v>
      </c>
      <c r="AG109" s="231">
        <f t="shared" si="191"/>
        <v>0</v>
      </c>
      <c r="AH109" s="231">
        <f t="shared" si="191"/>
        <v>0</v>
      </c>
      <c r="AI109" s="231">
        <f t="shared" si="191"/>
        <v>0</v>
      </c>
      <c r="AJ109" s="231">
        <f t="shared" si="191"/>
        <v>0</v>
      </c>
      <c r="AK109" s="231">
        <f t="shared" si="191"/>
        <v>0</v>
      </c>
      <c r="AL109" s="231">
        <f t="shared" si="191"/>
        <v>0</v>
      </c>
      <c r="AM109" s="231">
        <f t="shared" si="191"/>
        <v>0</v>
      </c>
      <c r="AN109" s="231">
        <f t="shared" si="191"/>
        <v>0</v>
      </c>
      <c r="AO109" s="231">
        <f t="shared" si="191"/>
        <v>0</v>
      </c>
      <c r="AP109" s="231">
        <f t="shared" si="191"/>
        <v>0</v>
      </c>
      <c r="AQ109" s="231">
        <f t="shared" si="191"/>
        <v>0</v>
      </c>
      <c r="AR109" s="231">
        <f t="shared" si="191"/>
        <v>0</v>
      </c>
      <c r="AS109" s="231">
        <f t="shared" si="191"/>
        <v>0</v>
      </c>
      <c r="AT109" s="231">
        <f t="shared" si="191"/>
        <v>0</v>
      </c>
      <c r="AU109" s="231">
        <f t="shared" si="191"/>
        <v>0</v>
      </c>
      <c r="AV109" s="231">
        <f t="shared" si="191"/>
        <v>0</v>
      </c>
      <c r="AW109" s="231">
        <f t="shared" si="191"/>
        <v>0</v>
      </c>
      <c r="AX109" s="231">
        <f t="shared" si="191"/>
        <v>0</v>
      </c>
      <c r="AY109" s="231">
        <f t="shared" si="191"/>
        <v>0</v>
      </c>
      <c r="AZ109" s="231">
        <f t="shared" si="191"/>
        <v>0</v>
      </c>
      <c r="BA109" s="231">
        <f t="shared" si="191"/>
        <v>0</v>
      </c>
      <c r="BB109" s="231">
        <f t="shared" si="191"/>
        <v>0</v>
      </c>
      <c r="BC109" s="231">
        <f t="shared" si="191"/>
        <v>0</v>
      </c>
      <c r="BD109" s="231">
        <f t="shared" si="191"/>
        <v>0</v>
      </c>
      <c r="BE109" s="231">
        <f t="shared" si="191"/>
        <v>0</v>
      </c>
      <c r="BF109" s="231">
        <f t="shared" si="191"/>
        <v>0</v>
      </c>
      <c r="BG109" s="231">
        <f t="shared" si="191"/>
        <v>0</v>
      </c>
      <c r="BI109" s="238">
        <f>SUM(T109:BG109)</f>
        <v>0</v>
      </c>
      <c r="BK109" s="103"/>
    </row>
    <row r="110" spans="2:63">
      <c r="C110" s="99">
        <f>RR!C24</f>
        <v>2</v>
      </c>
      <c r="D110" s="99" t="str">
        <f>RR!E24</f>
        <v>2 - 1</v>
      </c>
      <c r="F110" s="94" t="str">
        <f>INDEX(RR!K:K,MATCH(D110,RR!E:E,0))</f>
        <v>backup</v>
      </c>
      <c r="H110" s="73" t="s">
        <v>321</v>
      </c>
      <c r="J110" s="1325">
        <f>INDEX(AA!E:E,MATCH($C110,AA!C:C,0))</f>
        <v>1</v>
      </c>
      <c r="K110" s="1325">
        <f>INDEX(TA!$G:$G,MATCH($D110,TA!$D:$D,0))</f>
        <v>1</v>
      </c>
      <c r="M110" s="1325">
        <f>INDEX(TA!$AX:$AX,MATCH($D110,TA!$D:$D,0))</f>
        <v>0</v>
      </c>
      <c r="N110" s="1325">
        <f>INDEX(TA!$CB:$CB,MATCH($D110,TA!$D:$D,0))</f>
        <v>0</v>
      </c>
      <c r="O110" s="308">
        <f>INDEX(TA!$CA$15:$CA$17,MATCH($D110,TA!$D$15:$D$17,0))</f>
        <v>0</v>
      </c>
      <c r="T110" s="231">
        <f t="shared" ref="T110:BG110" si="192">T30*($M110/4+$N110/4*(T$5&gt;=$O110))</f>
        <v>0</v>
      </c>
      <c r="U110" s="231">
        <f t="shared" si="192"/>
        <v>0</v>
      </c>
      <c r="V110" s="231">
        <f t="shared" si="192"/>
        <v>0</v>
      </c>
      <c r="W110" s="231">
        <f t="shared" si="192"/>
        <v>0</v>
      </c>
      <c r="X110" s="231">
        <f t="shared" si="192"/>
        <v>0</v>
      </c>
      <c r="Y110" s="231">
        <f t="shared" si="192"/>
        <v>0</v>
      </c>
      <c r="Z110" s="231">
        <f t="shared" si="192"/>
        <v>0</v>
      </c>
      <c r="AA110" s="231">
        <f t="shared" si="192"/>
        <v>0</v>
      </c>
      <c r="AB110" s="231">
        <f t="shared" si="192"/>
        <v>0</v>
      </c>
      <c r="AC110" s="231">
        <f t="shared" si="192"/>
        <v>0</v>
      </c>
      <c r="AD110" s="231">
        <f t="shared" si="192"/>
        <v>0</v>
      </c>
      <c r="AE110" s="231">
        <f t="shared" si="192"/>
        <v>0</v>
      </c>
      <c r="AF110" s="231">
        <f t="shared" si="192"/>
        <v>0</v>
      </c>
      <c r="AG110" s="231">
        <f t="shared" si="192"/>
        <v>0</v>
      </c>
      <c r="AH110" s="231">
        <f t="shared" si="192"/>
        <v>0</v>
      </c>
      <c r="AI110" s="231">
        <f t="shared" si="192"/>
        <v>0</v>
      </c>
      <c r="AJ110" s="231">
        <f t="shared" si="192"/>
        <v>0</v>
      </c>
      <c r="AK110" s="231">
        <f t="shared" si="192"/>
        <v>0</v>
      </c>
      <c r="AL110" s="231">
        <f t="shared" si="192"/>
        <v>0</v>
      </c>
      <c r="AM110" s="231">
        <f t="shared" si="192"/>
        <v>0</v>
      </c>
      <c r="AN110" s="231">
        <f t="shared" si="192"/>
        <v>0</v>
      </c>
      <c r="AO110" s="231">
        <f t="shared" si="192"/>
        <v>0</v>
      </c>
      <c r="AP110" s="231">
        <f t="shared" si="192"/>
        <v>0</v>
      </c>
      <c r="AQ110" s="231">
        <f t="shared" si="192"/>
        <v>0</v>
      </c>
      <c r="AR110" s="231">
        <f t="shared" si="192"/>
        <v>0</v>
      </c>
      <c r="AS110" s="231">
        <f t="shared" si="192"/>
        <v>0</v>
      </c>
      <c r="AT110" s="231">
        <f t="shared" si="192"/>
        <v>0</v>
      </c>
      <c r="AU110" s="231">
        <f t="shared" si="192"/>
        <v>0</v>
      </c>
      <c r="AV110" s="231">
        <f t="shared" si="192"/>
        <v>0</v>
      </c>
      <c r="AW110" s="231">
        <f t="shared" si="192"/>
        <v>0</v>
      </c>
      <c r="AX110" s="231">
        <f t="shared" si="192"/>
        <v>0</v>
      </c>
      <c r="AY110" s="231">
        <f t="shared" si="192"/>
        <v>0</v>
      </c>
      <c r="AZ110" s="231">
        <f t="shared" si="192"/>
        <v>0</v>
      </c>
      <c r="BA110" s="231">
        <f t="shared" si="192"/>
        <v>0</v>
      </c>
      <c r="BB110" s="231">
        <f t="shared" si="192"/>
        <v>0</v>
      </c>
      <c r="BC110" s="231">
        <f t="shared" si="192"/>
        <v>0</v>
      </c>
      <c r="BD110" s="231">
        <f t="shared" si="192"/>
        <v>0</v>
      </c>
      <c r="BE110" s="231">
        <f t="shared" si="192"/>
        <v>0</v>
      </c>
      <c r="BF110" s="231">
        <f t="shared" si="192"/>
        <v>0</v>
      </c>
      <c r="BG110" s="231">
        <f t="shared" si="192"/>
        <v>0</v>
      </c>
      <c r="BI110" s="240">
        <f t="shared" ref="BI110" si="193">SUM(T110:BG110)</f>
        <v>0</v>
      </c>
      <c r="BK110" s="103"/>
    </row>
    <row r="111" spans="2:63">
      <c r="C111" s="99">
        <f>RR!C25</f>
        <v>3</v>
      </c>
      <c r="D111" s="99" t="str">
        <f>RR!E25</f>
        <v>3 - 1</v>
      </c>
      <c r="F111" s="94" t="str">
        <f>INDEX(RR!K:K,MATCH(D111,RR!E:E,0))</f>
        <v>backup</v>
      </c>
      <c r="H111" s="73" t="s">
        <v>321</v>
      </c>
      <c r="J111" s="1325">
        <f>INDEX(AA!E:E,MATCH($C111,AA!C:C,0))</f>
        <v>1</v>
      </c>
      <c r="K111" s="1325">
        <f>INDEX(TA!$G:$G,MATCH($D111,TA!$D:$D,0))</f>
        <v>1</v>
      </c>
      <c r="M111" s="1325">
        <f>INDEX(TA!$AX:$AX,MATCH($D111,TA!$D:$D,0))</f>
        <v>0</v>
      </c>
      <c r="N111" s="1325">
        <f>INDEX(TA!$CB:$CB,MATCH($D111,TA!$D:$D,0))</f>
        <v>0</v>
      </c>
      <c r="O111" s="308">
        <f>INDEX(TA!$CA$15:$CA$17,MATCH($D111,TA!$D$15:$D$17,0))</f>
        <v>0</v>
      </c>
      <c r="T111" s="231">
        <f t="shared" ref="T111:BG111" si="194">T31*($M111/4+$N111/4*(T$5&gt;=$O111))</f>
        <v>0</v>
      </c>
      <c r="U111" s="231">
        <f t="shared" si="194"/>
        <v>0</v>
      </c>
      <c r="V111" s="231">
        <f t="shared" si="194"/>
        <v>0</v>
      </c>
      <c r="W111" s="231">
        <f t="shared" si="194"/>
        <v>0</v>
      </c>
      <c r="X111" s="231">
        <f t="shared" si="194"/>
        <v>0</v>
      </c>
      <c r="Y111" s="231">
        <f t="shared" si="194"/>
        <v>0</v>
      </c>
      <c r="Z111" s="231">
        <f t="shared" si="194"/>
        <v>0</v>
      </c>
      <c r="AA111" s="231">
        <f t="shared" si="194"/>
        <v>0</v>
      </c>
      <c r="AB111" s="231">
        <f t="shared" si="194"/>
        <v>0</v>
      </c>
      <c r="AC111" s="231">
        <f t="shared" si="194"/>
        <v>0</v>
      </c>
      <c r="AD111" s="231">
        <f t="shared" si="194"/>
        <v>0</v>
      </c>
      <c r="AE111" s="231">
        <f t="shared" si="194"/>
        <v>0</v>
      </c>
      <c r="AF111" s="231">
        <f t="shared" si="194"/>
        <v>0</v>
      </c>
      <c r="AG111" s="231">
        <f t="shared" si="194"/>
        <v>0</v>
      </c>
      <c r="AH111" s="231">
        <f t="shared" si="194"/>
        <v>0</v>
      </c>
      <c r="AI111" s="231">
        <f t="shared" si="194"/>
        <v>0</v>
      </c>
      <c r="AJ111" s="231">
        <f t="shared" si="194"/>
        <v>0</v>
      </c>
      <c r="AK111" s="231">
        <f t="shared" si="194"/>
        <v>0</v>
      </c>
      <c r="AL111" s="231">
        <f t="shared" si="194"/>
        <v>0</v>
      </c>
      <c r="AM111" s="231">
        <f t="shared" si="194"/>
        <v>0</v>
      </c>
      <c r="AN111" s="231">
        <f t="shared" si="194"/>
        <v>0</v>
      </c>
      <c r="AO111" s="231">
        <f t="shared" si="194"/>
        <v>0</v>
      </c>
      <c r="AP111" s="231">
        <f t="shared" si="194"/>
        <v>0</v>
      </c>
      <c r="AQ111" s="231">
        <f t="shared" si="194"/>
        <v>0</v>
      </c>
      <c r="AR111" s="231">
        <f t="shared" si="194"/>
        <v>0</v>
      </c>
      <c r="AS111" s="231">
        <f t="shared" si="194"/>
        <v>0</v>
      </c>
      <c r="AT111" s="231">
        <f t="shared" si="194"/>
        <v>0</v>
      </c>
      <c r="AU111" s="231">
        <f t="shared" si="194"/>
        <v>0</v>
      </c>
      <c r="AV111" s="231">
        <f t="shared" si="194"/>
        <v>0</v>
      </c>
      <c r="AW111" s="231">
        <f t="shared" si="194"/>
        <v>0</v>
      </c>
      <c r="AX111" s="231">
        <f t="shared" si="194"/>
        <v>0</v>
      </c>
      <c r="AY111" s="231">
        <f t="shared" si="194"/>
        <v>0</v>
      </c>
      <c r="AZ111" s="231">
        <f t="shared" si="194"/>
        <v>0</v>
      </c>
      <c r="BA111" s="231">
        <f t="shared" si="194"/>
        <v>0</v>
      </c>
      <c r="BB111" s="231">
        <f t="shared" si="194"/>
        <v>0</v>
      </c>
      <c r="BC111" s="231">
        <f t="shared" si="194"/>
        <v>0</v>
      </c>
      <c r="BD111" s="231">
        <f t="shared" si="194"/>
        <v>0</v>
      </c>
      <c r="BE111" s="231">
        <f t="shared" si="194"/>
        <v>0</v>
      </c>
      <c r="BF111" s="231">
        <f t="shared" si="194"/>
        <v>0</v>
      </c>
      <c r="BG111" s="231">
        <f t="shared" si="194"/>
        <v>0</v>
      </c>
      <c r="BI111" s="240">
        <f t="shared" ref="BI111" si="195">SUM(T111:BG111)</f>
        <v>0</v>
      </c>
      <c r="BK111" s="103"/>
    </row>
    <row r="112" spans="2:63">
      <c r="C112" s="269"/>
      <c r="D112" s="269"/>
      <c r="F112" s="269"/>
      <c r="H112" s="269"/>
      <c r="J112" s="269"/>
      <c r="K112" s="269"/>
      <c r="M112" s="269"/>
      <c r="N112" s="269"/>
      <c r="O112" s="269"/>
      <c r="BI112" s="269"/>
      <c r="BK112" s="269"/>
    </row>
    <row r="114" spans="2:63" s="90" customFormat="1">
      <c r="B114" s="91">
        <f ca="1">MAX(A$1:$B113)+1</f>
        <v>13</v>
      </c>
      <c r="C114" s="92" t="s">
        <v>327</v>
      </c>
    </row>
    <row r="115" spans="2:63">
      <c r="BI115" s="104" t="s">
        <v>152</v>
      </c>
      <c r="BJ115" s="95"/>
      <c r="BK115" s="102"/>
    </row>
    <row r="116" spans="2:63">
      <c r="F116" s="49" t="str">
        <f>H116</f>
        <v>FMCG-F</v>
      </c>
      <c r="H116" s="98" t="str">
        <f>GA!E76</f>
        <v>FMCG-F</v>
      </c>
      <c r="T116" s="231">
        <f t="shared" ref="T116:AC125" si="196">SUMIFS(T$83:T$85,$N$83:$N$85,$H116)</f>
        <v>1000</v>
      </c>
      <c r="U116" s="231">
        <f t="shared" si="196"/>
        <v>2000</v>
      </c>
      <c r="V116" s="231">
        <f t="shared" si="196"/>
        <v>3000</v>
      </c>
      <c r="W116" s="231">
        <f t="shared" si="196"/>
        <v>3000</v>
      </c>
      <c r="X116" s="231">
        <f t="shared" si="196"/>
        <v>3000</v>
      </c>
      <c r="Y116" s="231">
        <f t="shared" si="196"/>
        <v>3000</v>
      </c>
      <c r="Z116" s="231">
        <f t="shared" si="196"/>
        <v>3000</v>
      </c>
      <c r="AA116" s="231">
        <f t="shared" si="196"/>
        <v>3000</v>
      </c>
      <c r="AB116" s="231">
        <f t="shared" si="196"/>
        <v>3000</v>
      </c>
      <c r="AC116" s="231">
        <f t="shared" si="196"/>
        <v>3000</v>
      </c>
      <c r="AD116" s="231">
        <f t="shared" ref="AD116:AM125" si="197">SUMIFS(AD$83:AD$85,$N$83:$N$85,$H116)</f>
        <v>3000</v>
      </c>
      <c r="AE116" s="231">
        <f t="shared" si="197"/>
        <v>3000</v>
      </c>
      <c r="AF116" s="231">
        <f t="shared" si="197"/>
        <v>0</v>
      </c>
      <c r="AG116" s="231">
        <f t="shared" si="197"/>
        <v>0</v>
      </c>
      <c r="AH116" s="231">
        <f t="shared" si="197"/>
        <v>0</v>
      </c>
      <c r="AI116" s="231">
        <f t="shared" si="197"/>
        <v>0</v>
      </c>
      <c r="AJ116" s="231">
        <f t="shared" si="197"/>
        <v>0</v>
      </c>
      <c r="AK116" s="231">
        <f t="shared" si="197"/>
        <v>0</v>
      </c>
      <c r="AL116" s="231">
        <f t="shared" si="197"/>
        <v>0</v>
      </c>
      <c r="AM116" s="231">
        <f t="shared" si="197"/>
        <v>0</v>
      </c>
      <c r="AN116" s="231">
        <f t="shared" ref="AN116:AW125" si="198">SUMIFS(AN$83:AN$85,$N$83:$N$85,$H116)</f>
        <v>0</v>
      </c>
      <c r="AO116" s="231">
        <f t="shared" si="198"/>
        <v>0</v>
      </c>
      <c r="AP116" s="231">
        <f t="shared" si="198"/>
        <v>0</v>
      </c>
      <c r="AQ116" s="231">
        <f t="shared" si="198"/>
        <v>0</v>
      </c>
      <c r="AR116" s="231">
        <f t="shared" si="198"/>
        <v>0</v>
      </c>
      <c r="AS116" s="231">
        <f t="shared" si="198"/>
        <v>0</v>
      </c>
      <c r="AT116" s="231">
        <f t="shared" si="198"/>
        <v>0</v>
      </c>
      <c r="AU116" s="231">
        <f t="shared" si="198"/>
        <v>0</v>
      </c>
      <c r="AV116" s="231">
        <f t="shared" si="198"/>
        <v>0</v>
      </c>
      <c r="AW116" s="231">
        <f t="shared" si="198"/>
        <v>0</v>
      </c>
      <c r="AX116" s="231">
        <f t="shared" ref="AX116:BG125" si="199">SUMIFS(AX$83:AX$85,$N$83:$N$85,$H116)</f>
        <v>0</v>
      </c>
      <c r="AY116" s="231">
        <f t="shared" si="199"/>
        <v>0</v>
      </c>
      <c r="AZ116" s="231">
        <f t="shared" si="199"/>
        <v>0</v>
      </c>
      <c r="BA116" s="231">
        <f t="shared" si="199"/>
        <v>0</v>
      </c>
      <c r="BB116" s="231">
        <f t="shared" si="199"/>
        <v>0</v>
      </c>
      <c r="BC116" s="231">
        <f t="shared" si="199"/>
        <v>0</v>
      </c>
      <c r="BD116" s="231">
        <f t="shared" si="199"/>
        <v>0</v>
      </c>
      <c r="BE116" s="231">
        <f t="shared" si="199"/>
        <v>0</v>
      </c>
      <c r="BF116" s="231">
        <f t="shared" si="199"/>
        <v>0</v>
      </c>
      <c r="BG116" s="231">
        <f t="shared" si="199"/>
        <v>0</v>
      </c>
      <c r="BI116" s="105" t="s">
        <v>153</v>
      </c>
      <c r="BK116" s="103"/>
    </row>
    <row r="117" spans="2:63">
      <c r="F117" s="49" t="str">
        <f t="shared" ref="F117:F125" si="200">H117</f>
        <v>FMCG-N</v>
      </c>
      <c r="H117" s="99" t="str">
        <f>GA!E77</f>
        <v>FMCG-N</v>
      </c>
      <c r="T117" s="231">
        <f t="shared" si="196"/>
        <v>0</v>
      </c>
      <c r="U117" s="231">
        <f t="shared" si="196"/>
        <v>0</v>
      </c>
      <c r="V117" s="231">
        <f t="shared" si="196"/>
        <v>0</v>
      </c>
      <c r="W117" s="231">
        <f t="shared" si="196"/>
        <v>0</v>
      </c>
      <c r="X117" s="231">
        <f t="shared" si="196"/>
        <v>0</v>
      </c>
      <c r="Y117" s="231">
        <f t="shared" si="196"/>
        <v>0</v>
      </c>
      <c r="Z117" s="231">
        <f t="shared" si="196"/>
        <v>0</v>
      </c>
      <c r="AA117" s="231">
        <f t="shared" si="196"/>
        <v>0</v>
      </c>
      <c r="AB117" s="231">
        <f t="shared" si="196"/>
        <v>0</v>
      </c>
      <c r="AC117" s="231">
        <f t="shared" si="196"/>
        <v>0</v>
      </c>
      <c r="AD117" s="231">
        <f t="shared" si="197"/>
        <v>0</v>
      </c>
      <c r="AE117" s="231">
        <f t="shared" si="197"/>
        <v>0</v>
      </c>
      <c r="AF117" s="231">
        <f t="shared" si="197"/>
        <v>0</v>
      </c>
      <c r="AG117" s="231">
        <f t="shared" si="197"/>
        <v>0</v>
      </c>
      <c r="AH117" s="231">
        <f t="shared" si="197"/>
        <v>0</v>
      </c>
      <c r="AI117" s="231">
        <f t="shared" si="197"/>
        <v>0</v>
      </c>
      <c r="AJ117" s="231">
        <f t="shared" si="197"/>
        <v>0</v>
      </c>
      <c r="AK117" s="231">
        <f t="shared" si="197"/>
        <v>0</v>
      </c>
      <c r="AL117" s="231">
        <f t="shared" si="197"/>
        <v>0</v>
      </c>
      <c r="AM117" s="231">
        <f t="shared" si="197"/>
        <v>0</v>
      </c>
      <c r="AN117" s="231">
        <f t="shared" si="198"/>
        <v>0</v>
      </c>
      <c r="AO117" s="231">
        <f t="shared" si="198"/>
        <v>0</v>
      </c>
      <c r="AP117" s="231">
        <f t="shared" si="198"/>
        <v>0</v>
      </c>
      <c r="AQ117" s="231">
        <f t="shared" si="198"/>
        <v>0</v>
      </c>
      <c r="AR117" s="231">
        <f t="shared" si="198"/>
        <v>0</v>
      </c>
      <c r="AS117" s="231">
        <f t="shared" si="198"/>
        <v>0</v>
      </c>
      <c r="AT117" s="231">
        <f t="shared" si="198"/>
        <v>0</v>
      </c>
      <c r="AU117" s="231">
        <f t="shared" si="198"/>
        <v>0</v>
      </c>
      <c r="AV117" s="231">
        <f t="shared" si="198"/>
        <v>0</v>
      </c>
      <c r="AW117" s="231">
        <f t="shared" si="198"/>
        <v>0</v>
      </c>
      <c r="AX117" s="231">
        <f t="shared" si="199"/>
        <v>0</v>
      </c>
      <c r="AY117" s="231">
        <f t="shared" si="199"/>
        <v>0</v>
      </c>
      <c r="AZ117" s="231">
        <f t="shared" si="199"/>
        <v>0</v>
      </c>
      <c r="BA117" s="231">
        <f t="shared" si="199"/>
        <v>0</v>
      </c>
      <c r="BB117" s="231">
        <f t="shared" si="199"/>
        <v>0</v>
      </c>
      <c r="BC117" s="231">
        <f t="shared" si="199"/>
        <v>0</v>
      </c>
      <c r="BD117" s="231">
        <f t="shared" si="199"/>
        <v>0</v>
      </c>
      <c r="BE117" s="231">
        <f t="shared" si="199"/>
        <v>0</v>
      </c>
      <c r="BF117" s="231">
        <f t="shared" si="199"/>
        <v>0</v>
      </c>
      <c r="BG117" s="231">
        <f t="shared" si="199"/>
        <v>0</v>
      </c>
      <c r="BI117" s="106" t="s">
        <v>153</v>
      </c>
      <c r="BK117" s="103"/>
    </row>
    <row r="118" spans="2:63">
      <c r="F118" s="49" t="str">
        <f t="shared" si="200"/>
        <v>Non-food retail</v>
      </c>
      <c r="H118" s="99" t="str">
        <f>GA!E78</f>
        <v>Non-food retail</v>
      </c>
      <c r="T118" s="231">
        <f t="shared" si="196"/>
        <v>0</v>
      </c>
      <c r="U118" s="231">
        <f t="shared" si="196"/>
        <v>0</v>
      </c>
      <c r="V118" s="231">
        <f t="shared" si="196"/>
        <v>0</v>
      </c>
      <c r="W118" s="231">
        <f t="shared" si="196"/>
        <v>0</v>
      </c>
      <c r="X118" s="231">
        <f t="shared" si="196"/>
        <v>0</v>
      </c>
      <c r="Y118" s="231">
        <f t="shared" si="196"/>
        <v>0</v>
      </c>
      <c r="Z118" s="231">
        <f t="shared" si="196"/>
        <v>0</v>
      </c>
      <c r="AA118" s="231">
        <f t="shared" si="196"/>
        <v>0</v>
      </c>
      <c r="AB118" s="231">
        <f t="shared" si="196"/>
        <v>0</v>
      </c>
      <c r="AC118" s="231">
        <f t="shared" si="196"/>
        <v>0</v>
      </c>
      <c r="AD118" s="231">
        <f t="shared" si="197"/>
        <v>0</v>
      </c>
      <c r="AE118" s="231">
        <f t="shared" si="197"/>
        <v>0</v>
      </c>
      <c r="AF118" s="231">
        <f t="shared" si="197"/>
        <v>0</v>
      </c>
      <c r="AG118" s="231">
        <f t="shared" si="197"/>
        <v>0</v>
      </c>
      <c r="AH118" s="231">
        <f t="shared" si="197"/>
        <v>0</v>
      </c>
      <c r="AI118" s="231">
        <f t="shared" si="197"/>
        <v>0</v>
      </c>
      <c r="AJ118" s="231">
        <f t="shared" si="197"/>
        <v>0</v>
      </c>
      <c r="AK118" s="231">
        <f t="shared" si="197"/>
        <v>0</v>
      </c>
      <c r="AL118" s="231">
        <f t="shared" si="197"/>
        <v>0</v>
      </c>
      <c r="AM118" s="231">
        <f t="shared" si="197"/>
        <v>0</v>
      </c>
      <c r="AN118" s="231">
        <f t="shared" si="198"/>
        <v>0</v>
      </c>
      <c r="AO118" s="231">
        <f t="shared" si="198"/>
        <v>0</v>
      </c>
      <c r="AP118" s="231">
        <f t="shared" si="198"/>
        <v>0</v>
      </c>
      <c r="AQ118" s="231">
        <f t="shared" si="198"/>
        <v>0</v>
      </c>
      <c r="AR118" s="231">
        <f t="shared" si="198"/>
        <v>0</v>
      </c>
      <c r="AS118" s="231">
        <f t="shared" si="198"/>
        <v>0</v>
      </c>
      <c r="AT118" s="231">
        <f t="shared" si="198"/>
        <v>0</v>
      </c>
      <c r="AU118" s="231">
        <f t="shared" si="198"/>
        <v>0</v>
      </c>
      <c r="AV118" s="231">
        <f t="shared" si="198"/>
        <v>0</v>
      </c>
      <c r="AW118" s="231">
        <f t="shared" si="198"/>
        <v>0</v>
      </c>
      <c r="AX118" s="231">
        <f t="shared" si="199"/>
        <v>0</v>
      </c>
      <c r="AY118" s="231">
        <f t="shared" si="199"/>
        <v>0</v>
      </c>
      <c r="AZ118" s="231">
        <f t="shared" si="199"/>
        <v>0</v>
      </c>
      <c r="BA118" s="231">
        <f t="shared" si="199"/>
        <v>0</v>
      </c>
      <c r="BB118" s="231">
        <f t="shared" si="199"/>
        <v>0</v>
      </c>
      <c r="BC118" s="231">
        <f t="shared" si="199"/>
        <v>0</v>
      </c>
      <c r="BD118" s="231">
        <f t="shared" si="199"/>
        <v>0</v>
      </c>
      <c r="BE118" s="231">
        <f t="shared" si="199"/>
        <v>0</v>
      </c>
      <c r="BF118" s="231">
        <f t="shared" si="199"/>
        <v>0</v>
      </c>
      <c r="BG118" s="231">
        <f t="shared" si="199"/>
        <v>0</v>
      </c>
      <c r="BI118" s="106" t="s">
        <v>153</v>
      </c>
      <c r="BK118" s="103"/>
    </row>
    <row r="119" spans="2:63">
      <c r="F119" s="49" t="str">
        <f t="shared" si="200"/>
        <v>Gastronomy</v>
      </c>
      <c r="H119" s="99" t="str">
        <f>GA!E79</f>
        <v>Gastronomy</v>
      </c>
      <c r="T119" s="231">
        <f t="shared" si="196"/>
        <v>0</v>
      </c>
      <c r="U119" s="231">
        <f t="shared" si="196"/>
        <v>0</v>
      </c>
      <c r="V119" s="231">
        <f t="shared" si="196"/>
        <v>0</v>
      </c>
      <c r="W119" s="231">
        <f t="shared" si="196"/>
        <v>0</v>
      </c>
      <c r="X119" s="231">
        <f t="shared" si="196"/>
        <v>0</v>
      </c>
      <c r="Y119" s="231">
        <f t="shared" si="196"/>
        <v>0</v>
      </c>
      <c r="Z119" s="231">
        <f t="shared" si="196"/>
        <v>0</v>
      </c>
      <c r="AA119" s="231">
        <f t="shared" si="196"/>
        <v>0</v>
      </c>
      <c r="AB119" s="231">
        <f t="shared" si="196"/>
        <v>0</v>
      </c>
      <c r="AC119" s="231">
        <f t="shared" si="196"/>
        <v>0</v>
      </c>
      <c r="AD119" s="231">
        <f t="shared" si="197"/>
        <v>0</v>
      </c>
      <c r="AE119" s="231">
        <f t="shared" si="197"/>
        <v>0</v>
      </c>
      <c r="AF119" s="231">
        <f t="shared" si="197"/>
        <v>0</v>
      </c>
      <c r="AG119" s="231">
        <f t="shared" si="197"/>
        <v>0</v>
      </c>
      <c r="AH119" s="231">
        <f t="shared" si="197"/>
        <v>0</v>
      </c>
      <c r="AI119" s="231">
        <f t="shared" si="197"/>
        <v>0</v>
      </c>
      <c r="AJ119" s="231">
        <f t="shared" si="197"/>
        <v>0</v>
      </c>
      <c r="AK119" s="231">
        <f t="shared" si="197"/>
        <v>0</v>
      </c>
      <c r="AL119" s="231">
        <f t="shared" si="197"/>
        <v>0</v>
      </c>
      <c r="AM119" s="231">
        <f t="shared" si="197"/>
        <v>0</v>
      </c>
      <c r="AN119" s="231">
        <f t="shared" si="198"/>
        <v>0</v>
      </c>
      <c r="AO119" s="231">
        <f t="shared" si="198"/>
        <v>0</v>
      </c>
      <c r="AP119" s="231">
        <f t="shared" si="198"/>
        <v>0</v>
      </c>
      <c r="AQ119" s="231">
        <f t="shared" si="198"/>
        <v>0</v>
      </c>
      <c r="AR119" s="231">
        <f t="shared" si="198"/>
        <v>0</v>
      </c>
      <c r="AS119" s="231">
        <f t="shared" si="198"/>
        <v>0</v>
      </c>
      <c r="AT119" s="231">
        <f t="shared" si="198"/>
        <v>0</v>
      </c>
      <c r="AU119" s="231">
        <f t="shared" si="198"/>
        <v>0</v>
      </c>
      <c r="AV119" s="231">
        <f t="shared" si="198"/>
        <v>0</v>
      </c>
      <c r="AW119" s="231">
        <f t="shared" si="198"/>
        <v>0</v>
      </c>
      <c r="AX119" s="231">
        <f t="shared" si="199"/>
        <v>0</v>
      </c>
      <c r="AY119" s="231">
        <f t="shared" si="199"/>
        <v>0</v>
      </c>
      <c r="AZ119" s="231">
        <f t="shared" si="199"/>
        <v>0</v>
      </c>
      <c r="BA119" s="231">
        <f t="shared" si="199"/>
        <v>0</v>
      </c>
      <c r="BB119" s="231">
        <f t="shared" si="199"/>
        <v>0</v>
      </c>
      <c r="BC119" s="231">
        <f t="shared" si="199"/>
        <v>0</v>
      </c>
      <c r="BD119" s="231">
        <f t="shared" si="199"/>
        <v>0</v>
      </c>
      <c r="BE119" s="231">
        <f t="shared" si="199"/>
        <v>0</v>
      </c>
      <c r="BF119" s="231">
        <f t="shared" si="199"/>
        <v>0</v>
      </c>
      <c r="BG119" s="231">
        <f t="shared" si="199"/>
        <v>0</v>
      </c>
      <c r="BI119" s="106" t="s">
        <v>153</v>
      </c>
      <c r="BK119" s="103"/>
    </row>
    <row r="120" spans="2:63">
      <c r="F120" s="49" t="str">
        <f t="shared" si="200"/>
        <v>Bank</v>
      </c>
      <c r="H120" s="99" t="str">
        <f>GA!E80</f>
        <v>Bank</v>
      </c>
      <c r="T120" s="231">
        <f t="shared" si="196"/>
        <v>0</v>
      </c>
      <c r="U120" s="231">
        <f t="shared" si="196"/>
        <v>0</v>
      </c>
      <c r="V120" s="231">
        <f t="shared" si="196"/>
        <v>0</v>
      </c>
      <c r="W120" s="231">
        <f t="shared" si="196"/>
        <v>0</v>
      </c>
      <c r="X120" s="231">
        <f t="shared" si="196"/>
        <v>0</v>
      </c>
      <c r="Y120" s="231">
        <f t="shared" si="196"/>
        <v>0</v>
      </c>
      <c r="Z120" s="231">
        <f t="shared" si="196"/>
        <v>0</v>
      </c>
      <c r="AA120" s="231">
        <f t="shared" si="196"/>
        <v>0</v>
      </c>
      <c r="AB120" s="231">
        <f t="shared" si="196"/>
        <v>0</v>
      </c>
      <c r="AC120" s="231">
        <f t="shared" si="196"/>
        <v>0</v>
      </c>
      <c r="AD120" s="231">
        <f t="shared" si="197"/>
        <v>0</v>
      </c>
      <c r="AE120" s="231">
        <f t="shared" si="197"/>
        <v>0</v>
      </c>
      <c r="AF120" s="231">
        <f t="shared" si="197"/>
        <v>0</v>
      </c>
      <c r="AG120" s="231">
        <f t="shared" si="197"/>
        <v>0</v>
      </c>
      <c r="AH120" s="231">
        <f t="shared" si="197"/>
        <v>0</v>
      </c>
      <c r="AI120" s="231">
        <f t="shared" si="197"/>
        <v>0</v>
      </c>
      <c r="AJ120" s="231">
        <f t="shared" si="197"/>
        <v>0</v>
      </c>
      <c r="AK120" s="231">
        <f t="shared" si="197"/>
        <v>0</v>
      </c>
      <c r="AL120" s="231">
        <f t="shared" si="197"/>
        <v>0</v>
      </c>
      <c r="AM120" s="231">
        <f t="shared" si="197"/>
        <v>0</v>
      </c>
      <c r="AN120" s="231">
        <f t="shared" si="198"/>
        <v>0</v>
      </c>
      <c r="AO120" s="231">
        <f t="shared" si="198"/>
        <v>0</v>
      </c>
      <c r="AP120" s="231">
        <f t="shared" si="198"/>
        <v>0</v>
      </c>
      <c r="AQ120" s="231">
        <f t="shared" si="198"/>
        <v>0</v>
      </c>
      <c r="AR120" s="231">
        <f t="shared" si="198"/>
        <v>0</v>
      </c>
      <c r="AS120" s="231">
        <f t="shared" si="198"/>
        <v>0</v>
      </c>
      <c r="AT120" s="231">
        <f t="shared" si="198"/>
        <v>0</v>
      </c>
      <c r="AU120" s="231">
        <f t="shared" si="198"/>
        <v>0</v>
      </c>
      <c r="AV120" s="231">
        <f t="shared" si="198"/>
        <v>0</v>
      </c>
      <c r="AW120" s="231">
        <f t="shared" si="198"/>
        <v>0</v>
      </c>
      <c r="AX120" s="231">
        <f t="shared" si="199"/>
        <v>0</v>
      </c>
      <c r="AY120" s="231">
        <f t="shared" si="199"/>
        <v>0</v>
      </c>
      <c r="AZ120" s="231">
        <f t="shared" si="199"/>
        <v>0</v>
      </c>
      <c r="BA120" s="231">
        <f t="shared" si="199"/>
        <v>0</v>
      </c>
      <c r="BB120" s="231">
        <f t="shared" si="199"/>
        <v>0</v>
      </c>
      <c r="BC120" s="231">
        <f t="shared" si="199"/>
        <v>0</v>
      </c>
      <c r="BD120" s="231">
        <f t="shared" si="199"/>
        <v>0</v>
      </c>
      <c r="BE120" s="231">
        <f t="shared" si="199"/>
        <v>0</v>
      </c>
      <c r="BF120" s="231">
        <f t="shared" si="199"/>
        <v>0</v>
      </c>
      <c r="BG120" s="231">
        <f t="shared" si="199"/>
        <v>0</v>
      </c>
      <c r="BI120" s="106" t="s">
        <v>153</v>
      </c>
      <c r="BK120" s="103"/>
    </row>
    <row r="121" spans="2:63">
      <c r="F121" s="49" t="str">
        <f t="shared" si="200"/>
        <v>Storage</v>
      </c>
      <c r="H121" s="99" t="str">
        <f>GA!E81</f>
        <v>Storage</v>
      </c>
      <c r="T121" s="231">
        <f t="shared" si="196"/>
        <v>0</v>
      </c>
      <c r="U121" s="231">
        <f t="shared" si="196"/>
        <v>0</v>
      </c>
      <c r="V121" s="231">
        <f t="shared" si="196"/>
        <v>0</v>
      </c>
      <c r="W121" s="231">
        <f t="shared" si="196"/>
        <v>0</v>
      </c>
      <c r="X121" s="231">
        <f t="shared" si="196"/>
        <v>0</v>
      </c>
      <c r="Y121" s="231">
        <f t="shared" si="196"/>
        <v>0</v>
      </c>
      <c r="Z121" s="231">
        <f t="shared" si="196"/>
        <v>0</v>
      </c>
      <c r="AA121" s="231">
        <f t="shared" si="196"/>
        <v>0</v>
      </c>
      <c r="AB121" s="231">
        <f t="shared" si="196"/>
        <v>0</v>
      </c>
      <c r="AC121" s="231">
        <f t="shared" si="196"/>
        <v>0</v>
      </c>
      <c r="AD121" s="231">
        <f t="shared" si="197"/>
        <v>0</v>
      </c>
      <c r="AE121" s="231">
        <f t="shared" si="197"/>
        <v>0</v>
      </c>
      <c r="AF121" s="231">
        <f t="shared" si="197"/>
        <v>0</v>
      </c>
      <c r="AG121" s="231">
        <f t="shared" si="197"/>
        <v>0</v>
      </c>
      <c r="AH121" s="231">
        <f t="shared" si="197"/>
        <v>0</v>
      </c>
      <c r="AI121" s="231">
        <f t="shared" si="197"/>
        <v>0</v>
      </c>
      <c r="AJ121" s="231">
        <f t="shared" si="197"/>
        <v>0</v>
      </c>
      <c r="AK121" s="231">
        <f t="shared" si="197"/>
        <v>0</v>
      </c>
      <c r="AL121" s="231">
        <f t="shared" si="197"/>
        <v>0</v>
      </c>
      <c r="AM121" s="231">
        <f t="shared" si="197"/>
        <v>0</v>
      </c>
      <c r="AN121" s="231">
        <f t="shared" si="198"/>
        <v>0</v>
      </c>
      <c r="AO121" s="231">
        <f t="shared" si="198"/>
        <v>0</v>
      </c>
      <c r="AP121" s="231">
        <f t="shared" si="198"/>
        <v>0</v>
      </c>
      <c r="AQ121" s="231">
        <f t="shared" si="198"/>
        <v>0</v>
      </c>
      <c r="AR121" s="231">
        <f t="shared" si="198"/>
        <v>0</v>
      </c>
      <c r="AS121" s="231">
        <f t="shared" si="198"/>
        <v>0</v>
      </c>
      <c r="AT121" s="231">
        <f t="shared" si="198"/>
        <v>0</v>
      </c>
      <c r="AU121" s="231">
        <f t="shared" si="198"/>
        <v>0</v>
      </c>
      <c r="AV121" s="231">
        <f t="shared" si="198"/>
        <v>0</v>
      </c>
      <c r="AW121" s="231">
        <f t="shared" si="198"/>
        <v>0</v>
      </c>
      <c r="AX121" s="231">
        <f t="shared" si="199"/>
        <v>0</v>
      </c>
      <c r="AY121" s="231">
        <f t="shared" si="199"/>
        <v>0</v>
      </c>
      <c r="AZ121" s="231">
        <f t="shared" si="199"/>
        <v>0</v>
      </c>
      <c r="BA121" s="231">
        <f t="shared" si="199"/>
        <v>0</v>
      </c>
      <c r="BB121" s="231">
        <f t="shared" si="199"/>
        <v>0</v>
      </c>
      <c r="BC121" s="231">
        <f t="shared" si="199"/>
        <v>0</v>
      </c>
      <c r="BD121" s="231">
        <f t="shared" si="199"/>
        <v>0</v>
      </c>
      <c r="BE121" s="231">
        <f t="shared" si="199"/>
        <v>0</v>
      </c>
      <c r="BF121" s="231">
        <f t="shared" si="199"/>
        <v>0</v>
      </c>
      <c r="BG121" s="231">
        <f t="shared" si="199"/>
        <v>0</v>
      </c>
      <c r="BI121" s="106" t="s">
        <v>153</v>
      </c>
      <c r="BK121" s="103"/>
    </row>
    <row r="122" spans="2:63">
      <c r="F122" s="49" t="str">
        <f t="shared" si="200"/>
        <v>Parking</v>
      </c>
      <c r="H122" s="99" t="str">
        <f>GA!E82</f>
        <v>Parking</v>
      </c>
      <c r="T122" s="231">
        <f t="shared" si="196"/>
        <v>0</v>
      </c>
      <c r="U122" s="231">
        <f t="shared" si="196"/>
        <v>0</v>
      </c>
      <c r="V122" s="231">
        <f t="shared" si="196"/>
        <v>0</v>
      </c>
      <c r="W122" s="231">
        <f t="shared" si="196"/>
        <v>0</v>
      </c>
      <c r="X122" s="231">
        <f t="shared" si="196"/>
        <v>0</v>
      </c>
      <c r="Y122" s="231">
        <f t="shared" si="196"/>
        <v>0</v>
      </c>
      <c r="Z122" s="231">
        <f t="shared" si="196"/>
        <v>0</v>
      </c>
      <c r="AA122" s="231">
        <f t="shared" si="196"/>
        <v>0</v>
      </c>
      <c r="AB122" s="231">
        <f t="shared" si="196"/>
        <v>0</v>
      </c>
      <c r="AC122" s="231">
        <f t="shared" si="196"/>
        <v>0</v>
      </c>
      <c r="AD122" s="231">
        <f t="shared" si="197"/>
        <v>0</v>
      </c>
      <c r="AE122" s="231">
        <f t="shared" si="197"/>
        <v>0</v>
      </c>
      <c r="AF122" s="231">
        <f t="shared" si="197"/>
        <v>0</v>
      </c>
      <c r="AG122" s="231">
        <f t="shared" si="197"/>
        <v>0</v>
      </c>
      <c r="AH122" s="231">
        <f t="shared" si="197"/>
        <v>0</v>
      </c>
      <c r="AI122" s="231">
        <f t="shared" si="197"/>
        <v>0</v>
      </c>
      <c r="AJ122" s="231">
        <f t="shared" si="197"/>
        <v>0</v>
      </c>
      <c r="AK122" s="231">
        <f t="shared" si="197"/>
        <v>0</v>
      </c>
      <c r="AL122" s="231">
        <f t="shared" si="197"/>
        <v>0</v>
      </c>
      <c r="AM122" s="231">
        <f t="shared" si="197"/>
        <v>0</v>
      </c>
      <c r="AN122" s="231">
        <f t="shared" si="198"/>
        <v>0</v>
      </c>
      <c r="AO122" s="231">
        <f t="shared" si="198"/>
        <v>0</v>
      </c>
      <c r="AP122" s="231">
        <f t="shared" si="198"/>
        <v>0</v>
      </c>
      <c r="AQ122" s="231">
        <f t="shared" si="198"/>
        <v>0</v>
      </c>
      <c r="AR122" s="231">
        <f t="shared" si="198"/>
        <v>0</v>
      </c>
      <c r="AS122" s="231">
        <f t="shared" si="198"/>
        <v>0</v>
      </c>
      <c r="AT122" s="231">
        <f t="shared" si="198"/>
        <v>0</v>
      </c>
      <c r="AU122" s="231">
        <f t="shared" si="198"/>
        <v>0</v>
      </c>
      <c r="AV122" s="231">
        <f t="shared" si="198"/>
        <v>0</v>
      </c>
      <c r="AW122" s="231">
        <f t="shared" si="198"/>
        <v>0</v>
      </c>
      <c r="AX122" s="231">
        <f t="shared" si="199"/>
        <v>0</v>
      </c>
      <c r="AY122" s="231">
        <f t="shared" si="199"/>
        <v>0</v>
      </c>
      <c r="AZ122" s="231">
        <f t="shared" si="199"/>
        <v>0</v>
      </c>
      <c r="BA122" s="231">
        <f t="shared" si="199"/>
        <v>0</v>
      </c>
      <c r="BB122" s="231">
        <f t="shared" si="199"/>
        <v>0</v>
      </c>
      <c r="BC122" s="231">
        <f t="shared" si="199"/>
        <v>0</v>
      </c>
      <c r="BD122" s="231">
        <f t="shared" si="199"/>
        <v>0</v>
      </c>
      <c r="BE122" s="231">
        <f t="shared" si="199"/>
        <v>0</v>
      </c>
      <c r="BF122" s="231">
        <f t="shared" si="199"/>
        <v>0</v>
      </c>
      <c r="BG122" s="231">
        <f t="shared" si="199"/>
        <v>0</v>
      </c>
      <c r="BI122" s="106" t="s">
        <v>153</v>
      </c>
      <c r="BK122" s="103"/>
    </row>
    <row r="123" spans="2:63">
      <c r="F123" s="49" t="str">
        <f t="shared" si="200"/>
        <v>Residential</v>
      </c>
      <c r="H123" s="99" t="str">
        <f>GA!E83</f>
        <v>Residential</v>
      </c>
      <c r="T123" s="231">
        <f t="shared" si="196"/>
        <v>0</v>
      </c>
      <c r="U123" s="231">
        <f t="shared" si="196"/>
        <v>0</v>
      </c>
      <c r="V123" s="231">
        <f t="shared" si="196"/>
        <v>0</v>
      </c>
      <c r="W123" s="231">
        <f t="shared" si="196"/>
        <v>0</v>
      </c>
      <c r="X123" s="231">
        <f t="shared" si="196"/>
        <v>0</v>
      </c>
      <c r="Y123" s="231">
        <f t="shared" si="196"/>
        <v>0</v>
      </c>
      <c r="Z123" s="231">
        <f t="shared" si="196"/>
        <v>0</v>
      </c>
      <c r="AA123" s="231">
        <f t="shared" si="196"/>
        <v>0</v>
      </c>
      <c r="AB123" s="231">
        <f t="shared" si="196"/>
        <v>0</v>
      </c>
      <c r="AC123" s="231">
        <f t="shared" si="196"/>
        <v>0</v>
      </c>
      <c r="AD123" s="231">
        <f t="shared" si="197"/>
        <v>0</v>
      </c>
      <c r="AE123" s="231">
        <f t="shared" si="197"/>
        <v>0</v>
      </c>
      <c r="AF123" s="231">
        <f t="shared" si="197"/>
        <v>0</v>
      </c>
      <c r="AG123" s="231">
        <f t="shared" si="197"/>
        <v>0</v>
      </c>
      <c r="AH123" s="231">
        <f t="shared" si="197"/>
        <v>0</v>
      </c>
      <c r="AI123" s="231">
        <f t="shared" si="197"/>
        <v>0</v>
      </c>
      <c r="AJ123" s="231">
        <f t="shared" si="197"/>
        <v>0</v>
      </c>
      <c r="AK123" s="231">
        <f t="shared" si="197"/>
        <v>0</v>
      </c>
      <c r="AL123" s="231">
        <f t="shared" si="197"/>
        <v>0</v>
      </c>
      <c r="AM123" s="231">
        <f t="shared" si="197"/>
        <v>0</v>
      </c>
      <c r="AN123" s="231">
        <f t="shared" si="198"/>
        <v>0</v>
      </c>
      <c r="AO123" s="231">
        <f t="shared" si="198"/>
        <v>0</v>
      </c>
      <c r="AP123" s="231">
        <f t="shared" si="198"/>
        <v>0</v>
      </c>
      <c r="AQ123" s="231">
        <f t="shared" si="198"/>
        <v>0</v>
      </c>
      <c r="AR123" s="231">
        <f t="shared" si="198"/>
        <v>0</v>
      </c>
      <c r="AS123" s="231">
        <f t="shared" si="198"/>
        <v>0</v>
      </c>
      <c r="AT123" s="231">
        <f t="shared" si="198"/>
        <v>0</v>
      </c>
      <c r="AU123" s="231">
        <f t="shared" si="198"/>
        <v>0</v>
      </c>
      <c r="AV123" s="231">
        <f t="shared" si="198"/>
        <v>0</v>
      </c>
      <c r="AW123" s="231">
        <f t="shared" si="198"/>
        <v>0</v>
      </c>
      <c r="AX123" s="231">
        <f t="shared" si="199"/>
        <v>0</v>
      </c>
      <c r="AY123" s="231">
        <f t="shared" si="199"/>
        <v>0</v>
      </c>
      <c r="AZ123" s="231">
        <f t="shared" si="199"/>
        <v>0</v>
      </c>
      <c r="BA123" s="231">
        <f t="shared" si="199"/>
        <v>0</v>
      </c>
      <c r="BB123" s="231">
        <f t="shared" si="199"/>
        <v>0</v>
      </c>
      <c r="BC123" s="231">
        <f t="shared" si="199"/>
        <v>0</v>
      </c>
      <c r="BD123" s="231">
        <f t="shared" si="199"/>
        <v>0</v>
      </c>
      <c r="BE123" s="231">
        <f t="shared" si="199"/>
        <v>0</v>
      </c>
      <c r="BF123" s="231">
        <f t="shared" si="199"/>
        <v>0</v>
      </c>
      <c r="BG123" s="231">
        <f t="shared" si="199"/>
        <v>0</v>
      </c>
      <c r="BI123" s="106" t="s">
        <v>153</v>
      </c>
      <c r="BK123" s="103"/>
    </row>
    <row r="124" spans="2:63">
      <c r="F124" s="49" t="str">
        <f t="shared" si="200"/>
        <v>Office</v>
      </c>
      <c r="H124" s="99" t="str">
        <f>GA!E84</f>
        <v>Office</v>
      </c>
      <c r="T124" s="231">
        <f t="shared" si="196"/>
        <v>0</v>
      </c>
      <c r="U124" s="231">
        <f t="shared" si="196"/>
        <v>0</v>
      </c>
      <c r="V124" s="231">
        <f t="shared" si="196"/>
        <v>0</v>
      </c>
      <c r="W124" s="231">
        <f t="shared" si="196"/>
        <v>0</v>
      </c>
      <c r="X124" s="231">
        <f t="shared" si="196"/>
        <v>0</v>
      </c>
      <c r="Y124" s="231">
        <f t="shared" si="196"/>
        <v>0</v>
      </c>
      <c r="Z124" s="231">
        <f t="shared" si="196"/>
        <v>0</v>
      </c>
      <c r="AA124" s="231">
        <f t="shared" si="196"/>
        <v>0</v>
      </c>
      <c r="AB124" s="231">
        <f t="shared" si="196"/>
        <v>0</v>
      </c>
      <c r="AC124" s="231">
        <f t="shared" si="196"/>
        <v>0</v>
      </c>
      <c r="AD124" s="231">
        <f t="shared" si="197"/>
        <v>0</v>
      </c>
      <c r="AE124" s="231">
        <f t="shared" si="197"/>
        <v>0</v>
      </c>
      <c r="AF124" s="231">
        <f t="shared" si="197"/>
        <v>0</v>
      </c>
      <c r="AG124" s="231">
        <f t="shared" si="197"/>
        <v>0</v>
      </c>
      <c r="AH124" s="231">
        <f t="shared" si="197"/>
        <v>0</v>
      </c>
      <c r="AI124" s="231">
        <f t="shared" si="197"/>
        <v>0</v>
      </c>
      <c r="AJ124" s="231">
        <f t="shared" si="197"/>
        <v>0</v>
      </c>
      <c r="AK124" s="231">
        <f t="shared" si="197"/>
        <v>0</v>
      </c>
      <c r="AL124" s="231">
        <f t="shared" si="197"/>
        <v>0</v>
      </c>
      <c r="AM124" s="231">
        <f t="shared" si="197"/>
        <v>0</v>
      </c>
      <c r="AN124" s="231">
        <f t="shared" si="198"/>
        <v>0</v>
      </c>
      <c r="AO124" s="231">
        <f t="shared" si="198"/>
        <v>0</v>
      </c>
      <c r="AP124" s="231">
        <f t="shared" si="198"/>
        <v>0</v>
      </c>
      <c r="AQ124" s="231">
        <f t="shared" si="198"/>
        <v>0</v>
      </c>
      <c r="AR124" s="231">
        <f t="shared" si="198"/>
        <v>0</v>
      </c>
      <c r="AS124" s="231">
        <f t="shared" si="198"/>
        <v>0</v>
      </c>
      <c r="AT124" s="231">
        <f t="shared" si="198"/>
        <v>0</v>
      </c>
      <c r="AU124" s="231">
        <f t="shared" si="198"/>
        <v>0</v>
      </c>
      <c r="AV124" s="231">
        <f t="shared" si="198"/>
        <v>0</v>
      </c>
      <c r="AW124" s="231">
        <f t="shared" si="198"/>
        <v>0</v>
      </c>
      <c r="AX124" s="231">
        <f t="shared" si="199"/>
        <v>0</v>
      </c>
      <c r="AY124" s="231">
        <f t="shared" si="199"/>
        <v>0</v>
      </c>
      <c r="AZ124" s="231">
        <f t="shared" si="199"/>
        <v>0</v>
      </c>
      <c r="BA124" s="231">
        <f t="shared" si="199"/>
        <v>0</v>
      </c>
      <c r="BB124" s="231">
        <f t="shared" si="199"/>
        <v>0</v>
      </c>
      <c r="BC124" s="231">
        <f t="shared" si="199"/>
        <v>0</v>
      </c>
      <c r="BD124" s="231">
        <f t="shared" si="199"/>
        <v>0</v>
      </c>
      <c r="BE124" s="231">
        <f t="shared" si="199"/>
        <v>0</v>
      </c>
      <c r="BF124" s="231">
        <f t="shared" si="199"/>
        <v>0</v>
      </c>
      <c r="BG124" s="231">
        <f t="shared" si="199"/>
        <v>0</v>
      </c>
      <c r="BI124" s="106" t="s">
        <v>153</v>
      </c>
      <c r="BK124" s="103"/>
    </row>
    <row r="125" spans="2:63">
      <c r="F125" s="49" t="str">
        <f t="shared" si="200"/>
        <v>Other</v>
      </c>
      <c r="H125" s="99" t="str">
        <f>GA!E85</f>
        <v>Other</v>
      </c>
      <c r="T125" s="231">
        <f t="shared" si="196"/>
        <v>0</v>
      </c>
      <c r="U125" s="231">
        <f t="shared" si="196"/>
        <v>0</v>
      </c>
      <c r="V125" s="231">
        <f t="shared" si="196"/>
        <v>0</v>
      </c>
      <c r="W125" s="231">
        <f t="shared" si="196"/>
        <v>0</v>
      </c>
      <c r="X125" s="231">
        <f t="shared" si="196"/>
        <v>0</v>
      </c>
      <c r="Y125" s="231">
        <f t="shared" si="196"/>
        <v>0</v>
      </c>
      <c r="Z125" s="231">
        <f t="shared" si="196"/>
        <v>0</v>
      </c>
      <c r="AA125" s="231">
        <f t="shared" si="196"/>
        <v>0</v>
      </c>
      <c r="AB125" s="231">
        <f t="shared" si="196"/>
        <v>0</v>
      </c>
      <c r="AC125" s="231">
        <f t="shared" si="196"/>
        <v>0</v>
      </c>
      <c r="AD125" s="231">
        <f t="shared" si="197"/>
        <v>0</v>
      </c>
      <c r="AE125" s="231">
        <f t="shared" si="197"/>
        <v>0</v>
      </c>
      <c r="AF125" s="231">
        <f t="shared" si="197"/>
        <v>0</v>
      </c>
      <c r="AG125" s="231">
        <f t="shared" si="197"/>
        <v>0</v>
      </c>
      <c r="AH125" s="231">
        <f t="shared" si="197"/>
        <v>0</v>
      </c>
      <c r="AI125" s="231">
        <f t="shared" si="197"/>
        <v>0</v>
      </c>
      <c r="AJ125" s="231">
        <f t="shared" si="197"/>
        <v>0</v>
      </c>
      <c r="AK125" s="231">
        <f t="shared" si="197"/>
        <v>0</v>
      </c>
      <c r="AL125" s="231">
        <f t="shared" si="197"/>
        <v>0</v>
      </c>
      <c r="AM125" s="231">
        <f t="shared" si="197"/>
        <v>0</v>
      </c>
      <c r="AN125" s="231">
        <f t="shared" si="198"/>
        <v>0</v>
      </c>
      <c r="AO125" s="231">
        <f t="shared" si="198"/>
        <v>0</v>
      </c>
      <c r="AP125" s="231">
        <f t="shared" si="198"/>
        <v>0</v>
      </c>
      <c r="AQ125" s="231">
        <f t="shared" si="198"/>
        <v>0</v>
      </c>
      <c r="AR125" s="231">
        <f t="shared" si="198"/>
        <v>0</v>
      </c>
      <c r="AS125" s="231">
        <f t="shared" si="198"/>
        <v>0</v>
      </c>
      <c r="AT125" s="231">
        <f t="shared" si="198"/>
        <v>0</v>
      </c>
      <c r="AU125" s="231">
        <f t="shared" si="198"/>
        <v>0</v>
      </c>
      <c r="AV125" s="231">
        <f t="shared" si="198"/>
        <v>0</v>
      </c>
      <c r="AW125" s="231">
        <f t="shared" si="198"/>
        <v>0</v>
      </c>
      <c r="AX125" s="231">
        <f t="shared" si="199"/>
        <v>0</v>
      </c>
      <c r="AY125" s="231">
        <f t="shared" si="199"/>
        <v>0</v>
      </c>
      <c r="AZ125" s="231">
        <f t="shared" si="199"/>
        <v>0</v>
      </c>
      <c r="BA125" s="231">
        <f t="shared" si="199"/>
        <v>0</v>
      </c>
      <c r="BB125" s="231">
        <f t="shared" si="199"/>
        <v>0</v>
      </c>
      <c r="BC125" s="231">
        <f t="shared" si="199"/>
        <v>0</v>
      </c>
      <c r="BD125" s="231">
        <f t="shared" si="199"/>
        <v>0</v>
      </c>
      <c r="BE125" s="231">
        <f t="shared" si="199"/>
        <v>0</v>
      </c>
      <c r="BF125" s="231">
        <f t="shared" si="199"/>
        <v>0</v>
      </c>
      <c r="BG125" s="231">
        <f t="shared" si="199"/>
        <v>0</v>
      </c>
      <c r="BI125" s="107" t="s">
        <v>153</v>
      </c>
      <c r="BK125" s="108"/>
    </row>
    <row r="126" spans="2:63">
      <c r="F126" s="253" t="s">
        <v>328</v>
      </c>
      <c r="G126" s="253"/>
      <c r="H126" s="253"/>
      <c r="I126" s="253"/>
      <c r="J126" s="253"/>
      <c r="K126" s="253"/>
      <c r="L126" s="253"/>
      <c r="M126" s="253"/>
      <c r="N126" s="253"/>
      <c r="O126" s="253"/>
      <c r="P126" s="253"/>
      <c r="Q126" s="253"/>
      <c r="R126" s="253"/>
      <c r="S126" s="253"/>
      <c r="T126" s="254">
        <f>SUM(T116:T125)</f>
        <v>1000</v>
      </c>
      <c r="U126" s="254">
        <f t="shared" ref="U126:BG126" si="201">SUM(U116:U125)</f>
        <v>2000</v>
      </c>
      <c r="V126" s="254">
        <f t="shared" si="201"/>
        <v>3000</v>
      </c>
      <c r="W126" s="254">
        <f t="shared" si="201"/>
        <v>3000</v>
      </c>
      <c r="X126" s="254">
        <f t="shared" si="201"/>
        <v>3000</v>
      </c>
      <c r="Y126" s="254">
        <f t="shared" si="201"/>
        <v>3000</v>
      </c>
      <c r="Z126" s="254">
        <f t="shared" si="201"/>
        <v>3000</v>
      </c>
      <c r="AA126" s="254">
        <f t="shared" si="201"/>
        <v>3000</v>
      </c>
      <c r="AB126" s="254">
        <f t="shared" si="201"/>
        <v>3000</v>
      </c>
      <c r="AC126" s="254">
        <f t="shared" si="201"/>
        <v>3000</v>
      </c>
      <c r="AD126" s="254">
        <f t="shared" si="201"/>
        <v>3000</v>
      </c>
      <c r="AE126" s="254">
        <f t="shared" si="201"/>
        <v>3000</v>
      </c>
      <c r="AF126" s="254">
        <f t="shared" si="201"/>
        <v>0</v>
      </c>
      <c r="AG126" s="254">
        <f t="shared" si="201"/>
        <v>0</v>
      </c>
      <c r="AH126" s="254">
        <f t="shared" si="201"/>
        <v>0</v>
      </c>
      <c r="AI126" s="254">
        <f t="shared" si="201"/>
        <v>0</v>
      </c>
      <c r="AJ126" s="254">
        <f t="shared" si="201"/>
        <v>0</v>
      </c>
      <c r="AK126" s="254">
        <f t="shared" si="201"/>
        <v>0</v>
      </c>
      <c r="AL126" s="254">
        <f t="shared" si="201"/>
        <v>0</v>
      </c>
      <c r="AM126" s="254">
        <f t="shared" si="201"/>
        <v>0</v>
      </c>
      <c r="AN126" s="254">
        <f t="shared" si="201"/>
        <v>0</v>
      </c>
      <c r="AO126" s="254">
        <f t="shared" si="201"/>
        <v>0</v>
      </c>
      <c r="AP126" s="254">
        <f t="shared" si="201"/>
        <v>0</v>
      </c>
      <c r="AQ126" s="254">
        <f t="shared" si="201"/>
        <v>0</v>
      </c>
      <c r="AR126" s="254">
        <f t="shared" si="201"/>
        <v>0</v>
      </c>
      <c r="AS126" s="254">
        <f t="shared" si="201"/>
        <v>0</v>
      </c>
      <c r="AT126" s="254">
        <f t="shared" si="201"/>
        <v>0</v>
      </c>
      <c r="AU126" s="254">
        <f t="shared" si="201"/>
        <v>0</v>
      </c>
      <c r="AV126" s="254">
        <f t="shared" si="201"/>
        <v>0</v>
      </c>
      <c r="AW126" s="254">
        <f t="shared" si="201"/>
        <v>0</v>
      </c>
      <c r="AX126" s="254">
        <f t="shared" si="201"/>
        <v>0</v>
      </c>
      <c r="AY126" s="254">
        <f t="shared" si="201"/>
        <v>0</v>
      </c>
      <c r="AZ126" s="254">
        <f t="shared" si="201"/>
        <v>0</v>
      </c>
      <c r="BA126" s="254">
        <f t="shared" si="201"/>
        <v>0</v>
      </c>
      <c r="BB126" s="254">
        <f t="shared" si="201"/>
        <v>0</v>
      </c>
      <c r="BC126" s="254">
        <f t="shared" si="201"/>
        <v>0</v>
      </c>
      <c r="BD126" s="254">
        <f t="shared" si="201"/>
        <v>0</v>
      </c>
      <c r="BE126" s="254">
        <f t="shared" si="201"/>
        <v>0</v>
      </c>
      <c r="BF126" s="254">
        <f t="shared" si="201"/>
        <v>0</v>
      </c>
      <c r="BG126" s="254">
        <f t="shared" si="201"/>
        <v>0</v>
      </c>
      <c r="BI126" s="107" t="s">
        <v>153</v>
      </c>
      <c r="BK126" s="256"/>
    </row>
    <row r="127" spans="2:63">
      <c r="F127" s="255" t="s">
        <v>329</v>
      </c>
      <c r="J127" s="257" t="b">
        <f>COUNTIFS($T$127:$BG$127,"true")=COUNTA(T127:BG127)</f>
        <v>1</v>
      </c>
      <c r="K127" s="258"/>
      <c r="L127" s="258"/>
      <c r="M127" s="258"/>
      <c r="N127" s="258"/>
      <c r="O127" s="258"/>
      <c r="P127" s="258"/>
      <c r="Q127" s="258"/>
      <c r="R127" s="258"/>
      <c r="S127" s="258"/>
      <c r="T127" s="257" t="b">
        <f t="shared" ref="T127:BG127" si="202">ROUND(SUM(T83:T85),1)=ROUND(T126,1)</f>
        <v>1</v>
      </c>
      <c r="U127" s="257" t="b">
        <f t="shared" si="202"/>
        <v>1</v>
      </c>
      <c r="V127" s="257" t="b">
        <f t="shared" si="202"/>
        <v>1</v>
      </c>
      <c r="W127" s="257" t="b">
        <f t="shared" si="202"/>
        <v>1</v>
      </c>
      <c r="X127" s="257" t="b">
        <f t="shared" si="202"/>
        <v>1</v>
      </c>
      <c r="Y127" s="257" t="b">
        <f t="shared" si="202"/>
        <v>1</v>
      </c>
      <c r="Z127" s="257" t="b">
        <f t="shared" si="202"/>
        <v>1</v>
      </c>
      <c r="AA127" s="257" t="b">
        <f t="shared" si="202"/>
        <v>1</v>
      </c>
      <c r="AB127" s="257" t="b">
        <f t="shared" si="202"/>
        <v>1</v>
      </c>
      <c r="AC127" s="257" t="b">
        <f t="shared" si="202"/>
        <v>1</v>
      </c>
      <c r="AD127" s="257" t="b">
        <f t="shared" si="202"/>
        <v>1</v>
      </c>
      <c r="AE127" s="257" t="b">
        <f t="shared" si="202"/>
        <v>1</v>
      </c>
      <c r="AF127" s="257" t="b">
        <f t="shared" si="202"/>
        <v>1</v>
      </c>
      <c r="AG127" s="257" t="b">
        <f t="shared" si="202"/>
        <v>1</v>
      </c>
      <c r="AH127" s="257" t="b">
        <f t="shared" si="202"/>
        <v>1</v>
      </c>
      <c r="AI127" s="257" t="b">
        <f t="shared" si="202"/>
        <v>1</v>
      </c>
      <c r="AJ127" s="257" t="b">
        <f t="shared" si="202"/>
        <v>1</v>
      </c>
      <c r="AK127" s="257" t="b">
        <f t="shared" si="202"/>
        <v>1</v>
      </c>
      <c r="AL127" s="257" t="b">
        <f t="shared" si="202"/>
        <v>1</v>
      </c>
      <c r="AM127" s="257" t="b">
        <f t="shared" si="202"/>
        <v>1</v>
      </c>
      <c r="AN127" s="257" t="b">
        <f t="shared" si="202"/>
        <v>1</v>
      </c>
      <c r="AO127" s="257" t="b">
        <f t="shared" si="202"/>
        <v>1</v>
      </c>
      <c r="AP127" s="257" t="b">
        <f t="shared" si="202"/>
        <v>1</v>
      </c>
      <c r="AQ127" s="257" t="b">
        <f t="shared" si="202"/>
        <v>1</v>
      </c>
      <c r="AR127" s="257" t="b">
        <f t="shared" si="202"/>
        <v>1</v>
      </c>
      <c r="AS127" s="257" t="b">
        <f t="shared" si="202"/>
        <v>1</v>
      </c>
      <c r="AT127" s="257" t="b">
        <f t="shared" si="202"/>
        <v>1</v>
      </c>
      <c r="AU127" s="257" t="b">
        <f t="shared" si="202"/>
        <v>1</v>
      </c>
      <c r="AV127" s="257" t="b">
        <f t="shared" si="202"/>
        <v>1</v>
      </c>
      <c r="AW127" s="257" t="b">
        <f t="shared" si="202"/>
        <v>1</v>
      </c>
      <c r="AX127" s="257" t="b">
        <f t="shared" si="202"/>
        <v>1</v>
      </c>
      <c r="AY127" s="257" t="b">
        <f t="shared" si="202"/>
        <v>1</v>
      </c>
      <c r="AZ127" s="257" t="b">
        <f t="shared" si="202"/>
        <v>1</v>
      </c>
      <c r="BA127" s="257" t="b">
        <f t="shared" si="202"/>
        <v>1</v>
      </c>
      <c r="BB127" s="257" t="b">
        <f t="shared" si="202"/>
        <v>1</v>
      </c>
      <c r="BC127" s="257" t="b">
        <f t="shared" si="202"/>
        <v>1</v>
      </c>
      <c r="BD127" s="257" t="b">
        <f t="shared" si="202"/>
        <v>1</v>
      </c>
      <c r="BE127" s="257" t="b">
        <f t="shared" si="202"/>
        <v>1</v>
      </c>
      <c r="BF127" s="257" t="b">
        <f t="shared" si="202"/>
        <v>1</v>
      </c>
      <c r="BG127" s="257" t="b">
        <f t="shared" si="202"/>
        <v>1</v>
      </c>
    </row>
    <row r="130" spans="2:63" s="90" customFormat="1">
      <c r="B130" s="91">
        <f ca="1">MAX(A$1:$B129)+1</f>
        <v>14</v>
      </c>
      <c r="C130" s="92" t="s">
        <v>330</v>
      </c>
    </row>
    <row r="131" spans="2:63">
      <c r="BI131" s="104" t="s">
        <v>152</v>
      </c>
      <c r="BJ131" s="95"/>
      <c r="BK131" s="102"/>
    </row>
    <row r="132" spans="2:63">
      <c r="F132" s="49" t="str">
        <f>H132</f>
        <v>FMCG-F</v>
      </c>
      <c r="H132" s="98" t="str">
        <f>GA!E76</f>
        <v>FMCG-F</v>
      </c>
      <c r="T132" s="231">
        <f t="shared" ref="T132:AC141" si="203">SUMIFS($M$83:$M$85,T$20:T$22,1,$N$83:$N$85,$H132)+SUMIFS(T$74:T$76,$O$74:$O$76,$H132,T$20:T$22,1)</f>
        <v>1000</v>
      </c>
      <c r="U132" s="231">
        <f t="shared" si="203"/>
        <v>2000</v>
      </c>
      <c r="V132" s="231">
        <f t="shared" si="203"/>
        <v>3000</v>
      </c>
      <c r="W132" s="231">
        <f t="shared" si="203"/>
        <v>3000</v>
      </c>
      <c r="X132" s="231">
        <f t="shared" si="203"/>
        <v>3000</v>
      </c>
      <c r="Y132" s="231">
        <f t="shared" si="203"/>
        <v>3000</v>
      </c>
      <c r="Z132" s="231">
        <f t="shared" si="203"/>
        <v>3000</v>
      </c>
      <c r="AA132" s="231">
        <f t="shared" si="203"/>
        <v>3000</v>
      </c>
      <c r="AB132" s="231">
        <f t="shared" si="203"/>
        <v>3000</v>
      </c>
      <c r="AC132" s="231">
        <f t="shared" si="203"/>
        <v>3000</v>
      </c>
      <c r="AD132" s="231">
        <f t="shared" ref="AD132:AM141" si="204">SUMIFS($M$83:$M$85,AD$20:AD$22,1,$N$83:$N$85,$H132)+SUMIFS(AD$74:AD$76,$O$74:$O$76,$H132,AD$20:AD$22,1)</f>
        <v>3000</v>
      </c>
      <c r="AE132" s="231">
        <f t="shared" si="204"/>
        <v>3000</v>
      </c>
      <c r="AF132" s="231">
        <f t="shared" si="204"/>
        <v>0</v>
      </c>
      <c r="AG132" s="231">
        <f t="shared" si="204"/>
        <v>0</v>
      </c>
      <c r="AH132" s="231">
        <f t="shared" si="204"/>
        <v>0</v>
      </c>
      <c r="AI132" s="231">
        <f t="shared" si="204"/>
        <v>0</v>
      </c>
      <c r="AJ132" s="231">
        <f t="shared" si="204"/>
        <v>0</v>
      </c>
      <c r="AK132" s="231">
        <f t="shared" si="204"/>
        <v>0</v>
      </c>
      <c r="AL132" s="231">
        <f t="shared" si="204"/>
        <v>0</v>
      </c>
      <c r="AM132" s="231">
        <f t="shared" si="204"/>
        <v>0</v>
      </c>
      <c r="AN132" s="231">
        <f t="shared" ref="AN132:AW141" si="205">SUMIFS($M$83:$M$85,AN$20:AN$22,1,$N$83:$N$85,$H132)+SUMIFS(AN$74:AN$76,$O$74:$O$76,$H132,AN$20:AN$22,1)</f>
        <v>0</v>
      </c>
      <c r="AO132" s="231">
        <f t="shared" si="205"/>
        <v>0</v>
      </c>
      <c r="AP132" s="231">
        <f t="shared" si="205"/>
        <v>0</v>
      </c>
      <c r="AQ132" s="231">
        <f t="shared" si="205"/>
        <v>0</v>
      </c>
      <c r="AR132" s="231">
        <f t="shared" si="205"/>
        <v>0</v>
      </c>
      <c r="AS132" s="231">
        <f t="shared" si="205"/>
        <v>0</v>
      </c>
      <c r="AT132" s="231">
        <f t="shared" si="205"/>
        <v>0</v>
      </c>
      <c r="AU132" s="231">
        <f t="shared" si="205"/>
        <v>0</v>
      </c>
      <c r="AV132" s="231">
        <f t="shared" si="205"/>
        <v>0</v>
      </c>
      <c r="AW132" s="231">
        <f t="shared" si="205"/>
        <v>0</v>
      </c>
      <c r="AX132" s="231">
        <f t="shared" ref="AX132:BG141" si="206">SUMIFS($M$83:$M$85,AX$20:AX$22,1,$N$83:$N$85,$H132)+SUMIFS(AX$74:AX$76,$O$74:$O$76,$H132,AX$20:AX$22,1)</f>
        <v>0</v>
      </c>
      <c r="AY132" s="231">
        <f t="shared" si="206"/>
        <v>0</v>
      </c>
      <c r="AZ132" s="231">
        <f t="shared" si="206"/>
        <v>0</v>
      </c>
      <c r="BA132" s="231">
        <f t="shared" si="206"/>
        <v>0</v>
      </c>
      <c r="BB132" s="231">
        <f t="shared" si="206"/>
        <v>0</v>
      </c>
      <c r="BC132" s="231">
        <f t="shared" si="206"/>
        <v>0</v>
      </c>
      <c r="BD132" s="231">
        <f t="shared" si="206"/>
        <v>0</v>
      </c>
      <c r="BE132" s="231">
        <f t="shared" si="206"/>
        <v>0</v>
      </c>
      <c r="BF132" s="231">
        <f t="shared" si="206"/>
        <v>0</v>
      </c>
      <c r="BG132" s="231">
        <f t="shared" si="206"/>
        <v>0</v>
      </c>
      <c r="BI132" s="105" t="s">
        <v>153</v>
      </c>
      <c r="BK132" s="103"/>
    </row>
    <row r="133" spans="2:63">
      <c r="F133" s="49" t="str">
        <f t="shared" ref="F133:F141" si="207">H133</f>
        <v>FMCG-N</v>
      </c>
      <c r="H133" s="99" t="str">
        <f>GA!E77</f>
        <v>FMCG-N</v>
      </c>
      <c r="T133" s="231">
        <f t="shared" si="203"/>
        <v>0</v>
      </c>
      <c r="U133" s="231">
        <f t="shared" si="203"/>
        <v>0</v>
      </c>
      <c r="V133" s="231">
        <f t="shared" si="203"/>
        <v>0</v>
      </c>
      <c r="W133" s="231">
        <f t="shared" si="203"/>
        <v>0</v>
      </c>
      <c r="X133" s="231">
        <f t="shared" si="203"/>
        <v>0</v>
      </c>
      <c r="Y133" s="231">
        <f t="shared" si="203"/>
        <v>0</v>
      </c>
      <c r="Z133" s="231">
        <f t="shared" si="203"/>
        <v>0</v>
      </c>
      <c r="AA133" s="231">
        <f t="shared" si="203"/>
        <v>0</v>
      </c>
      <c r="AB133" s="231">
        <f t="shared" si="203"/>
        <v>0</v>
      </c>
      <c r="AC133" s="231">
        <f t="shared" si="203"/>
        <v>0</v>
      </c>
      <c r="AD133" s="231">
        <f t="shared" si="204"/>
        <v>0</v>
      </c>
      <c r="AE133" s="231">
        <f t="shared" si="204"/>
        <v>0</v>
      </c>
      <c r="AF133" s="231">
        <f t="shared" si="204"/>
        <v>0</v>
      </c>
      <c r="AG133" s="231">
        <f t="shared" si="204"/>
        <v>0</v>
      </c>
      <c r="AH133" s="231">
        <f t="shared" si="204"/>
        <v>0</v>
      </c>
      <c r="AI133" s="231">
        <f t="shared" si="204"/>
        <v>0</v>
      </c>
      <c r="AJ133" s="231">
        <f t="shared" si="204"/>
        <v>0</v>
      </c>
      <c r="AK133" s="231">
        <f t="shared" si="204"/>
        <v>0</v>
      </c>
      <c r="AL133" s="231">
        <f t="shared" si="204"/>
        <v>0</v>
      </c>
      <c r="AM133" s="231">
        <f t="shared" si="204"/>
        <v>0</v>
      </c>
      <c r="AN133" s="231">
        <f t="shared" si="205"/>
        <v>0</v>
      </c>
      <c r="AO133" s="231">
        <f t="shared" si="205"/>
        <v>0</v>
      </c>
      <c r="AP133" s="231">
        <f t="shared" si="205"/>
        <v>0</v>
      </c>
      <c r="AQ133" s="231">
        <f t="shared" si="205"/>
        <v>0</v>
      </c>
      <c r="AR133" s="231">
        <f t="shared" si="205"/>
        <v>0</v>
      </c>
      <c r="AS133" s="231">
        <f t="shared" si="205"/>
        <v>0</v>
      </c>
      <c r="AT133" s="231">
        <f t="shared" si="205"/>
        <v>0</v>
      </c>
      <c r="AU133" s="231">
        <f t="shared" si="205"/>
        <v>0</v>
      </c>
      <c r="AV133" s="231">
        <f t="shared" si="205"/>
        <v>0</v>
      </c>
      <c r="AW133" s="231">
        <f t="shared" si="205"/>
        <v>0</v>
      </c>
      <c r="AX133" s="231">
        <f t="shared" si="206"/>
        <v>0</v>
      </c>
      <c r="AY133" s="231">
        <f t="shared" si="206"/>
        <v>0</v>
      </c>
      <c r="AZ133" s="231">
        <f t="shared" si="206"/>
        <v>0</v>
      </c>
      <c r="BA133" s="231">
        <f t="shared" si="206"/>
        <v>0</v>
      </c>
      <c r="BB133" s="231">
        <f t="shared" si="206"/>
        <v>0</v>
      </c>
      <c r="BC133" s="231">
        <f t="shared" si="206"/>
        <v>0</v>
      </c>
      <c r="BD133" s="231">
        <f t="shared" si="206"/>
        <v>0</v>
      </c>
      <c r="BE133" s="231">
        <f t="shared" si="206"/>
        <v>0</v>
      </c>
      <c r="BF133" s="231">
        <f t="shared" si="206"/>
        <v>0</v>
      </c>
      <c r="BG133" s="231">
        <f t="shared" si="206"/>
        <v>0</v>
      </c>
      <c r="BI133" s="106" t="s">
        <v>153</v>
      </c>
      <c r="BK133" s="103"/>
    </row>
    <row r="134" spans="2:63">
      <c r="F134" s="49" t="str">
        <f t="shared" si="207"/>
        <v>Non-food retail</v>
      </c>
      <c r="H134" s="99" t="str">
        <f>GA!E78</f>
        <v>Non-food retail</v>
      </c>
      <c r="T134" s="231">
        <f t="shared" si="203"/>
        <v>0</v>
      </c>
      <c r="U134" s="231">
        <f t="shared" si="203"/>
        <v>0</v>
      </c>
      <c r="V134" s="231">
        <f t="shared" si="203"/>
        <v>0</v>
      </c>
      <c r="W134" s="231">
        <f t="shared" si="203"/>
        <v>0</v>
      </c>
      <c r="X134" s="231">
        <f t="shared" si="203"/>
        <v>0</v>
      </c>
      <c r="Y134" s="231">
        <f t="shared" si="203"/>
        <v>0</v>
      </c>
      <c r="Z134" s="231">
        <f t="shared" si="203"/>
        <v>0</v>
      </c>
      <c r="AA134" s="231">
        <f t="shared" si="203"/>
        <v>0</v>
      </c>
      <c r="AB134" s="231">
        <f t="shared" si="203"/>
        <v>0</v>
      </c>
      <c r="AC134" s="231">
        <f t="shared" si="203"/>
        <v>0</v>
      </c>
      <c r="AD134" s="231">
        <f t="shared" si="204"/>
        <v>0</v>
      </c>
      <c r="AE134" s="231">
        <f t="shared" si="204"/>
        <v>0</v>
      </c>
      <c r="AF134" s="231">
        <f t="shared" si="204"/>
        <v>0</v>
      </c>
      <c r="AG134" s="231">
        <f t="shared" si="204"/>
        <v>0</v>
      </c>
      <c r="AH134" s="231">
        <f t="shared" si="204"/>
        <v>0</v>
      </c>
      <c r="AI134" s="231">
        <f t="shared" si="204"/>
        <v>0</v>
      </c>
      <c r="AJ134" s="231">
        <f t="shared" si="204"/>
        <v>0</v>
      </c>
      <c r="AK134" s="231">
        <f t="shared" si="204"/>
        <v>0</v>
      </c>
      <c r="AL134" s="231">
        <f t="shared" si="204"/>
        <v>0</v>
      </c>
      <c r="AM134" s="231">
        <f t="shared" si="204"/>
        <v>0</v>
      </c>
      <c r="AN134" s="231">
        <f t="shared" si="205"/>
        <v>0</v>
      </c>
      <c r="AO134" s="231">
        <f t="shared" si="205"/>
        <v>0</v>
      </c>
      <c r="AP134" s="231">
        <f t="shared" si="205"/>
        <v>0</v>
      </c>
      <c r="AQ134" s="231">
        <f t="shared" si="205"/>
        <v>0</v>
      </c>
      <c r="AR134" s="231">
        <f t="shared" si="205"/>
        <v>0</v>
      </c>
      <c r="AS134" s="231">
        <f t="shared" si="205"/>
        <v>0</v>
      </c>
      <c r="AT134" s="231">
        <f t="shared" si="205"/>
        <v>0</v>
      </c>
      <c r="AU134" s="231">
        <f t="shared" si="205"/>
        <v>0</v>
      </c>
      <c r="AV134" s="231">
        <f t="shared" si="205"/>
        <v>0</v>
      </c>
      <c r="AW134" s="231">
        <f t="shared" si="205"/>
        <v>0</v>
      </c>
      <c r="AX134" s="231">
        <f t="shared" si="206"/>
        <v>0</v>
      </c>
      <c r="AY134" s="231">
        <f t="shared" si="206"/>
        <v>0</v>
      </c>
      <c r="AZ134" s="231">
        <f t="shared" si="206"/>
        <v>0</v>
      </c>
      <c r="BA134" s="231">
        <f t="shared" si="206"/>
        <v>0</v>
      </c>
      <c r="BB134" s="231">
        <f t="shared" si="206"/>
        <v>0</v>
      </c>
      <c r="BC134" s="231">
        <f t="shared" si="206"/>
        <v>0</v>
      </c>
      <c r="BD134" s="231">
        <f t="shared" si="206"/>
        <v>0</v>
      </c>
      <c r="BE134" s="231">
        <f t="shared" si="206"/>
        <v>0</v>
      </c>
      <c r="BF134" s="231">
        <f t="shared" si="206"/>
        <v>0</v>
      </c>
      <c r="BG134" s="231">
        <f t="shared" si="206"/>
        <v>0</v>
      </c>
      <c r="BI134" s="106" t="s">
        <v>153</v>
      </c>
      <c r="BK134" s="103"/>
    </row>
    <row r="135" spans="2:63">
      <c r="F135" s="49" t="str">
        <f t="shared" si="207"/>
        <v>Gastronomy</v>
      </c>
      <c r="H135" s="99" t="str">
        <f>GA!E79</f>
        <v>Gastronomy</v>
      </c>
      <c r="T135" s="231">
        <f t="shared" si="203"/>
        <v>0</v>
      </c>
      <c r="U135" s="231">
        <f t="shared" si="203"/>
        <v>0</v>
      </c>
      <c r="V135" s="231">
        <f t="shared" si="203"/>
        <v>0</v>
      </c>
      <c r="W135" s="231">
        <f t="shared" si="203"/>
        <v>0</v>
      </c>
      <c r="X135" s="231">
        <f t="shared" si="203"/>
        <v>0</v>
      </c>
      <c r="Y135" s="231">
        <f t="shared" si="203"/>
        <v>0</v>
      </c>
      <c r="Z135" s="231">
        <f t="shared" si="203"/>
        <v>0</v>
      </c>
      <c r="AA135" s="231">
        <f t="shared" si="203"/>
        <v>0</v>
      </c>
      <c r="AB135" s="231">
        <f t="shared" si="203"/>
        <v>0</v>
      </c>
      <c r="AC135" s="231">
        <f t="shared" si="203"/>
        <v>0</v>
      </c>
      <c r="AD135" s="231">
        <f t="shared" si="204"/>
        <v>0</v>
      </c>
      <c r="AE135" s="231">
        <f t="shared" si="204"/>
        <v>0</v>
      </c>
      <c r="AF135" s="231">
        <f t="shared" si="204"/>
        <v>0</v>
      </c>
      <c r="AG135" s="231">
        <f t="shared" si="204"/>
        <v>0</v>
      </c>
      <c r="AH135" s="231">
        <f t="shared" si="204"/>
        <v>0</v>
      </c>
      <c r="AI135" s="231">
        <f t="shared" si="204"/>
        <v>0</v>
      </c>
      <c r="AJ135" s="231">
        <f t="shared" si="204"/>
        <v>0</v>
      </c>
      <c r="AK135" s="231">
        <f t="shared" si="204"/>
        <v>0</v>
      </c>
      <c r="AL135" s="231">
        <f t="shared" si="204"/>
        <v>0</v>
      </c>
      <c r="AM135" s="231">
        <f t="shared" si="204"/>
        <v>0</v>
      </c>
      <c r="AN135" s="231">
        <f t="shared" si="205"/>
        <v>0</v>
      </c>
      <c r="AO135" s="231">
        <f t="shared" si="205"/>
        <v>0</v>
      </c>
      <c r="AP135" s="231">
        <f t="shared" si="205"/>
        <v>0</v>
      </c>
      <c r="AQ135" s="231">
        <f t="shared" si="205"/>
        <v>0</v>
      </c>
      <c r="AR135" s="231">
        <f t="shared" si="205"/>
        <v>0</v>
      </c>
      <c r="AS135" s="231">
        <f t="shared" si="205"/>
        <v>0</v>
      </c>
      <c r="AT135" s="231">
        <f t="shared" si="205"/>
        <v>0</v>
      </c>
      <c r="AU135" s="231">
        <f t="shared" si="205"/>
        <v>0</v>
      </c>
      <c r="AV135" s="231">
        <f t="shared" si="205"/>
        <v>0</v>
      </c>
      <c r="AW135" s="231">
        <f t="shared" si="205"/>
        <v>0</v>
      </c>
      <c r="AX135" s="231">
        <f t="shared" si="206"/>
        <v>0</v>
      </c>
      <c r="AY135" s="231">
        <f t="shared" si="206"/>
        <v>0</v>
      </c>
      <c r="AZ135" s="231">
        <f t="shared" si="206"/>
        <v>0</v>
      </c>
      <c r="BA135" s="231">
        <f t="shared" si="206"/>
        <v>0</v>
      </c>
      <c r="BB135" s="231">
        <f t="shared" si="206"/>
        <v>0</v>
      </c>
      <c r="BC135" s="231">
        <f t="shared" si="206"/>
        <v>0</v>
      </c>
      <c r="BD135" s="231">
        <f t="shared" si="206"/>
        <v>0</v>
      </c>
      <c r="BE135" s="231">
        <f t="shared" si="206"/>
        <v>0</v>
      </c>
      <c r="BF135" s="231">
        <f t="shared" si="206"/>
        <v>0</v>
      </c>
      <c r="BG135" s="231">
        <f t="shared" si="206"/>
        <v>0</v>
      </c>
      <c r="BI135" s="106" t="s">
        <v>153</v>
      </c>
      <c r="BK135" s="103"/>
    </row>
    <row r="136" spans="2:63">
      <c r="F136" s="49" t="str">
        <f t="shared" si="207"/>
        <v>Bank</v>
      </c>
      <c r="H136" s="99" t="str">
        <f>GA!E80</f>
        <v>Bank</v>
      </c>
      <c r="T136" s="231">
        <f t="shared" si="203"/>
        <v>0</v>
      </c>
      <c r="U136" s="231">
        <f t="shared" si="203"/>
        <v>0</v>
      </c>
      <c r="V136" s="231">
        <f t="shared" si="203"/>
        <v>0</v>
      </c>
      <c r="W136" s="231">
        <f t="shared" si="203"/>
        <v>0</v>
      </c>
      <c r="X136" s="231">
        <f t="shared" si="203"/>
        <v>0</v>
      </c>
      <c r="Y136" s="231">
        <f t="shared" si="203"/>
        <v>0</v>
      </c>
      <c r="Z136" s="231">
        <f t="shared" si="203"/>
        <v>0</v>
      </c>
      <c r="AA136" s="231">
        <f t="shared" si="203"/>
        <v>0</v>
      </c>
      <c r="AB136" s="231">
        <f t="shared" si="203"/>
        <v>0</v>
      </c>
      <c r="AC136" s="231">
        <f t="shared" si="203"/>
        <v>0</v>
      </c>
      <c r="AD136" s="231">
        <f t="shared" si="204"/>
        <v>0</v>
      </c>
      <c r="AE136" s="231">
        <f t="shared" si="204"/>
        <v>0</v>
      </c>
      <c r="AF136" s="231">
        <f t="shared" si="204"/>
        <v>0</v>
      </c>
      <c r="AG136" s="231">
        <f t="shared" si="204"/>
        <v>0</v>
      </c>
      <c r="AH136" s="231">
        <f t="shared" si="204"/>
        <v>0</v>
      </c>
      <c r="AI136" s="231">
        <f t="shared" si="204"/>
        <v>0</v>
      </c>
      <c r="AJ136" s="231">
        <f t="shared" si="204"/>
        <v>0</v>
      </c>
      <c r="AK136" s="231">
        <f t="shared" si="204"/>
        <v>0</v>
      </c>
      <c r="AL136" s="231">
        <f t="shared" si="204"/>
        <v>0</v>
      </c>
      <c r="AM136" s="231">
        <f t="shared" si="204"/>
        <v>0</v>
      </c>
      <c r="AN136" s="231">
        <f t="shared" si="205"/>
        <v>0</v>
      </c>
      <c r="AO136" s="231">
        <f t="shared" si="205"/>
        <v>0</v>
      </c>
      <c r="AP136" s="231">
        <f t="shared" si="205"/>
        <v>0</v>
      </c>
      <c r="AQ136" s="231">
        <f t="shared" si="205"/>
        <v>0</v>
      </c>
      <c r="AR136" s="231">
        <f t="shared" si="205"/>
        <v>0</v>
      </c>
      <c r="AS136" s="231">
        <f t="shared" si="205"/>
        <v>0</v>
      </c>
      <c r="AT136" s="231">
        <f t="shared" si="205"/>
        <v>0</v>
      </c>
      <c r="AU136" s="231">
        <f t="shared" si="205"/>
        <v>0</v>
      </c>
      <c r="AV136" s="231">
        <f t="shared" si="205"/>
        <v>0</v>
      </c>
      <c r="AW136" s="231">
        <f t="shared" si="205"/>
        <v>0</v>
      </c>
      <c r="AX136" s="231">
        <f t="shared" si="206"/>
        <v>0</v>
      </c>
      <c r="AY136" s="231">
        <f t="shared" si="206"/>
        <v>0</v>
      </c>
      <c r="AZ136" s="231">
        <f t="shared" si="206"/>
        <v>0</v>
      </c>
      <c r="BA136" s="231">
        <f t="shared" si="206"/>
        <v>0</v>
      </c>
      <c r="BB136" s="231">
        <f t="shared" si="206"/>
        <v>0</v>
      </c>
      <c r="BC136" s="231">
        <f t="shared" si="206"/>
        <v>0</v>
      </c>
      <c r="BD136" s="231">
        <f t="shared" si="206"/>
        <v>0</v>
      </c>
      <c r="BE136" s="231">
        <f t="shared" si="206"/>
        <v>0</v>
      </c>
      <c r="BF136" s="231">
        <f t="shared" si="206"/>
        <v>0</v>
      </c>
      <c r="BG136" s="231">
        <f t="shared" si="206"/>
        <v>0</v>
      </c>
      <c r="BI136" s="106" t="s">
        <v>153</v>
      </c>
      <c r="BK136" s="103"/>
    </row>
    <row r="137" spans="2:63">
      <c r="F137" s="49" t="str">
        <f t="shared" si="207"/>
        <v>Storage</v>
      </c>
      <c r="H137" s="99" t="str">
        <f>GA!E81</f>
        <v>Storage</v>
      </c>
      <c r="T137" s="231">
        <f t="shared" si="203"/>
        <v>0</v>
      </c>
      <c r="U137" s="231">
        <f t="shared" si="203"/>
        <v>0</v>
      </c>
      <c r="V137" s="231">
        <f t="shared" si="203"/>
        <v>0</v>
      </c>
      <c r="W137" s="231">
        <f t="shared" si="203"/>
        <v>0</v>
      </c>
      <c r="X137" s="231">
        <f t="shared" si="203"/>
        <v>0</v>
      </c>
      <c r="Y137" s="231">
        <f t="shared" si="203"/>
        <v>0</v>
      </c>
      <c r="Z137" s="231">
        <f t="shared" si="203"/>
        <v>0</v>
      </c>
      <c r="AA137" s="231">
        <f t="shared" si="203"/>
        <v>0</v>
      </c>
      <c r="AB137" s="231">
        <f t="shared" si="203"/>
        <v>0</v>
      </c>
      <c r="AC137" s="231">
        <f t="shared" si="203"/>
        <v>0</v>
      </c>
      <c r="AD137" s="231">
        <f t="shared" si="204"/>
        <v>0</v>
      </c>
      <c r="AE137" s="231">
        <f t="shared" si="204"/>
        <v>0</v>
      </c>
      <c r="AF137" s="231">
        <f t="shared" si="204"/>
        <v>0</v>
      </c>
      <c r="AG137" s="231">
        <f t="shared" si="204"/>
        <v>0</v>
      </c>
      <c r="AH137" s="231">
        <f t="shared" si="204"/>
        <v>0</v>
      </c>
      <c r="AI137" s="231">
        <f t="shared" si="204"/>
        <v>0</v>
      </c>
      <c r="AJ137" s="231">
        <f t="shared" si="204"/>
        <v>0</v>
      </c>
      <c r="AK137" s="231">
        <f t="shared" si="204"/>
        <v>0</v>
      </c>
      <c r="AL137" s="231">
        <f t="shared" si="204"/>
        <v>0</v>
      </c>
      <c r="AM137" s="231">
        <f t="shared" si="204"/>
        <v>0</v>
      </c>
      <c r="AN137" s="231">
        <f t="shared" si="205"/>
        <v>0</v>
      </c>
      <c r="AO137" s="231">
        <f t="shared" si="205"/>
        <v>0</v>
      </c>
      <c r="AP137" s="231">
        <f t="shared" si="205"/>
        <v>0</v>
      </c>
      <c r="AQ137" s="231">
        <f t="shared" si="205"/>
        <v>0</v>
      </c>
      <c r="AR137" s="231">
        <f t="shared" si="205"/>
        <v>0</v>
      </c>
      <c r="AS137" s="231">
        <f t="shared" si="205"/>
        <v>0</v>
      </c>
      <c r="AT137" s="231">
        <f t="shared" si="205"/>
        <v>0</v>
      </c>
      <c r="AU137" s="231">
        <f t="shared" si="205"/>
        <v>0</v>
      </c>
      <c r="AV137" s="231">
        <f t="shared" si="205"/>
        <v>0</v>
      </c>
      <c r="AW137" s="231">
        <f t="shared" si="205"/>
        <v>0</v>
      </c>
      <c r="AX137" s="231">
        <f t="shared" si="206"/>
        <v>0</v>
      </c>
      <c r="AY137" s="231">
        <f t="shared" si="206"/>
        <v>0</v>
      </c>
      <c r="AZ137" s="231">
        <f t="shared" si="206"/>
        <v>0</v>
      </c>
      <c r="BA137" s="231">
        <f t="shared" si="206"/>
        <v>0</v>
      </c>
      <c r="BB137" s="231">
        <f t="shared" si="206"/>
        <v>0</v>
      </c>
      <c r="BC137" s="231">
        <f t="shared" si="206"/>
        <v>0</v>
      </c>
      <c r="BD137" s="231">
        <f t="shared" si="206"/>
        <v>0</v>
      </c>
      <c r="BE137" s="231">
        <f t="shared" si="206"/>
        <v>0</v>
      </c>
      <c r="BF137" s="231">
        <f t="shared" si="206"/>
        <v>0</v>
      </c>
      <c r="BG137" s="231">
        <f t="shared" si="206"/>
        <v>0</v>
      </c>
      <c r="BI137" s="106" t="s">
        <v>153</v>
      </c>
      <c r="BK137" s="103"/>
    </row>
    <row r="138" spans="2:63">
      <c r="F138" s="49" t="str">
        <f t="shared" si="207"/>
        <v>Parking</v>
      </c>
      <c r="H138" s="99" t="str">
        <f>GA!E82</f>
        <v>Parking</v>
      </c>
      <c r="T138" s="231">
        <f t="shared" si="203"/>
        <v>0</v>
      </c>
      <c r="U138" s="231">
        <f t="shared" si="203"/>
        <v>0</v>
      </c>
      <c r="V138" s="231">
        <f t="shared" si="203"/>
        <v>0</v>
      </c>
      <c r="W138" s="231">
        <f t="shared" si="203"/>
        <v>0</v>
      </c>
      <c r="X138" s="231">
        <f t="shared" si="203"/>
        <v>0</v>
      </c>
      <c r="Y138" s="231">
        <f t="shared" si="203"/>
        <v>0</v>
      </c>
      <c r="Z138" s="231">
        <f t="shared" si="203"/>
        <v>0</v>
      </c>
      <c r="AA138" s="231">
        <f t="shared" si="203"/>
        <v>0</v>
      </c>
      <c r="AB138" s="231">
        <f t="shared" si="203"/>
        <v>0</v>
      </c>
      <c r="AC138" s="231">
        <f t="shared" si="203"/>
        <v>0</v>
      </c>
      <c r="AD138" s="231">
        <f t="shared" si="204"/>
        <v>0</v>
      </c>
      <c r="AE138" s="231">
        <f t="shared" si="204"/>
        <v>0</v>
      </c>
      <c r="AF138" s="231">
        <f t="shared" si="204"/>
        <v>0</v>
      </c>
      <c r="AG138" s="231">
        <f t="shared" si="204"/>
        <v>0</v>
      </c>
      <c r="AH138" s="231">
        <f t="shared" si="204"/>
        <v>0</v>
      </c>
      <c r="AI138" s="231">
        <f t="shared" si="204"/>
        <v>0</v>
      </c>
      <c r="AJ138" s="231">
        <f t="shared" si="204"/>
        <v>0</v>
      </c>
      <c r="AK138" s="231">
        <f t="shared" si="204"/>
        <v>0</v>
      </c>
      <c r="AL138" s="231">
        <f t="shared" si="204"/>
        <v>0</v>
      </c>
      <c r="AM138" s="231">
        <f t="shared" si="204"/>
        <v>0</v>
      </c>
      <c r="AN138" s="231">
        <f t="shared" si="205"/>
        <v>0</v>
      </c>
      <c r="AO138" s="231">
        <f t="shared" si="205"/>
        <v>0</v>
      </c>
      <c r="AP138" s="231">
        <f t="shared" si="205"/>
        <v>0</v>
      </c>
      <c r="AQ138" s="231">
        <f t="shared" si="205"/>
        <v>0</v>
      </c>
      <c r="AR138" s="231">
        <f t="shared" si="205"/>
        <v>0</v>
      </c>
      <c r="AS138" s="231">
        <f t="shared" si="205"/>
        <v>0</v>
      </c>
      <c r="AT138" s="231">
        <f t="shared" si="205"/>
        <v>0</v>
      </c>
      <c r="AU138" s="231">
        <f t="shared" si="205"/>
        <v>0</v>
      </c>
      <c r="AV138" s="231">
        <f t="shared" si="205"/>
        <v>0</v>
      </c>
      <c r="AW138" s="231">
        <f t="shared" si="205"/>
        <v>0</v>
      </c>
      <c r="AX138" s="231">
        <f t="shared" si="206"/>
        <v>0</v>
      </c>
      <c r="AY138" s="231">
        <f t="shared" si="206"/>
        <v>0</v>
      </c>
      <c r="AZ138" s="231">
        <f t="shared" si="206"/>
        <v>0</v>
      </c>
      <c r="BA138" s="231">
        <f t="shared" si="206"/>
        <v>0</v>
      </c>
      <c r="BB138" s="231">
        <f t="shared" si="206"/>
        <v>0</v>
      </c>
      <c r="BC138" s="231">
        <f t="shared" si="206"/>
        <v>0</v>
      </c>
      <c r="BD138" s="231">
        <f t="shared" si="206"/>
        <v>0</v>
      </c>
      <c r="BE138" s="231">
        <f t="shared" si="206"/>
        <v>0</v>
      </c>
      <c r="BF138" s="231">
        <f t="shared" si="206"/>
        <v>0</v>
      </c>
      <c r="BG138" s="231">
        <f t="shared" si="206"/>
        <v>0</v>
      </c>
      <c r="BI138" s="106" t="s">
        <v>153</v>
      </c>
      <c r="BK138" s="103"/>
    </row>
    <row r="139" spans="2:63">
      <c r="F139" s="49" t="str">
        <f t="shared" si="207"/>
        <v>Residential</v>
      </c>
      <c r="H139" s="99" t="str">
        <f>GA!E83</f>
        <v>Residential</v>
      </c>
      <c r="T139" s="231">
        <f t="shared" si="203"/>
        <v>0</v>
      </c>
      <c r="U139" s="231">
        <f t="shared" si="203"/>
        <v>0</v>
      </c>
      <c r="V139" s="231">
        <f t="shared" si="203"/>
        <v>0</v>
      </c>
      <c r="W139" s="231">
        <f t="shared" si="203"/>
        <v>0</v>
      </c>
      <c r="X139" s="231">
        <f t="shared" si="203"/>
        <v>0</v>
      </c>
      <c r="Y139" s="231">
        <f t="shared" si="203"/>
        <v>0</v>
      </c>
      <c r="Z139" s="231">
        <f t="shared" si="203"/>
        <v>0</v>
      </c>
      <c r="AA139" s="231">
        <f t="shared" si="203"/>
        <v>0</v>
      </c>
      <c r="AB139" s="231">
        <f t="shared" si="203"/>
        <v>0</v>
      </c>
      <c r="AC139" s="231">
        <f t="shared" si="203"/>
        <v>0</v>
      </c>
      <c r="AD139" s="231">
        <f t="shared" si="204"/>
        <v>0</v>
      </c>
      <c r="AE139" s="231">
        <f t="shared" si="204"/>
        <v>0</v>
      </c>
      <c r="AF139" s="231">
        <f t="shared" si="204"/>
        <v>0</v>
      </c>
      <c r="AG139" s="231">
        <f t="shared" si="204"/>
        <v>0</v>
      </c>
      <c r="AH139" s="231">
        <f t="shared" si="204"/>
        <v>0</v>
      </c>
      <c r="AI139" s="231">
        <f t="shared" si="204"/>
        <v>0</v>
      </c>
      <c r="AJ139" s="231">
        <f t="shared" si="204"/>
        <v>0</v>
      </c>
      <c r="AK139" s="231">
        <f t="shared" si="204"/>
        <v>0</v>
      </c>
      <c r="AL139" s="231">
        <f t="shared" si="204"/>
        <v>0</v>
      </c>
      <c r="AM139" s="231">
        <f t="shared" si="204"/>
        <v>0</v>
      </c>
      <c r="AN139" s="231">
        <f t="shared" si="205"/>
        <v>0</v>
      </c>
      <c r="AO139" s="231">
        <f t="shared" si="205"/>
        <v>0</v>
      </c>
      <c r="AP139" s="231">
        <f t="shared" si="205"/>
        <v>0</v>
      </c>
      <c r="AQ139" s="231">
        <f t="shared" si="205"/>
        <v>0</v>
      </c>
      <c r="AR139" s="231">
        <f t="shared" si="205"/>
        <v>0</v>
      </c>
      <c r="AS139" s="231">
        <f t="shared" si="205"/>
        <v>0</v>
      </c>
      <c r="AT139" s="231">
        <f t="shared" si="205"/>
        <v>0</v>
      </c>
      <c r="AU139" s="231">
        <f t="shared" si="205"/>
        <v>0</v>
      </c>
      <c r="AV139" s="231">
        <f t="shared" si="205"/>
        <v>0</v>
      </c>
      <c r="AW139" s="231">
        <f t="shared" si="205"/>
        <v>0</v>
      </c>
      <c r="AX139" s="231">
        <f t="shared" si="206"/>
        <v>0</v>
      </c>
      <c r="AY139" s="231">
        <f t="shared" si="206"/>
        <v>0</v>
      </c>
      <c r="AZ139" s="231">
        <f t="shared" si="206"/>
        <v>0</v>
      </c>
      <c r="BA139" s="231">
        <f t="shared" si="206"/>
        <v>0</v>
      </c>
      <c r="BB139" s="231">
        <f t="shared" si="206"/>
        <v>0</v>
      </c>
      <c r="BC139" s="231">
        <f t="shared" si="206"/>
        <v>0</v>
      </c>
      <c r="BD139" s="231">
        <f t="shared" si="206"/>
        <v>0</v>
      </c>
      <c r="BE139" s="231">
        <f t="shared" si="206"/>
        <v>0</v>
      </c>
      <c r="BF139" s="231">
        <f t="shared" si="206"/>
        <v>0</v>
      </c>
      <c r="BG139" s="231">
        <f t="shared" si="206"/>
        <v>0</v>
      </c>
      <c r="BI139" s="106" t="s">
        <v>153</v>
      </c>
      <c r="BK139" s="103"/>
    </row>
    <row r="140" spans="2:63">
      <c r="F140" s="49" t="str">
        <f t="shared" si="207"/>
        <v>Office</v>
      </c>
      <c r="H140" s="99" t="str">
        <f>GA!E84</f>
        <v>Office</v>
      </c>
      <c r="T140" s="231">
        <f t="shared" si="203"/>
        <v>0</v>
      </c>
      <c r="U140" s="231">
        <f t="shared" si="203"/>
        <v>0</v>
      </c>
      <c r="V140" s="231">
        <f t="shared" si="203"/>
        <v>0</v>
      </c>
      <c r="W140" s="231">
        <f t="shared" si="203"/>
        <v>0</v>
      </c>
      <c r="X140" s="231">
        <f t="shared" si="203"/>
        <v>0</v>
      </c>
      <c r="Y140" s="231">
        <f t="shared" si="203"/>
        <v>0</v>
      </c>
      <c r="Z140" s="231">
        <f t="shared" si="203"/>
        <v>0</v>
      </c>
      <c r="AA140" s="231">
        <f t="shared" si="203"/>
        <v>0</v>
      </c>
      <c r="AB140" s="231">
        <f t="shared" si="203"/>
        <v>0</v>
      </c>
      <c r="AC140" s="231">
        <f t="shared" si="203"/>
        <v>0</v>
      </c>
      <c r="AD140" s="231">
        <f t="shared" si="204"/>
        <v>0</v>
      </c>
      <c r="AE140" s="231">
        <f t="shared" si="204"/>
        <v>0</v>
      </c>
      <c r="AF140" s="231">
        <f t="shared" si="204"/>
        <v>0</v>
      </c>
      <c r="AG140" s="231">
        <f t="shared" si="204"/>
        <v>0</v>
      </c>
      <c r="AH140" s="231">
        <f t="shared" si="204"/>
        <v>0</v>
      </c>
      <c r="AI140" s="231">
        <f t="shared" si="204"/>
        <v>0</v>
      </c>
      <c r="AJ140" s="231">
        <f t="shared" si="204"/>
        <v>0</v>
      </c>
      <c r="AK140" s="231">
        <f t="shared" si="204"/>
        <v>0</v>
      </c>
      <c r="AL140" s="231">
        <f t="shared" si="204"/>
        <v>0</v>
      </c>
      <c r="AM140" s="231">
        <f t="shared" si="204"/>
        <v>0</v>
      </c>
      <c r="AN140" s="231">
        <f t="shared" si="205"/>
        <v>0</v>
      </c>
      <c r="AO140" s="231">
        <f t="shared" si="205"/>
        <v>0</v>
      </c>
      <c r="AP140" s="231">
        <f t="shared" si="205"/>
        <v>0</v>
      </c>
      <c r="AQ140" s="231">
        <f t="shared" si="205"/>
        <v>0</v>
      </c>
      <c r="AR140" s="231">
        <f t="shared" si="205"/>
        <v>0</v>
      </c>
      <c r="AS140" s="231">
        <f t="shared" si="205"/>
        <v>0</v>
      </c>
      <c r="AT140" s="231">
        <f t="shared" si="205"/>
        <v>0</v>
      </c>
      <c r="AU140" s="231">
        <f t="shared" si="205"/>
        <v>0</v>
      </c>
      <c r="AV140" s="231">
        <f t="shared" si="205"/>
        <v>0</v>
      </c>
      <c r="AW140" s="231">
        <f t="shared" si="205"/>
        <v>0</v>
      </c>
      <c r="AX140" s="231">
        <f t="shared" si="206"/>
        <v>0</v>
      </c>
      <c r="AY140" s="231">
        <f t="shared" si="206"/>
        <v>0</v>
      </c>
      <c r="AZ140" s="231">
        <f t="shared" si="206"/>
        <v>0</v>
      </c>
      <c r="BA140" s="231">
        <f t="shared" si="206"/>
        <v>0</v>
      </c>
      <c r="BB140" s="231">
        <f t="shared" si="206"/>
        <v>0</v>
      </c>
      <c r="BC140" s="231">
        <f t="shared" si="206"/>
        <v>0</v>
      </c>
      <c r="BD140" s="231">
        <f t="shared" si="206"/>
        <v>0</v>
      </c>
      <c r="BE140" s="231">
        <f t="shared" si="206"/>
        <v>0</v>
      </c>
      <c r="BF140" s="231">
        <f t="shared" si="206"/>
        <v>0</v>
      </c>
      <c r="BG140" s="231">
        <f t="shared" si="206"/>
        <v>0</v>
      </c>
      <c r="BI140" s="106" t="s">
        <v>153</v>
      </c>
      <c r="BK140" s="103"/>
    </row>
    <row r="141" spans="2:63">
      <c r="F141" s="49" t="str">
        <f t="shared" si="207"/>
        <v>Other</v>
      </c>
      <c r="H141" s="99" t="str">
        <f>GA!E85</f>
        <v>Other</v>
      </c>
      <c r="T141" s="231">
        <f t="shared" si="203"/>
        <v>0</v>
      </c>
      <c r="U141" s="231">
        <f t="shared" si="203"/>
        <v>0</v>
      </c>
      <c r="V141" s="231">
        <f t="shared" si="203"/>
        <v>0</v>
      </c>
      <c r="W141" s="231">
        <f t="shared" si="203"/>
        <v>0</v>
      </c>
      <c r="X141" s="231">
        <f t="shared" si="203"/>
        <v>0</v>
      </c>
      <c r="Y141" s="231">
        <f t="shared" si="203"/>
        <v>0</v>
      </c>
      <c r="Z141" s="231">
        <f t="shared" si="203"/>
        <v>0</v>
      </c>
      <c r="AA141" s="231">
        <f t="shared" si="203"/>
        <v>0</v>
      </c>
      <c r="AB141" s="231">
        <f t="shared" si="203"/>
        <v>0</v>
      </c>
      <c r="AC141" s="231">
        <f t="shared" si="203"/>
        <v>0</v>
      </c>
      <c r="AD141" s="231">
        <f t="shared" si="204"/>
        <v>0</v>
      </c>
      <c r="AE141" s="231">
        <f t="shared" si="204"/>
        <v>0</v>
      </c>
      <c r="AF141" s="231">
        <f t="shared" si="204"/>
        <v>0</v>
      </c>
      <c r="AG141" s="231">
        <f t="shared" si="204"/>
        <v>0</v>
      </c>
      <c r="AH141" s="231">
        <f t="shared" si="204"/>
        <v>0</v>
      </c>
      <c r="AI141" s="231">
        <f t="shared" si="204"/>
        <v>0</v>
      </c>
      <c r="AJ141" s="231">
        <f t="shared" si="204"/>
        <v>0</v>
      </c>
      <c r="AK141" s="231">
        <f t="shared" si="204"/>
        <v>0</v>
      </c>
      <c r="AL141" s="231">
        <f t="shared" si="204"/>
        <v>0</v>
      </c>
      <c r="AM141" s="231">
        <f t="shared" si="204"/>
        <v>0</v>
      </c>
      <c r="AN141" s="231">
        <f t="shared" si="205"/>
        <v>0</v>
      </c>
      <c r="AO141" s="231">
        <f t="shared" si="205"/>
        <v>0</v>
      </c>
      <c r="AP141" s="231">
        <f t="shared" si="205"/>
        <v>0</v>
      </c>
      <c r="AQ141" s="231">
        <f t="shared" si="205"/>
        <v>0</v>
      </c>
      <c r="AR141" s="231">
        <f t="shared" si="205"/>
        <v>0</v>
      </c>
      <c r="AS141" s="231">
        <f t="shared" si="205"/>
        <v>0</v>
      </c>
      <c r="AT141" s="231">
        <f t="shared" si="205"/>
        <v>0</v>
      </c>
      <c r="AU141" s="231">
        <f t="shared" si="205"/>
        <v>0</v>
      </c>
      <c r="AV141" s="231">
        <f t="shared" si="205"/>
        <v>0</v>
      </c>
      <c r="AW141" s="231">
        <f t="shared" si="205"/>
        <v>0</v>
      </c>
      <c r="AX141" s="231">
        <f t="shared" si="206"/>
        <v>0</v>
      </c>
      <c r="AY141" s="231">
        <f t="shared" si="206"/>
        <v>0</v>
      </c>
      <c r="AZ141" s="231">
        <f t="shared" si="206"/>
        <v>0</v>
      </c>
      <c r="BA141" s="231">
        <f t="shared" si="206"/>
        <v>0</v>
      </c>
      <c r="BB141" s="231">
        <f t="shared" si="206"/>
        <v>0</v>
      </c>
      <c r="BC141" s="231">
        <f t="shared" si="206"/>
        <v>0</v>
      </c>
      <c r="BD141" s="231">
        <f t="shared" si="206"/>
        <v>0</v>
      </c>
      <c r="BE141" s="231">
        <f t="shared" si="206"/>
        <v>0</v>
      </c>
      <c r="BF141" s="231">
        <f t="shared" si="206"/>
        <v>0</v>
      </c>
      <c r="BG141" s="231">
        <f t="shared" si="206"/>
        <v>0</v>
      </c>
      <c r="BI141" s="107" t="s">
        <v>153</v>
      </c>
      <c r="BK141" s="108"/>
    </row>
    <row r="142" spans="2:63">
      <c r="F142" s="253" t="s">
        <v>331</v>
      </c>
      <c r="G142" s="253"/>
      <c r="H142" s="253"/>
      <c r="I142" s="253"/>
      <c r="J142" s="253"/>
      <c r="K142" s="253"/>
      <c r="L142" s="253"/>
      <c r="M142" s="253"/>
      <c r="N142" s="253"/>
      <c r="O142" s="253"/>
      <c r="P142" s="253"/>
      <c r="Q142" s="253"/>
      <c r="R142" s="253"/>
      <c r="S142" s="253"/>
      <c r="T142" s="254">
        <f>SUM(T132:T141)</f>
        <v>1000</v>
      </c>
      <c r="U142" s="254">
        <f t="shared" ref="U142:BG142" si="208">SUM(U132:U141)</f>
        <v>2000</v>
      </c>
      <c r="V142" s="254">
        <f t="shared" si="208"/>
        <v>3000</v>
      </c>
      <c r="W142" s="254">
        <f t="shared" si="208"/>
        <v>3000</v>
      </c>
      <c r="X142" s="254">
        <f t="shared" si="208"/>
        <v>3000</v>
      </c>
      <c r="Y142" s="254">
        <f t="shared" si="208"/>
        <v>3000</v>
      </c>
      <c r="Z142" s="254">
        <f t="shared" si="208"/>
        <v>3000</v>
      </c>
      <c r="AA142" s="254">
        <f t="shared" si="208"/>
        <v>3000</v>
      </c>
      <c r="AB142" s="254">
        <f t="shared" si="208"/>
        <v>3000</v>
      </c>
      <c r="AC142" s="254">
        <f t="shared" si="208"/>
        <v>3000</v>
      </c>
      <c r="AD142" s="254">
        <f t="shared" si="208"/>
        <v>3000</v>
      </c>
      <c r="AE142" s="254">
        <f t="shared" si="208"/>
        <v>3000</v>
      </c>
      <c r="AF142" s="254">
        <f t="shared" si="208"/>
        <v>0</v>
      </c>
      <c r="AG142" s="254">
        <f t="shared" si="208"/>
        <v>0</v>
      </c>
      <c r="AH142" s="254">
        <f t="shared" si="208"/>
        <v>0</v>
      </c>
      <c r="AI142" s="254">
        <f t="shared" si="208"/>
        <v>0</v>
      </c>
      <c r="AJ142" s="254">
        <f t="shared" si="208"/>
        <v>0</v>
      </c>
      <c r="AK142" s="254">
        <f t="shared" si="208"/>
        <v>0</v>
      </c>
      <c r="AL142" s="254">
        <f t="shared" si="208"/>
        <v>0</v>
      </c>
      <c r="AM142" s="254">
        <f t="shared" si="208"/>
        <v>0</v>
      </c>
      <c r="AN142" s="254">
        <f t="shared" si="208"/>
        <v>0</v>
      </c>
      <c r="AO142" s="254">
        <f t="shared" si="208"/>
        <v>0</v>
      </c>
      <c r="AP142" s="254">
        <f t="shared" si="208"/>
        <v>0</v>
      </c>
      <c r="AQ142" s="254">
        <f t="shared" si="208"/>
        <v>0</v>
      </c>
      <c r="AR142" s="254">
        <f t="shared" si="208"/>
        <v>0</v>
      </c>
      <c r="AS142" s="254">
        <f t="shared" si="208"/>
        <v>0</v>
      </c>
      <c r="AT142" s="254">
        <f t="shared" si="208"/>
        <v>0</v>
      </c>
      <c r="AU142" s="254">
        <f t="shared" si="208"/>
        <v>0</v>
      </c>
      <c r="AV142" s="254">
        <f t="shared" si="208"/>
        <v>0</v>
      </c>
      <c r="AW142" s="254">
        <f t="shared" si="208"/>
        <v>0</v>
      </c>
      <c r="AX142" s="254">
        <f t="shared" si="208"/>
        <v>0</v>
      </c>
      <c r="AY142" s="254">
        <f t="shared" si="208"/>
        <v>0</v>
      </c>
      <c r="AZ142" s="254">
        <f t="shared" si="208"/>
        <v>0</v>
      </c>
      <c r="BA142" s="254">
        <f t="shared" si="208"/>
        <v>0</v>
      </c>
      <c r="BB142" s="254">
        <f t="shared" si="208"/>
        <v>0</v>
      </c>
      <c r="BC142" s="254">
        <f t="shared" si="208"/>
        <v>0</v>
      </c>
      <c r="BD142" s="254">
        <f t="shared" si="208"/>
        <v>0</v>
      </c>
      <c r="BE142" s="254">
        <f t="shared" si="208"/>
        <v>0</v>
      </c>
      <c r="BF142" s="254">
        <f t="shared" si="208"/>
        <v>0</v>
      </c>
      <c r="BG142" s="254">
        <f t="shared" si="208"/>
        <v>0</v>
      </c>
      <c r="BI142" s="107" t="s">
        <v>153</v>
      </c>
      <c r="BK142" s="256"/>
    </row>
    <row r="143" spans="2:63">
      <c r="F143" s="255" t="s">
        <v>329</v>
      </c>
      <c r="J143" s="257" t="b">
        <f>COUNTIFS($T$143:$BG$143,"true")=COUNTA(T143:BG143)</f>
        <v>1</v>
      </c>
      <c r="K143" s="258"/>
      <c r="L143" s="258"/>
      <c r="M143" s="258"/>
      <c r="N143" s="258"/>
      <c r="O143" s="258"/>
      <c r="P143" s="258"/>
      <c r="Q143" s="258"/>
      <c r="R143" s="258"/>
      <c r="S143" s="258"/>
      <c r="T143" s="257" t="b">
        <f t="shared" ref="T143:BG143" si="209">ROUND(T142,1)=ROUND(SUMIFS($M$83:$M$85,T$20:T$22,1)+SUMIFS(T$74:T$76,T$20:T$22,1),1)</f>
        <v>1</v>
      </c>
      <c r="U143" s="257" t="b">
        <f t="shared" si="209"/>
        <v>1</v>
      </c>
      <c r="V143" s="257" t="b">
        <f t="shared" si="209"/>
        <v>1</v>
      </c>
      <c r="W143" s="257" t="b">
        <f t="shared" si="209"/>
        <v>1</v>
      </c>
      <c r="X143" s="257" t="b">
        <f t="shared" si="209"/>
        <v>1</v>
      </c>
      <c r="Y143" s="257" t="b">
        <f t="shared" si="209"/>
        <v>1</v>
      </c>
      <c r="Z143" s="257" t="b">
        <f t="shared" si="209"/>
        <v>1</v>
      </c>
      <c r="AA143" s="257" t="b">
        <f t="shared" si="209"/>
        <v>1</v>
      </c>
      <c r="AB143" s="257" t="b">
        <f t="shared" si="209"/>
        <v>1</v>
      </c>
      <c r="AC143" s="257" t="b">
        <f t="shared" si="209"/>
        <v>1</v>
      </c>
      <c r="AD143" s="257" t="b">
        <f t="shared" si="209"/>
        <v>1</v>
      </c>
      <c r="AE143" s="257" t="b">
        <f t="shared" si="209"/>
        <v>1</v>
      </c>
      <c r="AF143" s="257" t="b">
        <f t="shared" si="209"/>
        <v>1</v>
      </c>
      <c r="AG143" s="257" t="b">
        <f t="shared" si="209"/>
        <v>1</v>
      </c>
      <c r="AH143" s="257" t="b">
        <f t="shared" si="209"/>
        <v>1</v>
      </c>
      <c r="AI143" s="257" t="b">
        <f t="shared" si="209"/>
        <v>1</v>
      </c>
      <c r="AJ143" s="257" t="b">
        <f t="shared" si="209"/>
        <v>1</v>
      </c>
      <c r="AK143" s="257" t="b">
        <f t="shared" si="209"/>
        <v>1</v>
      </c>
      <c r="AL143" s="257" t="b">
        <f t="shared" si="209"/>
        <v>1</v>
      </c>
      <c r="AM143" s="257" t="b">
        <f t="shared" si="209"/>
        <v>1</v>
      </c>
      <c r="AN143" s="257" t="b">
        <f t="shared" si="209"/>
        <v>1</v>
      </c>
      <c r="AO143" s="257" t="b">
        <f t="shared" si="209"/>
        <v>1</v>
      </c>
      <c r="AP143" s="257" t="b">
        <f t="shared" si="209"/>
        <v>1</v>
      </c>
      <c r="AQ143" s="257" t="b">
        <f t="shared" si="209"/>
        <v>1</v>
      </c>
      <c r="AR143" s="257" t="b">
        <f t="shared" si="209"/>
        <v>1</v>
      </c>
      <c r="AS143" s="257" t="b">
        <f t="shared" si="209"/>
        <v>1</v>
      </c>
      <c r="AT143" s="257" t="b">
        <f t="shared" si="209"/>
        <v>1</v>
      </c>
      <c r="AU143" s="257" t="b">
        <f t="shared" si="209"/>
        <v>1</v>
      </c>
      <c r="AV143" s="257" t="b">
        <f t="shared" si="209"/>
        <v>1</v>
      </c>
      <c r="AW143" s="257" t="b">
        <f t="shared" si="209"/>
        <v>1</v>
      </c>
      <c r="AX143" s="257" t="b">
        <f t="shared" si="209"/>
        <v>1</v>
      </c>
      <c r="AY143" s="257" t="b">
        <f t="shared" si="209"/>
        <v>1</v>
      </c>
      <c r="AZ143" s="257" t="b">
        <f t="shared" si="209"/>
        <v>1</v>
      </c>
      <c r="BA143" s="257" t="b">
        <f t="shared" si="209"/>
        <v>1</v>
      </c>
      <c r="BB143" s="257" t="b">
        <f t="shared" si="209"/>
        <v>1</v>
      </c>
      <c r="BC143" s="257" t="b">
        <f t="shared" si="209"/>
        <v>1</v>
      </c>
      <c r="BD143" s="257" t="b">
        <f t="shared" si="209"/>
        <v>1</v>
      </c>
      <c r="BE143" s="257" t="b">
        <f t="shared" si="209"/>
        <v>1</v>
      </c>
      <c r="BF143" s="257" t="b">
        <f t="shared" si="209"/>
        <v>1</v>
      </c>
      <c r="BG143" s="257" t="b">
        <f t="shared" si="209"/>
        <v>1</v>
      </c>
    </row>
    <row r="145" spans="2:39" s="90" customFormat="1">
      <c r="B145" s="91" t="s">
        <v>332</v>
      </c>
      <c r="C145" s="92"/>
    </row>
    <row r="147" spans="2:39">
      <c r="T147" s="309"/>
      <c r="U147" s="309"/>
      <c r="V147" s="309"/>
      <c r="W147" s="309"/>
      <c r="X147" s="309"/>
      <c r="Y147" s="309"/>
      <c r="Z147" s="309"/>
      <c r="AA147" s="309"/>
      <c r="AB147" s="309"/>
      <c r="AC147" s="309"/>
      <c r="AD147" s="309"/>
      <c r="AE147" s="309"/>
      <c r="AF147" s="309"/>
      <c r="AG147" s="309"/>
      <c r="AH147" s="309"/>
      <c r="AI147" s="309"/>
      <c r="AJ147" s="309"/>
      <c r="AK147" s="309"/>
      <c r="AL147" s="309"/>
      <c r="AM147" s="309"/>
    </row>
  </sheetData>
  <conditionalFormatting sqref="T127:BG127">
    <cfRule type="cellIs" dxfId="53" priority="7" operator="equal">
      <formula>FALSE</formula>
    </cfRule>
    <cfRule type="cellIs" dxfId="52" priority="11" operator="equal">
      <formula>TRUE</formula>
    </cfRule>
  </conditionalFormatting>
  <conditionalFormatting sqref="J127">
    <cfRule type="cellIs" dxfId="51" priority="5" operator="equal">
      <formula>FALSE</formula>
    </cfRule>
    <cfRule type="cellIs" dxfId="50" priority="6" operator="equal">
      <formula>TRUE</formula>
    </cfRule>
  </conditionalFormatting>
  <conditionalFormatting sqref="T143:BG143">
    <cfRule type="cellIs" dxfId="49" priority="3" operator="equal">
      <formula>FALSE</formula>
    </cfRule>
    <cfRule type="cellIs" dxfId="48" priority="4" operator="equal">
      <formula>TRUE</formula>
    </cfRule>
  </conditionalFormatting>
  <conditionalFormatting sqref="J143">
    <cfRule type="cellIs" dxfId="47" priority="1" operator="equal">
      <formula>FALSE</formula>
    </cfRule>
    <cfRule type="cellIs" dxfId="46" priority="2" operator="equal">
      <formula>TRUE</formula>
    </cfRule>
  </conditionalFormatting>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07486-4584-44CF-9386-3174304AAA5F}">
  <sheetPr codeName="Sheet15">
    <tabColor rgb="FFC00000"/>
  </sheetPr>
  <dimension ref="A1:BK150"/>
  <sheetViews>
    <sheetView topLeftCell="I1" workbookViewId="0">
      <selection activeCell="T20" sqref="T20:BG22"/>
    </sheetView>
  </sheetViews>
  <sheetFormatPr baseColWidth="10" defaultColWidth="8.7109375" defaultRowHeight="15" outlineLevelRow="1"/>
  <cols>
    <col min="1" max="1" width="4.5703125" customWidth="1"/>
    <col min="2" max="2" width="5.5703125" customWidth="1"/>
    <col min="5" max="5" width="3.42578125" customWidth="1"/>
    <col min="6" max="6" width="20.42578125" bestFit="1" customWidth="1"/>
    <col min="7" max="7" width="3.5703125" customWidth="1"/>
    <col min="8" max="8" width="19.7109375" customWidth="1"/>
    <col min="9" max="9" width="2.5703125" customWidth="1"/>
    <col min="10" max="11" width="11.5703125" bestFit="1" customWidth="1"/>
    <col min="12" max="12" width="3.5703125" customWidth="1"/>
    <col min="13" max="13" width="13.7109375" bestFit="1" customWidth="1"/>
    <col min="14" max="14" width="18.28515625" bestFit="1" customWidth="1"/>
    <col min="15" max="15" width="18.5703125" bestFit="1" customWidth="1"/>
    <col min="16" max="16" width="14.28515625" customWidth="1"/>
    <col min="17" max="17" width="16.28515625" customWidth="1"/>
    <col min="19" max="19" width="12" bestFit="1" customWidth="1"/>
    <col min="20" max="20" width="16.5703125" bestFit="1" customWidth="1"/>
    <col min="21" max="21" width="17.7109375" bestFit="1" customWidth="1"/>
    <col min="22" max="22" width="16" bestFit="1" customWidth="1"/>
    <col min="23" max="23" width="16.5703125" bestFit="1" customWidth="1"/>
    <col min="24" max="24" width="16" bestFit="1" customWidth="1"/>
    <col min="25" max="25" width="17" bestFit="1" customWidth="1"/>
    <col min="26" max="26" width="15.42578125" bestFit="1" customWidth="1"/>
    <col min="27" max="27" width="16.42578125" bestFit="1" customWidth="1"/>
    <col min="28" max="28" width="16.5703125" bestFit="1" customWidth="1"/>
    <col min="29" max="29" width="17.7109375" bestFit="1" customWidth="1"/>
    <col min="30" max="30" width="16" bestFit="1" customWidth="1"/>
    <col min="31" max="32" width="16.5703125" bestFit="1" customWidth="1"/>
    <col min="33" max="33" width="17.7109375" bestFit="1" customWidth="1"/>
    <col min="34" max="34" width="16" bestFit="1" customWidth="1"/>
    <col min="35" max="36" width="16.5703125" bestFit="1" customWidth="1"/>
    <col min="37" max="37" width="17.7109375" bestFit="1" customWidth="1"/>
    <col min="38" max="38" width="16" bestFit="1" customWidth="1"/>
    <col min="39" max="39" width="16.5703125" bestFit="1" customWidth="1"/>
    <col min="40" max="40" width="16.42578125" bestFit="1" customWidth="1"/>
    <col min="41" max="41" width="17.42578125" bestFit="1" customWidth="1"/>
    <col min="42" max="42" width="15.5703125" bestFit="1" customWidth="1"/>
    <col min="43" max="44" width="16.5703125" bestFit="1" customWidth="1"/>
    <col min="45" max="45" width="17.7109375" bestFit="1" customWidth="1"/>
    <col min="46" max="46" width="16" bestFit="1" customWidth="1"/>
    <col min="47" max="47" width="16.5703125" bestFit="1" customWidth="1"/>
    <col min="48" max="48" width="16.42578125" bestFit="1" customWidth="1"/>
    <col min="49" max="49" width="17.42578125" bestFit="1" customWidth="1"/>
    <col min="50" max="50" width="15.5703125" bestFit="1" customWidth="1"/>
    <col min="51" max="52" width="16.5703125" bestFit="1" customWidth="1"/>
    <col min="53" max="53" width="17.7109375" bestFit="1" customWidth="1"/>
    <col min="54" max="54" width="16" bestFit="1" customWidth="1"/>
    <col min="55" max="56" width="16.5703125" bestFit="1" customWidth="1"/>
    <col min="57" max="57" width="17.7109375" bestFit="1" customWidth="1"/>
    <col min="58" max="58" width="16" bestFit="1" customWidth="1"/>
    <col min="59" max="59" width="16.5703125" bestFit="1" customWidth="1"/>
    <col min="60" max="60" width="3.28515625" customWidth="1"/>
    <col min="61" max="61" width="16.42578125" customWidth="1"/>
    <col min="62" max="62" width="3.42578125" customWidth="1"/>
    <col min="63" max="63" width="19.7109375" customWidth="1"/>
  </cols>
  <sheetData>
    <row r="1" spans="1:61" s="1" customFormat="1">
      <c r="A1" s="1" t="str">
        <f ca="1">UPPER(MID(CELL("filename",A1),FIND("[",CELL("filename",A1))+1,FIND("]",CELL("filename",A1))-FIND("[",CELL("filename",A1))-5))</f>
        <v>VORLAGE.</v>
      </c>
    </row>
    <row r="2" spans="1:61" s="1" customFormat="1">
      <c r="A2" s="1" t="s">
        <v>333</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401</v>
      </c>
      <c r="K14" s="318">
        <f>GA!$F$145</f>
        <v>1.8697495154929022E-3</v>
      </c>
      <c r="S14" s="207">
        <v>1</v>
      </c>
      <c r="T14" s="319">
        <f>S14*(1+$K14)</f>
        <v>1.0018697495154929</v>
      </c>
      <c r="U14" s="319">
        <f t="shared" ref="U14:BG14" si="0">T14*(1+$K14)</f>
        <v>1.0037429949942365</v>
      </c>
      <c r="V14" s="319">
        <f t="shared" si="0"/>
        <v>1.0056197429728064</v>
      </c>
      <c r="W14" s="319">
        <f t="shared" si="0"/>
        <v>1.0074999999999998</v>
      </c>
      <c r="X14" s="319">
        <f t="shared" si="0"/>
        <v>1.0093837726368589</v>
      </c>
      <c r="Y14" s="319">
        <f t="shared" si="0"/>
        <v>1.0112710674566929</v>
      </c>
      <c r="Z14" s="319">
        <f t="shared" si="0"/>
        <v>1.0131618910451021</v>
      </c>
      <c r="AA14" s="319">
        <f t="shared" si="0"/>
        <v>1.0150562499999995</v>
      </c>
      <c r="AB14" s="319">
        <f t="shared" si="0"/>
        <v>1.0169541509316351</v>
      </c>
      <c r="AC14" s="319">
        <f t="shared" si="0"/>
        <v>1.0188556004626179</v>
      </c>
      <c r="AD14" s="319">
        <f t="shared" si="0"/>
        <v>1.0207606052279401</v>
      </c>
      <c r="AE14" s="319">
        <f t="shared" si="0"/>
        <v>1.0226691718749992</v>
      </c>
      <c r="AF14" s="319">
        <f t="shared" si="0"/>
        <v>1.024581307063622</v>
      </c>
      <c r="AG14" s="319">
        <f t="shared" si="0"/>
        <v>1.0264970174660872</v>
      </c>
      <c r="AH14" s="319">
        <f t="shared" si="0"/>
        <v>1.0284163097671493</v>
      </c>
      <c r="AI14" s="319">
        <f t="shared" si="0"/>
        <v>1.0303391906640613</v>
      </c>
      <c r="AJ14" s="319">
        <f t="shared" si="0"/>
        <v>1.0322656668665988</v>
      </c>
      <c r="AK14" s="319">
        <f t="shared" si="0"/>
        <v>1.0341957450970827</v>
      </c>
      <c r="AL14" s="319">
        <f t="shared" si="0"/>
        <v>1.0361294320904029</v>
      </c>
      <c r="AM14" s="319">
        <f t="shared" si="0"/>
        <v>1.0380667345940418</v>
      </c>
      <c r="AN14" s="319">
        <f t="shared" si="0"/>
        <v>1.0400076593680982</v>
      </c>
      <c r="AO14" s="319">
        <f t="shared" si="0"/>
        <v>1.0419522131853107</v>
      </c>
      <c r="AP14" s="319">
        <f t="shared" si="0"/>
        <v>1.0439004028310808</v>
      </c>
      <c r="AQ14" s="319">
        <f t="shared" si="0"/>
        <v>1.0458522351034971</v>
      </c>
      <c r="AR14" s="319">
        <f t="shared" si="0"/>
        <v>1.047807716813359</v>
      </c>
      <c r="AS14" s="319">
        <f t="shared" si="0"/>
        <v>1.0497668547842005</v>
      </c>
      <c r="AT14" s="319">
        <f t="shared" si="0"/>
        <v>1.0517296558523137</v>
      </c>
      <c r="AU14" s="319">
        <f t="shared" si="0"/>
        <v>1.0536961268667731</v>
      </c>
      <c r="AV14" s="319">
        <f t="shared" si="0"/>
        <v>1.0556662746894589</v>
      </c>
      <c r="AW14" s="319">
        <f t="shared" si="0"/>
        <v>1.0576401061950818</v>
      </c>
      <c r="AX14" s="319">
        <f t="shared" si="0"/>
        <v>1.0596176282712058</v>
      </c>
      <c r="AY14" s="319">
        <f t="shared" si="0"/>
        <v>1.0615988478182736</v>
      </c>
      <c r="AZ14" s="319">
        <f t="shared" si="0"/>
        <v>1.0635837717496297</v>
      </c>
      <c r="BA14" s="319">
        <f t="shared" si="0"/>
        <v>1.0655724069915447</v>
      </c>
      <c r="BB14" s="319">
        <f t="shared" si="0"/>
        <v>1.0675647604832397</v>
      </c>
      <c r="BC14" s="319">
        <f t="shared" si="0"/>
        <v>1.0695608391769105</v>
      </c>
      <c r="BD14" s="319">
        <f t="shared" si="0"/>
        <v>1.0715606500377517</v>
      </c>
      <c r="BE14" s="319">
        <f t="shared" si="0"/>
        <v>1.0735642000439811</v>
      </c>
      <c r="BF14" s="319">
        <f t="shared" si="0"/>
        <v>1.0755714961868639</v>
      </c>
      <c r="BG14" s="319">
        <f t="shared" si="0"/>
        <v>1.0775825454707373</v>
      </c>
    </row>
    <row r="15" spans="1:61">
      <c r="C15" t="s">
        <v>402</v>
      </c>
      <c r="K15" s="278" t="str">
        <f>GA!$G$143</f>
        <v>Quarterly</v>
      </c>
      <c r="S15" s="207">
        <v>1</v>
      </c>
      <c r="T15" s="319">
        <f>IF(K15="Annually",IF(T$9=1,T14,S15),T14)</f>
        <v>1.0018697495154929</v>
      </c>
      <c r="U15" s="319">
        <f t="shared" ref="U15:BG15" si="1">IF(L15="Annually",IF(U$9=1,U14,T15),U14)</f>
        <v>1.0037429949942365</v>
      </c>
      <c r="V15" s="319">
        <f t="shared" si="1"/>
        <v>1.0056197429728064</v>
      </c>
      <c r="W15" s="319">
        <f t="shared" si="1"/>
        <v>1.0074999999999998</v>
      </c>
      <c r="X15" s="319">
        <f t="shared" si="1"/>
        <v>1.0093837726368589</v>
      </c>
      <c r="Y15" s="319">
        <f t="shared" si="1"/>
        <v>1.0112710674566929</v>
      </c>
      <c r="Z15" s="319">
        <f t="shared" si="1"/>
        <v>1.0131618910451021</v>
      </c>
      <c r="AA15" s="319">
        <f t="shared" si="1"/>
        <v>1.0150562499999995</v>
      </c>
      <c r="AB15" s="319">
        <f t="shared" si="1"/>
        <v>1.0169541509316351</v>
      </c>
      <c r="AC15" s="319">
        <f t="shared" si="1"/>
        <v>1.0188556004626179</v>
      </c>
      <c r="AD15" s="319">
        <f t="shared" si="1"/>
        <v>1.0207606052279401</v>
      </c>
      <c r="AE15" s="319">
        <f t="shared" si="1"/>
        <v>1.0226691718749992</v>
      </c>
      <c r="AF15" s="319">
        <f t="shared" si="1"/>
        <v>1.024581307063622</v>
      </c>
      <c r="AG15" s="319">
        <f t="shared" si="1"/>
        <v>1.0264970174660872</v>
      </c>
      <c r="AH15" s="319">
        <f t="shared" si="1"/>
        <v>1.0284163097671493</v>
      </c>
      <c r="AI15" s="319">
        <f t="shared" si="1"/>
        <v>1.0303391906640613</v>
      </c>
      <c r="AJ15" s="319">
        <f t="shared" si="1"/>
        <v>1.0322656668665988</v>
      </c>
      <c r="AK15" s="319">
        <f t="shared" si="1"/>
        <v>1.0341957450970827</v>
      </c>
      <c r="AL15" s="319">
        <f t="shared" si="1"/>
        <v>1.0361294320904029</v>
      </c>
      <c r="AM15" s="319">
        <f t="shared" si="1"/>
        <v>1.0380667345940418</v>
      </c>
      <c r="AN15" s="319">
        <f t="shared" si="1"/>
        <v>1.0400076593680982</v>
      </c>
      <c r="AO15" s="319">
        <f t="shared" si="1"/>
        <v>1.0419522131853107</v>
      </c>
      <c r="AP15" s="319">
        <f t="shared" si="1"/>
        <v>1.0439004028310808</v>
      </c>
      <c r="AQ15" s="319">
        <f t="shared" si="1"/>
        <v>1.0458522351034971</v>
      </c>
      <c r="AR15" s="319">
        <f t="shared" si="1"/>
        <v>1.047807716813359</v>
      </c>
      <c r="AS15" s="319">
        <f t="shared" si="1"/>
        <v>1.0497668547842005</v>
      </c>
      <c r="AT15" s="319">
        <f t="shared" si="1"/>
        <v>1.0517296558523137</v>
      </c>
      <c r="AU15" s="319">
        <f t="shared" si="1"/>
        <v>1.0536961268667731</v>
      </c>
      <c r="AV15" s="319">
        <f t="shared" si="1"/>
        <v>1.0556662746894589</v>
      </c>
      <c r="AW15" s="319">
        <f t="shared" si="1"/>
        <v>1.0576401061950818</v>
      </c>
      <c r="AX15" s="319">
        <f t="shared" si="1"/>
        <v>1.0596176282712058</v>
      </c>
      <c r="AY15" s="319">
        <f t="shared" si="1"/>
        <v>1.0615988478182736</v>
      </c>
      <c r="AZ15" s="319">
        <f t="shared" si="1"/>
        <v>1.0635837717496297</v>
      </c>
      <c r="BA15" s="319">
        <f t="shared" si="1"/>
        <v>1.0655724069915447</v>
      </c>
      <c r="BB15" s="319">
        <f t="shared" si="1"/>
        <v>1.0675647604832397</v>
      </c>
      <c r="BC15" s="319">
        <f t="shared" si="1"/>
        <v>1.0695608391769105</v>
      </c>
      <c r="BD15" s="319">
        <f t="shared" si="1"/>
        <v>1.0715606500377517</v>
      </c>
      <c r="BE15" s="319">
        <f t="shared" si="1"/>
        <v>1.0735642000439811</v>
      </c>
      <c r="BF15" s="319">
        <f t="shared" si="1"/>
        <v>1.0755714961868639</v>
      </c>
      <c r="BG15" s="319">
        <f t="shared" si="1"/>
        <v>1.0775825454707373</v>
      </c>
    </row>
    <row r="17" spans="2:63" s="90" customFormat="1">
      <c r="B17" s="91">
        <f ca="1">MAX(A$1:$B16)+1</f>
        <v>2</v>
      </c>
      <c r="C17" s="92" t="s">
        <v>147</v>
      </c>
    </row>
    <row r="19" spans="2:63" ht="30">
      <c r="C19" s="96" t="s">
        <v>4</v>
      </c>
      <c r="D19" s="97" t="s">
        <v>148</v>
      </c>
      <c r="E19" s="95"/>
      <c r="F19" s="97" t="s">
        <v>149</v>
      </c>
      <c r="G19" s="95"/>
      <c r="H19" s="97" t="s">
        <v>150</v>
      </c>
      <c r="I19" s="95"/>
      <c r="J19" s="97" t="s">
        <v>272</v>
      </c>
      <c r="K19" s="97" t="s">
        <v>1711</v>
      </c>
      <c r="L19" s="95"/>
      <c r="M19" s="101" t="s">
        <v>151</v>
      </c>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104" t="s">
        <v>152</v>
      </c>
      <c r="BJ19" s="95"/>
      <c r="BK19" s="102"/>
    </row>
    <row r="20" spans="2:63">
      <c r="C20" s="98">
        <f>RR!C23</f>
        <v>1</v>
      </c>
      <c r="D20" s="98" t="str">
        <f>RR!E23</f>
        <v>1 - 1</v>
      </c>
      <c r="F20" s="93" t="str">
        <f>INDEX(RR!K:K,MATCH(D20,RR!E:E,0))</f>
        <v>backup</v>
      </c>
      <c r="H20" s="72" t="s">
        <v>147</v>
      </c>
      <c r="J20" s="1324">
        <f>INDEX(AA!E:E,MATCH($C20,AA!C:C,0))</f>
        <v>1</v>
      </c>
      <c r="K20" s="1324">
        <f>INDEX(AA!$T$13:$T$47,MATCH($C20,AA!$C$13:$C$47,0))</f>
        <v>1</v>
      </c>
      <c r="M20" s="1324">
        <f>INDEX(AA!AA:AA,MATCH($C20,AA!C:C,0))</f>
        <v>12</v>
      </c>
      <c r="T20" s="230">
        <f>(T$5&lt;=$M20)*$J20*(T$5&gt;=$K20)</f>
        <v>1</v>
      </c>
      <c r="U20" s="230">
        <f t="shared" ref="U20:AJ22" si="2">(U$5&lt;=$M20)*$J20*(U$5&gt;=$K20)</f>
        <v>1</v>
      </c>
      <c r="V20" s="230">
        <f t="shared" si="2"/>
        <v>1</v>
      </c>
      <c r="W20" s="230">
        <f t="shared" si="2"/>
        <v>1</v>
      </c>
      <c r="X20" s="230">
        <f t="shared" si="2"/>
        <v>1</v>
      </c>
      <c r="Y20" s="230">
        <f t="shared" si="2"/>
        <v>1</v>
      </c>
      <c r="Z20" s="230">
        <f t="shared" si="2"/>
        <v>1</v>
      </c>
      <c r="AA20" s="230">
        <f t="shared" si="2"/>
        <v>1</v>
      </c>
      <c r="AB20" s="230">
        <f t="shared" si="2"/>
        <v>1</v>
      </c>
      <c r="AC20" s="230">
        <f t="shared" si="2"/>
        <v>1</v>
      </c>
      <c r="AD20" s="230">
        <f t="shared" si="2"/>
        <v>1</v>
      </c>
      <c r="AE20" s="230">
        <f t="shared" si="2"/>
        <v>1</v>
      </c>
      <c r="AF20" s="230">
        <f t="shared" si="2"/>
        <v>0</v>
      </c>
      <c r="AG20" s="230">
        <f t="shared" si="2"/>
        <v>0</v>
      </c>
      <c r="AH20" s="230">
        <f t="shared" si="2"/>
        <v>0</v>
      </c>
      <c r="AI20" s="230">
        <f t="shared" si="2"/>
        <v>0</v>
      </c>
      <c r="AJ20" s="230">
        <f t="shared" si="2"/>
        <v>0</v>
      </c>
      <c r="AK20" s="230">
        <f t="shared" ref="AK20:AZ22" si="3">(AK$5&lt;=$M20)*$J20*(AK$5&gt;=$K20)</f>
        <v>0</v>
      </c>
      <c r="AL20" s="230">
        <f t="shared" si="3"/>
        <v>0</v>
      </c>
      <c r="AM20" s="230">
        <f t="shared" si="3"/>
        <v>0</v>
      </c>
      <c r="AN20" s="230">
        <f t="shared" si="3"/>
        <v>0</v>
      </c>
      <c r="AO20" s="230">
        <f t="shared" si="3"/>
        <v>0</v>
      </c>
      <c r="AP20" s="230">
        <f t="shared" si="3"/>
        <v>0</v>
      </c>
      <c r="AQ20" s="230">
        <f t="shared" si="3"/>
        <v>0</v>
      </c>
      <c r="AR20" s="230">
        <f t="shared" si="3"/>
        <v>0</v>
      </c>
      <c r="AS20" s="230">
        <f t="shared" si="3"/>
        <v>0</v>
      </c>
      <c r="AT20" s="230">
        <f t="shared" si="3"/>
        <v>0</v>
      </c>
      <c r="AU20" s="230">
        <f t="shared" si="3"/>
        <v>0</v>
      </c>
      <c r="AV20" s="230">
        <f t="shared" si="3"/>
        <v>0</v>
      </c>
      <c r="AW20" s="230">
        <f t="shared" si="3"/>
        <v>0</v>
      </c>
      <c r="AX20" s="230">
        <f t="shared" si="3"/>
        <v>0</v>
      </c>
      <c r="AY20" s="230">
        <f t="shared" si="3"/>
        <v>0</v>
      </c>
      <c r="AZ20" s="230">
        <f t="shared" si="3"/>
        <v>0</v>
      </c>
      <c r="BA20" s="230">
        <f t="shared" ref="BA20:BG22" si="4">(BA$5&lt;=$M20)*$J20*(BA$5&gt;=$K20)</f>
        <v>0</v>
      </c>
      <c r="BB20" s="230">
        <f t="shared" si="4"/>
        <v>0</v>
      </c>
      <c r="BC20" s="230">
        <f t="shared" si="4"/>
        <v>0</v>
      </c>
      <c r="BD20" s="230">
        <f t="shared" si="4"/>
        <v>0</v>
      </c>
      <c r="BE20" s="230">
        <f t="shared" si="4"/>
        <v>0</v>
      </c>
      <c r="BF20" s="230">
        <f t="shared" si="4"/>
        <v>0</v>
      </c>
      <c r="BG20" s="230">
        <f t="shared" si="4"/>
        <v>0</v>
      </c>
      <c r="BI20" s="105" t="s">
        <v>153</v>
      </c>
      <c r="BK20" s="103"/>
    </row>
    <row r="21" spans="2:63">
      <c r="C21" s="99">
        <f>RR!C24</f>
        <v>2</v>
      </c>
      <c r="D21" s="99" t="str">
        <f>RR!E24</f>
        <v>2 - 1</v>
      </c>
      <c r="F21" s="94" t="str">
        <f>INDEX(RR!K:K,MATCH(D21,RR!E:E,0))</f>
        <v>backup</v>
      </c>
      <c r="H21" s="73" t="s">
        <v>147</v>
      </c>
      <c r="J21" s="1325">
        <f>INDEX(AA!E:E,MATCH($C21,AA!C:C,0))</f>
        <v>1</v>
      </c>
      <c r="K21" s="1325">
        <f>INDEX(AA!$T$13:$T$47,MATCH($C21,AA!$C$13:$C$47,0))</f>
        <v>2</v>
      </c>
      <c r="M21" s="1325">
        <f>INDEX(AA!AA:AA,MATCH($C21,AA!C:C,0))</f>
        <v>12</v>
      </c>
      <c r="T21" s="230">
        <f t="shared" ref="T21:T22" si="5">(T$5&lt;=$M21)*$J21*(T$5&gt;=$K21)</f>
        <v>0</v>
      </c>
      <c r="U21" s="230">
        <f t="shared" si="2"/>
        <v>1</v>
      </c>
      <c r="V21" s="230">
        <f t="shared" si="2"/>
        <v>1</v>
      </c>
      <c r="W21" s="230">
        <f t="shared" si="2"/>
        <v>1</v>
      </c>
      <c r="X21" s="230">
        <f t="shared" si="2"/>
        <v>1</v>
      </c>
      <c r="Y21" s="230">
        <f t="shared" si="2"/>
        <v>1</v>
      </c>
      <c r="Z21" s="230">
        <f t="shared" si="2"/>
        <v>1</v>
      </c>
      <c r="AA21" s="230">
        <f t="shared" si="2"/>
        <v>1</v>
      </c>
      <c r="AB21" s="230">
        <f t="shared" si="2"/>
        <v>1</v>
      </c>
      <c r="AC21" s="230">
        <f t="shared" si="2"/>
        <v>1</v>
      </c>
      <c r="AD21" s="230">
        <f t="shared" si="2"/>
        <v>1</v>
      </c>
      <c r="AE21" s="230">
        <f t="shared" si="2"/>
        <v>1</v>
      </c>
      <c r="AF21" s="230">
        <f t="shared" si="2"/>
        <v>0</v>
      </c>
      <c r="AG21" s="230">
        <f t="shared" si="2"/>
        <v>0</v>
      </c>
      <c r="AH21" s="230">
        <f t="shared" si="2"/>
        <v>0</v>
      </c>
      <c r="AI21" s="230">
        <f t="shared" si="2"/>
        <v>0</v>
      </c>
      <c r="AJ21" s="230">
        <f t="shared" si="2"/>
        <v>0</v>
      </c>
      <c r="AK21" s="230">
        <f t="shared" si="3"/>
        <v>0</v>
      </c>
      <c r="AL21" s="230">
        <f t="shared" si="3"/>
        <v>0</v>
      </c>
      <c r="AM21" s="230">
        <f t="shared" si="3"/>
        <v>0</v>
      </c>
      <c r="AN21" s="230">
        <f t="shared" si="3"/>
        <v>0</v>
      </c>
      <c r="AO21" s="230">
        <f t="shared" si="3"/>
        <v>0</v>
      </c>
      <c r="AP21" s="230">
        <f t="shared" si="3"/>
        <v>0</v>
      </c>
      <c r="AQ21" s="230">
        <f t="shared" si="3"/>
        <v>0</v>
      </c>
      <c r="AR21" s="230">
        <f t="shared" si="3"/>
        <v>0</v>
      </c>
      <c r="AS21" s="230">
        <f t="shared" si="3"/>
        <v>0</v>
      </c>
      <c r="AT21" s="230">
        <f t="shared" si="3"/>
        <v>0</v>
      </c>
      <c r="AU21" s="230">
        <f t="shared" si="3"/>
        <v>0</v>
      </c>
      <c r="AV21" s="230">
        <f t="shared" si="3"/>
        <v>0</v>
      </c>
      <c r="AW21" s="230">
        <f t="shared" si="3"/>
        <v>0</v>
      </c>
      <c r="AX21" s="230">
        <f t="shared" si="3"/>
        <v>0</v>
      </c>
      <c r="AY21" s="230">
        <f t="shared" si="3"/>
        <v>0</v>
      </c>
      <c r="AZ21" s="230">
        <f t="shared" si="3"/>
        <v>0</v>
      </c>
      <c r="BA21" s="230">
        <f t="shared" si="4"/>
        <v>0</v>
      </c>
      <c r="BB21" s="230">
        <f t="shared" si="4"/>
        <v>0</v>
      </c>
      <c r="BC21" s="230">
        <f t="shared" si="4"/>
        <v>0</v>
      </c>
      <c r="BD21" s="230">
        <f t="shared" si="4"/>
        <v>0</v>
      </c>
      <c r="BE21" s="230">
        <f t="shared" si="4"/>
        <v>0</v>
      </c>
      <c r="BF21" s="230">
        <f t="shared" si="4"/>
        <v>0</v>
      </c>
      <c r="BG21" s="230">
        <f t="shared" si="4"/>
        <v>0</v>
      </c>
      <c r="BI21" s="106" t="s">
        <v>153</v>
      </c>
      <c r="BK21" s="103"/>
    </row>
    <row r="22" spans="2:63">
      <c r="C22" s="99">
        <f>RR!C25</f>
        <v>3</v>
      </c>
      <c r="D22" s="99" t="str">
        <f>RR!E25</f>
        <v>3 - 1</v>
      </c>
      <c r="F22" s="94" t="str">
        <f>INDEX(RR!K:K,MATCH(D22,RR!E:E,0))</f>
        <v>backup</v>
      </c>
      <c r="H22" s="73" t="s">
        <v>147</v>
      </c>
      <c r="J22" s="1325">
        <f>INDEX(AA!E:E,MATCH($C22,AA!C:C,0))</f>
        <v>1</v>
      </c>
      <c r="K22" s="1325">
        <f>INDEX(AA!$T$13:$T$47,MATCH($C22,AA!$C$13:$C$47,0))</f>
        <v>3</v>
      </c>
      <c r="M22" s="1325">
        <f>INDEX(AA!AA:AA,MATCH($C22,AA!C:C,0))</f>
        <v>12</v>
      </c>
      <c r="T22" s="230">
        <f t="shared" si="5"/>
        <v>0</v>
      </c>
      <c r="U22" s="230">
        <f t="shared" si="2"/>
        <v>0</v>
      </c>
      <c r="V22" s="230">
        <f t="shared" si="2"/>
        <v>1</v>
      </c>
      <c r="W22" s="230">
        <f t="shared" si="2"/>
        <v>1</v>
      </c>
      <c r="X22" s="230">
        <f t="shared" si="2"/>
        <v>1</v>
      </c>
      <c r="Y22" s="230">
        <f t="shared" si="2"/>
        <v>1</v>
      </c>
      <c r="Z22" s="230">
        <f t="shared" si="2"/>
        <v>1</v>
      </c>
      <c r="AA22" s="230">
        <f t="shared" si="2"/>
        <v>1</v>
      </c>
      <c r="AB22" s="230">
        <f t="shared" si="2"/>
        <v>1</v>
      </c>
      <c r="AC22" s="230">
        <f t="shared" si="2"/>
        <v>1</v>
      </c>
      <c r="AD22" s="230">
        <f t="shared" si="2"/>
        <v>1</v>
      </c>
      <c r="AE22" s="230">
        <f t="shared" si="2"/>
        <v>1</v>
      </c>
      <c r="AF22" s="230">
        <f t="shared" si="2"/>
        <v>0</v>
      </c>
      <c r="AG22" s="230">
        <f t="shared" si="2"/>
        <v>0</v>
      </c>
      <c r="AH22" s="230">
        <f t="shared" si="2"/>
        <v>0</v>
      </c>
      <c r="AI22" s="230">
        <f t="shared" si="2"/>
        <v>0</v>
      </c>
      <c r="AJ22" s="230">
        <f t="shared" si="2"/>
        <v>0</v>
      </c>
      <c r="AK22" s="230">
        <f t="shared" si="3"/>
        <v>0</v>
      </c>
      <c r="AL22" s="230">
        <f t="shared" si="3"/>
        <v>0</v>
      </c>
      <c r="AM22" s="230">
        <f t="shared" si="3"/>
        <v>0</v>
      </c>
      <c r="AN22" s="230">
        <f t="shared" si="3"/>
        <v>0</v>
      </c>
      <c r="AO22" s="230">
        <f t="shared" si="3"/>
        <v>0</v>
      </c>
      <c r="AP22" s="230">
        <f t="shared" si="3"/>
        <v>0</v>
      </c>
      <c r="AQ22" s="230">
        <f t="shared" si="3"/>
        <v>0</v>
      </c>
      <c r="AR22" s="230">
        <f t="shared" si="3"/>
        <v>0</v>
      </c>
      <c r="AS22" s="230">
        <f t="shared" si="3"/>
        <v>0</v>
      </c>
      <c r="AT22" s="230">
        <f t="shared" si="3"/>
        <v>0</v>
      </c>
      <c r="AU22" s="230">
        <f t="shared" si="3"/>
        <v>0</v>
      </c>
      <c r="AV22" s="230">
        <f t="shared" si="3"/>
        <v>0</v>
      </c>
      <c r="AW22" s="230">
        <f t="shared" si="3"/>
        <v>0</v>
      </c>
      <c r="AX22" s="230">
        <f t="shared" si="3"/>
        <v>0</v>
      </c>
      <c r="AY22" s="230">
        <f t="shared" si="3"/>
        <v>0</v>
      </c>
      <c r="AZ22" s="230">
        <f t="shared" si="3"/>
        <v>0</v>
      </c>
      <c r="BA22" s="230">
        <f t="shared" si="4"/>
        <v>0</v>
      </c>
      <c r="BB22" s="230">
        <f t="shared" si="4"/>
        <v>0</v>
      </c>
      <c r="BC22" s="230">
        <f t="shared" si="4"/>
        <v>0</v>
      </c>
      <c r="BD22" s="230">
        <f t="shared" si="4"/>
        <v>0</v>
      </c>
      <c r="BE22" s="230">
        <f t="shared" si="4"/>
        <v>0</v>
      </c>
      <c r="BF22" s="230">
        <f t="shared" si="4"/>
        <v>0</v>
      </c>
      <c r="BG22" s="230">
        <f t="shared" si="4"/>
        <v>0</v>
      </c>
      <c r="BI22" s="106" t="s">
        <v>153</v>
      </c>
      <c r="BK22" s="103"/>
    </row>
    <row r="23" spans="2:63">
      <c r="C23" s="269"/>
      <c r="D23" s="269"/>
      <c r="F23" s="269"/>
      <c r="H23" s="269"/>
      <c r="J23" s="269"/>
      <c r="M23" s="269"/>
      <c r="BI23" s="269"/>
      <c r="BK23" s="269"/>
    </row>
    <row r="25" spans="2:63" s="90" customFormat="1">
      <c r="B25" s="91">
        <f ca="1">MAX(A$1:$B24)+1</f>
        <v>3</v>
      </c>
      <c r="C25" s="92" t="s">
        <v>154</v>
      </c>
    </row>
    <row r="27" spans="2:63">
      <c r="M27" s="226" t="s">
        <v>362</v>
      </c>
      <c r="N27" s="225"/>
    </row>
    <row r="28" spans="2:63" ht="30">
      <c r="C28" s="96" t="s">
        <v>4</v>
      </c>
      <c r="D28" s="97" t="s">
        <v>148</v>
      </c>
      <c r="E28" s="95"/>
      <c r="F28" s="97" t="s">
        <v>149</v>
      </c>
      <c r="G28" s="95"/>
      <c r="H28" s="97" t="s">
        <v>150</v>
      </c>
      <c r="I28" s="95"/>
      <c r="J28" s="97" t="s">
        <v>272</v>
      </c>
      <c r="K28" s="97" t="s">
        <v>273</v>
      </c>
      <c r="M28" s="96" t="s">
        <v>245</v>
      </c>
      <c r="N28" s="101" t="s">
        <v>11</v>
      </c>
      <c r="BI28" s="104" t="s">
        <v>152</v>
      </c>
      <c r="BJ28" s="95"/>
      <c r="BK28" s="102"/>
    </row>
    <row r="29" spans="2:63">
      <c r="C29" s="98">
        <f>RR!C23</f>
        <v>1</v>
      </c>
      <c r="D29" s="98" t="str">
        <f>RR!E23</f>
        <v>1 - 1</v>
      </c>
      <c r="F29" s="93" t="str">
        <f>INDEX(RR!K:K,MATCH(D29,RR!E:E,0))</f>
        <v>backup</v>
      </c>
      <c r="H29" s="72" t="s">
        <v>154</v>
      </c>
      <c r="J29" s="1324">
        <f>INDEX(AA!E:E,MATCH($C29,AA!C:C,0))</f>
        <v>1</v>
      </c>
      <c r="K29" s="1324">
        <f>INDEX(TA!$G:$G,MATCH($D29,TA!$D:$D,0))</f>
        <v>1</v>
      </c>
      <c r="M29" s="285">
        <f>INDEX(TA!$CQ$15:$CQ$17,MATCH($D29,TA!$D$15:$D$17,0))</f>
        <v>1</v>
      </c>
      <c r="N29" s="286">
        <f>INDEX(TA!$CK$15:$CK$17,MATCH($D29,TA!$D$15:$D$17,0))</f>
        <v>50771</v>
      </c>
      <c r="T29" s="230">
        <f>$M29*$J29*$K29*IFERROR(MAX(MIN((T$4-$N29+1)/T$7,1),0),0)</f>
        <v>0</v>
      </c>
      <c r="U29" s="230">
        <f t="shared" ref="U29:BG30" si="6">$M29*$J29*$K29*IFERROR(MAX(MIN((U$4-$N29+1)/U$7,1),0),0)</f>
        <v>0</v>
      </c>
      <c r="V29" s="230">
        <f t="shared" si="6"/>
        <v>0</v>
      </c>
      <c r="W29" s="230">
        <f t="shared" si="6"/>
        <v>0</v>
      </c>
      <c r="X29" s="230">
        <f t="shared" si="6"/>
        <v>0</v>
      </c>
      <c r="Y29" s="230">
        <f t="shared" si="6"/>
        <v>0</v>
      </c>
      <c r="Z29" s="230">
        <f t="shared" si="6"/>
        <v>0</v>
      </c>
      <c r="AA29" s="230">
        <f t="shared" si="6"/>
        <v>0</v>
      </c>
      <c r="AB29" s="230">
        <f t="shared" si="6"/>
        <v>0</v>
      </c>
      <c r="AC29" s="230">
        <f t="shared" si="6"/>
        <v>0</v>
      </c>
      <c r="AD29" s="230">
        <f t="shared" si="6"/>
        <v>0</v>
      </c>
      <c r="AE29" s="230">
        <f t="shared" si="6"/>
        <v>0</v>
      </c>
      <c r="AF29" s="230">
        <f t="shared" si="6"/>
        <v>0</v>
      </c>
      <c r="AG29" s="230">
        <f t="shared" si="6"/>
        <v>0</v>
      </c>
      <c r="AH29" s="230">
        <f t="shared" si="6"/>
        <v>0</v>
      </c>
      <c r="AI29" s="230">
        <f t="shared" si="6"/>
        <v>0</v>
      </c>
      <c r="AJ29" s="230">
        <f t="shared" si="6"/>
        <v>0</v>
      </c>
      <c r="AK29" s="230">
        <f t="shared" si="6"/>
        <v>0</v>
      </c>
      <c r="AL29" s="230">
        <f t="shared" si="6"/>
        <v>0</v>
      </c>
      <c r="AM29" s="230">
        <f t="shared" si="6"/>
        <v>0</v>
      </c>
      <c r="AN29" s="230">
        <f t="shared" si="6"/>
        <v>0</v>
      </c>
      <c r="AO29" s="230">
        <f t="shared" si="6"/>
        <v>0</v>
      </c>
      <c r="AP29" s="230">
        <f t="shared" si="6"/>
        <v>0</v>
      </c>
      <c r="AQ29" s="230">
        <f t="shared" si="6"/>
        <v>0</v>
      </c>
      <c r="AR29" s="230">
        <f t="shared" si="6"/>
        <v>0</v>
      </c>
      <c r="AS29" s="230">
        <f t="shared" si="6"/>
        <v>0</v>
      </c>
      <c r="AT29" s="230">
        <f t="shared" si="6"/>
        <v>0</v>
      </c>
      <c r="AU29" s="230">
        <f t="shared" si="6"/>
        <v>0</v>
      </c>
      <c r="AV29" s="230">
        <f t="shared" si="6"/>
        <v>0</v>
      </c>
      <c r="AW29" s="230">
        <f t="shared" si="6"/>
        <v>0</v>
      </c>
      <c r="AX29" s="230">
        <f t="shared" si="6"/>
        <v>0</v>
      </c>
      <c r="AY29" s="230">
        <f t="shared" si="6"/>
        <v>0</v>
      </c>
      <c r="AZ29" s="230">
        <f t="shared" si="6"/>
        <v>0</v>
      </c>
      <c r="BA29" s="230">
        <f t="shared" si="6"/>
        <v>0</v>
      </c>
      <c r="BB29" s="230">
        <f t="shared" si="6"/>
        <v>0</v>
      </c>
      <c r="BC29" s="230">
        <f t="shared" si="6"/>
        <v>0</v>
      </c>
      <c r="BD29" s="230">
        <f t="shared" si="6"/>
        <v>0</v>
      </c>
      <c r="BE29" s="230">
        <f t="shared" si="6"/>
        <v>0</v>
      </c>
      <c r="BF29" s="230">
        <f t="shared" si="6"/>
        <v>0</v>
      </c>
      <c r="BG29" s="230">
        <f t="shared" si="6"/>
        <v>0</v>
      </c>
      <c r="BI29" s="105" t="s">
        <v>153</v>
      </c>
      <c r="BK29" s="103"/>
    </row>
    <row r="30" spans="2:63">
      <c r="C30" s="99">
        <f>RR!C24</f>
        <v>2</v>
      </c>
      <c r="D30" s="99" t="str">
        <f>RR!E24</f>
        <v>2 - 1</v>
      </c>
      <c r="F30" s="94" t="str">
        <f>INDEX(RR!K:K,MATCH(D30,RR!E:E,0))</f>
        <v>backup</v>
      </c>
      <c r="H30" s="73" t="s">
        <v>154</v>
      </c>
      <c r="J30" s="1325">
        <f>INDEX(AA!E:E,MATCH($C30,AA!C:C,0))</f>
        <v>1</v>
      </c>
      <c r="K30" s="1325">
        <f>INDEX(TA!$G:$G,MATCH($D30,TA!$D:$D,0))</f>
        <v>1</v>
      </c>
      <c r="M30" s="287">
        <f>INDEX(TA!$CQ$15:$CQ$17,MATCH($D30,TA!$D$15:$D$17,0))</f>
        <v>1</v>
      </c>
      <c r="N30" s="288">
        <f>INDEX(TA!$CK$15:$CK$17,MATCH($D30,TA!$D$15:$D$17,0))</f>
        <v>50771</v>
      </c>
      <c r="T30" s="230">
        <f t="shared" ref="T30:AI31" si="7">$M30*$J30*$K30*IFERROR(MAX(MIN((T$4-$N30+1)/T$7,1),0),0)</f>
        <v>0</v>
      </c>
      <c r="U30" s="230">
        <f t="shared" si="7"/>
        <v>0</v>
      </c>
      <c r="V30" s="230">
        <f t="shared" si="7"/>
        <v>0</v>
      </c>
      <c r="W30" s="230">
        <f t="shared" si="7"/>
        <v>0</v>
      </c>
      <c r="X30" s="230">
        <f t="shared" si="7"/>
        <v>0</v>
      </c>
      <c r="Y30" s="230">
        <f t="shared" si="7"/>
        <v>0</v>
      </c>
      <c r="Z30" s="230">
        <f t="shared" si="7"/>
        <v>0</v>
      </c>
      <c r="AA30" s="230">
        <f t="shared" si="7"/>
        <v>0</v>
      </c>
      <c r="AB30" s="230">
        <f t="shared" si="7"/>
        <v>0</v>
      </c>
      <c r="AC30" s="230">
        <f t="shared" si="7"/>
        <v>0</v>
      </c>
      <c r="AD30" s="230">
        <f t="shared" si="7"/>
        <v>0</v>
      </c>
      <c r="AE30" s="230">
        <f t="shared" si="7"/>
        <v>0</v>
      </c>
      <c r="AF30" s="230">
        <f t="shared" si="7"/>
        <v>0</v>
      </c>
      <c r="AG30" s="230">
        <f t="shared" si="7"/>
        <v>0</v>
      </c>
      <c r="AH30" s="230">
        <f t="shared" si="7"/>
        <v>0</v>
      </c>
      <c r="AI30" s="230">
        <f t="shared" si="7"/>
        <v>0</v>
      </c>
      <c r="AJ30" s="230">
        <f t="shared" si="6"/>
        <v>0</v>
      </c>
      <c r="AK30" s="230">
        <f t="shared" si="6"/>
        <v>0</v>
      </c>
      <c r="AL30" s="230">
        <f t="shared" si="6"/>
        <v>0</v>
      </c>
      <c r="AM30" s="230">
        <f t="shared" si="6"/>
        <v>0</v>
      </c>
      <c r="AN30" s="230">
        <f t="shared" si="6"/>
        <v>0</v>
      </c>
      <c r="AO30" s="230">
        <f t="shared" si="6"/>
        <v>0</v>
      </c>
      <c r="AP30" s="230">
        <f t="shared" si="6"/>
        <v>0</v>
      </c>
      <c r="AQ30" s="230">
        <f t="shared" si="6"/>
        <v>0</v>
      </c>
      <c r="AR30" s="230">
        <f t="shared" si="6"/>
        <v>0</v>
      </c>
      <c r="AS30" s="230">
        <f t="shared" si="6"/>
        <v>0</v>
      </c>
      <c r="AT30" s="230">
        <f t="shared" si="6"/>
        <v>0</v>
      </c>
      <c r="AU30" s="230">
        <f t="shared" si="6"/>
        <v>0</v>
      </c>
      <c r="AV30" s="230">
        <f t="shared" si="6"/>
        <v>0</v>
      </c>
      <c r="AW30" s="230">
        <f t="shared" si="6"/>
        <v>0</v>
      </c>
      <c r="AX30" s="230">
        <f t="shared" si="6"/>
        <v>0</v>
      </c>
      <c r="AY30" s="230">
        <f t="shared" si="6"/>
        <v>0</v>
      </c>
      <c r="AZ30" s="230">
        <f t="shared" si="6"/>
        <v>0</v>
      </c>
      <c r="BA30" s="230">
        <f t="shared" si="6"/>
        <v>0</v>
      </c>
      <c r="BB30" s="230">
        <f t="shared" si="6"/>
        <v>0</v>
      </c>
      <c r="BC30" s="230">
        <f t="shared" si="6"/>
        <v>0</v>
      </c>
      <c r="BD30" s="230">
        <f t="shared" si="6"/>
        <v>0</v>
      </c>
      <c r="BE30" s="230">
        <f t="shared" si="6"/>
        <v>0</v>
      </c>
      <c r="BF30" s="230">
        <f t="shared" si="6"/>
        <v>0</v>
      </c>
      <c r="BG30" s="230">
        <f t="shared" si="6"/>
        <v>0</v>
      </c>
      <c r="BI30" s="106" t="s">
        <v>153</v>
      </c>
      <c r="BK30" s="103"/>
    </row>
    <row r="31" spans="2:63">
      <c r="C31" s="99">
        <f>RR!C25</f>
        <v>3</v>
      </c>
      <c r="D31" s="99" t="str">
        <f>RR!E25</f>
        <v>3 - 1</v>
      </c>
      <c r="F31" s="94" t="str">
        <f>INDEX(RR!K:K,MATCH(D31,RR!E:E,0))</f>
        <v>backup</v>
      </c>
      <c r="H31" s="73" t="s">
        <v>154</v>
      </c>
      <c r="J31" s="1325">
        <f>INDEX(AA!E:E,MATCH($C31,AA!C:C,0))</f>
        <v>1</v>
      </c>
      <c r="K31" s="1325">
        <f>INDEX(TA!$G:$G,MATCH($D31,TA!$D:$D,0))</f>
        <v>1</v>
      </c>
      <c r="M31" s="287">
        <f>INDEX(TA!$CQ$15:$CQ$17,MATCH($D31,TA!$D$15:$D$17,0))</f>
        <v>1</v>
      </c>
      <c r="N31" s="288">
        <f>INDEX(TA!$CK$15:$CK$17,MATCH($D31,TA!$D$15:$D$17,0))</f>
        <v>50771</v>
      </c>
      <c r="T31" s="230">
        <f t="shared" si="7"/>
        <v>0</v>
      </c>
      <c r="U31" s="230">
        <f t="shared" si="7"/>
        <v>0</v>
      </c>
      <c r="V31" s="230">
        <f t="shared" si="7"/>
        <v>0</v>
      </c>
      <c r="W31" s="230">
        <f t="shared" si="7"/>
        <v>0</v>
      </c>
      <c r="X31" s="230">
        <f t="shared" si="7"/>
        <v>0</v>
      </c>
      <c r="Y31" s="230">
        <f t="shared" si="7"/>
        <v>0</v>
      </c>
      <c r="Z31" s="230">
        <f t="shared" si="7"/>
        <v>0</v>
      </c>
      <c r="AA31" s="230">
        <f t="shared" si="7"/>
        <v>0</v>
      </c>
      <c r="AB31" s="230">
        <f t="shared" si="7"/>
        <v>0</v>
      </c>
      <c r="AC31" s="230">
        <f t="shared" si="7"/>
        <v>0</v>
      </c>
      <c r="AD31" s="230">
        <f t="shared" si="7"/>
        <v>0</v>
      </c>
      <c r="AE31" s="230">
        <f t="shared" si="7"/>
        <v>0</v>
      </c>
      <c r="AF31" s="230">
        <f t="shared" si="7"/>
        <v>0</v>
      </c>
      <c r="AG31" s="230">
        <f t="shared" si="7"/>
        <v>0</v>
      </c>
      <c r="AH31" s="230">
        <f t="shared" si="7"/>
        <v>0</v>
      </c>
      <c r="AI31" s="230">
        <f t="shared" si="7"/>
        <v>0</v>
      </c>
      <c r="AJ31" s="230">
        <f t="shared" ref="AJ31:AY31" si="8">$M31*$J31*$K31*IFERROR(MAX(MIN((AJ$4-$N31+1)/AJ$7,1),0),0)</f>
        <v>0</v>
      </c>
      <c r="AK31" s="230">
        <f t="shared" si="8"/>
        <v>0</v>
      </c>
      <c r="AL31" s="230">
        <f t="shared" si="8"/>
        <v>0</v>
      </c>
      <c r="AM31" s="230">
        <f t="shared" si="8"/>
        <v>0</v>
      </c>
      <c r="AN31" s="230">
        <f t="shared" si="8"/>
        <v>0</v>
      </c>
      <c r="AO31" s="230">
        <f t="shared" si="8"/>
        <v>0</v>
      </c>
      <c r="AP31" s="230">
        <f t="shared" si="8"/>
        <v>0</v>
      </c>
      <c r="AQ31" s="230">
        <f t="shared" si="8"/>
        <v>0</v>
      </c>
      <c r="AR31" s="230">
        <f t="shared" si="8"/>
        <v>0</v>
      </c>
      <c r="AS31" s="230">
        <f t="shared" si="8"/>
        <v>0</v>
      </c>
      <c r="AT31" s="230">
        <f t="shared" si="8"/>
        <v>0</v>
      </c>
      <c r="AU31" s="230">
        <f t="shared" si="8"/>
        <v>0</v>
      </c>
      <c r="AV31" s="230">
        <f t="shared" si="8"/>
        <v>0</v>
      </c>
      <c r="AW31" s="230">
        <f t="shared" si="8"/>
        <v>0</v>
      </c>
      <c r="AX31" s="230">
        <f t="shared" si="8"/>
        <v>0</v>
      </c>
      <c r="AY31" s="230">
        <f t="shared" si="8"/>
        <v>0</v>
      </c>
      <c r="AZ31" s="230">
        <f t="shared" ref="AZ31:BG31" si="9">$M31*$J31*$K31*IFERROR(MAX(MIN((AZ$4-$N31+1)/AZ$7,1),0),0)</f>
        <v>0</v>
      </c>
      <c r="BA31" s="230">
        <f t="shared" si="9"/>
        <v>0</v>
      </c>
      <c r="BB31" s="230">
        <f t="shared" si="9"/>
        <v>0</v>
      </c>
      <c r="BC31" s="230">
        <f t="shared" si="9"/>
        <v>0</v>
      </c>
      <c r="BD31" s="230">
        <f t="shared" si="9"/>
        <v>0</v>
      </c>
      <c r="BE31" s="230">
        <f t="shared" si="9"/>
        <v>0</v>
      </c>
      <c r="BF31" s="230">
        <f t="shared" si="9"/>
        <v>0</v>
      </c>
      <c r="BG31" s="230">
        <f t="shared" si="9"/>
        <v>0</v>
      </c>
      <c r="BI31" s="106" t="s">
        <v>153</v>
      </c>
      <c r="BK31" s="103"/>
    </row>
    <row r="32" spans="2:63">
      <c r="C32" s="269"/>
      <c r="D32" s="269"/>
      <c r="F32" s="269"/>
      <c r="H32" s="269"/>
      <c r="J32" s="269"/>
      <c r="K32" s="269"/>
      <c r="M32" s="269"/>
      <c r="N32" s="269"/>
      <c r="BI32" s="269"/>
      <c r="BK32" s="269"/>
    </row>
    <row r="34" spans="2:63" s="90" customFormat="1">
      <c r="B34" s="91">
        <f ca="1">MAX(A$1:$B33)+1</f>
        <v>4</v>
      </c>
      <c r="C34" s="92" t="s">
        <v>296</v>
      </c>
    </row>
    <row r="36" spans="2:63">
      <c r="M36" s="226" t="s">
        <v>362</v>
      </c>
      <c r="N36" s="225"/>
    </row>
    <row r="37" spans="2:63" ht="30">
      <c r="C37" s="96" t="s">
        <v>4</v>
      </c>
      <c r="D37" s="97" t="s">
        <v>148</v>
      </c>
      <c r="E37" s="95"/>
      <c r="F37" s="97" t="s">
        <v>149</v>
      </c>
      <c r="G37" s="95"/>
      <c r="H37" s="97" t="s">
        <v>150</v>
      </c>
      <c r="I37" s="95"/>
      <c r="J37" s="97" t="s">
        <v>272</v>
      </c>
      <c r="K37" s="97" t="s">
        <v>273</v>
      </c>
      <c r="M37" s="96" t="s">
        <v>245</v>
      </c>
      <c r="N37" s="101" t="s">
        <v>319</v>
      </c>
      <c r="BI37" s="104" t="s">
        <v>152</v>
      </c>
      <c r="BJ37" s="95"/>
      <c r="BK37" s="102"/>
    </row>
    <row r="38" spans="2:63">
      <c r="C38" s="98">
        <f>RR!C23</f>
        <v>1</v>
      </c>
      <c r="D38" s="98" t="str">
        <f>RR!E23</f>
        <v>1 - 1</v>
      </c>
      <c r="F38" s="93" t="str">
        <f>INDEX(RR!K:K,MATCH(D38,RR!E:E,0))</f>
        <v>backup</v>
      </c>
      <c r="H38" s="72" t="s">
        <v>296</v>
      </c>
      <c r="J38" s="1324">
        <f>INDEX(AA!E:E,MATCH($C38,AA!C:C,0))</f>
        <v>1</v>
      </c>
      <c r="K38" s="1324">
        <f>INDEX(TA!$G:$G,MATCH($D38,TA!$D:$D,0))</f>
        <v>1</v>
      </c>
      <c r="M38" s="285">
        <f>INDEX(TA!$CQ$15:$CQ$17,MATCH($D38,TA!$D$15:$D$17,0))</f>
        <v>1</v>
      </c>
      <c r="N38" s="286">
        <f>INDEX(TA!$CX$15:$CX$17,MATCH($D38,TA!$D$15:$D$17,0))</f>
        <v>50952</v>
      </c>
      <c r="T38" s="230">
        <f>$M38*$J38*$K38*IFERROR(MAX(MIN((T$4-$N38+1)/T$7,1),0),0)</f>
        <v>0</v>
      </c>
      <c r="U38" s="230">
        <f t="shared" ref="U38:BG39" si="10">$M38*$J38*$K38*IFERROR(MAX(MIN((U$4-$N38+1)/U$7,1),0),0)</f>
        <v>0</v>
      </c>
      <c r="V38" s="230">
        <f t="shared" si="10"/>
        <v>0</v>
      </c>
      <c r="W38" s="230">
        <f t="shared" si="10"/>
        <v>0</v>
      </c>
      <c r="X38" s="230">
        <f t="shared" si="10"/>
        <v>0</v>
      </c>
      <c r="Y38" s="230">
        <f t="shared" si="10"/>
        <v>0</v>
      </c>
      <c r="Z38" s="230">
        <f t="shared" si="10"/>
        <v>0</v>
      </c>
      <c r="AA38" s="230">
        <f t="shared" si="10"/>
        <v>0</v>
      </c>
      <c r="AB38" s="230">
        <f t="shared" si="10"/>
        <v>0</v>
      </c>
      <c r="AC38" s="230">
        <f t="shared" si="10"/>
        <v>0</v>
      </c>
      <c r="AD38" s="230">
        <f t="shared" si="10"/>
        <v>0</v>
      </c>
      <c r="AE38" s="230">
        <f t="shared" si="10"/>
        <v>0</v>
      </c>
      <c r="AF38" s="230">
        <f t="shared" si="10"/>
        <v>0</v>
      </c>
      <c r="AG38" s="230">
        <f t="shared" si="10"/>
        <v>0</v>
      </c>
      <c r="AH38" s="230">
        <f t="shared" si="10"/>
        <v>0</v>
      </c>
      <c r="AI38" s="230">
        <f t="shared" si="10"/>
        <v>0</v>
      </c>
      <c r="AJ38" s="230">
        <f t="shared" si="10"/>
        <v>0</v>
      </c>
      <c r="AK38" s="230">
        <f t="shared" si="10"/>
        <v>0</v>
      </c>
      <c r="AL38" s="230">
        <f t="shared" si="10"/>
        <v>0</v>
      </c>
      <c r="AM38" s="230">
        <f t="shared" si="10"/>
        <v>0</v>
      </c>
      <c r="AN38" s="230">
        <f t="shared" si="10"/>
        <v>0</v>
      </c>
      <c r="AO38" s="230">
        <f t="shared" si="10"/>
        <v>0</v>
      </c>
      <c r="AP38" s="230">
        <f t="shared" si="10"/>
        <v>0</v>
      </c>
      <c r="AQ38" s="230">
        <f t="shared" si="10"/>
        <v>0</v>
      </c>
      <c r="AR38" s="230">
        <f t="shared" si="10"/>
        <v>0</v>
      </c>
      <c r="AS38" s="230">
        <f t="shared" si="10"/>
        <v>0</v>
      </c>
      <c r="AT38" s="230">
        <f t="shared" si="10"/>
        <v>0</v>
      </c>
      <c r="AU38" s="230">
        <f t="shared" si="10"/>
        <v>0</v>
      </c>
      <c r="AV38" s="230">
        <f t="shared" si="10"/>
        <v>0</v>
      </c>
      <c r="AW38" s="230">
        <f t="shared" si="10"/>
        <v>0</v>
      </c>
      <c r="AX38" s="230">
        <f t="shared" si="10"/>
        <v>0</v>
      </c>
      <c r="AY38" s="230">
        <f t="shared" si="10"/>
        <v>0</v>
      </c>
      <c r="AZ38" s="230">
        <f t="shared" si="10"/>
        <v>0</v>
      </c>
      <c r="BA38" s="230">
        <f t="shared" si="10"/>
        <v>0</v>
      </c>
      <c r="BB38" s="230">
        <f t="shared" si="10"/>
        <v>0</v>
      </c>
      <c r="BC38" s="230">
        <f t="shared" si="10"/>
        <v>0</v>
      </c>
      <c r="BD38" s="230">
        <f t="shared" si="10"/>
        <v>0</v>
      </c>
      <c r="BE38" s="230">
        <f t="shared" si="10"/>
        <v>0</v>
      </c>
      <c r="BF38" s="230">
        <f t="shared" si="10"/>
        <v>0</v>
      </c>
      <c r="BG38" s="230">
        <f t="shared" si="10"/>
        <v>0</v>
      </c>
      <c r="BI38" s="105" t="s">
        <v>153</v>
      </c>
      <c r="BK38" s="103"/>
    </row>
    <row r="39" spans="2:63">
      <c r="C39" s="99">
        <f>RR!C24</f>
        <v>2</v>
      </c>
      <c r="D39" s="99" t="str">
        <f>RR!E24</f>
        <v>2 - 1</v>
      </c>
      <c r="F39" s="94" t="str">
        <f>INDEX(RR!K:K,MATCH(D39,RR!E:E,0))</f>
        <v>backup</v>
      </c>
      <c r="H39" s="73" t="s">
        <v>296</v>
      </c>
      <c r="J39" s="1325">
        <f>INDEX(AA!E:E,MATCH($C39,AA!C:C,0))</f>
        <v>1</v>
      </c>
      <c r="K39" s="1325">
        <f>INDEX(TA!$G:$G,MATCH($D39,TA!$D:$D,0))</f>
        <v>1</v>
      </c>
      <c r="M39" s="287">
        <f>INDEX(TA!$CQ$15:$CQ$17,MATCH($D39,TA!$D$15:$D$17,0))</f>
        <v>1</v>
      </c>
      <c r="N39" s="288">
        <f>INDEX(TA!$CX$15:$CX$17,MATCH($D39,TA!$D$15:$D$17,0))</f>
        <v>50952</v>
      </c>
      <c r="T39" s="230">
        <f t="shared" ref="T39:AI40" si="11">$M39*$J39*$K39*IFERROR(MAX(MIN((T$4-$N39+1)/T$7,1),0),0)</f>
        <v>0</v>
      </c>
      <c r="U39" s="230">
        <f t="shared" si="11"/>
        <v>0</v>
      </c>
      <c r="V39" s="230">
        <f t="shared" si="11"/>
        <v>0</v>
      </c>
      <c r="W39" s="230">
        <f t="shared" si="11"/>
        <v>0</v>
      </c>
      <c r="X39" s="230">
        <f t="shared" si="11"/>
        <v>0</v>
      </c>
      <c r="Y39" s="230">
        <f t="shared" si="11"/>
        <v>0</v>
      </c>
      <c r="Z39" s="230">
        <f t="shared" si="11"/>
        <v>0</v>
      </c>
      <c r="AA39" s="230">
        <f t="shared" si="11"/>
        <v>0</v>
      </c>
      <c r="AB39" s="230">
        <f t="shared" si="11"/>
        <v>0</v>
      </c>
      <c r="AC39" s="230">
        <f t="shared" si="11"/>
        <v>0</v>
      </c>
      <c r="AD39" s="230">
        <f t="shared" si="11"/>
        <v>0</v>
      </c>
      <c r="AE39" s="230">
        <f t="shared" si="11"/>
        <v>0</v>
      </c>
      <c r="AF39" s="230">
        <f t="shared" si="11"/>
        <v>0</v>
      </c>
      <c r="AG39" s="230">
        <f t="shared" si="11"/>
        <v>0</v>
      </c>
      <c r="AH39" s="230">
        <f t="shared" si="11"/>
        <v>0</v>
      </c>
      <c r="AI39" s="230">
        <f t="shared" si="11"/>
        <v>0</v>
      </c>
      <c r="AJ39" s="230">
        <f t="shared" si="10"/>
        <v>0</v>
      </c>
      <c r="AK39" s="230">
        <f t="shared" si="10"/>
        <v>0</v>
      </c>
      <c r="AL39" s="230">
        <f t="shared" si="10"/>
        <v>0</v>
      </c>
      <c r="AM39" s="230">
        <f t="shared" si="10"/>
        <v>0</v>
      </c>
      <c r="AN39" s="230">
        <f t="shared" si="10"/>
        <v>0</v>
      </c>
      <c r="AO39" s="230">
        <f t="shared" si="10"/>
        <v>0</v>
      </c>
      <c r="AP39" s="230">
        <f t="shared" si="10"/>
        <v>0</v>
      </c>
      <c r="AQ39" s="230">
        <f t="shared" si="10"/>
        <v>0</v>
      </c>
      <c r="AR39" s="230">
        <f t="shared" si="10"/>
        <v>0</v>
      </c>
      <c r="AS39" s="230">
        <f t="shared" si="10"/>
        <v>0</v>
      </c>
      <c r="AT39" s="230">
        <f t="shared" si="10"/>
        <v>0</v>
      </c>
      <c r="AU39" s="230">
        <f t="shared" si="10"/>
        <v>0</v>
      </c>
      <c r="AV39" s="230">
        <f t="shared" si="10"/>
        <v>0</v>
      </c>
      <c r="AW39" s="230">
        <f t="shared" si="10"/>
        <v>0</v>
      </c>
      <c r="AX39" s="230">
        <f t="shared" si="10"/>
        <v>0</v>
      </c>
      <c r="AY39" s="230">
        <f t="shared" si="10"/>
        <v>0</v>
      </c>
      <c r="AZ39" s="230">
        <f t="shared" si="10"/>
        <v>0</v>
      </c>
      <c r="BA39" s="230">
        <f t="shared" si="10"/>
        <v>0</v>
      </c>
      <c r="BB39" s="230">
        <f t="shared" si="10"/>
        <v>0</v>
      </c>
      <c r="BC39" s="230">
        <f t="shared" si="10"/>
        <v>0</v>
      </c>
      <c r="BD39" s="230">
        <f t="shared" si="10"/>
        <v>0</v>
      </c>
      <c r="BE39" s="230">
        <f t="shared" si="10"/>
        <v>0</v>
      </c>
      <c r="BF39" s="230">
        <f t="shared" si="10"/>
        <v>0</v>
      </c>
      <c r="BG39" s="230">
        <f t="shared" si="10"/>
        <v>0</v>
      </c>
      <c r="BI39" s="106" t="s">
        <v>153</v>
      </c>
      <c r="BK39" s="103"/>
    </row>
    <row r="40" spans="2:63">
      <c r="C40" s="99">
        <f>RR!C25</f>
        <v>3</v>
      </c>
      <c r="D40" s="99" t="str">
        <f>RR!E25</f>
        <v>3 - 1</v>
      </c>
      <c r="F40" s="94" t="str">
        <f>INDEX(RR!K:K,MATCH(D40,RR!E:E,0))</f>
        <v>backup</v>
      </c>
      <c r="H40" s="73" t="s">
        <v>296</v>
      </c>
      <c r="J40" s="1325">
        <f>INDEX(AA!E:E,MATCH($C40,AA!C:C,0))</f>
        <v>1</v>
      </c>
      <c r="K40" s="1325">
        <f>INDEX(TA!$G:$G,MATCH($D40,TA!$D:$D,0))</f>
        <v>1</v>
      </c>
      <c r="M40" s="287">
        <f>INDEX(TA!$CQ$15:$CQ$17,MATCH($D40,TA!$D$15:$D$17,0))</f>
        <v>1</v>
      </c>
      <c r="N40" s="288">
        <f>INDEX(TA!$CX$15:$CX$17,MATCH($D40,TA!$D$15:$D$17,0))</f>
        <v>50952</v>
      </c>
      <c r="T40" s="230">
        <f t="shared" si="11"/>
        <v>0</v>
      </c>
      <c r="U40" s="230">
        <f t="shared" si="11"/>
        <v>0</v>
      </c>
      <c r="V40" s="230">
        <f t="shared" si="11"/>
        <v>0</v>
      </c>
      <c r="W40" s="230">
        <f t="shared" si="11"/>
        <v>0</v>
      </c>
      <c r="X40" s="230">
        <f t="shared" si="11"/>
        <v>0</v>
      </c>
      <c r="Y40" s="230">
        <f t="shared" si="11"/>
        <v>0</v>
      </c>
      <c r="Z40" s="230">
        <f t="shared" si="11"/>
        <v>0</v>
      </c>
      <c r="AA40" s="230">
        <f t="shared" si="11"/>
        <v>0</v>
      </c>
      <c r="AB40" s="230">
        <f t="shared" si="11"/>
        <v>0</v>
      </c>
      <c r="AC40" s="230">
        <f t="shared" si="11"/>
        <v>0</v>
      </c>
      <c r="AD40" s="230">
        <f t="shared" si="11"/>
        <v>0</v>
      </c>
      <c r="AE40" s="230">
        <f t="shared" si="11"/>
        <v>0</v>
      </c>
      <c r="AF40" s="230">
        <f t="shared" si="11"/>
        <v>0</v>
      </c>
      <c r="AG40" s="230">
        <f t="shared" si="11"/>
        <v>0</v>
      </c>
      <c r="AH40" s="230">
        <f t="shared" si="11"/>
        <v>0</v>
      </c>
      <c r="AI40" s="230">
        <f t="shared" si="11"/>
        <v>0</v>
      </c>
      <c r="AJ40" s="230">
        <f t="shared" ref="AJ40:AY40" si="12">$M40*$J40*$K40*IFERROR(MAX(MIN((AJ$4-$N40+1)/AJ$7,1),0),0)</f>
        <v>0</v>
      </c>
      <c r="AK40" s="230">
        <f t="shared" si="12"/>
        <v>0</v>
      </c>
      <c r="AL40" s="230">
        <f t="shared" si="12"/>
        <v>0</v>
      </c>
      <c r="AM40" s="230">
        <f t="shared" si="12"/>
        <v>0</v>
      </c>
      <c r="AN40" s="230">
        <f t="shared" si="12"/>
        <v>0</v>
      </c>
      <c r="AO40" s="230">
        <f t="shared" si="12"/>
        <v>0</v>
      </c>
      <c r="AP40" s="230">
        <f t="shared" si="12"/>
        <v>0</v>
      </c>
      <c r="AQ40" s="230">
        <f t="shared" si="12"/>
        <v>0</v>
      </c>
      <c r="AR40" s="230">
        <f t="shared" si="12"/>
        <v>0</v>
      </c>
      <c r="AS40" s="230">
        <f t="shared" si="12"/>
        <v>0</v>
      </c>
      <c r="AT40" s="230">
        <f t="shared" si="12"/>
        <v>0</v>
      </c>
      <c r="AU40" s="230">
        <f t="shared" si="12"/>
        <v>0</v>
      </c>
      <c r="AV40" s="230">
        <f t="shared" si="12"/>
        <v>0</v>
      </c>
      <c r="AW40" s="230">
        <f t="shared" si="12"/>
        <v>0</v>
      </c>
      <c r="AX40" s="230">
        <f t="shared" si="12"/>
        <v>0</v>
      </c>
      <c r="AY40" s="230">
        <f t="shared" si="12"/>
        <v>0</v>
      </c>
      <c r="AZ40" s="230">
        <f t="shared" ref="AZ40:BG40" si="13">$M40*$J40*$K40*IFERROR(MAX(MIN((AZ$4-$N40+1)/AZ$7,1),0),0)</f>
        <v>0</v>
      </c>
      <c r="BA40" s="230">
        <f t="shared" si="13"/>
        <v>0</v>
      </c>
      <c r="BB40" s="230">
        <f t="shared" si="13"/>
        <v>0</v>
      </c>
      <c r="BC40" s="230">
        <f t="shared" si="13"/>
        <v>0</v>
      </c>
      <c r="BD40" s="230">
        <f t="shared" si="13"/>
        <v>0</v>
      </c>
      <c r="BE40" s="230">
        <f t="shared" si="13"/>
        <v>0</v>
      </c>
      <c r="BF40" s="230">
        <f t="shared" si="13"/>
        <v>0</v>
      </c>
      <c r="BG40" s="230">
        <f t="shared" si="13"/>
        <v>0</v>
      </c>
      <c r="BI40" s="106" t="s">
        <v>153</v>
      </c>
      <c r="BK40" s="103"/>
    </row>
    <row r="41" spans="2:63">
      <c r="C41" s="268"/>
      <c r="D41" s="268"/>
      <c r="F41" s="268"/>
      <c r="H41" s="268"/>
      <c r="J41" s="268"/>
      <c r="K41" s="268"/>
      <c r="M41" s="268"/>
      <c r="N41" s="268"/>
      <c r="BI41" s="268"/>
      <c r="BK41" s="268"/>
    </row>
    <row r="42" spans="2:63" s="90" customFormat="1">
      <c r="B42" s="91">
        <f ca="1">MAX(A$1:$B41)+1</f>
        <v>5</v>
      </c>
      <c r="C42" s="92" t="s">
        <v>299</v>
      </c>
    </row>
    <row r="44" spans="2:63">
      <c r="M44" s="226" t="s">
        <v>299</v>
      </c>
      <c r="N44" s="225"/>
    </row>
    <row r="45" spans="2:63" ht="30">
      <c r="C45" s="96" t="s">
        <v>4</v>
      </c>
      <c r="D45" s="97" t="s">
        <v>148</v>
      </c>
      <c r="E45" s="95"/>
      <c r="F45" s="97" t="s">
        <v>149</v>
      </c>
      <c r="G45" s="95"/>
      <c r="H45" s="97" t="s">
        <v>150</v>
      </c>
      <c r="I45" s="95"/>
      <c r="J45" s="97" t="s">
        <v>272</v>
      </c>
      <c r="K45" s="97" t="s">
        <v>273</v>
      </c>
      <c r="M45" s="96" t="s">
        <v>351</v>
      </c>
      <c r="N45" s="101" t="s">
        <v>352</v>
      </c>
      <c r="BI45" s="104" t="s">
        <v>152</v>
      </c>
      <c r="BJ45" s="95"/>
      <c r="BK45" s="300" t="s">
        <v>372</v>
      </c>
    </row>
    <row r="46" spans="2:63">
      <c r="C46" s="98">
        <f>RR!C23</f>
        <v>1</v>
      </c>
      <c r="D46" s="98" t="str">
        <f>RR!E23</f>
        <v>1 - 1</v>
      </c>
      <c r="F46" s="93" t="str">
        <f>INDEX(RR!K:K,MATCH(D46,RR!E:E,0))</f>
        <v>backup</v>
      </c>
      <c r="H46" s="72" t="s">
        <v>299</v>
      </c>
      <c r="J46" s="1324">
        <f>INDEX(AA!E:E,MATCH($C46,AA!C:C,0))</f>
        <v>1</v>
      </c>
      <c r="K46" s="1324">
        <f>INDEX(TA!$G:$G,MATCH($D46,TA!$D:$D,0))</f>
        <v>1</v>
      </c>
      <c r="M46" s="286">
        <f>INDEX(TA!$DD:$DD,MATCH($D46,TA!$D:$D,0))</f>
        <v>50740</v>
      </c>
      <c r="N46" s="286">
        <f>INDEX(TA!$DE:$DE,MATCH($D46,TA!$D:$D,0))</f>
        <v>50770</v>
      </c>
      <c r="T46" s="230">
        <f>$J46*$K46*IFERROR((MAX((MIN($N46,T$4)-MAX($M46,T$3)+1),0)/T$7),0)</f>
        <v>0</v>
      </c>
      <c r="U46" s="230">
        <f t="shared" ref="U46:AJ47" si="14">$J46*$K46*IFERROR((MAX((MIN($N46,U$4)-MAX($M46,U$3)+1),0)/U$7),0)</f>
        <v>0</v>
      </c>
      <c r="V46" s="230">
        <f t="shared" si="14"/>
        <v>0</v>
      </c>
      <c r="W46" s="230">
        <f t="shared" si="14"/>
        <v>0</v>
      </c>
      <c r="X46" s="230">
        <f t="shared" si="14"/>
        <v>0</v>
      </c>
      <c r="Y46" s="230">
        <f t="shared" si="14"/>
        <v>0</v>
      </c>
      <c r="Z46" s="230">
        <f t="shared" si="14"/>
        <v>0</v>
      </c>
      <c r="AA46" s="230">
        <f t="shared" si="14"/>
        <v>0</v>
      </c>
      <c r="AB46" s="230">
        <f t="shared" si="14"/>
        <v>0</v>
      </c>
      <c r="AC46" s="230">
        <f t="shared" si="14"/>
        <v>0</v>
      </c>
      <c r="AD46" s="230">
        <f t="shared" si="14"/>
        <v>0</v>
      </c>
      <c r="AE46" s="230">
        <f t="shared" si="14"/>
        <v>0</v>
      </c>
      <c r="AF46" s="230">
        <f t="shared" si="14"/>
        <v>0</v>
      </c>
      <c r="AG46" s="230">
        <f t="shared" si="14"/>
        <v>0</v>
      </c>
      <c r="AH46" s="230">
        <f t="shared" si="14"/>
        <v>0</v>
      </c>
      <c r="AI46" s="230">
        <f t="shared" si="14"/>
        <v>0</v>
      </c>
      <c r="AJ46" s="230">
        <f t="shared" si="14"/>
        <v>0</v>
      </c>
      <c r="AK46" s="230">
        <f t="shared" ref="AK46:AZ47" si="15">$J46*$K46*IFERROR((MAX((MIN($N46,AK$4)-MAX($M46,AK$3)+1),0)/AK$7),0)</f>
        <v>0</v>
      </c>
      <c r="AL46" s="230">
        <f t="shared" si="15"/>
        <v>0</v>
      </c>
      <c r="AM46" s="230">
        <f t="shared" si="15"/>
        <v>0</v>
      </c>
      <c r="AN46" s="230">
        <f t="shared" si="15"/>
        <v>0</v>
      </c>
      <c r="AO46" s="230">
        <f t="shared" si="15"/>
        <v>0</v>
      </c>
      <c r="AP46" s="230">
        <f t="shared" si="15"/>
        <v>0</v>
      </c>
      <c r="AQ46" s="230">
        <f t="shared" si="15"/>
        <v>0</v>
      </c>
      <c r="AR46" s="230">
        <f t="shared" si="15"/>
        <v>0</v>
      </c>
      <c r="AS46" s="230">
        <f t="shared" si="15"/>
        <v>0</v>
      </c>
      <c r="AT46" s="230">
        <f t="shared" si="15"/>
        <v>0</v>
      </c>
      <c r="AU46" s="230">
        <f t="shared" si="15"/>
        <v>0</v>
      </c>
      <c r="AV46" s="230">
        <f t="shared" si="15"/>
        <v>0</v>
      </c>
      <c r="AW46" s="230">
        <f t="shared" si="15"/>
        <v>0</v>
      </c>
      <c r="AX46" s="230">
        <f t="shared" si="15"/>
        <v>0</v>
      </c>
      <c r="AY46" s="230">
        <f t="shared" si="15"/>
        <v>0</v>
      </c>
      <c r="AZ46" s="230">
        <f t="shared" si="15"/>
        <v>0</v>
      </c>
      <c r="BA46" s="230">
        <f t="shared" ref="BA46:BG48" si="16">$J46*$K46*IFERROR((MAX((MIN($N46,BA$4)-MAX($M46,BA$3)+1),0)/BA$7),0)</f>
        <v>0</v>
      </c>
      <c r="BB46" s="230">
        <f t="shared" si="16"/>
        <v>0</v>
      </c>
      <c r="BC46" s="230">
        <f t="shared" si="16"/>
        <v>0</v>
      </c>
      <c r="BD46" s="230">
        <f t="shared" si="16"/>
        <v>0</v>
      </c>
      <c r="BE46" s="230">
        <f t="shared" si="16"/>
        <v>0</v>
      </c>
      <c r="BF46" s="230">
        <f t="shared" si="16"/>
        <v>0</v>
      </c>
      <c r="BG46" s="230">
        <f t="shared" si="16"/>
        <v>0</v>
      </c>
      <c r="BI46" s="105" t="s">
        <v>153</v>
      </c>
      <c r="BK46" s="1209">
        <f>SUM(T46:BG46)</f>
        <v>0</v>
      </c>
    </row>
    <row r="47" spans="2:63">
      <c r="C47" s="99">
        <f>RR!C24</f>
        <v>2</v>
      </c>
      <c r="D47" s="99" t="str">
        <f>RR!E24</f>
        <v>2 - 1</v>
      </c>
      <c r="F47" s="94" t="str">
        <f>INDEX(RR!K:K,MATCH(D47,RR!E:E,0))</f>
        <v>backup</v>
      </c>
      <c r="H47" s="73" t="s">
        <v>299</v>
      </c>
      <c r="J47" s="1325">
        <f>INDEX(AA!E:E,MATCH($C47,AA!C:C,0))</f>
        <v>1</v>
      </c>
      <c r="K47" s="1325">
        <f>INDEX(TA!$G:$G,MATCH($D47,TA!$D:$D,0))</f>
        <v>1</v>
      </c>
      <c r="M47" s="288">
        <f>INDEX(TA!$DD:$DD,MATCH($D47,TA!$D:$D,0))</f>
        <v>50740</v>
      </c>
      <c r="N47" s="288">
        <f>INDEX(TA!$DE:$DE,MATCH($D47,TA!$D:$D,0))</f>
        <v>50770</v>
      </c>
      <c r="T47" s="230">
        <f t="shared" ref="T47:AI48" si="17">$J47*$K47*IFERROR((MAX((MIN($N47,T$4)-MAX($M47,T$3)+1),0)/T$7),0)</f>
        <v>0</v>
      </c>
      <c r="U47" s="230">
        <f t="shared" si="14"/>
        <v>0</v>
      </c>
      <c r="V47" s="230">
        <f t="shared" si="14"/>
        <v>0</v>
      </c>
      <c r="W47" s="230">
        <f t="shared" si="14"/>
        <v>0</v>
      </c>
      <c r="X47" s="230">
        <f t="shared" si="14"/>
        <v>0</v>
      </c>
      <c r="Y47" s="230">
        <f t="shared" si="14"/>
        <v>0</v>
      </c>
      <c r="Z47" s="230">
        <f t="shared" si="14"/>
        <v>0</v>
      </c>
      <c r="AA47" s="230">
        <f t="shared" si="14"/>
        <v>0</v>
      </c>
      <c r="AB47" s="230">
        <f t="shared" si="14"/>
        <v>0</v>
      </c>
      <c r="AC47" s="230">
        <f t="shared" si="14"/>
        <v>0</v>
      </c>
      <c r="AD47" s="230">
        <f t="shared" si="14"/>
        <v>0</v>
      </c>
      <c r="AE47" s="230">
        <f t="shared" si="14"/>
        <v>0</v>
      </c>
      <c r="AF47" s="230">
        <f t="shared" si="14"/>
        <v>0</v>
      </c>
      <c r="AG47" s="230">
        <f t="shared" si="14"/>
        <v>0</v>
      </c>
      <c r="AH47" s="230">
        <f t="shared" si="14"/>
        <v>0</v>
      </c>
      <c r="AI47" s="230">
        <f t="shared" si="14"/>
        <v>0</v>
      </c>
      <c r="AJ47" s="230">
        <f t="shared" si="14"/>
        <v>0</v>
      </c>
      <c r="AK47" s="230">
        <f t="shared" si="15"/>
        <v>0</v>
      </c>
      <c r="AL47" s="230">
        <f t="shared" si="15"/>
        <v>0</v>
      </c>
      <c r="AM47" s="230">
        <f t="shared" si="15"/>
        <v>0</v>
      </c>
      <c r="AN47" s="230">
        <f t="shared" si="15"/>
        <v>0</v>
      </c>
      <c r="AO47" s="230">
        <f t="shared" si="15"/>
        <v>0</v>
      </c>
      <c r="AP47" s="230">
        <f t="shared" si="15"/>
        <v>0</v>
      </c>
      <c r="AQ47" s="230">
        <f t="shared" si="15"/>
        <v>0</v>
      </c>
      <c r="AR47" s="230">
        <f t="shared" si="15"/>
        <v>0</v>
      </c>
      <c r="AS47" s="230">
        <f t="shared" si="15"/>
        <v>0</v>
      </c>
      <c r="AT47" s="230">
        <f t="shared" si="15"/>
        <v>0</v>
      </c>
      <c r="AU47" s="230">
        <f t="shared" si="15"/>
        <v>0</v>
      </c>
      <c r="AV47" s="230">
        <f t="shared" si="15"/>
        <v>0</v>
      </c>
      <c r="AW47" s="230">
        <f t="shared" si="15"/>
        <v>0</v>
      </c>
      <c r="AX47" s="230">
        <f t="shared" si="15"/>
        <v>0</v>
      </c>
      <c r="AY47" s="230">
        <f t="shared" si="15"/>
        <v>0</v>
      </c>
      <c r="AZ47" s="230">
        <f t="shared" si="15"/>
        <v>0</v>
      </c>
      <c r="BA47" s="230">
        <f t="shared" si="16"/>
        <v>0</v>
      </c>
      <c r="BB47" s="230">
        <f t="shared" si="16"/>
        <v>0</v>
      </c>
      <c r="BC47" s="230">
        <f t="shared" si="16"/>
        <v>0</v>
      </c>
      <c r="BD47" s="230">
        <f t="shared" si="16"/>
        <v>0</v>
      </c>
      <c r="BE47" s="230">
        <f t="shared" si="16"/>
        <v>0</v>
      </c>
      <c r="BF47" s="230">
        <f t="shared" si="16"/>
        <v>0</v>
      </c>
      <c r="BG47" s="230">
        <f t="shared" si="16"/>
        <v>0</v>
      </c>
      <c r="BI47" s="106" t="s">
        <v>153</v>
      </c>
      <c r="BK47" s="1209">
        <f t="shared" ref="BK47" si="18">SUM(T47:BG47)</f>
        <v>0</v>
      </c>
    </row>
    <row r="48" spans="2:63">
      <c r="C48" s="99">
        <f>RR!C25</f>
        <v>3</v>
      </c>
      <c r="D48" s="99" t="str">
        <f>RR!E25</f>
        <v>3 - 1</v>
      </c>
      <c r="F48" s="94" t="str">
        <f>INDEX(RR!K:K,MATCH(D48,RR!E:E,0))</f>
        <v>backup</v>
      </c>
      <c r="H48" s="73" t="s">
        <v>299</v>
      </c>
      <c r="J48" s="1325">
        <f>INDEX(AA!E:E,MATCH($C48,AA!C:C,0))</f>
        <v>1</v>
      </c>
      <c r="K48" s="1325">
        <f>INDEX(TA!$G:$G,MATCH($D48,TA!$D:$D,0))</f>
        <v>1</v>
      </c>
      <c r="M48" s="288">
        <f>INDEX(TA!$DD:$DD,MATCH($D48,TA!$D:$D,0))</f>
        <v>50740</v>
      </c>
      <c r="N48" s="288">
        <f>INDEX(TA!$DE:$DE,MATCH($D48,TA!$D:$D,0))</f>
        <v>50770</v>
      </c>
      <c r="T48" s="230">
        <f t="shared" si="17"/>
        <v>0</v>
      </c>
      <c r="U48" s="230">
        <f t="shared" si="17"/>
        <v>0</v>
      </c>
      <c r="V48" s="230">
        <f t="shared" si="17"/>
        <v>0</v>
      </c>
      <c r="W48" s="230">
        <f t="shared" si="17"/>
        <v>0</v>
      </c>
      <c r="X48" s="230">
        <f t="shared" si="17"/>
        <v>0</v>
      </c>
      <c r="Y48" s="230">
        <f t="shared" si="17"/>
        <v>0</v>
      </c>
      <c r="Z48" s="230">
        <f t="shared" si="17"/>
        <v>0</v>
      </c>
      <c r="AA48" s="230">
        <f t="shared" si="17"/>
        <v>0</v>
      </c>
      <c r="AB48" s="230">
        <f t="shared" si="17"/>
        <v>0</v>
      </c>
      <c r="AC48" s="230">
        <f t="shared" si="17"/>
        <v>0</v>
      </c>
      <c r="AD48" s="230">
        <f t="shared" si="17"/>
        <v>0</v>
      </c>
      <c r="AE48" s="230">
        <f t="shared" si="17"/>
        <v>0</v>
      </c>
      <c r="AF48" s="230">
        <f t="shared" si="17"/>
        <v>0</v>
      </c>
      <c r="AG48" s="230">
        <f t="shared" si="17"/>
        <v>0</v>
      </c>
      <c r="AH48" s="230">
        <f t="shared" si="17"/>
        <v>0</v>
      </c>
      <c r="AI48" s="230">
        <f t="shared" si="17"/>
        <v>0</v>
      </c>
      <c r="AJ48" s="230">
        <f t="shared" ref="AJ48:AY48" si="19">$J48*$K48*IFERROR((MAX((MIN($N48,AJ$4)-MAX($M48,AJ$3)+1),0)/AJ$7),0)</f>
        <v>0</v>
      </c>
      <c r="AK48" s="230">
        <f t="shared" si="19"/>
        <v>0</v>
      </c>
      <c r="AL48" s="230">
        <f t="shared" si="19"/>
        <v>0</v>
      </c>
      <c r="AM48" s="230">
        <f t="shared" si="19"/>
        <v>0</v>
      </c>
      <c r="AN48" s="230">
        <f t="shared" si="19"/>
        <v>0</v>
      </c>
      <c r="AO48" s="230">
        <f t="shared" si="19"/>
        <v>0</v>
      </c>
      <c r="AP48" s="230">
        <f t="shared" si="19"/>
        <v>0</v>
      </c>
      <c r="AQ48" s="230">
        <f t="shared" si="19"/>
        <v>0</v>
      </c>
      <c r="AR48" s="230">
        <f t="shared" si="19"/>
        <v>0</v>
      </c>
      <c r="AS48" s="230">
        <f t="shared" si="19"/>
        <v>0</v>
      </c>
      <c r="AT48" s="230">
        <f t="shared" si="19"/>
        <v>0</v>
      </c>
      <c r="AU48" s="230">
        <f t="shared" si="19"/>
        <v>0</v>
      </c>
      <c r="AV48" s="230">
        <f t="shared" si="19"/>
        <v>0</v>
      </c>
      <c r="AW48" s="230">
        <f t="shared" si="19"/>
        <v>0</v>
      </c>
      <c r="AX48" s="230">
        <f t="shared" si="19"/>
        <v>0</v>
      </c>
      <c r="AY48" s="230">
        <f t="shared" si="19"/>
        <v>0</v>
      </c>
      <c r="AZ48" s="230">
        <f t="shared" ref="AZ48" si="20">$J48*$K48*IFERROR((MAX((MIN($N48,AZ$4)-MAX($M48,AZ$3)+1),0)/AZ$7),0)</f>
        <v>0</v>
      </c>
      <c r="BA48" s="230">
        <f t="shared" si="16"/>
        <v>0</v>
      </c>
      <c r="BB48" s="230">
        <f t="shared" si="16"/>
        <v>0</v>
      </c>
      <c r="BC48" s="230">
        <f t="shared" si="16"/>
        <v>0</v>
      </c>
      <c r="BD48" s="230">
        <f t="shared" si="16"/>
        <v>0</v>
      </c>
      <c r="BE48" s="230">
        <f t="shared" si="16"/>
        <v>0</v>
      </c>
      <c r="BF48" s="230">
        <f t="shared" si="16"/>
        <v>0</v>
      </c>
      <c r="BG48" s="230">
        <f t="shared" si="16"/>
        <v>0</v>
      </c>
      <c r="BI48" s="106" t="s">
        <v>153</v>
      </c>
      <c r="BK48" s="1209">
        <f t="shared" ref="BK48" si="21">SUM(T48:BG48)</f>
        <v>0</v>
      </c>
    </row>
    <row r="49" spans="2:63">
      <c r="C49" s="268"/>
      <c r="D49" s="268"/>
      <c r="F49" s="268"/>
      <c r="H49" s="268"/>
      <c r="J49" s="268"/>
      <c r="K49" s="268"/>
      <c r="M49" s="268"/>
      <c r="N49" s="268"/>
      <c r="BI49" s="268"/>
      <c r="BK49" s="268"/>
    </row>
    <row r="50" spans="2:63" s="90" customFormat="1">
      <c r="B50" s="91">
        <f ca="1">MAX(A$1:$B49)+1</f>
        <v>6</v>
      </c>
      <c r="C50" s="92" t="s">
        <v>1270</v>
      </c>
    </row>
    <row r="53" spans="2:63" ht="30">
      <c r="C53" s="96" t="s">
        <v>4</v>
      </c>
      <c r="D53" s="97" t="s">
        <v>148</v>
      </c>
      <c r="E53" s="95"/>
      <c r="F53" s="97" t="s">
        <v>149</v>
      </c>
      <c r="G53" s="95"/>
      <c r="H53" s="97" t="s">
        <v>150</v>
      </c>
      <c r="I53" s="95"/>
      <c r="J53" s="97" t="s">
        <v>272</v>
      </c>
      <c r="K53" s="97" t="s">
        <v>273</v>
      </c>
      <c r="M53" s="97" t="s">
        <v>1275</v>
      </c>
      <c r="N53" s="97" t="s">
        <v>1276</v>
      </c>
      <c r="O53" s="97" t="s">
        <v>1277</v>
      </c>
      <c r="P53" s="97" t="s">
        <v>1278</v>
      </c>
      <c r="Q53" s="97" t="s">
        <v>1279</v>
      </c>
      <c r="R53" s="97" t="s">
        <v>1280</v>
      </c>
      <c r="BI53" s="104" t="s">
        <v>152</v>
      </c>
      <c r="BJ53" s="95"/>
      <c r="BK53" s="102"/>
    </row>
    <row r="54" spans="2:63">
      <c r="C54" s="98">
        <f>RR!C23</f>
        <v>1</v>
      </c>
      <c r="D54" s="98" t="str">
        <f>RR!E23</f>
        <v>1 - 1</v>
      </c>
      <c r="F54" s="93" t="str">
        <f>INDEX(RR!K:K,MATCH(D54,RR!E:E,0))</f>
        <v>backup</v>
      </c>
      <c r="H54" s="72" t="s">
        <v>402</v>
      </c>
      <c r="J54" s="1324">
        <f>INDEX(AA!E:E,MATCH($C54,AA!C:C,0))</f>
        <v>1</v>
      </c>
      <c r="K54" s="1324">
        <f>INDEX(TA!$G:$G,MATCH($D54,TA!$D:$D,0))</f>
        <v>1</v>
      </c>
      <c r="M54" s="223">
        <f>INDEX(TA!$AR:$AR,MATCH($D54,TA!$D:$D,0))</f>
        <v>0</v>
      </c>
      <c r="N54" s="223">
        <f>INDEX(TA!$AS:$AS,MATCH($D54,TA!$D:$D,0))</f>
        <v>0</v>
      </c>
      <c r="O54" s="223">
        <f>INDEX(TA!$AT:$AT,MATCH($D54,TA!$D:$D,0))</f>
        <v>0</v>
      </c>
      <c r="P54" s="223">
        <f>INDEX(TA!$AU:$AU,MATCH($D54,TA!$D:$D,0))</f>
        <v>0</v>
      </c>
      <c r="Q54" s="1178">
        <f>INDEX(TA!$AP:$AP,MATCH($D54,TA!$D:$D,0))</f>
        <v>0</v>
      </c>
      <c r="R54" s="1178">
        <f>INDEX(TA!$AQ:$AQ,MATCH($D54,TA!$D:$D,0))</f>
        <v>0</v>
      </c>
      <c r="S54" s="1179">
        <f>$S$15</f>
        <v>1</v>
      </c>
      <c r="T54" s="799">
        <f>IF($Q54=0,T$15,S54+(AND(T$3&lt;=$M54,T$4&gt;=$M54)+AND(T$3&lt;=$N54,T$4&gt;=$N54)+AND(T$3&lt;=$O54,T$4&gt;=$O54)+AND(T$3&lt;=$P54,T$4&gt;=$P54))*(($Q54*$R54))*S54)</f>
        <v>1.0018697495154929</v>
      </c>
      <c r="U54" s="799">
        <f t="shared" ref="U54:BG54" si="22">IF($Q54=0,U$15,T54+(AND(U$3&lt;=$M54,U$4&gt;=$M54)+AND(U$3&lt;=$N54,U$4&gt;=$N54)+AND(U$3&lt;=$O54,U$4&gt;=$O54)+AND(U$3&lt;=$P54,U$4&gt;=$P54))*(($Q54*$R54))*T54)</f>
        <v>1.0037429949942365</v>
      </c>
      <c r="V54" s="799">
        <f t="shared" si="22"/>
        <v>1.0056197429728064</v>
      </c>
      <c r="W54" s="799">
        <f t="shared" si="22"/>
        <v>1.0074999999999998</v>
      </c>
      <c r="X54" s="799">
        <f t="shared" si="22"/>
        <v>1.0093837726368589</v>
      </c>
      <c r="Y54" s="799">
        <f t="shared" si="22"/>
        <v>1.0112710674566929</v>
      </c>
      <c r="Z54" s="799">
        <f t="shared" si="22"/>
        <v>1.0131618910451021</v>
      </c>
      <c r="AA54" s="799">
        <f t="shared" si="22"/>
        <v>1.0150562499999995</v>
      </c>
      <c r="AB54" s="799">
        <f t="shared" si="22"/>
        <v>1.0169541509316351</v>
      </c>
      <c r="AC54" s="799">
        <f t="shared" si="22"/>
        <v>1.0188556004626179</v>
      </c>
      <c r="AD54" s="799">
        <f t="shared" si="22"/>
        <v>1.0207606052279401</v>
      </c>
      <c r="AE54" s="799">
        <f t="shared" si="22"/>
        <v>1.0226691718749992</v>
      </c>
      <c r="AF54" s="799">
        <f t="shared" si="22"/>
        <v>1.024581307063622</v>
      </c>
      <c r="AG54" s="799">
        <f t="shared" si="22"/>
        <v>1.0264970174660872</v>
      </c>
      <c r="AH54" s="799">
        <f t="shared" si="22"/>
        <v>1.0284163097671493</v>
      </c>
      <c r="AI54" s="799">
        <f t="shared" si="22"/>
        <v>1.0303391906640613</v>
      </c>
      <c r="AJ54" s="799">
        <f t="shared" si="22"/>
        <v>1.0322656668665988</v>
      </c>
      <c r="AK54" s="799">
        <f t="shared" si="22"/>
        <v>1.0341957450970827</v>
      </c>
      <c r="AL54" s="799">
        <f t="shared" si="22"/>
        <v>1.0361294320904029</v>
      </c>
      <c r="AM54" s="799">
        <f t="shared" si="22"/>
        <v>1.0380667345940418</v>
      </c>
      <c r="AN54" s="799">
        <f t="shared" si="22"/>
        <v>1.0400076593680982</v>
      </c>
      <c r="AO54" s="799">
        <f t="shared" si="22"/>
        <v>1.0419522131853107</v>
      </c>
      <c r="AP54" s="799">
        <f t="shared" si="22"/>
        <v>1.0439004028310808</v>
      </c>
      <c r="AQ54" s="799">
        <f t="shared" si="22"/>
        <v>1.0458522351034971</v>
      </c>
      <c r="AR54" s="799">
        <f t="shared" si="22"/>
        <v>1.047807716813359</v>
      </c>
      <c r="AS54" s="799">
        <f t="shared" si="22"/>
        <v>1.0497668547842005</v>
      </c>
      <c r="AT54" s="799">
        <f t="shared" si="22"/>
        <v>1.0517296558523137</v>
      </c>
      <c r="AU54" s="799">
        <f t="shared" si="22"/>
        <v>1.0536961268667731</v>
      </c>
      <c r="AV54" s="799">
        <f t="shared" si="22"/>
        <v>1.0556662746894589</v>
      </c>
      <c r="AW54" s="799">
        <f t="shared" si="22"/>
        <v>1.0576401061950818</v>
      </c>
      <c r="AX54" s="799">
        <f t="shared" si="22"/>
        <v>1.0596176282712058</v>
      </c>
      <c r="AY54" s="799">
        <f t="shared" si="22"/>
        <v>1.0615988478182736</v>
      </c>
      <c r="AZ54" s="799">
        <f t="shared" si="22"/>
        <v>1.0635837717496297</v>
      </c>
      <c r="BA54" s="799">
        <f t="shared" si="22"/>
        <v>1.0655724069915447</v>
      </c>
      <c r="BB54" s="799">
        <f t="shared" si="22"/>
        <v>1.0675647604832397</v>
      </c>
      <c r="BC54" s="799">
        <f t="shared" si="22"/>
        <v>1.0695608391769105</v>
      </c>
      <c r="BD54" s="799">
        <f t="shared" si="22"/>
        <v>1.0715606500377517</v>
      </c>
      <c r="BE54" s="799">
        <f t="shared" si="22"/>
        <v>1.0735642000439811</v>
      </c>
      <c r="BF54" s="799">
        <f t="shared" si="22"/>
        <v>1.0755714961868639</v>
      </c>
      <c r="BG54" s="799">
        <f t="shared" si="22"/>
        <v>1.0775825454707373</v>
      </c>
      <c r="BI54" s="105" t="s">
        <v>153</v>
      </c>
      <c r="BK54" s="103"/>
    </row>
    <row r="55" spans="2:63">
      <c r="C55" s="99">
        <f>RR!C24</f>
        <v>2</v>
      </c>
      <c r="D55" s="99" t="str">
        <f>RR!E24</f>
        <v>2 - 1</v>
      </c>
      <c r="F55" s="94" t="str">
        <f>INDEX(RR!K:K,MATCH(D55,RR!E:E,0))</f>
        <v>backup</v>
      </c>
      <c r="H55" s="73" t="s">
        <v>402</v>
      </c>
      <c r="J55" s="1325">
        <f>INDEX(AA!E:E,MATCH($C55,AA!C:C,0))</f>
        <v>1</v>
      </c>
      <c r="K55" s="1325">
        <f>INDEX(TA!$G:$G,MATCH($D55,TA!$D:$D,0))</f>
        <v>1</v>
      </c>
      <c r="M55" s="224">
        <f>INDEX(TA!$AR:$AR,MATCH($D55,TA!$D:$D,0))</f>
        <v>0</v>
      </c>
      <c r="N55" s="224">
        <f>INDEX(TA!$AS:$AS,MATCH($D55,TA!$D:$D,0))</f>
        <v>0</v>
      </c>
      <c r="O55" s="224">
        <f>INDEX(TA!$AT:$AT,MATCH($D55,TA!$D:$D,0))</f>
        <v>0</v>
      </c>
      <c r="P55" s="224">
        <f>INDEX(TA!$AU:$AU,MATCH($D55,TA!$D:$D,0))</f>
        <v>0</v>
      </c>
      <c r="Q55" s="1410">
        <f>INDEX(TA!$AP:$AP,MATCH($D55,TA!$D:$D,0))</f>
        <v>0</v>
      </c>
      <c r="R55" s="1410">
        <f>INDEX(TA!$AQ:$AQ,MATCH($D55,TA!$D:$D,0))</f>
        <v>0</v>
      </c>
      <c r="S55" s="1179">
        <f t="shared" ref="S55:S56" si="23">$S$15</f>
        <v>1</v>
      </c>
      <c r="T55" s="799">
        <f t="shared" ref="T55:BG55" si="24">IF($Q55=0,T$15,S55+(AND(T$3&lt;=$M55,T$4&gt;=$M55)+AND(T$3&lt;=$N55,T$4&gt;=$N55)+AND(T$3&lt;=$O55,T$4&gt;=$O55)+AND(T$3&lt;=$P55,T$4&gt;=$P55))*(($Q55*$R55))*S55)</f>
        <v>1.0018697495154929</v>
      </c>
      <c r="U55" s="799">
        <f t="shared" si="24"/>
        <v>1.0037429949942365</v>
      </c>
      <c r="V55" s="799">
        <f t="shared" si="24"/>
        <v>1.0056197429728064</v>
      </c>
      <c r="W55" s="799">
        <f t="shared" si="24"/>
        <v>1.0074999999999998</v>
      </c>
      <c r="X55" s="799">
        <f t="shared" si="24"/>
        <v>1.0093837726368589</v>
      </c>
      <c r="Y55" s="799">
        <f t="shared" si="24"/>
        <v>1.0112710674566929</v>
      </c>
      <c r="Z55" s="799">
        <f t="shared" si="24"/>
        <v>1.0131618910451021</v>
      </c>
      <c r="AA55" s="799">
        <f t="shared" si="24"/>
        <v>1.0150562499999995</v>
      </c>
      <c r="AB55" s="799">
        <f t="shared" si="24"/>
        <v>1.0169541509316351</v>
      </c>
      <c r="AC55" s="799">
        <f t="shared" si="24"/>
        <v>1.0188556004626179</v>
      </c>
      <c r="AD55" s="799">
        <f t="shared" si="24"/>
        <v>1.0207606052279401</v>
      </c>
      <c r="AE55" s="799">
        <f t="shared" si="24"/>
        <v>1.0226691718749992</v>
      </c>
      <c r="AF55" s="799">
        <f t="shared" si="24"/>
        <v>1.024581307063622</v>
      </c>
      <c r="AG55" s="799">
        <f t="shared" si="24"/>
        <v>1.0264970174660872</v>
      </c>
      <c r="AH55" s="799">
        <f t="shared" si="24"/>
        <v>1.0284163097671493</v>
      </c>
      <c r="AI55" s="799">
        <f t="shared" si="24"/>
        <v>1.0303391906640613</v>
      </c>
      <c r="AJ55" s="799">
        <f t="shared" si="24"/>
        <v>1.0322656668665988</v>
      </c>
      <c r="AK55" s="799">
        <f t="shared" si="24"/>
        <v>1.0341957450970827</v>
      </c>
      <c r="AL55" s="799">
        <f t="shared" si="24"/>
        <v>1.0361294320904029</v>
      </c>
      <c r="AM55" s="799">
        <f t="shared" si="24"/>
        <v>1.0380667345940418</v>
      </c>
      <c r="AN55" s="799">
        <f t="shared" si="24"/>
        <v>1.0400076593680982</v>
      </c>
      <c r="AO55" s="799">
        <f t="shared" si="24"/>
        <v>1.0419522131853107</v>
      </c>
      <c r="AP55" s="799">
        <f t="shared" si="24"/>
        <v>1.0439004028310808</v>
      </c>
      <c r="AQ55" s="799">
        <f t="shared" si="24"/>
        <v>1.0458522351034971</v>
      </c>
      <c r="AR55" s="799">
        <f t="shared" si="24"/>
        <v>1.047807716813359</v>
      </c>
      <c r="AS55" s="799">
        <f t="shared" si="24"/>
        <v>1.0497668547842005</v>
      </c>
      <c r="AT55" s="799">
        <f t="shared" si="24"/>
        <v>1.0517296558523137</v>
      </c>
      <c r="AU55" s="799">
        <f t="shared" si="24"/>
        <v>1.0536961268667731</v>
      </c>
      <c r="AV55" s="799">
        <f t="shared" si="24"/>
        <v>1.0556662746894589</v>
      </c>
      <c r="AW55" s="799">
        <f t="shared" si="24"/>
        <v>1.0576401061950818</v>
      </c>
      <c r="AX55" s="799">
        <f t="shared" si="24"/>
        <v>1.0596176282712058</v>
      </c>
      <c r="AY55" s="799">
        <f t="shared" si="24"/>
        <v>1.0615988478182736</v>
      </c>
      <c r="AZ55" s="799">
        <f t="shared" si="24"/>
        <v>1.0635837717496297</v>
      </c>
      <c r="BA55" s="799">
        <f t="shared" si="24"/>
        <v>1.0655724069915447</v>
      </c>
      <c r="BB55" s="799">
        <f t="shared" si="24"/>
        <v>1.0675647604832397</v>
      </c>
      <c r="BC55" s="799">
        <f t="shared" si="24"/>
        <v>1.0695608391769105</v>
      </c>
      <c r="BD55" s="799">
        <f t="shared" si="24"/>
        <v>1.0715606500377517</v>
      </c>
      <c r="BE55" s="799">
        <f t="shared" si="24"/>
        <v>1.0735642000439811</v>
      </c>
      <c r="BF55" s="799">
        <f t="shared" si="24"/>
        <v>1.0755714961868639</v>
      </c>
      <c r="BG55" s="799">
        <f t="shared" si="24"/>
        <v>1.0775825454707373</v>
      </c>
      <c r="BI55" s="106" t="s">
        <v>153</v>
      </c>
      <c r="BK55" s="103"/>
    </row>
    <row r="56" spans="2:63">
      <c r="C56" s="99">
        <f>RR!C25</f>
        <v>3</v>
      </c>
      <c r="D56" s="99" t="str">
        <f>RR!E25</f>
        <v>3 - 1</v>
      </c>
      <c r="F56" s="94" t="str">
        <f>INDEX(RR!K:K,MATCH(D56,RR!E:E,0))</f>
        <v>backup</v>
      </c>
      <c r="H56" s="73" t="s">
        <v>402</v>
      </c>
      <c r="J56" s="1325">
        <f>INDEX(AA!E:E,MATCH($C56,AA!C:C,0))</f>
        <v>1</v>
      </c>
      <c r="K56" s="1325">
        <f>INDEX(TA!$G:$G,MATCH($D56,TA!$D:$D,0))</f>
        <v>1</v>
      </c>
      <c r="M56" s="224">
        <f>INDEX(TA!$AR:$AR,MATCH($D56,TA!$D:$D,0))</f>
        <v>0</v>
      </c>
      <c r="N56" s="224">
        <f>INDEX(TA!$AS:$AS,MATCH($D56,TA!$D:$D,0))</f>
        <v>0</v>
      </c>
      <c r="O56" s="224">
        <f>INDEX(TA!$AT:$AT,MATCH($D56,TA!$D:$D,0))</f>
        <v>0</v>
      </c>
      <c r="P56" s="224">
        <f>INDEX(TA!$AU:$AU,MATCH($D56,TA!$D:$D,0))</f>
        <v>0</v>
      </c>
      <c r="Q56" s="1410">
        <f>INDEX(TA!$AP:$AP,MATCH($D56,TA!$D:$D,0))</f>
        <v>0</v>
      </c>
      <c r="R56" s="1410">
        <f>INDEX(TA!$AQ:$AQ,MATCH($D56,TA!$D:$D,0))</f>
        <v>0</v>
      </c>
      <c r="S56" s="1179">
        <f t="shared" si="23"/>
        <v>1</v>
      </c>
      <c r="T56" s="799">
        <f t="shared" ref="T56" si="25">IF($Q56=0,T$15,S56+(AND(T$3&lt;=$M56,T$4&gt;=$M56)+AND(T$3&lt;=$N56,T$4&gt;=$N56)+AND(T$3&lt;=$O56,T$4&gt;=$O56)+AND(T$3&lt;=$P56,T$4&gt;=$P56))*(($Q56*$R56))*S56)</f>
        <v>1.0018697495154929</v>
      </c>
      <c r="U56" s="799">
        <f t="shared" ref="U56" si="26">IF($Q56=0,U$15,T56+(AND(U$3&lt;=$M56,U$4&gt;=$M56)+AND(U$3&lt;=$N56,U$4&gt;=$N56)+AND(U$3&lt;=$O56,U$4&gt;=$O56)+AND(U$3&lt;=$P56,U$4&gt;=$P56))*(($Q56*$R56))*T56)</f>
        <v>1.0037429949942365</v>
      </c>
      <c r="V56" s="799">
        <f t="shared" ref="V56" si="27">IF($Q56=0,V$15,U56+(AND(V$3&lt;=$M56,V$4&gt;=$M56)+AND(V$3&lt;=$N56,V$4&gt;=$N56)+AND(V$3&lt;=$O56,V$4&gt;=$O56)+AND(V$3&lt;=$P56,V$4&gt;=$P56))*(($Q56*$R56))*U56)</f>
        <v>1.0056197429728064</v>
      </c>
      <c r="W56" s="799">
        <f t="shared" ref="W56" si="28">IF($Q56=0,W$15,V56+(AND(W$3&lt;=$M56,W$4&gt;=$M56)+AND(W$3&lt;=$N56,W$4&gt;=$N56)+AND(W$3&lt;=$O56,W$4&gt;=$O56)+AND(W$3&lt;=$P56,W$4&gt;=$P56))*(($Q56*$R56))*V56)</f>
        <v>1.0074999999999998</v>
      </c>
      <c r="X56" s="799">
        <f t="shared" ref="X56" si="29">IF($Q56=0,X$15,W56+(AND(X$3&lt;=$M56,X$4&gt;=$M56)+AND(X$3&lt;=$N56,X$4&gt;=$N56)+AND(X$3&lt;=$O56,X$4&gt;=$O56)+AND(X$3&lt;=$P56,X$4&gt;=$P56))*(($Q56*$R56))*W56)</f>
        <v>1.0093837726368589</v>
      </c>
      <c r="Y56" s="799">
        <f t="shared" ref="Y56" si="30">IF($Q56=0,Y$15,X56+(AND(Y$3&lt;=$M56,Y$4&gt;=$M56)+AND(Y$3&lt;=$N56,Y$4&gt;=$N56)+AND(Y$3&lt;=$O56,Y$4&gt;=$O56)+AND(Y$3&lt;=$P56,Y$4&gt;=$P56))*(($Q56*$R56))*X56)</f>
        <v>1.0112710674566929</v>
      </c>
      <c r="Z56" s="799">
        <f t="shared" ref="Z56" si="31">IF($Q56=0,Z$15,Y56+(AND(Z$3&lt;=$M56,Z$4&gt;=$M56)+AND(Z$3&lt;=$N56,Z$4&gt;=$N56)+AND(Z$3&lt;=$O56,Z$4&gt;=$O56)+AND(Z$3&lt;=$P56,Z$4&gt;=$P56))*(($Q56*$R56))*Y56)</f>
        <v>1.0131618910451021</v>
      </c>
      <c r="AA56" s="799">
        <f t="shared" ref="AA56" si="32">IF($Q56=0,AA$15,Z56+(AND(AA$3&lt;=$M56,AA$4&gt;=$M56)+AND(AA$3&lt;=$N56,AA$4&gt;=$N56)+AND(AA$3&lt;=$O56,AA$4&gt;=$O56)+AND(AA$3&lt;=$P56,AA$4&gt;=$P56))*(($Q56*$R56))*Z56)</f>
        <v>1.0150562499999995</v>
      </c>
      <c r="AB56" s="799">
        <f t="shared" ref="AB56" si="33">IF($Q56=0,AB$15,AA56+(AND(AB$3&lt;=$M56,AB$4&gt;=$M56)+AND(AB$3&lt;=$N56,AB$4&gt;=$N56)+AND(AB$3&lt;=$O56,AB$4&gt;=$O56)+AND(AB$3&lt;=$P56,AB$4&gt;=$P56))*(($Q56*$R56))*AA56)</f>
        <v>1.0169541509316351</v>
      </c>
      <c r="AC56" s="799">
        <f t="shared" ref="AC56" si="34">IF($Q56=0,AC$15,AB56+(AND(AC$3&lt;=$M56,AC$4&gt;=$M56)+AND(AC$3&lt;=$N56,AC$4&gt;=$N56)+AND(AC$3&lt;=$O56,AC$4&gt;=$O56)+AND(AC$3&lt;=$P56,AC$4&gt;=$P56))*(($Q56*$R56))*AB56)</f>
        <v>1.0188556004626179</v>
      </c>
      <c r="AD56" s="799">
        <f t="shared" ref="AD56" si="35">IF($Q56=0,AD$15,AC56+(AND(AD$3&lt;=$M56,AD$4&gt;=$M56)+AND(AD$3&lt;=$N56,AD$4&gt;=$N56)+AND(AD$3&lt;=$O56,AD$4&gt;=$O56)+AND(AD$3&lt;=$P56,AD$4&gt;=$P56))*(($Q56*$R56))*AC56)</f>
        <v>1.0207606052279401</v>
      </c>
      <c r="AE56" s="799">
        <f t="shared" ref="AE56" si="36">IF($Q56=0,AE$15,AD56+(AND(AE$3&lt;=$M56,AE$4&gt;=$M56)+AND(AE$3&lt;=$N56,AE$4&gt;=$N56)+AND(AE$3&lt;=$O56,AE$4&gt;=$O56)+AND(AE$3&lt;=$P56,AE$4&gt;=$P56))*(($Q56*$R56))*AD56)</f>
        <v>1.0226691718749992</v>
      </c>
      <c r="AF56" s="799">
        <f t="shared" ref="AF56" si="37">IF($Q56=0,AF$15,AE56+(AND(AF$3&lt;=$M56,AF$4&gt;=$M56)+AND(AF$3&lt;=$N56,AF$4&gt;=$N56)+AND(AF$3&lt;=$O56,AF$4&gt;=$O56)+AND(AF$3&lt;=$P56,AF$4&gt;=$P56))*(($Q56*$R56))*AE56)</f>
        <v>1.024581307063622</v>
      </c>
      <c r="AG56" s="799">
        <f t="shared" ref="AG56" si="38">IF($Q56=0,AG$15,AF56+(AND(AG$3&lt;=$M56,AG$4&gt;=$M56)+AND(AG$3&lt;=$N56,AG$4&gt;=$N56)+AND(AG$3&lt;=$O56,AG$4&gt;=$O56)+AND(AG$3&lt;=$P56,AG$4&gt;=$P56))*(($Q56*$R56))*AF56)</f>
        <v>1.0264970174660872</v>
      </c>
      <c r="AH56" s="799">
        <f t="shared" ref="AH56" si="39">IF($Q56=0,AH$15,AG56+(AND(AH$3&lt;=$M56,AH$4&gt;=$M56)+AND(AH$3&lt;=$N56,AH$4&gt;=$N56)+AND(AH$3&lt;=$O56,AH$4&gt;=$O56)+AND(AH$3&lt;=$P56,AH$4&gt;=$P56))*(($Q56*$R56))*AG56)</f>
        <v>1.0284163097671493</v>
      </c>
      <c r="AI56" s="799">
        <f t="shared" ref="AI56" si="40">IF($Q56=0,AI$15,AH56+(AND(AI$3&lt;=$M56,AI$4&gt;=$M56)+AND(AI$3&lt;=$N56,AI$4&gt;=$N56)+AND(AI$3&lt;=$O56,AI$4&gt;=$O56)+AND(AI$3&lt;=$P56,AI$4&gt;=$P56))*(($Q56*$R56))*AH56)</f>
        <v>1.0303391906640613</v>
      </c>
      <c r="AJ56" s="799">
        <f t="shared" ref="AJ56" si="41">IF($Q56=0,AJ$15,AI56+(AND(AJ$3&lt;=$M56,AJ$4&gt;=$M56)+AND(AJ$3&lt;=$N56,AJ$4&gt;=$N56)+AND(AJ$3&lt;=$O56,AJ$4&gt;=$O56)+AND(AJ$3&lt;=$P56,AJ$4&gt;=$P56))*(($Q56*$R56))*AI56)</f>
        <v>1.0322656668665988</v>
      </c>
      <c r="AK56" s="799">
        <f t="shared" ref="AK56" si="42">IF($Q56=0,AK$15,AJ56+(AND(AK$3&lt;=$M56,AK$4&gt;=$M56)+AND(AK$3&lt;=$N56,AK$4&gt;=$N56)+AND(AK$3&lt;=$O56,AK$4&gt;=$O56)+AND(AK$3&lt;=$P56,AK$4&gt;=$P56))*(($Q56*$R56))*AJ56)</f>
        <v>1.0341957450970827</v>
      </c>
      <c r="AL56" s="799">
        <f t="shared" ref="AL56" si="43">IF($Q56=0,AL$15,AK56+(AND(AL$3&lt;=$M56,AL$4&gt;=$M56)+AND(AL$3&lt;=$N56,AL$4&gt;=$N56)+AND(AL$3&lt;=$O56,AL$4&gt;=$O56)+AND(AL$3&lt;=$P56,AL$4&gt;=$P56))*(($Q56*$R56))*AK56)</f>
        <v>1.0361294320904029</v>
      </c>
      <c r="AM56" s="799">
        <f t="shared" ref="AM56" si="44">IF($Q56=0,AM$15,AL56+(AND(AM$3&lt;=$M56,AM$4&gt;=$M56)+AND(AM$3&lt;=$N56,AM$4&gt;=$N56)+AND(AM$3&lt;=$O56,AM$4&gt;=$O56)+AND(AM$3&lt;=$P56,AM$4&gt;=$P56))*(($Q56*$R56))*AL56)</f>
        <v>1.0380667345940418</v>
      </c>
      <c r="AN56" s="799">
        <f t="shared" ref="AN56" si="45">IF($Q56=0,AN$15,AM56+(AND(AN$3&lt;=$M56,AN$4&gt;=$M56)+AND(AN$3&lt;=$N56,AN$4&gt;=$N56)+AND(AN$3&lt;=$O56,AN$4&gt;=$O56)+AND(AN$3&lt;=$P56,AN$4&gt;=$P56))*(($Q56*$R56))*AM56)</f>
        <v>1.0400076593680982</v>
      </c>
      <c r="AO56" s="799">
        <f t="shared" ref="AO56" si="46">IF($Q56=0,AO$15,AN56+(AND(AO$3&lt;=$M56,AO$4&gt;=$M56)+AND(AO$3&lt;=$N56,AO$4&gt;=$N56)+AND(AO$3&lt;=$O56,AO$4&gt;=$O56)+AND(AO$3&lt;=$P56,AO$4&gt;=$P56))*(($Q56*$R56))*AN56)</f>
        <v>1.0419522131853107</v>
      </c>
      <c r="AP56" s="799">
        <f t="shared" ref="AP56" si="47">IF($Q56=0,AP$15,AO56+(AND(AP$3&lt;=$M56,AP$4&gt;=$M56)+AND(AP$3&lt;=$N56,AP$4&gt;=$N56)+AND(AP$3&lt;=$O56,AP$4&gt;=$O56)+AND(AP$3&lt;=$P56,AP$4&gt;=$P56))*(($Q56*$R56))*AO56)</f>
        <v>1.0439004028310808</v>
      </c>
      <c r="AQ56" s="799">
        <f t="shared" ref="AQ56" si="48">IF($Q56=0,AQ$15,AP56+(AND(AQ$3&lt;=$M56,AQ$4&gt;=$M56)+AND(AQ$3&lt;=$N56,AQ$4&gt;=$N56)+AND(AQ$3&lt;=$O56,AQ$4&gt;=$O56)+AND(AQ$3&lt;=$P56,AQ$4&gt;=$P56))*(($Q56*$R56))*AP56)</f>
        <v>1.0458522351034971</v>
      </c>
      <c r="AR56" s="799">
        <f t="shared" ref="AR56" si="49">IF($Q56=0,AR$15,AQ56+(AND(AR$3&lt;=$M56,AR$4&gt;=$M56)+AND(AR$3&lt;=$N56,AR$4&gt;=$N56)+AND(AR$3&lt;=$O56,AR$4&gt;=$O56)+AND(AR$3&lt;=$P56,AR$4&gt;=$P56))*(($Q56*$R56))*AQ56)</f>
        <v>1.047807716813359</v>
      </c>
      <c r="AS56" s="799">
        <f t="shared" ref="AS56" si="50">IF($Q56=0,AS$15,AR56+(AND(AS$3&lt;=$M56,AS$4&gt;=$M56)+AND(AS$3&lt;=$N56,AS$4&gt;=$N56)+AND(AS$3&lt;=$O56,AS$4&gt;=$O56)+AND(AS$3&lt;=$P56,AS$4&gt;=$P56))*(($Q56*$R56))*AR56)</f>
        <v>1.0497668547842005</v>
      </c>
      <c r="AT56" s="799">
        <f t="shared" ref="AT56" si="51">IF($Q56=0,AT$15,AS56+(AND(AT$3&lt;=$M56,AT$4&gt;=$M56)+AND(AT$3&lt;=$N56,AT$4&gt;=$N56)+AND(AT$3&lt;=$O56,AT$4&gt;=$O56)+AND(AT$3&lt;=$P56,AT$4&gt;=$P56))*(($Q56*$R56))*AS56)</f>
        <v>1.0517296558523137</v>
      </c>
      <c r="AU56" s="799">
        <f t="shared" ref="AU56" si="52">IF($Q56=0,AU$15,AT56+(AND(AU$3&lt;=$M56,AU$4&gt;=$M56)+AND(AU$3&lt;=$N56,AU$4&gt;=$N56)+AND(AU$3&lt;=$O56,AU$4&gt;=$O56)+AND(AU$3&lt;=$P56,AU$4&gt;=$P56))*(($Q56*$R56))*AT56)</f>
        <v>1.0536961268667731</v>
      </c>
      <c r="AV56" s="799">
        <f t="shared" ref="AV56" si="53">IF($Q56=0,AV$15,AU56+(AND(AV$3&lt;=$M56,AV$4&gt;=$M56)+AND(AV$3&lt;=$N56,AV$4&gt;=$N56)+AND(AV$3&lt;=$O56,AV$4&gt;=$O56)+AND(AV$3&lt;=$P56,AV$4&gt;=$P56))*(($Q56*$R56))*AU56)</f>
        <v>1.0556662746894589</v>
      </c>
      <c r="AW56" s="799">
        <f t="shared" ref="AW56" si="54">IF($Q56=0,AW$15,AV56+(AND(AW$3&lt;=$M56,AW$4&gt;=$M56)+AND(AW$3&lt;=$N56,AW$4&gt;=$N56)+AND(AW$3&lt;=$O56,AW$4&gt;=$O56)+AND(AW$3&lt;=$P56,AW$4&gt;=$P56))*(($Q56*$R56))*AV56)</f>
        <v>1.0576401061950818</v>
      </c>
      <c r="AX56" s="799">
        <f t="shared" ref="AX56" si="55">IF($Q56=0,AX$15,AW56+(AND(AX$3&lt;=$M56,AX$4&gt;=$M56)+AND(AX$3&lt;=$N56,AX$4&gt;=$N56)+AND(AX$3&lt;=$O56,AX$4&gt;=$O56)+AND(AX$3&lt;=$P56,AX$4&gt;=$P56))*(($Q56*$R56))*AW56)</f>
        <v>1.0596176282712058</v>
      </c>
      <c r="AY56" s="799">
        <f t="shared" ref="AY56" si="56">IF($Q56=0,AY$15,AX56+(AND(AY$3&lt;=$M56,AY$4&gt;=$M56)+AND(AY$3&lt;=$N56,AY$4&gt;=$N56)+AND(AY$3&lt;=$O56,AY$4&gt;=$O56)+AND(AY$3&lt;=$P56,AY$4&gt;=$P56))*(($Q56*$R56))*AX56)</f>
        <v>1.0615988478182736</v>
      </c>
      <c r="AZ56" s="799">
        <f t="shared" ref="AZ56" si="57">IF($Q56=0,AZ$15,AY56+(AND(AZ$3&lt;=$M56,AZ$4&gt;=$M56)+AND(AZ$3&lt;=$N56,AZ$4&gt;=$N56)+AND(AZ$3&lt;=$O56,AZ$4&gt;=$O56)+AND(AZ$3&lt;=$P56,AZ$4&gt;=$P56))*(($Q56*$R56))*AY56)</f>
        <v>1.0635837717496297</v>
      </c>
      <c r="BA56" s="799">
        <f t="shared" ref="BA56" si="58">IF($Q56=0,BA$15,AZ56+(AND(BA$3&lt;=$M56,BA$4&gt;=$M56)+AND(BA$3&lt;=$N56,BA$4&gt;=$N56)+AND(BA$3&lt;=$O56,BA$4&gt;=$O56)+AND(BA$3&lt;=$P56,BA$4&gt;=$P56))*(($Q56*$R56))*AZ56)</f>
        <v>1.0655724069915447</v>
      </c>
      <c r="BB56" s="799">
        <f t="shared" ref="BB56" si="59">IF($Q56=0,BB$15,BA56+(AND(BB$3&lt;=$M56,BB$4&gt;=$M56)+AND(BB$3&lt;=$N56,BB$4&gt;=$N56)+AND(BB$3&lt;=$O56,BB$4&gt;=$O56)+AND(BB$3&lt;=$P56,BB$4&gt;=$P56))*(($Q56*$R56))*BA56)</f>
        <v>1.0675647604832397</v>
      </c>
      <c r="BC56" s="799">
        <f t="shared" ref="BC56" si="60">IF($Q56=0,BC$15,BB56+(AND(BC$3&lt;=$M56,BC$4&gt;=$M56)+AND(BC$3&lt;=$N56,BC$4&gt;=$N56)+AND(BC$3&lt;=$O56,BC$4&gt;=$O56)+AND(BC$3&lt;=$P56,BC$4&gt;=$P56))*(($Q56*$R56))*BB56)</f>
        <v>1.0695608391769105</v>
      </c>
      <c r="BD56" s="799">
        <f t="shared" ref="BD56" si="61">IF($Q56=0,BD$15,BC56+(AND(BD$3&lt;=$M56,BD$4&gt;=$M56)+AND(BD$3&lt;=$N56,BD$4&gt;=$N56)+AND(BD$3&lt;=$O56,BD$4&gt;=$O56)+AND(BD$3&lt;=$P56,BD$4&gt;=$P56))*(($Q56*$R56))*BC56)</f>
        <v>1.0715606500377517</v>
      </c>
      <c r="BE56" s="799">
        <f t="shared" ref="BE56" si="62">IF($Q56=0,BE$15,BD56+(AND(BE$3&lt;=$M56,BE$4&gt;=$M56)+AND(BE$3&lt;=$N56,BE$4&gt;=$N56)+AND(BE$3&lt;=$O56,BE$4&gt;=$O56)+AND(BE$3&lt;=$P56,BE$4&gt;=$P56))*(($Q56*$R56))*BD56)</f>
        <v>1.0735642000439811</v>
      </c>
      <c r="BF56" s="799">
        <f t="shared" ref="BF56" si="63">IF($Q56=0,BF$15,BE56+(AND(BF$3&lt;=$M56,BF$4&gt;=$M56)+AND(BF$3&lt;=$N56,BF$4&gt;=$N56)+AND(BF$3&lt;=$O56,BF$4&gt;=$O56)+AND(BF$3&lt;=$P56,BF$4&gt;=$P56))*(($Q56*$R56))*BE56)</f>
        <v>1.0755714961868639</v>
      </c>
      <c r="BG56" s="799">
        <f t="shared" ref="BG56" si="64">IF($Q56=0,BG$15,BF56+(AND(BG$3&lt;=$M56,BG$4&gt;=$M56)+AND(BG$3&lt;=$N56,BG$4&gt;=$N56)+AND(BG$3&lt;=$O56,BG$4&gt;=$O56)+AND(BG$3&lt;=$P56,BG$4&gt;=$P56))*(($Q56*$R56))*BF56)</f>
        <v>1.0775825454707373</v>
      </c>
      <c r="BI56" s="106" t="s">
        <v>153</v>
      </c>
      <c r="BK56" s="103"/>
    </row>
    <row r="57" spans="2:63">
      <c r="C57" s="268"/>
      <c r="D57" s="268"/>
      <c r="F57" s="268"/>
      <c r="H57" s="268"/>
      <c r="J57" s="268"/>
      <c r="K57" s="268"/>
      <c r="M57" s="268"/>
      <c r="N57" s="268"/>
      <c r="O57" s="268"/>
      <c r="P57" s="268"/>
      <c r="Q57" s="268"/>
      <c r="R57" s="268"/>
      <c r="BI57" s="268"/>
      <c r="BK57" s="268"/>
    </row>
    <row r="58" spans="2:63" s="90" customFormat="1">
      <c r="B58" s="91">
        <f ca="1">MAX(A$1:$B57)+1</f>
        <v>7</v>
      </c>
      <c r="C58" s="92" t="s">
        <v>300</v>
      </c>
    </row>
    <row r="60" spans="2:63">
      <c r="M60" s="226" t="s">
        <v>363</v>
      </c>
      <c r="N60" s="226"/>
      <c r="O60" s="226"/>
    </row>
    <row r="61" spans="2:63" ht="30">
      <c r="C61" s="96" t="s">
        <v>4</v>
      </c>
      <c r="D61" s="97" t="s">
        <v>148</v>
      </c>
      <c r="E61" s="95"/>
      <c r="F61" s="97" t="s">
        <v>149</v>
      </c>
      <c r="G61" s="95"/>
      <c r="H61" s="97" t="s">
        <v>150</v>
      </c>
      <c r="I61" s="95"/>
      <c r="J61" s="97" t="s">
        <v>272</v>
      </c>
      <c r="K61" s="97" t="s">
        <v>273</v>
      </c>
      <c r="M61" s="171" t="s">
        <v>11</v>
      </c>
      <c r="N61" s="171" t="s">
        <v>13</v>
      </c>
      <c r="O61" s="101" t="s">
        <v>245</v>
      </c>
      <c r="BI61" s="104" t="s">
        <v>152</v>
      </c>
      <c r="BJ61" s="95"/>
      <c r="BK61" s="102"/>
    </row>
    <row r="62" spans="2:63">
      <c r="C62" s="98">
        <f>RR!C23</f>
        <v>1</v>
      </c>
      <c r="D62" s="98" t="str">
        <f>RR!E23</f>
        <v>1 - 1</v>
      </c>
      <c r="F62" s="93" t="str">
        <f>INDEX(RR!K:K,MATCH(D62,RR!E:E,0))</f>
        <v>backup</v>
      </c>
      <c r="H62" s="72" t="s">
        <v>300</v>
      </c>
      <c r="J62" s="1324">
        <f>INDEX(AA!E:E,MATCH($C62,AA!C:C,0))</f>
        <v>1</v>
      </c>
      <c r="K62" s="1324">
        <f>INDEX(TA!$G:$G,MATCH($D62,TA!$D:$D,0))</f>
        <v>1</v>
      </c>
      <c r="M62" s="289">
        <f>INDEX(TA!$CK$15:$CK$17,MATCH($D62,TA!$D$15:$D$17,0))</f>
        <v>50771</v>
      </c>
      <c r="N62" s="286">
        <f>INDEX(TA!$CL$15:$CL$17,MATCH($D62,TA!$D$15:$D$17,0))</f>
        <v>52597</v>
      </c>
      <c r="O62" s="290">
        <f>INDEX(TA!$CQ$15:$CQ$17,MATCH($D62,TA!$D$15:$D$17,0))</f>
        <v>1</v>
      </c>
      <c r="T62" s="230">
        <f>($M62&lt;=T$4)*MAX(($N62-T$4)/365,0)*$J62*$K62</f>
        <v>0</v>
      </c>
      <c r="U62" s="230">
        <f t="shared" ref="U62:BG63" si="65">($M62&lt;=U$4)*MAX(($N62-U$4)/365,0)*$J62*$K62</f>
        <v>0</v>
      </c>
      <c r="V62" s="230">
        <f t="shared" si="65"/>
        <v>0</v>
      </c>
      <c r="W62" s="230">
        <f t="shared" si="65"/>
        <v>0</v>
      </c>
      <c r="X62" s="230">
        <f t="shared" si="65"/>
        <v>0</v>
      </c>
      <c r="Y62" s="230">
        <f t="shared" si="65"/>
        <v>0</v>
      </c>
      <c r="Z62" s="230">
        <f t="shared" si="65"/>
        <v>0</v>
      </c>
      <c r="AA62" s="230">
        <f t="shared" si="65"/>
        <v>0</v>
      </c>
      <c r="AB62" s="230">
        <f t="shared" si="65"/>
        <v>0</v>
      </c>
      <c r="AC62" s="230">
        <f t="shared" si="65"/>
        <v>0</v>
      </c>
      <c r="AD62" s="230">
        <f t="shared" si="65"/>
        <v>0</v>
      </c>
      <c r="AE62" s="230">
        <f t="shared" si="65"/>
        <v>0</v>
      </c>
      <c r="AF62" s="230">
        <f t="shared" si="65"/>
        <v>0</v>
      </c>
      <c r="AG62" s="230">
        <f t="shared" si="65"/>
        <v>0</v>
      </c>
      <c r="AH62" s="230">
        <f t="shared" si="65"/>
        <v>0</v>
      </c>
      <c r="AI62" s="230">
        <f t="shared" si="65"/>
        <v>0</v>
      </c>
      <c r="AJ62" s="230">
        <f t="shared" si="65"/>
        <v>0</v>
      </c>
      <c r="AK62" s="230">
        <f t="shared" si="65"/>
        <v>0</v>
      </c>
      <c r="AL62" s="230">
        <f t="shared" si="65"/>
        <v>0</v>
      </c>
      <c r="AM62" s="230">
        <f t="shared" si="65"/>
        <v>0</v>
      </c>
      <c r="AN62" s="230">
        <f t="shared" si="65"/>
        <v>0</v>
      </c>
      <c r="AO62" s="230">
        <f t="shared" si="65"/>
        <v>0</v>
      </c>
      <c r="AP62" s="230">
        <f t="shared" si="65"/>
        <v>0</v>
      </c>
      <c r="AQ62" s="230">
        <f t="shared" si="65"/>
        <v>0</v>
      </c>
      <c r="AR62" s="230">
        <f t="shared" si="65"/>
        <v>0</v>
      </c>
      <c r="AS62" s="230">
        <f t="shared" si="65"/>
        <v>0</v>
      </c>
      <c r="AT62" s="230">
        <f t="shared" si="65"/>
        <v>0</v>
      </c>
      <c r="AU62" s="230">
        <f t="shared" si="65"/>
        <v>0</v>
      </c>
      <c r="AV62" s="230">
        <f t="shared" si="65"/>
        <v>0</v>
      </c>
      <c r="AW62" s="230">
        <f t="shared" si="65"/>
        <v>0</v>
      </c>
      <c r="AX62" s="230">
        <f t="shared" si="65"/>
        <v>0</v>
      </c>
      <c r="AY62" s="230">
        <f t="shared" si="65"/>
        <v>0</v>
      </c>
      <c r="AZ62" s="230">
        <f t="shared" si="65"/>
        <v>0</v>
      </c>
      <c r="BA62" s="230">
        <f t="shared" si="65"/>
        <v>0</v>
      </c>
      <c r="BB62" s="230">
        <f t="shared" si="65"/>
        <v>0</v>
      </c>
      <c r="BC62" s="230">
        <f t="shared" si="65"/>
        <v>0</v>
      </c>
      <c r="BD62" s="230">
        <f t="shared" si="65"/>
        <v>0</v>
      </c>
      <c r="BE62" s="230">
        <f t="shared" si="65"/>
        <v>0</v>
      </c>
      <c r="BF62" s="230">
        <f t="shared" si="65"/>
        <v>0</v>
      </c>
      <c r="BG62" s="230">
        <f t="shared" si="65"/>
        <v>0</v>
      </c>
      <c r="BI62" s="105" t="s">
        <v>153</v>
      </c>
      <c r="BK62" s="103"/>
    </row>
    <row r="63" spans="2:63">
      <c r="C63" s="99">
        <f>RR!C24</f>
        <v>2</v>
      </c>
      <c r="D63" s="99" t="str">
        <f>RR!E24</f>
        <v>2 - 1</v>
      </c>
      <c r="F63" s="94" t="str">
        <f>INDEX(RR!K:K,MATCH(D63,RR!E:E,0))</f>
        <v>backup</v>
      </c>
      <c r="H63" s="73" t="s">
        <v>300</v>
      </c>
      <c r="J63" s="1325">
        <f>INDEX(AA!E:E,MATCH($C63,AA!C:C,0))</f>
        <v>1</v>
      </c>
      <c r="K63" s="1325">
        <f>INDEX(TA!$G:$G,MATCH($D63,TA!$D:$D,0))</f>
        <v>1</v>
      </c>
      <c r="M63" s="291">
        <f>INDEX(TA!$CK$15:$CK$17,MATCH($D63,TA!$D$15:$D$17,0))</f>
        <v>50771</v>
      </c>
      <c r="N63" s="288">
        <f>INDEX(TA!$CL$15:$CL$17,MATCH($D63,TA!$D$15:$D$17,0))</f>
        <v>52597</v>
      </c>
      <c r="O63" s="292">
        <f>INDEX(TA!$CQ$15:$CQ$17,MATCH($D63,TA!$D$15:$D$17,0))</f>
        <v>1</v>
      </c>
      <c r="T63" s="230">
        <f t="shared" ref="T63" si="66">($M63&lt;=T$4)*MAX(($N63-T$4)/365,0)*$J63*$K63</f>
        <v>0</v>
      </c>
      <c r="U63" s="230">
        <f t="shared" si="65"/>
        <v>0</v>
      </c>
      <c r="V63" s="230">
        <f t="shared" si="65"/>
        <v>0</v>
      </c>
      <c r="W63" s="230">
        <f t="shared" si="65"/>
        <v>0</v>
      </c>
      <c r="X63" s="230">
        <f t="shared" si="65"/>
        <v>0</v>
      </c>
      <c r="Y63" s="230">
        <f t="shared" si="65"/>
        <v>0</v>
      </c>
      <c r="Z63" s="230">
        <f t="shared" si="65"/>
        <v>0</v>
      </c>
      <c r="AA63" s="230">
        <f t="shared" si="65"/>
        <v>0</v>
      </c>
      <c r="AB63" s="230">
        <f t="shared" si="65"/>
        <v>0</v>
      </c>
      <c r="AC63" s="230">
        <f t="shared" si="65"/>
        <v>0</v>
      </c>
      <c r="AD63" s="230">
        <f t="shared" si="65"/>
        <v>0</v>
      </c>
      <c r="AE63" s="230">
        <f t="shared" si="65"/>
        <v>0</v>
      </c>
      <c r="AF63" s="230">
        <f t="shared" si="65"/>
        <v>0</v>
      </c>
      <c r="AG63" s="230">
        <f t="shared" si="65"/>
        <v>0</v>
      </c>
      <c r="AH63" s="230">
        <f t="shared" si="65"/>
        <v>0</v>
      </c>
      <c r="AI63" s="230">
        <f t="shared" si="65"/>
        <v>0</v>
      </c>
      <c r="AJ63" s="230">
        <f t="shared" si="65"/>
        <v>0</v>
      </c>
      <c r="AK63" s="230">
        <f t="shared" si="65"/>
        <v>0</v>
      </c>
      <c r="AL63" s="230">
        <f t="shared" si="65"/>
        <v>0</v>
      </c>
      <c r="AM63" s="230">
        <f t="shared" si="65"/>
        <v>0</v>
      </c>
      <c r="AN63" s="230">
        <f t="shared" si="65"/>
        <v>0</v>
      </c>
      <c r="AO63" s="230">
        <f t="shared" si="65"/>
        <v>0</v>
      </c>
      <c r="AP63" s="230">
        <f t="shared" si="65"/>
        <v>0</v>
      </c>
      <c r="AQ63" s="230">
        <f t="shared" si="65"/>
        <v>0</v>
      </c>
      <c r="AR63" s="230">
        <f t="shared" si="65"/>
        <v>0</v>
      </c>
      <c r="AS63" s="230">
        <f t="shared" si="65"/>
        <v>0</v>
      </c>
      <c r="AT63" s="230">
        <f t="shared" si="65"/>
        <v>0</v>
      </c>
      <c r="AU63" s="230">
        <f t="shared" si="65"/>
        <v>0</v>
      </c>
      <c r="AV63" s="230">
        <f t="shared" si="65"/>
        <v>0</v>
      </c>
      <c r="AW63" s="230">
        <f t="shared" si="65"/>
        <v>0</v>
      </c>
      <c r="AX63" s="230">
        <f t="shared" si="65"/>
        <v>0</v>
      </c>
      <c r="AY63" s="230">
        <f t="shared" si="65"/>
        <v>0</v>
      </c>
      <c r="AZ63" s="230">
        <f t="shared" si="65"/>
        <v>0</v>
      </c>
      <c r="BA63" s="230">
        <f t="shared" si="65"/>
        <v>0</v>
      </c>
      <c r="BB63" s="230">
        <f t="shared" si="65"/>
        <v>0</v>
      </c>
      <c r="BC63" s="230">
        <f t="shared" si="65"/>
        <v>0</v>
      </c>
      <c r="BD63" s="230">
        <f t="shared" si="65"/>
        <v>0</v>
      </c>
      <c r="BE63" s="230">
        <f t="shared" si="65"/>
        <v>0</v>
      </c>
      <c r="BF63" s="230">
        <f t="shared" si="65"/>
        <v>0</v>
      </c>
      <c r="BG63" s="230">
        <f t="shared" si="65"/>
        <v>0</v>
      </c>
      <c r="BI63" s="106" t="s">
        <v>153</v>
      </c>
      <c r="BK63" s="103"/>
    </row>
    <row r="64" spans="2:63">
      <c r="C64" s="99">
        <f>RR!C25</f>
        <v>3</v>
      </c>
      <c r="D64" s="99" t="str">
        <f>RR!E25</f>
        <v>3 - 1</v>
      </c>
      <c r="F64" s="94" t="str">
        <f>INDEX(RR!K:K,MATCH(D64,RR!E:E,0))</f>
        <v>backup</v>
      </c>
      <c r="H64" s="73" t="s">
        <v>300</v>
      </c>
      <c r="J64" s="1325">
        <f>INDEX(AA!E:E,MATCH($C64,AA!C:C,0))</f>
        <v>1</v>
      </c>
      <c r="K64" s="1325">
        <f>INDEX(TA!$G:$G,MATCH($D64,TA!$D:$D,0))</f>
        <v>1</v>
      </c>
      <c r="M64" s="291">
        <f>INDEX(TA!$CK$15:$CK$17,MATCH($D64,TA!$D$15:$D$17,0))</f>
        <v>50771</v>
      </c>
      <c r="N64" s="288">
        <f>INDEX(TA!$CL$15:$CL$17,MATCH($D64,TA!$D$15:$D$17,0))</f>
        <v>52597</v>
      </c>
      <c r="O64" s="292">
        <f>INDEX(TA!$CQ$15:$CQ$17,MATCH($D64,TA!$D$15:$D$17,0))</f>
        <v>1</v>
      </c>
      <c r="T64" s="230">
        <f t="shared" ref="T64:AI64" si="67">($M64&lt;=T$4)*MAX(($N64-T$4)/365,0)*$J64*$K64</f>
        <v>0</v>
      </c>
      <c r="U64" s="230">
        <f t="shared" si="67"/>
        <v>0</v>
      </c>
      <c r="V64" s="230">
        <f t="shared" si="67"/>
        <v>0</v>
      </c>
      <c r="W64" s="230">
        <f t="shared" si="67"/>
        <v>0</v>
      </c>
      <c r="X64" s="230">
        <f t="shared" si="67"/>
        <v>0</v>
      </c>
      <c r="Y64" s="230">
        <f t="shared" si="67"/>
        <v>0</v>
      </c>
      <c r="Z64" s="230">
        <f t="shared" si="67"/>
        <v>0</v>
      </c>
      <c r="AA64" s="230">
        <f t="shared" si="67"/>
        <v>0</v>
      </c>
      <c r="AB64" s="230">
        <f t="shared" si="67"/>
        <v>0</v>
      </c>
      <c r="AC64" s="230">
        <f t="shared" si="67"/>
        <v>0</v>
      </c>
      <c r="AD64" s="230">
        <f t="shared" si="67"/>
        <v>0</v>
      </c>
      <c r="AE64" s="230">
        <f t="shared" si="67"/>
        <v>0</v>
      </c>
      <c r="AF64" s="230">
        <f t="shared" si="67"/>
        <v>0</v>
      </c>
      <c r="AG64" s="230">
        <f t="shared" si="67"/>
        <v>0</v>
      </c>
      <c r="AH64" s="230">
        <f t="shared" si="67"/>
        <v>0</v>
      </c>
      <c r="AI64" s="230">
        <f t="shared" si="67"/>
        <v>0</v>
      </c>
      <c r="AJ64" s="230">
        <f t="shared" ref="AJ64:AY64" si="68">($M64&lt;=AJ$4)*MAX(($N64-AJ$4)/365,0)*$J64*$K64</f>
        <v>0</v>
      </c>
      <c r="AK64" s="230">
        <f t="shared" si="68"/>
        <v>0</v>
      </c>
      <c r="AL64" s="230">
        <f t="shared" si="68"/>
        <v>0</v>
      </c>
      <c r="AM64" s="230">
        <f t="shared" si="68"/>
        <v>0</v>
      </c>
      <c r="AN64" s="230">
        <f t="shared" si="68"/>
        <v>0</v>
      </c>
      <c r="AO64" s="230">
        <f t="shared" si="68"/>
        <v>0</v>
      </c>
      <c r="AP64" s="230">
        <f t="shared" si="68"/>
        <v>0</v>
      </c>
      <c r="AQ64" s="230">
        <f t="shared" si="68"/>
        <v>0</v>
      </c>
      <c r="AR64" s="230">
        <f t="shared" si="68"/>
        <v>0</v>
      </c>
      <c r="AS64" s="230">
        <f t="shared" si="68"/>
        <v>0</v>
      </c>
      <c r="AT64" s="230">
        <f t="shared" si="68"/>
        <v>0</v>
      </c>
      <c r="AU64" s="230">
        <f t="shared" si="68"/>
        <v>0</v>
      </c>
      <c r="AV64" s="230">
        <f t="shared" si="68"/>
        <v>0</v>
      </c>
      <c r="AW64" s="230">
        <f t="shared" si="68"/>
        <v>0</v>
      </c>
      <c r="AX64" s="230">
        <f t="shared" si="68"/>
        <v>0</v>
      </c>
      <c r="AY64" s="230">
        <f t="shared" si="68"/>
        <v>0</v>
      </c>
      <c r="AZ64" s="230">
        <f t="shared" ref="AZ64:BG64" si="69">($M64&lt;=AZ$4)*MAX(($N64-AZ$4)/365,0)*$J64*$K64</f>
        <v>0</v>
      </c>
      <c r="BA64" s="230">
        <f t="shared" si="69"/>
        <v>0</v>
      </c>
      <c r="BB64" s="230">
        <f t="shared" si="69"/>
        <v>0</v>
      </c>
      <c r="BC64" s="230">
        <f t="shared" si="69"/>
        <v>0</v>
      </c>
      <c r="BD64" s="230">
        <f t="shared" si="69"/>
        <v>0</v>
      </c>
      <c r="BE64" s="230">
        <f t="shared" si="69"/>
        <v>0</v>
      </c>
      <c r="BF64" s="230">
        <f t="shared" si="69"/>
        <v>0</v>
      </c>
      <c r="BG64" s="230">
        <f t="shared" si="69"/>
        <v>0</v>
      </c>
      <c r="BI64" s="106" t="s">
        <v>153</v>
      </c>
      <c r="BK64" s="103"/>
    </row>
    <row r="65" spans="2:63">
      <c r="C65" s="269"/>
      <c r="D65" s="269"/>
      <c r="F65" s="269"/>
      <c r="H65" s="269"/>
      <c r="J65" s="269"/>
      <c r="K65" s="269"/>
      <c r="M65" s="269"/>
      <c r="N65" s="269"/>
      <c r="O65" s="269"/>
      <c r="T65" s="230"/>
      <c r="U65" s="230"/>
      <c r="V65" s="230"/>
      <c r="W65" s="230"/>
      <c r="X65" s="230"/>
      <c r="Y65" s="230"/>
      <c r="Z65" s="230"/>
      <c r="AA65" s="230"/>
      <c r="AB65" s="230"/>
      <c r="AC65" s="230"/>
      <c r="AD65" s="230"/>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I65" s="269"/>
      <c r="BK65" s="269"/>
    </row>
    <row r="66" spans="2:63">
      <c r="T66" s="230"/>
      <c r="U66" s="230"/>
      <c r="V66" s="230"/>
      <c r="W66" s="230"/>
      <c r="X66" s="230"/>
      <c r="Y66" s="230"/>
      <c r="Z66" s="230"/>
      <c r="AA66" s="230"/>
      <c r="AB66" s="230"/>
      <c r="AC66" s="230"/>
      <c r="AD66" s="230"/>
      <c r="AE66" s="230"/>
      <c r="AF66" s="230"/>
      <c r="AG66" s="230"/>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row>
    <row r="67" spans="2:63" s="90" customFormat="1">
      <c r="B67" s="91">
        <f ca="1">MAX(A$1:$B66)+1</f>
        <v>8</v>
      </c>
      <c r="C67" s="92" t="s">
        <v>383</v>
      </c>
    </row>
    <row r="68" spans="2:63">
      <c r="T68" s="230"/>
      <c r="U68" s="230"/>
      <c r="V68" s="230"/>
      <c r="W68" s="230"/>
      <c r="X68" s="230"/>
      <c r="Y68" s="230"/>
      <c r="Z68" s="230"/>
      <c r="AA68" s="230"/>
      <c r="AB68" s="230"/>
      <c r="AC68" s="230"/>
      <c r="AD68" s="230"/>
      <c r="AE68" s="230"/>
      <c r="AF68" s="230"/>
      <c r="AG68" s="230"/>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row>
    <row r="69" spans="2:63">
      <c r="M69" s="226" t="s">
        <v>383</v>
      </c>
      <c r="N69" s="225"/>
      <c r="O69" s="225"/>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row>
    <row r="70" spans="2:63" ht="30">
      <c r="C70" s="96" t="s">
        <v>4</v>
      </c>
      <c r="D70" s="97" t="s">
        <v>148</v>
      </c>
      <c r="E70" s="95"/>
      <c r="F70" s="97" t="s">
        <v>149</v>
      </c>
      <c r="G70" s="95"/>
      <c r="H70" s="97" t="s">
        <v>150</v>
      </c>
      <c r="I70" s="95"/>
      <c r="J70" s="97" t="s">
        <v>272</v>
      </c>
      <c r="K70" s="97" t="s">
        <v>273</v>
      </c>
      <c r="M70" s="96" t="s">
        <v>384</v>
      </c>
      <c r="N70" s="97" t="s">
        <v>385</v>
      </c>
      <c r="O70" s="97" t="s">
        <v>305</v>
      </c>
      <c r="T70" s="230"/>
      <c r="U70" s="230"/>
      <c r="V70" s="230"/>
      <c r="W70" s="230"/>
      <c r="X70" s="230"/>
      <c r="Y70" s="230"/>
      <c r="Z70" s="230"/>
      <c r="AA70" s="230"/>
      <c r="AB70" s="230"/>
      <c r="AC70" s="230"/>
      <c r="AD70" s="230"/>
      <c r="AE70" s="230"/>
      <c r="AF70" s="230"/>
      <c r="AG70" s="230"/>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I70" s="104" t="s">
        <v>152</v>
      </c>
      <c r="BJ70" s="95"/>
      <c r="BK70" s="102"/>
    </row>
    <row r="71" spans="2:63">
      <c r="C71" s="98">
        <f>RR!C23</f>
        <v>1</v>
      </c>
      <c r="D71" s="98" t="str">
        <f>RR!E23</f>
        <v>1 - 1</v>
      </c>
      <c r="F71" s="93" t="str">
        <f>INDEX(RR!K:K,MATCH(D71,RR!E:E,0))</f>
        <v>backup</v>
      </c>
      <c r="H71" s="72" t="s">
        <v>383</v>
      </c>
      <c r="J71" s="1324">
        <f>INDEX(AA!E:E,MATCH($C71,AA!C:C,0))</f>
        <v>1</v>
      </c>
      <c r="K71" s="1324">
        <f>INDEX(TA!$G:$G,MATCH($D71,TA!$D:$D,0))</f>
        <v>1</v>
      </c>
      <c r="M71" s="305">
        <f>INDEX(TA!$BN$15:$BN$17,MATCH($D71,TA!$D$15:$D$17,0))</f>
        <v>0</v>
      </c>
      <c r="N71" s="307">
        <f>INDEX(TA!$CA$15:$CA$17,MATCH($D71,TA!$D$15:$D$17,0))</f>
        <v>0</v>
      </c>
      <c r="O71" s="1324" t="str">
        <f>INDEX(TA!$U:$U,MATCH($D71,TA!$D:$D,0))</f>
        <v>FMCG-F</v>
      </c>
      <c r="T71" s="231">
        <f>$M71*(T$5&gt;=$N71)</f>
        <v>0</v>
      </c>
      <c r="U71" s="231">
        <f t="shared" ref="U71:BG72" si="70">$M71*(U$5&gt;=$N71)</f>
        <v>0</v>
      </c>
      <c r="V71" s="231">
        <f t="shared" si="70"/>
        <v>0</v>
      </c>
      <c r="W71" s="231">
        <f t="shared" si="70"/>
        <v>0</v>
      </c>
      <c r="X71" s="231">
        <f t="shared" si="70"/>
        <v>0</v>
      </c>
      <c r="Y71" s="231">
        <f t="shared" si="70"/>
        <v>0</v>
      </c>
      <c r="Z71" s="231">
        <f t="shared" si="70"/>
        <v>0</v>
      </c>
      <c r="AA71" s="231">
        <f t="shared" si="70"/>
        <v>0</v>
      </c>
      <c r="AB71" s="231">
        <f t="shared" si="70"/>
        <v>0</v>
      </c>
      <c r="AC71" s="231">
        <f t="shared" si="70"/>
        <v>0</v>
      </c>
      <c r="AD71" s="231">
        <f t="shared" si="70"/>
        <v>0</v>
      </c>
      <c r="AE71" s="231">
        <f t="shared" si="70"/>
        <v>0</v>
      </c>
      <c r="AF71" s="231">
        <f t="shared" si="70"/>
        <v>0</v>
      </c>
      <c r="AG71" s="231">
        <f t="shared" si="70"/>
        <v>0</v>
      </c>
      <c r="AH71" s="231">
        <f t="shared" si="70"/>
        <v>0</v>
      </c>
      <c r="AI71" s="231">
        <f t="shared" si="70"/>
        <v>0</v>
      </c>
      <c r="AJ71" s="231">
        <f t="shared" si="70"/>
        <v>0</v>
      </c>
      <c r="AK71" s="231">
        <f t="shared" si="70"/>
        <v>0</v>
      </c>
      <c r="AL71" s="231">
        <f t="shared" si="70"/>
        <v>0</v>
      </c>
      <c r="AM71" s="231">
        <f t="shared" si="70"/>
        <v>0</v>
      </c>
      <c r="AN71" s="231">
        <f t="shared" si="70"/>
        <v>0</v>
      </c>
      <c r="AO71" s="231">
        <f t="shared" si="70"/>
        <v>0</v>
      </c>
      <c r="AP71" s="231">
        <f t="shared" si="70"/>
        <v>0</v>
      </c>
      <c r="AQ71" s="231">
        <f t="shared" si="70"/>
        <v>0</v>
      </c>
      <c r="AR71" s="231">
        <f t="shared" si="70"/>
        <v>0</v>
      </c>
      <c r="AS71" s="231">
        <f t="shared" si="70"/>
        <v>0</v>
      </c>
      <c r="AT71" s="231">
        <f t="shared" si="70"/>
        <v>0</v>
      </c>
      <c r="AU71" s="231">
        <f t="shared" si="70"/>
        <v>0</v>
      </c>
      <c r="AV71" s="231">
        <f t="shared" si="70"/>
        <v>0</v>
      </c>
      <c r="AW71" s="231">
        <f t="shared" si="70"/>
        <v>0</v>
      </c>
      <c r="AX71" s="231">
        <f t="shared" si="70"/>
        <v>0</v>
      </c>
      <c r="AY71" s="231">
        <f t="shared" si="70"/>
        <v>0</v>
      </c>
      <c r="AZ71" s="231">
        <f t="shared" si="70"/>
        <v>0</v>
      </c>
      <c r="BA71" s="231">
        <f t="shared" si="70"/>
        <v>0</v>
      </c>
      <c r="BB71" s="231">
        <f t="shared" si="70"/>
        <v>0</v>
      </c>
      <c r="BC71" s="231">
        <f t="shared" si="70"/>
        <v>0</v>
      </c>
      <c r="BD71" s="231">
        <f t="shared" si="70"/>
        <v>0</v>
      </c>
      <c r="BE71" s="231">
        <f t="shared" si="70"/>
        <v>0</v>
      </c>
      <c r="BF71" s="231">
        <f t="shared" si="70"/>
        <v>0</v>
      </c>
      <c r="BG71" s="231">
        <f t="shared" si="70"/>
        <v>0</v>
      </c>
      <c r="BI71" s="105" t="s">
        <v>153</v>
      </c>
      <c r="BK71" s="103"/>
    </row>
    <row r="72" spans="2:63">
      <c r="C72" s="99">
        <f>RR!C24</f>
        <v>2</v>
      </c>
      <c r="D72" s="99" t="str">
        <f>RR!E24</f>
        <v>2 - 1</v>
      </c>
      <c r="F72" s="94" t="str">
        <f>INDEX(RR!K:K,MATCH(D72,RR!E:E,0))</f>
        <v>backup</v>
      </c>
      <c r="H72" s="73" t="s">
        <v>383</v>
      </c>
      <c r="J72" s="1325">
        <f>INDEX(AA!E:E,MATCH($C72,AA!C:C,0))</f>
        <v>1</v>
      </c>
      <c r="K72" s="1325">
        <f>INDEX(TA!$G:$G,MATCH($D72,TA!$D:$D,0))</f>
        <v>1</v>
      </c>
      <c r="M72" s="306">
        <f>INDEX(TA!$BN$15:$BN$17,MATCH($D72,TA!$D$15:$D$17,0))</f>
        <v>0</v>
      </c>
      <c r="N72" s="308">
        <f>INDEX(TA!$CA$15:$CA$17,MATCH($D72,TA!$D$15:$D$17,0))</f>
        <v>0</v>
      </c>
      <c r="O72" s="1325" t="str">
        <f>INDEX(TA!$U:$U,MATCH($D72,TA!$D:$D,0))</f>
        <v>FMCG-F</v>
      </c>
      <c r="T72" s="231">
        <f t="shared" ref="T72:AI72" si="71">$M72*(T$5&gt;=$N72)</f>
        <v>0</v>
      </c>
      <c r="U72" s="231">
        <f t="shared" si="71"/>
        <v>0</v>
      </c>
      <c r="V72" s="231">
        <f t="shared" si="71"/>
        <v>0</v>
      </c>
      <c r="W72" s="231">
        <f t="shared" si="71"/>
        <v>0</v>
      </c>
      <c r="X72" s="231">
        <f t="shared" si="71"/>
        <v>0</v>
      </c>
      <c r="Y72" s="231">
        <f t="shared" si="71"/>
        <v>0</v>
      </c>
      <c r="Z72" s="231">
        <f t="shared" si="71"/>
        <v>0</v>
      </c>
      <c r="AA72" s="231">
        <f t="shared" si="71"/>
        <v>0</v>
      </c>
      <c r="AB72" s="231">
        <f t="shared" si="71"/>
        <v>0</v>
      </c>
      <c r="AC72" s="231">
        <f t="shared" si="71"/>
        <v>0</v>
      </c>
      <c r="AD72" s="231">
        <f t="shared" si="71"/>
        <v>0</v>
      </c>
      <c r="AE72" s="231">
        <f t="shared" si="71"/>
        <v>0</v>
      </c>
      <c r="AF72" s="231">
        <f t="shared" si="71"/>
        <v>0</v>
      </c>
      <c r="AG72" s="231">
        <f t="shared" si="71"/>
        <v>0</v>
      </c>
      <c r="AH72" s="231">
        <f t="shared" si="71"/>
        <v>0</v>
      </c>
      <c r="AI72" s="231">
        <f t="shared" si="71"/>
        <v>0</v>
      </c>
      <c r="AJ72" s="231">
        <f t="shared" si="70"/>
        <v>0</v>
      </c>
      <c r="AK72" s="231">
        <f t="shared" si="70"/>
        <v>0</v>
      </c>
      <c r="AL72" s="231">
        <f t="shared" si="70"/>
        <v>0</v>
      </c>
      <c r="AM72" s="231">
        <f t="shared" si="70"/>
        <v>0</v>
      </c>
      <c r="AN72" s="231">
        <f t="shared" si="70"/>
        <v>0</v>
      </c>
      <c r="AO72" s="231">
        <f t="shared" si="70"/>
        <v>0</v>
      </c>
      <c r="AP72" s="231">
        <f t="shared" si="70"/>
        <v>0</v>
      </c>
      <c r="AQ72" s="231">
        <f t="shared" si="70"/>
        <v>0</v>
      </c>
      <c r="AR72" s="231">
        <f t="shared" si="70"/>
        <v>0</v>
      </c>
      <c r="AS72" s="231">
        <f t="shared" si="70"/>
        <v>0</v>
      </c>
      <c r="AT72" s="231">
        <f t="shared" si="70"/>
        <v>0</v>
      </c>
      <c r="AU72" s="231">
        <f t="shared" si="70"/>
        <v>0</v>
      </c>
      <c r="AV72" s="231">
        <f t="shared" si="70"/>
        <v>0</v>
      </c>
      <c r="AW72" s="231">
        <f t="shared" si="70"/>
        <v>0</v>
      </c>
      <c r="AX72" s="231">
        <f t="shared" si="70"/>
        <v>0</v>
      </c>
      <c r="AY72" s="231">
        <f t="shared" si="70"/>
        <v>0</v>
      </c>
      <c r="AZ72" s="231">
        <f t="shared" si="70"/>
        <v>0</v>
      </c>
      <c r="BA72" s="231">
        <f t="shared" si="70"/>
        <v>0</v>
      </c>
      <c r="BB72" s="231">
        <f t="shared" si="70"/>
        <v>0</v>
      </c>
      <c r="BC72" s="231">
        <f t="shared" si="70"/>
        <v>0</v>
      </c>
      <c r="BD72" s="231">
        <f t="shared" si="70"/>
        <v>0</v>
      </c>
      <c r="BE72" s="231">
        <f t="shared" si="70"/>
        <v>0</v>
      </c>
      <c r="BF72" s="231">
        <f t="shared" si="70"/>
        <v>0</v>
      </c>
      <c r="BG72" s="231">
        <f t="shared" si="70"/>
        <v>0</v>
      </c>
      <c r="BI72" s="106" t="s">
        <v>153</v>
      </c>
      <c r="BK72" s="103"/>
    </row>
    <row r="73" spans="2:63">
      <c r="C73" s="99">
        <f>RR!C25</f>
        <v>3</v>
      </c>
      <c r="D73" s="99" t="str">
        <f>RR!E25</f>
        <v>3 - 1</v>
      </c>
      <c r="F73" s="94" t="str">
        <f>INDEX(RR!K:K,MATCH(D73,RR!E:E,0))</f>
        <v>backup</v>
      </c>
      <c r="H73" s="73" t="s">
        <v>383</v>
      </c>
      <c r="J73" s="1325">
        <f>INDEX(AA!E:E,MATCH($C73,AA!C:C,0))</f>
        <v>1</v>
      </c>
      <c r="K73" s="1325">
        <f>INDEX(TA!$G:$G,MATCH($D73,TA!$D:$D,0))</f>
        <v>1</v>
      </c>
      <c r="M73" s="306">
        <f>INDEX(TA!$BN$15:$BN$17,MATCH($D73,TA!$D$15:$D$17,0))</f>
        <v>0</v>
      </c>
      <c r="N73" s="308">
        <f>INDEX(TA!$CA$15:$CA$17,MATCH($D73,TA!$D$15:$D$17,0))</f>
        <v>0</v>
      </c>
      <c r="O73" s="1325" t="str">
        <f>INDEX(TA!$U:$U,MATCH($D73,TA!$D:$D,0))</f>
        <v>FMCG-F</v>
      </c>
      <c r="T73" s="231">
        <f t="shared" ref="T73:AI73" si="72">$M73*(T$5&gt;=$N73)</f>
        <v>0</v>
      </c>
      <c r="U73" s="231">
        <f t="shared" si="72"/>
        <v>0</v>
      </c>
      <c r="V73" s="231">
        <f t="shared" si="72"/>
        <v>0</v>
      </c>
      <c r="W73" s="231">
        <f t="shared" si="72"/>
        <v>0</v>
      </c>
      <c r="X73" s="231">
        <f t="shared" si="72"/>
        <v>0</v>
      </c>
      <c r="Y73" s="231">
        <f t="shared" si="72"/>
        <v>0</v>
      </c>
      <c r="Z73" s="231">
        <f t="shared" si="72"/>
        <v>0</v>
      </c>
      <c r="AA73" s="231">
        <f t="shared" si="72"/>
        <v>0</v>
      </c>
      <c r="AB73" s="231">
        <f t="shared" si="72"/>
        <v>0</v>
      </c>
      <c r="AC73" s="231">
        <f t="shared" si="72"/>
        <v>0</v>
      </c>
      <c r="AD73" s="231">
        <f t="shared" si="72"/>
        <v>0</v>
      </c>
      <c r="AE73" s="231">
        <f t="shared" si="72"/>
        <v>0</v>
      </c>
      <c r="AF73" s="231">
        <f t="shared" si="72"/>
        <v>0</v>
      </c>
      <c r="AG73" s="231">
        <f t="shared" si="72"/>
        <v>0</v>
      </c>
      <c r="AH73" s="231">
        <f t="shared" si="72"/>
        <v>0</v>
      </c>
      <c r="AI73" s="231">
        <f t="shared" si="72"/>
        <v>0</v>
      </c>
      <c r="AJ73" s="231">
        <f t="shared" ref="AJ73:AY73" si="73">$M73*(AJ$5&gt;=$N73)</f>
        <v>0</v>
      </c>
      <c r="AK73" s="231">
        <f t="shared" si="73"/>
        <v>0</v>
      </c>
      <c r="AL73" s="231">
        <f t="shared" si="73"/>
        <v>0</v>
      </c>
      <c r="AM73" s="231">
        <f t="shared" si="73"/>
        <v>0</v>
      </c>
      <c r="AN73" s="231">
        <f t="shared" si="73"/>
        <v>0</v>
      </c>
      <c r="AO73" s="231">
        <f t="shared" si="73"/>
        <v>0</v>
      </c>
      <c r="AP73" s="231">
        <f t="shared" si="73"/>
        <v>0</v>
      </c>
      <c r="AQ73" s="231">
        <f t="shared" si="73"/>
        <v>0</v>
      </c>
      <c r="AR73" s="231">
        <f t="shared" si="73"/>
        <v>0</v>
      </c>
      <c r="AS73" s="231">
        <f t="shared" si="73"/>
        <v>0</v>
      </c>
      <c r="AT73" s="231">
        <f t="shared" si="73"/>
        <v>0</v>
      </c>
      <c r="AU73" s="231">
        <f t="shared" si="73"/>
        <v>0</v>
      </c>
      <c r="AV73" s="231">
        <f t="shared" si="73"/>
        <v>0</v>
      </c>
      <c r="AW73" s="231">
        <f t="shared" si="73"/>
        <v>0</v>
      </c>
      <c r="AX73" s="231">
        <f t="shared" si="73"/>
        <v>0</v>
      </c>
      <c r="AY73" s="231">
        <f t="shared" si="73"/>
        <v>0</v>
      </c>
      <c r="AZ73" s="231">
        <f t="shared" ref="AZ73:BG73" si="74">$M73*(AZ$5&gt;=$N73)</f>
        <v>0</v>
      </c>
      <c r="BA73" s="231">
        <f t="shared" si="74"/>
        <v>0</v>
      </c>
      <c r="BB73" s="231">
        <f t="shared" si="74"/>
        <v>0</v>
      </c>
      <c r="BC73" s="231">
        <f t="shared" si="74"/>
        <v>0</v>
      </c>
      <c r="BD73" s="231">
        <f t="shared" si="74"/>
        <v>0</v>
      </c>
      <c r="BE73" s="231">
        <f t="shared" si="74"/>
        <v>0</v>
      </c>
      <c r="BF73" s="231">
        <f t="shared" si="74"/>
        <v>0</v>
      </c>
      <c r="BG73" s="231">
        <f t="shared" si="74"/>
        <v>0</v>
      </c>
      <c r="BI73" s="106" t="s">
        <v>153</v>
      </c>
      <c r="BK73" s="103"/>
    </row>
    <row r="74" spans="2:63">
      <c r="C74" s="269"/>
      <c r="D74" s="269"/>
      <c r="F74" s="269"/>
      <c r="H74" s="269"/>
      <c r="J74" s="269"/>
      <c r="K74" s="269"/>
      <c r="M74" s="269"/>
      <c r="N74" s="269"/>
      <c r="O74" s="269"/>
      <c r="T74" s="230"/>
      <c r="U74" s="230"/>
      <c r="V74" s="230"/>
      <c r="W74" s="230"/>
      <c r="X74" s="230"/>
      <c r="Y74" s="230"/>
      <c r="Z74" s="230"/>
      <c r="AA74" s="230"/>
      <c r="AB74" s="230"/>
      <c r="AC74" s="230"/>
      <c r="AD74" s="230"/>
      <c r="AE74" s="230"/>
      <c r="AF74" s="230"/>
      <c r="AG74" s="230"/>
      <c r="AH74" s="230"/>
      <c r="AI74" s="230"/>
      <c r="AJ74" s="230"/>
      <c r="AK74" s="230"/>
      <c r="AL74" s="230"/>
      <c r="AM74" s="230"/>
      <c r="AN74" s="230"/>
      <c r="AO74" s="230"/>
      <c r="AP74" s="230"/>
      <c r="AQ74" s="230"/>
      <c r="AR74" s="230"/>
      <c r="AS74" s="230"/>
      <c r="AT74" s="230"/>
      <c r="AU74" s="230"/>
      <c r="AV74" s="230"/>
      <c r="AW74" s="230"/>
      <c r="AX74" s="230"/>
      <c r="AY74" s="230"/>
      <c r="AZ74" s="230"/>
      <c r="BA74" s="230"/>
      <c r="BB74" s="230"/>
      <c r="BC74" s="230"/>
      <c r="BD74" s="230"/>
      <c r="BE74" s="230"/>
      <c r="BF74" s="230"/>
      <c r="BG74" s="230"/>
      <c r="BI74" s="269"/>
      <c r="BK74" s="269"/>
    </row>
    <row r="75" spans="2:63">
      <c r="T75" s="230"/>
      <c r="U75" s="230"/>
      <c r="V75" s="230"/>
      <c r="W75" s="230"/>
      <c r="X75" s="230"/>
      <c r="Y75" s="230"/>
      <c r="Z75" s="230"/>
      <c r="AA75" s="230"/>
      <c r="AB75" s="230"/>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row>
    <row r="76" spans="2:63" s="90" customFormat="1">
      <c r="B76" s="91">
        <f ca="1">MAX(A$1:$B75)+1</f>
        <v>9</v>
      </c>
      <c r="C76" s="92" t="s">
        <v>302</v>
      </c>
    </row>
    <row r="77" spans="2:63">
      <c r="T77" s="230"/>
      <c r="U77" s="230"/>
      <c r="V77" s="230"/>
      <c r="W77" s="230"/>
      <c r="X77" s="230"/>
      <c r="Y77" s="230"/>
      <c r="Z77" s="230"/>
      <c r="AA77" s="230"/>
      <c r="AB77" s="230"/>
      <c r="AC77" s="230"/>
      <c r="AD77" s="230"/>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row>
    <row r="78" spans="2:63">
      <c r="M78" s="226" t="s">
        <v>303</v>
      </c>
      <c r="N78" s="225"/>
      <c r="T78" s="230"/>
      <c r="U78" s="230"/>
      <c r="V78" s="230"/>
      <c r="W78" s="230"/>
      <c r="X78" s="230"/>
      <c r="Y78" s="230"/>
      <c r="Z78" s="230"/>
      <c r="AA78" s="230"/>
      <c r="AB78" s="230"/>
      <c r="AC78" s="230"/>
      <c r="AD78" s="230"/>
      <c r="AE78" s="230"/>
      <c r="AF78" s="230"/>
      <c r="AG78" s="230"/>
      <c r="AH78" s="230"/>
      <c r="AI78" s="230"/>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row>
    <row r="79" spans="2:63" ht="30">
      <c r="C79" s="96" t="s">
        <v>4</v>
      </c>
      <c r="D79" s="97" t="s">
        <v>148</v>
      </c>
      <c r="E79" s="95"/>
      <c r="F79" s="97" t="s">
        <v>149</v>
      </c>
      <c r="G79" s="95"/>
      <c r="H79" s="97" t="s">
        <v>150</v>
      </c>
      <c r="I79" s="95"/>
      <c r="J79" s="97" t="s">
        <v>272</v>
      </c>
      <c r="K79" s="97" t="s">
        <v>273</v>
      </c>
      <c r="M79" s="96" t="s">
        <v>304</v>
      </c>
      <c r="N79" s="97" t="s">
        <v>305</v>
      </c>
      <c r="T79" s="230"/>
      <c r="U79" s="230"/>
      <c r="V79" s="230"/>
      <c r="W79" s="230"/>
      <c r="X79" s="230"/>
      <c r="Y79" s="230"/>
      <c r="Z79" s="230"/>
      <c r="AA79" s="230"/>
      <c r="AB79" s="230"/>
      <c r="AC79" s="230"/>
      <c r="AD79" s="230"/>
      <c r="AE79" s="230"/>
      <c r="AF79" s="230"/>
      <c r="AG79" s="230"/>
      <c r="AH79" s="230"/>
      <c r="AI79" s="230"/>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I79" s="104" t="s">
        <v>152</v>
      </c>
      <c r="BJ79" s="95"/>
      <c r="BK79" s="102"/>
    </row>
    <row r="80" spans="2:63">
      <c r="C80" s="98">
        <f>RR!C23</f>
        <v>1</v>
      </c>
      <c r="D80" s="98" t="str">
        <f>RR!E23</f>
        <v>1 - 1</v>
      </c>
      <c r="F80" s="93" t="str">
        <f>INDEX(RR!K:K,MATCH(D80,RR!E:E,0))</f>
        <v>backup</v>
      </c>
      <c r="H80" s="72" t="s">
        <v>301</v>
      </c>
      <c r="J80" s="1324">
        <f>INDEX(AA!E:E,MATCH($C80,AA!C:C,0))</f>
        <v>1</v>
      </c>
      <c r="K80" s="1324">
        <f>INDEX(TA!$G:$G,MATCH($D80,TA!$D:$D,0))</f>
        <v>1</v>
      </c>
      <c r="M80" s="1324">
        <f>INDEX(TA!V:V,MATCH($D80,TA!D:D,0))</f>
        <v>1000</v>
      </c>
      <c r="N80" s="1324" t="str">
        <f>INDEX(TA!U:U,MATCH($D80,TA!D:D,0))</f>
        <v>FMCG-F</v>
      </c>
      <c r="T80" s="231">
        <f t="shared" ref="T80:BG80" si="75">T20*T29*($M80+T71)</f>
        <v>0</v>
      </c>
      <c r="U80" s="231">
        <f t="shared" si="75"/>
        <v>0</v>
      </c>
      <c r="V80" s="231">
        <f t="shared" si="75"/>
        <v>0</v>
      </c>
      <c r="W80" s="231">
        <f t="shared" si="75"/>
        <v>0</v>
      </c>
      <c r="X80" s="231">
        <f t="shared" si="75"/>
        <v>0</v>
      </c>
      <c r="Y80" s="231">
        <f t="shared" si="75"/>
        <v>0</v>
      </c>
      <c r="Z80" s="231">
        <f t="shared" si="75"/>
        <v>0</v>
      </c>
      <c r="AA80" s="231">
        <f t="shared" si="75"/>
        <v>0</v>
      </c>
      <c r="AB80" s="231">
        <f t="shared" si="75"/>
        <v>0</v>
      </c>
      <c r="AC80" s="231">
        <f t="shared" si="75"/>
        <v>0</v>
      </c>
      <c r="AD80" s="231">
        <f t="shared" si="75"/>
        <v>0</v>
      </c>
      <c r="AE80" s="231">
        <f t="shared" si="75"/>
        <v>0</v>
      </c>
      <c r="AF80" s="231">
        <f t="shared" si="75"/>
        <v>0</v>
      </c>
      <c r="AG80" s="231">
        <f t="shared" si="75"/>
        <v>0</v>
      </c>
      <c r="AH80" s="231">
        <f t="shared" si="75"/>
        <v>0</v>
      </c>
      <c r="AI80" s="231">
        <f t="shared" si="75"/>
        <v>0</v>
      </c>
      <c r="AJ80" s="231">
        <f t="shared" si="75"/>
        <v>0</v>
      </c>
      <c r="AK80" s="231">
        <f t="shared" si="75"/>
        <v>0</v>
      </c>
      <c r="AL80" s="231">
        <f t="shared" si="75"/>
        <v>0</v>
      </c>
      <c r="AM80" s="231">
        <f t="shared" si="75"/>
        <v>0</v>
      </c>
      <c r="AN80" s="231">
        <f t="shared" si="75"/>
        <v>0</v>
      </c>
      <c r="AO80" s="231">
        <f t="shared" si="75"/>
        <v>0</v>
      </c>
      <c r="AP80" s="231">
        <f t="shared" si="75"/>
        <v>0</v>
      </c>
      <c r="AQ80" s="231">
        <f t="shared" si="75"/>
        <v>0</v>
      </c>
      <c r="AR80" s="231">
        <f t="shared" si="75"/>
        <v>0</v>
      </c>
      <c r="AS80" s="231">
        <f t="shared" si="75"/>
        <v>0</v>
      </c>
      <c r="AT80" s="231">
        <f t="shared" si="75"/>
        <v>0</v>
      </c>
      <c r="AU80" s="231">
        <f t="shared" si="75"/>
        <v>0</v>
      </c>
      <c r="AV80" s="231">
        <f t="shared" si="75"/>
        <v>0</v>
      </c>
      <c r="AW80" s="231">
        <f t="shared" si="75"/>
        <v>0</v>
      </c>
      <c r="AX80" s="231">
        <f t="shared" si="75"/>
        <v>0</v>
      </c>
      <c r="AY80" s="231">
        <f t="shared" si="75"/>
        <v>0</v>
      </c>
      <c r="AZ80" s="231">
        <f t="shared" si="75"/>
        <v>0</v>
      </c>
      <c r="BA80" s="231">
        <f t="shared" si="75"/>
        <v>0</v>
      </c>
      <c r="BB80" s="231">
        <f t="shared" si="75"/>
        <v>0</v>
      </c>
      <c r="BC80" s="231">
        <f t="shared" si="75"/>
        <v>0</v>
      </c>
      <c r="BD80" s="231">
        <f t="shared" si="75"/>
        <v>0</v>
      </c>
      <c r="BE80" s="231">
        <f t="shared" si="75"/>
        <v>0</v>
      </c>
      <c r="BF80" s="231">
        <f t="shared" si="75"/>
        <v>0</v>
      </c>
      <c r="BG80" s="231">
        <f t="shared" si="75"/>
        <v>0</v>
      </c>
      <c r="BI80" s="105" t="s">
        <v>153</v>
      </c>
      <c r="BK80" s="103"/>
    </row>
    <row r="81" spans="2:63">
      <c r="C81" s="99">
        <f>RR!C24</f>
        <v>2</v>
      </c>
      <c r="D81" s="99" t="str">
        <f>RR!E24</f>
        <v>2 - 1</v>
      </c>
      <c r="F81" s="94" t="str">
        <f>INDEX(RR!K:K,MATCH(D81,RR!E:E,0))</f>
        <v>backup</v>
      </c>
      <c r="H81" s="73" t="s">
        <v>301</v>
      </c>
      <c r="J81" s="1325">
        <f>INDEX(AA!E:E,MATCH($C81,AA!C:C,0))</f>
        <v>1</v>
      </c>
      <c r="K81" s="1325">
        <f>INDEX(TA!$G:$G,MATCH($D81,TA!$D:$D,0))</f>
        <v>1</v>
      </c>
      <c r="M81" s="1325">
        <f>INDEX(TA!V:V,MATCH($D81,TA!D:D,0))</f>
        <v>1000</v>
      </c>
      <c r="N81" s="1325" t="str">
        <f>INDEX(TA!U:U,MATCH($D81,TA!D:D,0))</f>
        <v>FMCG-F</v>
      </c>
      <c r="T81" s="231">
        <f t="shared" ref="T81:BG81" si="76">T21*T30*($M81+T72)</f>
        <v>0</v>
      </c>
      <c r="U81" s="231">
        <f t="shared" si="76"/>
        <v>0</v>
      </c>
      <c r="V81" s="231">
        <f t="shared" si="76"/>
        <v>0</v>
      </c>
      <c r="W81" s="231">
        <f t="shared" si="76"/>
        <v>0</v>
      </c>
      <c r="X81" s="231">
        <f t="shared" si="76"/>
        <v>0</v>
      </c>
      <c r="Y81" s="231">
        <f t="shared" si="76"/>
        <v>0</v>
      </c>
      <c r="Z81" s="231">
        <f t="shared" si="76"/>
        <v>0</v>
      </c>
      <c r="AA81" s="231">
        <f t="shared" si="76"/>
        <v>0</v>
      </c>
      <c r="AB81" s="231">
        <f t="shared" si="76"/>
        <v>0</v>
      </c>
      <c r="AC81" s="231">
        <f t="shared" si="76"/>
        <v>0</v>
      </c>
      <c r="AD81" s="231">
        <f t="shared" si="76"/>
        <v>0</v>
      </c>
      <c r="AE81" s="231">
        <f t="shared" si="76"/>
        <v>0</v>
      </c>
      <c r="AF81" s="231">
        <f t="shared" si="76"/>
        <v>0</v>
      </c>
      <c r="AG81" s="231">
        <f t="shared" si="76"/>
        <v>0</v>
      </c>
      <c r="AH81" s="231">
        <f t="shared" si="76"/>
        <v>0</v>
      </c>
      <c r="AI81" s="231">
        <f t="shared" si="76"/>
        <v>0</v>
      </c>
      <c r="AJ81" s="231">
        <f t="shared" si="76"/>
        <v>0</v>
      </c>
      <c r="AK81" s="231">
        <f t="shared" si="76"/>
        <v>0</v>
      </c>
      <c r="AL81" s="231">
        <f t="shared" si="76"/>
        <v>0</v>
      </c>
      <c r="AM81" s="231">
        <f t="shared" si="76"/>
        <v>0</v>
      </c>
      <c r="AN81" s="231">
        <f t="shared" si="76"/>
        <v>0</v>
      </c>
      <c r="AO81" s="231">
        <f t="shared" si="76"/>
        <v>0</v>
      </c>
      <c r="AP81" s="231">
        <f t="shared" si="76"/>
        <v>0</v>
      </c>
      <c r="AQ81" s="231">
        <f t="shared" si="76"/>
        <v>0</v>
      </c>
      <c r="AR81" s="231">
        <f t="shared" si="76"/>
        <v>0</v>
      </c>
      <c r="AS81" s="231">
        <f t="shared" si="76"/>
        <v>0</v>
      </c>
      <c r="AT81" s="231">
        <f t="shared" si="76"/>
        <v>0</v>
      </c>
      <c r="AU81" s="231">
        <f t="shared" si="76"/>
        <v>0</v>
      </c>
      <c r="AV81" s="231">
        <f t="shared" si="76"/>
        <v>0</v>
      </c>
      <c r="AW81" s="231">
        <f t="shared" si="76"/>
        <v>0</v>
      </c>
      <c r="AX81" s="231">
        <f t="shared" si="76"/>
        <v>0</v>
      </c>
      <c r="AY81" s="231">
        <f t="shared" si="76"/>
        <v>0</v>
      </c>
      <c r="AZ81" s="231">
        <f t="shared" si="76"/>
        <v>0</v>
      </c>
      <c r="BA81" s="231">
        <f t="shared" si="76"/>
        <v>0</v>
      </c>
      <c r="BB81" s="231">
        <f t="shared" si="76"/>
        <v>0</v>
      </c>
      <c r="BC81" s="231">
        <f t="shared" si="76"/>
        <v>0</v>
      </c>
      <c r="BD81" s="231">
        <f t="shared" si="76"/>
        <v>0</v>
      </c>
      <c r="BE81" s="231">
        <f t="shared" si="76"/>
        <v>0</v>
      </c>
      <c r="BF81" s="231">
        <f t="shared" si="76"/>
        <v>0</v>
      </c>
      <c r="BG81" s="231">
        <f t="shared" si="76"/>
        <v>0</v>
      </c>
      <c r="BI81" s="106" t="s">
        <v>153</v>
      </c>
      <c r="BK81" s="103"/>
    </row>
    <row r="82" spans="2:63">
      <c r="C82" s="99">
        <f>RR!C25</f>
        <v>3</v>
      </c>
      <c r="D82" s="99" t="str">
        <f>RR!E25</f>
        <v>3 - 1</v>
      </c>
      <c r="F82" s="94" t="str">
        <f>INDEX(RR!K:K,MATCH(D82,RR!E:E,0))</f>
        <v>backup</v>
      </c>
      <c r="H82" s="73" t="s">
        <v>301</v>
      </c>
      <c r="J82" s="1325">
        <f>INDEX(AA!E:E,MATCH($C82,AA!C:C,0))</f>
        <v>1</v>
      </c>
      <c r="K82" s="1325">
        <f>INDEX(TA!$G:$G,MATCH($D82,TA!$D:$D,0))</f>
        <v>1</v>
      </c>
      <c r="M82" s="1325">
        <f>INDEX(TA!V:V,MATCH($D82,TA!D:D,0))</f>
        <v>1000</v>
      </c>
      <c r="N82" s="1325" t="str">
        <f>INDEX(TA!U:U,MATCH($D82,TA!D:D,0))</f>
        <v>FMCG-F</v>
      </c>
      <c r="T82" s="231">
        <f t="shared" ref="T82:BG82" si="77">T22*T31*($M82+T73)</f>
        <v>0</v>
      </c>
      <c r="U82" s="231">
        <f t="shared" si="77"/>
        <v>0</v>
      </c>
      <c r="V82" s="231">
        <f t="shared" si="77"/>
        <v>0</v>
      </c>
      <c r="W82" s="231">
        <f t="shared" si="77"/>
        <v>0</v>
      </c>
      <c r="X82" s="231">
        <f t="shared" si="77"/>
        <v>0</v>
      </c>
      <c r="Y82" s="231">
        <f t="shared" si="77"/>
        <v>0</v>
      </c>
      <c r="Z82" s="231">
        <f t="shared" si="77"/>
        <v>0</v>
      </c>
      <c r="AA82" s="231">
        <f t="shared" si="77"/>
        <v>0</v>
      </c>
      <c r="AB82" s="231">
        <f t="shared" si="77"/>
        <v>0</v>
      </c>
      <c r="AC82" s="231">
        <f t="shared" si="77"/>
        <v>0</v>
      </c>
      <c r="AD82" s="231">
        <f t="shared" si="77"/>
        <v>0</v>
      </c>
      <c r="AE82" s="231">
        <f t="shared" si="77"/>
        <v>0</v>
      </c>
      <c r="AF82" s="231">
        <f t="shared" si="77"/>
        <v>0</v>
      </c>
      <c r="AG82" s="231">
        <f t="shared" si="77"/>
        <v>0</v>
      </c>
      <c r="AH82" s="231">
        <f t="shared" si="77"/>
        <v>0</v>
      </c>
      <c r="AI82" s="231">
        <f t="shared" si="77"/>
        <v>0</v>
      </c>
      <c r="AJ82" s="231">
        <f t="shared" si="77"/>
        <v>0</v>
      </c>
      <c r="AK82" s="231">
        <f t="shared" si="77"/>
        <v>0</v>
      </c>
      <c r="AL82" s="231">
        <f t="shared" si="77"/>
        <v>0</v>
      </c>
      <c r="AM82" s="231">
        <f t="shared" si="77"/>
        <v>0</v>
      </c>
      <c r="AN82" s="231">
        <f t="shared" si="77"/>
        <v>0</v>
      </c>
      <c r="AO82" s="231">
        <f t="shared" si="77"/>
        <v>0</v>
      </c>
      <c r="AP82" s="231">
        <f t="shared" si="77"/>
        <v>0</v>
      </c>
      <c r="AQ82" s="231">
        <f t="shared" si="77"/>
        <v>0</v>
      </c>
      <c r="AR82" s="231">
        <f t="shared" si="77"/>
        <v>0</v>
      </c>
      <c r="AS82" s="231">
        <f t="shared" si="77"/>
        <v>0</v>
      </c>
      <c r="AT82" s="231">
        <f t="shared" si="77"/>
        <v>0</v>
      </c>
      <c r="AU82" s="231">
        <f t="shared" si="77"/>
        <v>0</v>
      </c>
      <c r="AV82" s="231">
        <f t="shared" si="77"/>
        <v>0</v>
      </c>
      <c r="AW82" s="231">
        <f t="shared" si="77"/>
        <v>0</v>
      </c>
      <c r="AX82" s="231">
        <f t="shared" si="77"/>
        <v>0</v>
      </c>
      <c r="AY82" s="231">
        <f t="shared" si="77"/>
        <v>0</v>
      </c>
      <c r="AZ82" s="231">
        <f t="shared" si="77"/>
        <v>0</v>
      </c>
      <c r="BA82" s="231">
        <f t="shared" si="77"/>
        <v>0</v>
      </c>
      <c r="BB82" s="231">
        <f t="shared" si="77"/>
        <v>0</v>
      </c>
      <c r="BC82" s="231">
        <f t="shared" si="77"/>
        <v>0</v>
      </c>
      <c r="BD82" s="231">
        <f t="shared" si="77"/>
        <v>0</v>
      </c>
      <c r="BE82" s="231">
        <f t="shared" si="77"/>
        <v>0</v>
      </c>
      <c r="BF82" s="231">
        <f t="shared" si="77"/>
        <v>0</v>
      </c>
      <c r="BG82" s="231">
        <f t="shared" si="77"/>
        <v>0</v>
      </c>
      <c r="BI82" s="106" t="s">
        <v>153</v>
      </c>
      <c r="BK82" s="103"/>
    </row>
    <row r="83" spans="2:63">
      <c r="C83" s="269"/>
      <c r="D83" s="269"/>
      <c r="F83" s="269"/>
      <c r="H83" s="269"/>
      <c r="J83" s="269"/>
      <c r="K83" s="269"/>
      <c r="M83" s="269"/>
      <c r="N83" s="269"/>
      <c r="BI83" s="269"/>
      <c r="BK83" s="269"/>
    </row>
    <row r="85" spans="2:63" s="90" customFormat="1">
      <c r="B85" s="91">
        <f ca="1">MAX(A$1:$B84)+1</f>
        <v>10</v>
      </c>
      <c r="C85" s="92" t="s">
        <v>377</v>
      </c>
    </row>
    <row r="87" spans="2:63">
      <c r="M87" s="226" t="s">
        <v>365</v>
      </c>
      <c r="N87" s="226"/>
      <c r="O87" s="226"/>
      <c r="P87" s="312" t="s">
        <v>232</v>
      </c>
      <c r="Q87" s="312"/>
    </row>
    <row r="88" spans="2:63" ht="30">
      <c r="C88" s="96" t="s">
        <v>4</v>
      </c>
      <c r="D88" s="97" t="s">
        <v>148</v>
      </c>
      <c r="E88" s="95"/>
      <c r="F88" s="97" t="s">
        <v>149</v>
      </c>
      <c r="G88" s="95"/>
      <c r="H88" s="97" t="s">
        <v>150</v>
      </c>
      <c r="J88" s="97" t="s">
        <v>272</v>
      </c>
      <c r="K88" s="97" t="s">
        <v>273</v>
      </c>
      <c r="M88" s="96" t="s">
        <v>346</v>
      </c>
      <c r="N88" s="96" t="s">
        <v>364</v>
      </c>
      <c r="O88" s="96" t="s">
        <v>229</v>
      </c>
      <c r="P88" s="171" t="s">
        <v>388</v>
      </c>
      <c r="Q88" s="101" t="s">
        <v>389</v>
      </c>
      <c r="BI88" s="239" t="s">
        <v>152</v>
      </c>
      <c r="BJ88" s="95"/>
      <c r="BK88" s="102"/>
    </row>
    <row r="89" spans="2:63">
      <c r="C89" s="98">
        <f>RR!C23</f>
        <v>1</v>
      </c>
      <c r="D89" s="98" t="str">
        <f>RR!E23</f>
        <v>1 - 1</v>
      </c>
      <c r="F89" s="93" t="str">
        <f>INDEX(RR!K:K,MATCH(D89,RR!E:E,0))</f>
        <v>backup</v>
      </c>
      <c r="H89" s="72" t="s">
        <v>309</v>
      </c>
      <c r="J89" s="1324">
        <f>INDEX(AA!E:E,MATCH($C89,AA!C:C,0))</f>
        <v>1</v>
      </c>
      <c r="K89" s="1324">
        <f>INDEX(TA!$G:$G,MATCH($D89,TA!$D:$D,0))</f>
        <v>1</v>
      </c>
      <c r="M89" s="1324" t="str">
        <f>INDEX(TA!$BJ$15:$BJ$17,MATCH($D89,TA!$D$15:$D$17,0))</f>
        <v>no option</v>
      </c>
      <c r="N89" s="1324">
        <f>INDEX(TA!$AJ$15:$AJ$17,MATCH($D89,TA!$D$15:$D$17,0))</f>
        <v>100000</v>
      </c>
      <c r="O89" s="1324">
        <f>INDEX(TA!$BG$15:$BG$17,MATCH($D89,TA!$D$15:$D$17,0))</f>
        <v>100000</v>
      </c>
      <c r="P89" s="1324">
        <f>IF(INDEX(TA!$BP$15:$BP$17,MATCH($D89,TA!$D$15:$D$17,0))="renewal",INDEX(TA!$BO$15:$BO$17,MATCH($D89,TA!$D$15:$D$17,0)),0)</f>
        <v>0</v>
      </c>
      <c r="Q89" s="1324">
        <f>INDEX(TA!$CA$15:$CA$17,MATCH($D89,TA!$D$15:$D$17,0))</f>
        <v>0</v>
      </c>
      <c r="T89" s="231">
        <f t="shared" ref="T89:BG89" si="78">(IF($M89="ITM",$N89,$O89)+(T$5&gt;=$Q89)*$P89)/4*T29*T54</f>
        <v>0</v>
      </c>
      <c r="U89" s="231">
        <f t="shared" si="78"/>
        <v>0</v>
      </c>
      <c r="V89" s="231">
        <f t="shared" si="78"/>
        <v>0</v>
      </c>
      <c r="W89" s="231">
        <f t="shared" si="78"/>
        <v>0</v>
      </c>
      <c r="X89" s="231">
        <f t="shared" si="78"/>
        <v>0</v>
      </c>
      <c r="Y89" s="231">
        <f t="shared" si="78"/>
        <v>0</v>
      </c>
      <c r="Z89" s="231">
        <f t="shared" si="78"/>
        <v>0</v>
      </c>
      <c r="AA89" s="231">
        <f t="shared" si="78"/>
        <v>0</v>
      </c>
      <c r="AB89" s="231">
        <f t="shared" si="78"/>
        <v>0</v>
      </c>
      <c r="AC89" s="231">
        <f t="shared" si="78"/>
        <v>0</v>
      </c>
      <c r="AD89" s="231">
        <f t="shared" si="78"/>
        <v>0</v>
      </c>
      <c r="AE89" s="231">
        <f t="shared" si="78"/>
        <v>0</v>
      </c>
      <c r="AF89" s="231">
        <f t="shared" si="78"/>
        <v>0</v>
      </c>
      <c r="AG89" s="231">
        <f t="shared" si="78"/>
        <v>0</v>
      </c>
      <c r="AH89" s="231">
        <f t="shared" si="78"/>
        <v>0</v>
      </c>
      <c r="AI89" s="231">
        <f t="shared" si="78"/>
        <v>0</v>
      </c>
      <c r="AJ89" s="231">
        <f t="shared" si="78"/>
        <v>0</v>
      </c>
      <c r="AK89" s="231">
        <f t="shared" si="78"/>
        <v>0</v>
      </c>
      <c r="AL89" s="231">
        <f t="shared" si="78"/>
        <v>0</v>
      </c>
      <c r="AM89" s="231">
        <f t="shared" si="78"/>
        <v>0</v>
      </c>
      <c r="AN89" s="231">
        <f t="shared" si="78"/>
        <v>0</v>
      </c>
      <c r="AO89" s="231">
        <f t="shared" si="78"/>
        <v>0</v>
      </c>
      <c r="AP89" s="231">
        <f t="shared" si="78"/>
        <v>0</v>
      </c>
      <c r="AQ89" s="231">
        <f t="shared" si="78"/>
        <v>0</v>
      </c>
      <c r="AR89" s="231">
        <f t="shared" si="78"/>
        <v>0</v>
      </c>
      <c r="AS89" s="231">
        <f t="shared" si="78"/>
        <v>0</v>
      </c>
      <c r="AT89" s="231">
        <f t="shared" si="78"/>
        <v>0</v>
      </c>
      <c r="AU89" s="231">
        <f t="shared" si="78"/>
        <v>0</v>
      </c>
      <c r="AV89" s="231">
        <f t="shared" si="78"/>
        <v>0</v>
      </c>
      <c r="AW89" s="231">
        <f t="shared" si="78"/>
        <v>0</v>
      </c>
      <c r="AX89" s="231">
        <f t="shared" si="78"/>
        <v>0</v>
      </c>
      <c r="AY89" s="231">
        <f t="shared" si="78"/>
        <v>0</v>
      </c>
      <c r="AZ89" s="231">
        <f t="shared" si="78"/>
        <v>0</v>
      </c>
      <c r="BA89" s="231">
        <f t="shared" si="78"/>
        <v>0</v>
      </c>
      <c r="BB89" s="231">
        <f t="shared" si="78"/>
        <v>0</v>
      </c>
      <c r="BC89" s="231">
        <f t="shared" si="78"/>
        <v>0</v>
      </c>
      <c r="BD89" s="231">
        <f t="shared" si="78"/>
        <v>0</v>
      </c>
      <c r="BE89" s="231">
        <f t="shared" si="78"/>
        <v>0</v>
      </c>
      <c r="BF89" s="231">
        <f t="shared" si="78"/>
        <v>0</v>
      </c>
      <c r="BG89" s="231">
        <f t="shared" si="78"/>
        <v>0</v>
      </c>
      <c r="BI89" s="295">
        <f>SUM(T89:BG89)</f>
        <v>0</v>
      </c>
      <c r="BK89" s="103"/>
    </row>
    <row r="90" spans="2:63">
      <c r="C90" s="99">
        <f>RR!C24</f>
        <v>2</v>
      </c>
      <c r="D90" s="99" t="str">
        <f>RR!E24</f>
        <v>2 - 1</v>
      </c>
      <c r="F90" s="94" t="str">
        <f>INDEX(RR!K:K,MATCH(D90,RR!E:E,0))</f>
        <v>backup</v>
      </c>
      <c r="H90" s="73" t="s">
        <v>309</v>
      </c>
      <c r="J90" s="1325">
        <f>INDEX(AA!E:E,MATCH($C90,AA!C:C,0))</f>
        <v>1</v>
      </c>
      <c r="K90" s="1325">
        <f>INDEX(TA!$G:$G,MATCH($D90,TA!$D:$D,0))</f>
        <v>1</v>
      </c>
      <c r="M90" s="1325" t="str">
        <f>INDEX(TA!$BJ$15:$BJ$17,MATCH($D90,TA!$D$15:$D$17,0))</f>
        <v>no option</v>
      </c>
      <c r="N90" s="1325">
        <f>INDEX(TA!$AJ$15:$AJ$17,MATCH($D90,TA!$D$15:$D$17,0))</f>
        <v>100000</v>
      </c>
      <c r="O90" s="1325">
        <f>INDEX(TA!$BG$15:$BG$17,MATCH($D90,TA!$D$15:$D$17,0))</f>
        <v>100000</v>
      </c>
      <c r="P90" s="1325">
        <f>IF(INDEX(TA!$BP$15:$BP$17,MATCH($D90,TA!$D$15:$D$17,0))="renewal",INDEX(TA!$BO$15:$BO$17,MATCH($D90,TA!$D$15:$D$17,0)),0)</f>
        <v>0</v>
      </c>
      <c r="Q90" s="1325">
        <f>INDEX(TA!$CA$15:$CA$17,MATCH($D90,TA!$D$15:$D$17,0))</f>
        <v>0</v>
      </c>
      <c r="T90" s="231">
        <f t="shared" ref="T90:BG90" si="79">(IF($M90="ITM",$N90,$O90)+(T$5&gt;=$Q90)*$P90)/4*T30*T55</f>
        <v>0</v>
      </c>
      <c r="U90" s="231">
        <f t="shared" si="79"/>
        <v>0</v>
      </c>
      <c r="V90" s="231">
        <f t="shared" si="79"/>
        <v>0</v>
      </c>
      <c r="W90" s="231">
        <f t="shared" si="79"/>
        <v>0</v>
      </c>
      <c r="X90" s="231">
        <f t="shared" si="79"/>
        <v>0</v>
      </c>
      <c r="Y90" s="231">
        <f t="shared" si="79"/>
        <v>0</v>
      </c>
      <c r="Z90" s="231">
        <f t="shared" si="79"/>
        <v>0</v>
      </c>
      <c r="AA90" s="231">
        <f t="shared" si="79"/>
        <v>0</v>
      </c>
      <c r="AB90" s="231">
        <f t="shared" si="79"/>
        <v>0</v>
      </c>
      <c r="AC90" s="231">
        <f t="shared" si="79"/>
        <v>0</v>
      </c>
      <c r="AD90" s="231">
        <f t="shared" si="79"/>
        <v>0</v>
      </c>
      <c r="AE90" s="231">
        <f t="shared" si="79"/>
        <v>0</v>
      </c>
      <c r="AF90" s="231">
        <f t="shared" si="79"/>
        <v>0</v>
      </c>
      <c r="AG90" s="231">
        <f t="shared" si="79"/>
        <v>0</v>
      </c>
      <c r="AH90" s="231">
        <f t="shared" si="79"/>
        <v>0</v>
      </c>
      <c r="AI90" s="231">
        <f t="shared" si="79"/>
        <v>0</v>
      </c>
      <c r="AJ90" s="231">
        <f t="shared" si="79"/>
        <v>0</v>
      </c>
      <c r="AK90" s="231">
        <f t="shared" si="79"/>
        <v>0</v>
      </c>
      <c r="AL90" s="231">
        <f t="shared" si="79"/>
        <v>0</v>
      </c>
      <c r="AM90" s="231">
        <f t="shared" si="79"/>
        <v>0</v>
      </c>
      <c r="AN90" s="231">
        <f t="shared" si="79"/>
        <v>0</v>
      </c>
      <c r="AO90" s="231">
        <f t="shared" si="79"/>
        <v>0</v>
      </c>
      <c r="AP90" s="231">
        <f t="shared" si="79"/>
        <v>0</v>
      </c>
      <c r="AQ90" s="231">
        <f t="shared" si="79"/>
        <v>0</v>
      </c>
      <c r="AR90" s="231">
        <f t="shared" si="79"/>
        <v>0</v>
      </c>
      <c r="AS90" s="231">
        <f t="shared" si="79"/>
        <v>0</v>
      </c>
      <c r="AT90" s="231">
        <f t="shared" si="79"/>
        <v>0</v>
      </c>
      <c r="AU90" s="231">
        <f t="shared" si="79"/>
        <v>0</v>
      </c>
      <c r="AV90" s="231">
        <f t="shared" si="79"/>
        <v>0</v>
      </c>
      <c r="AW90" s="231">
        <f t="shared" si="79"/>
        <v>0</v>
      </c>
      <c r="AX90" s="231">
        <f t="shared" si="79"/>
        <v>0</v>
      </c>
      <c r="AY90" s="231">
        <f t="shared" si="79"/>
        <v>0</v>
      </c>
      <c r="AZ90" s="231">
        <f t="shared" si="79"/>
        <v>0</v>
      </c>
      <c r="BA90" s="231">
        <f t="shared" si="79"/>
        <v>0</v>
      </c>
      <c r="BB90" s="231">
        <f t="shared" si="79"/>
        <v>0</v>
      </c>
      <c r="BC90" s="231">
        <f t="shared" si="79"/>
        <v>0</v>
      </c>
      <c r="BD90" s="231">
        <f t="shared" si="79"/>
        <v>0</v>
      </c>
      <c r="BE90" s="231">
        <f t="shared" si="79"/>
        <v>0</v>
      </c>
      <c r="BF90" s="231">
        <f t="shared" si="79"/>
        <v>0</v>
      </c>
      <c r="BG90" s="231">
        <f t="shared" si="79"/>
        <v>0</v>
      </c>
      <c r="BI90" s="296">
        <f t="shared" ref="BI90" si="80">SUM(T90:BG90)</f>
        <v>0</v>
      </c>
      <c r="BK90" s="103"/>
    </row>
    <row r="91" spans="2:63">
      <c r="C91" s="99">
        <f>RR!C25</f>
        <v>3</v>
      </c>
      <c r="D91" s="99" t="str">
        <f>RR!E25</f>
        <v>3 - 1</v>
      </c>
      <c r="F91" s="94" t="str">
        <f>INDEX(RR!K:K,MATCH(D91,RR!E:E,0))</f>
        <v>backup</v>
      </c>
      <c r="H91" s="73" t="s">
        <v>309</v>
      </c>
      <c r="J91" s="1325">
        <f>INDEX(AA!E:E,MATCH($C91,AA!C:C,0))</f>
        <v>1</v>
      </c>
      <c r="K91" s="1325">
        <f>INDEX(TA!$G:$G,MATCH($D91,TA!$D:$D,0))</f>
        <v>1</v>
      </c>
      <c r="M91" s="1325" t="str">
        <f>INDEX(TA!$BJ$15:$BJ$17,MATCH($D91,TA!$D$15:$D$17,0))</f>
        <v>no option</v>
      </c>
      <c r="N91" s="1325">
        <f>INDEX(TA!$AJ$15:$AJ$17,MATCH($D91,TA!$D$15:$D$17,0))</f>
        <v>100000</v>
      </c>
      <c r="O91" s="1325">
        <f>INDEX(TA!$BG$15:$BG$17,MATCH($D91,TA!$D$15:$D$17,0))</f>
        <v>100000</v>
      </c>
      <c r="P91" s="1325">
        <f>IF(INDEX(TA!$BP$15:$BP$17,MATCH($D91,TA!$D$15:$D$17,0))="renewal",INDEX(TA!$BO$15:$BO$17,MATCH($D91,TA!$D$15:$D$17,0)),0)</f>
        <v>0</v>
      </c>
      <c r="Q91" s="1325">
        <f>INDEX(TA!$CA$15:$CA$17,MATCH($D91,TA!$D$15:$D$17,0))</f>
        <v>0</v>
      </c>
      <c r="T91" s="231">
        <f t="shared" ref="T91:BG91" si="81">(IF($M91="ITM",$N91,$O91)+(T$5&gt;=$Q91)*$P91)/4*T31*T56</f>
        <v>0</v>
      </c>
      <c r="U91" s="231">
        <f t="shared" si="81"/>
        <v>0</v>
      </c>
      <c r="V91" s="231">
        <f t="shared" si="81"/>
        <v>0</v>
      </c>
      <c r="W91" s="231">
        <f t="shared" si="81"/>
        <v>0</v>
      </c>
      <c r="X91" s="231">
        <f t="shared" si="81"/>
        <v>0</v>
      </c>
      <c r="Y91" s="231">
        <f t="shared" si="81"/>
        <v>0</v>
      </c>
      <c r="Z91" s="231">
        <f t="shared" si="81"/>
        <v>0</v>
      </c>
      <c r="AA91" s="231">
        <f t="shared" si="81"/>
        <v>0</v>
      </c>
      <c r="AB91" s="231">
        <f t="shared" si="81"/>
        <v>0</v>
      </c>
      <c r="AC91" s="231">
        <f t="shared" si="81"/>
        <v>0</v>
      </c>
      <c r="AD91" s="231">
        <f t="shared" si="81"/>
        <v>0</v>
      </c>
      <c r="AE91" s="231">
        <f t="shared" si="81"/>
        <v>0</v>
      </c>
      <c r="AF91" s="231">
        <f t="shared" si="81"/>
        <v>0</v>
      </c>
      <c r="AG91" s="231">
        <f t="shared" si="81"/>
        <v>0</v>
      </c>
      <c r="AH91" s="231">
        <f t="shared" si="81"/>
        <v>0</v>
      </c>
      <c r="AI91" s="231">
        <f t="shared" si="81"/>
        <v>0</v>
      </c>
      <c r="AJ91" s="231">
        <f t="shared" si="81"/>
        <v>0</v>
      </c>
      <c r="AK91" s="231">
        <f t="shared" si="81"/>
        <v>0</v>
      </c>
      <c r="AL91" s="231">
        <f t="shared" si="81"/>
        <v>0</v>
      </c>
      <c r="AM91" s="231">
        <f t="shared" si="81"/>
        <v>0</v>
      </c>
      <c r="AN91" s="231">
        <f t="shared" si="81"/>
        <v>0</v>
      </c>
      <c r="AO91" s="231">
        <f t="shared" si="81"/>
        <v>0</v>
      </c>
      <c r="AP91" s="231">
        <f t="shared" si="81"/>
        <v>0</v>
      </c>
      <c r="AQ91" s="231">
        <f t="shared" si="81"/>
        <v>0</v>
      </c>
      <c r="AR91" s="231">
        <f t="shared" si="81"/>
        <v>0</v>
      </c>
      <c r="AS91" s="231">
        <f t="shared" si="81"/>
        <v>0</v>
      </c>
      <c r="AT91" s="231">
        <f t="shared" si="81"/>
        <v>0</v>
      </c>
      <c r="AU91" s="231">
        <f t="shared" si="81"/>
        <v>0</v>
      </c>
      <c r="AV91" s="231">
        <f t="shared" si="81"/>
        <v>0</v>
      </c>
      <c r="AW91" s="231">
        <f t="shared" si="81"/>
        <v>0</v>
      </c>
      <c r="AX91" s="231">
        <f t="shared" si="81"/>
        <v>0</v>
      </c>
      <c r="AY91" s="231">
        <f t="shared" si="81"/>
        <v>0</v>
      </c>
      <c r="AZ91" s="231">
        <f t="shared" si="81"/>
        <v>0</v>
      </c>
      <c r="BA91" s="231">
        <f t="shared" si="81"/>
        <v>0</v>
      </c>
      <c r="BB91" s="231">
        <f t="shared" si="81"/>
        <v>0</v>
      </c>
      <c r="BC91" s="231">
        <f t="shared" si="81"/>
        <v>0</v>
      </c>
      <c r="BD91" s="231">
        <f t="shared" si="81"/>
        <v>0</v>
      </c>
      <c r="BE91" s="231">
        <f t="shared" si="81"/>
        <v>0</v>
      </c>
      <c r="BF91" s="231">
        <f t="shared" si="81"/>
        <v>0</v>
      </c>
      <c r="BG91" s="231">
        <f t="shared" si="81"/>
        <v>0</v>
      </c>
      <c r="BI91" s="296">
        <f t="shared" ref="BI91" si="82">SUM(T91:BG91)</f>
        <v>0</v>
      </c>
      <c r="BK91" s="103"/>
    </row>
    <row r="92" spans="2:63">
      <c r="C92" s="269"/>
      <c r="D92" s="269"/>
      <c r="F92" s="269"/>
      <c r="H92" s="269"/>
      <c r="J92" s="269"/>
      <c r="K92" s="269"/>
      <c r="M92" s="269"/>
      <c r="N92" s="269"/>
      <c r="O92" s="269"/>
      <c r="P92" s="269"/>
      <c r="Q92" s="269"/>
      <c r="BI92" s="269"/>
      <c r="BK92" s="269"/>
    </row>
    <row r="94" spans="2:63" s="90" customFormat="1">
      <c r="B94" s="91">
        <f ca="1">MAX(A$1:$B93)+1</f>
        <v>11</v>
      </c>
      <c r="C94" s="92" t="s">
        <v>317</v>
      </c>
    </row>
    <row r="95" spans="2:63">
      <c r="BK95" s="345"/>
    </row>
    <row r="96" spans="2:63">
      <c r="M96" s="226" t="s">
        <v>365</v>
      </c>
      <c r="N96" s="226"/>
      <c r="O96" s="226"/>
      <c r="P96" s="226" t="s">
        <v>366</v>
      </c>
      <c r="Q96" s="225"/>
      <c r="BK96" s="345"/>
    </row>
    <row r="97" spans="2:63" ht="30">
      <c r="C97" s="96" t="s">
        <v>4</v>
      </c>
      <c r="D97" s="97" t="s">
        <v>148</v>
      </c>
      <c r="E97" s="95"/>
      <c r="F97" s="97" t="s">
        <v>149</v>
      </c>
      <c r="G97" s="95"/>
      <c r="H97" s="97" t="s">
        <v>150</v>
      </c>
      <c r="J97" s="97" t="s">
        <v>272</v>
      </c>
      <c r="K97" s="97" t="s">
        <v>273</v>
      </c>
      <c r="M97" s="96" t="s">
        <v>346</v>
      </c>
      <c r="N97" s="96" t="s">
        <v>364</v>
      </c>
      <c r="O97" s="97" t="s">
        <v>229</v>
      </c>
      <c r="P97" s="101" t="s">
        <v>11</v>
      </c>
      <c r="Q97" s="101" t="s">
        <v>151</v>
      </c>
      <c r="BI97" s="239" t="s">
        <v>152</v>
      </c>
      <c r="BK97" s="300" t="s">
        <v>320</v>
      </c>
    </row>
    <row r="98" spans="2:63">
      <c r="C98" s="98">
        <f>RR!C23</f>
        <v>1</v>
      </c>
      <c r="D98" s="98" t="str">
        <f>RR!E23</f>
        <v>1 - 1</v>
      </c>
      <c r="F98" s="93" t="str">
        <f>INDEX(RR!K:K,MATCH(D98,RR!E:E,0))</f>
        <v>backup</v>
      </c>
      <c r="H98" s="72" t="s">
        <v>318</v>
      </c>
      <c r="J98" s="1324">
        <f>INDEX(AA!E:E,MATCH($C98,AA!C:C,0))</f>
        <v>1</v>
      </c>
      <c r="K98" s="1324">
        <f>INDEX(TA!$G:$G,MATCH($D98,TA!$D:$D,0))</f>
        <v>1</v>
      </c>
      <c r="M98" s="1324" t="str">
        <f>INDEX(TA!$BJ$15:$BJ$17,MATCH($D98,TA!$D$15:$D$17,0))</f>
        <v>no option</v>
      </c>
      <c r="N98" s="1324">
        <f>INDEX(TA!$AJ$15:$AJ$17,MATCH($D98,TA!$D$15:$D$17,0))</f>
        <v>100000</v>
      </c>
      <c r="O98" s="1324">
        <f>INDEX(TA!$BG$15:$BG$17,MATCH($D98,TA!$D$15:$D$17,0))</f>
        <v>100000</v>
      </c>
      <c r="P98" s="286">
        <f>INDEX(TA!$CK$15:$CK$17,MATCH($D98,TA!$D$15:$D$17,0))</f>
        <v>50771</v>
      </c>
      <c r="Q98" s="1324">
        <f>INDEX(AA!$AA:$AA,MATCH($C98,AA!$C:$C,0))</f>
        <v>12</v>
      </c>
      <c r="T98" s="231">
        <f t="shared" ref="T98:BG98" si="83">-IF($M98="ITM",$N98,$O98)/4*(T29-T38)*T54</f>
        <v>0</v>
      </c>
      <c r="U98" s="231">
        <f t="shared" si="83"/>
        <v>0</v>
      </c>
      <c r="V98" s="231">
        <f t="shared" si="83"/>
        <v>0</v>
      </c>
      <c r="W98" s="231">
        <f t="shared" si="83"/>
        <v>0</v>
      </c>
      <c r="X98" s="231">
        <f t="shared" si="83"/>
        <v>0</v>
      </c>
      <c r="Y98" s="231">
        <f t="shared" si="83"/>
        <v>0</v>
      </c>
      <c r="Z98" s="231">
        <f t="shared" si="83"/>
        <v>0</v>
      </c>
      <c r="AA98" s="231">
        <f t="shared" si="83"/>
        <v>0</v>
      </c>
      <c r="AB98" s="231">
        <f t="shared" si="83"/>
        <v>0</v>
      </c>
      <c r="AC98" s="231">
        <f t="shared" si="83"/>
        <v>0</v>
      </c>
      <c r="AD98" s="231">
        <f t="shared" si="83"/>
        <v>0</v>
      </c>
      <c r="AE98" s="231">
        <f t="shared" si="83"/>
        <v>0</v>
      </c>
      <c r="AF98" s="231">
        <f t="shared" si="83"/>
        <v>0</v>
      </c>
      <c r="AG98" s="231">
        <f t="shared" si="83"/>
        <v>0</v>
      </c>
      <c r="AH98" s="231">
        <f t="shared" si="83"/>
        <v>0</v>
      </c>
      <c r="AI98" s="231">
        <f t="shared" si="83"/>
        <v>0</v>
      </c>
      <c r="AJ98" s="231">
        <f t="shared" si="83"/>
        <v>0</v>
      </c>
      <c r="AK98" s="231">
        <f t="shared" si="83"/>
        <v>0</v>
      </c>
      <c r="AL98" s="231">
        <f t="shared" si="83"/>
        <v>0</v>
      </c>
      <c r="AM98" s="231">
        <f t="shared" si="83"/>
        <v>0</v>
      </c>
      <c r="AN98" s="231">
        <f t="shared" si="83"/>
        <v>0</v>
      </c>
      <c r="AO98" s="231">
        <f t="shared" si="83"/>
        <v>0</v>
      </c>
      <c r="AP98" s="231">
        <f t="shared" si="83"/>
        <v>0</v>
      </c>
      <c r="AQ98" s="231">
        <f t="shared" si="83"/>
        <v>0</v>
      </c>
      <c r="AR98" s="231">
        <f t="shared" si="83"/>
        <v>0</v>
      </c>
      <c r="AS98" s="231">
        <f t="shared" si="83"/>
        <v>0</v>
      </c>
      <c r="AT98" s="231">
        <f t="shared" si="83"/>
        <v>0</v>
      </c>
      <c r="AU98" s="231">
        <f t="shared" si="83"/>
        <v>0</v>
      </c>
      <c r="AV98" s="231">
        <f t="shared" si="83"/>
        <v>0</v>
      </c>
      <c r="AW98" s="231">
        <f t="shared" si="83"/>
        <v>0</v>
      </c>
      <c r="AX98" s="231">
        <f t="shared" si="83"/>
        <v>0</v>
      </c>
      <c r="AY98" s="231">
        <f t="shared" si="83"/>
        <v>0</v>
      </c>
      <c r="AZ98" s="231">
        <f t="shared" si="83"/>
        <v>0</v>
      </c>
      <c r="BA98" s="231">
        <f t="shared" si="83"/>
        <v>0</v>
      </c>
      <c r="BB98" s="231">
        <f t="shared" si="83"/>
        <v>0</v>
      </c>
      <c r="BC98" s="231">
        <f t="shared" si="83"/>
        <v>0</v>
      </c>
      <c r="BD98" s="231">
        <f t="shared" si="83"/>
        <v>0</v>
      </c>
      <c r="BE98" s="231">
        <f t="shared" si="83"/>
        <v>0</v>
      </c>
      <c r="BF98" s="231">
        <f t="shared" si="83"/>
        <v>0</v>
      </c>
      <c r="BG98" s="231">
        <f t="shared" si="83"/>
        <v>0</v>
      </c>
      <c r="BI98" s="295">
        <f>SUM(T98:BG98)</f>
        <v>0</v>
      </c>
      <c r="BK98" s="302">
        <f>SUMPRODUCT(--($T$5:$BG$5&gt;$Q98),($T98:$BG98))*(SUMPRODUCT(--($T$5:$BG$5=$Q98),($T$4:$BG$4))&gt;$P98)</f>
        <v>0</v>
      </c>
    </row>
    <row r="99" spans="2:63">
      <c r="C99" s="99">
        <f>RR!C24</f>
        <v>2</v>
      </c>
      <c r="D99" s="99" t="str">
        <f>RR!E24</f>
        <v>2 - 1</v>
      </c>
      <c r="F99" s="94" t="str">
        <f>INDEX(RR!K:K,MATCH(D99,RR!E:E,0))</f>
        <v>backup</v>
      </c>
      <c r="H99" s="73" t="s">
        <v>318</v>
      </c>
      <c r="J99" s="1325">
        <f>INDEX(AA!E:E,MATCH($C99,AA!C:C,0))</f>
        <v>1</v>
      </c>
      <c r="K99" s="1325">
        <f>INDEX(TA!$G:$G,MATCH($D99,TA!$D:$D,0))</f>
        <v>1</v>
      </c>
      <c r="M99" s="1325" t="str">
        <f>INDEX(TA!$BJ$15:$BJ$17,MATCH($D99,TA!$D$15:$D$17,0))</f>
        <v>no option</v>
      </c>
      <c r="N99" s="1325">
        <f>INDEX(TA!$AJ$15:$AJ$17,MATCH($D99,TA!$D$15:$D$17,0))</f>
        <v>100000</v>
      </c>
      <c r="O99" s="1325">
        <f>INDEX(TA!$BG$15:$BG$17,MATCH($D99,TA!$D$15:$D$17,0))</f>
        <v>100000</v>
      </c>
      <c r="P99" s="288">
        <f>INDEX(TA!$CK$15:$CK$17,MATCH($D99,TA!$D$15:$D$17,0))</f>
        <v>50771</v>
      </c>
      <c r="Q99" s="1325">
        <f>INDEX(AA!$AA:$AA,MATCH($C99,AA!$C:$C,0))</f>
        <v>12</v>
      </c>
      <c r="T99" s="231">
        <f t="shared" ref="T99:BG99" si="84">-IF($M99="ITM",$N99,$O99)/4*(T30-T39)*T55</f>
        <v>0</v>
      </c>
      <c r="U99" s="231">
        <f t="shared" si="84"/>
        <v>0</v>
      </c>
      <c r="V99" s="231">
        <f t="shared" si="84"/>
        <v>0</v>
      </c>
      <c r="W99" s="231">
        <f t="shared" si="84"/>
        <v>0</v>
      </c>
      <c r="X99" s="231">
        <f t="shared" si="84"/>
        <v>0</v>
      </c>
      <c r="Y99" s="231">
        <f t="shared" si="84"/>
        <v>0</v>
      </c>
      <c r="Z99" s="231">
        <f t="shared" si="84"/>
        <v>0</v>
      </c>
      <c r="AA99" s="231">
        <f t="shared" si="84"/>
        <v>0</v>
      </c>
      <c r="AB99" s="231">
        <f t="shared" si="84"/>
        <v>0</v>
      </c>
      <c r="AC99" s="231">
        <f t="shared" si="84"/>
        <v>0</v>
      </c>
      <c r="AD99" s="231">
        <f t="shared" si="84"/>
        <v>0</v>
      </c>
      <c r="AE99" s="231">
        <f t="shared" si="84"/>
        <v>0</v>
      </c>
      <c r="AF99" s="231">
        <f t="shared" si="84"/>
        <v>0</v>
      </c>
      <c r="AG99" s="231">
        <f t="shared" si="84"/>
        <v>0</v>
      </c>
      <c r="AH99" s="231">
        <f t="shared" si="84"/>
        <v>0</v>
      </c>
      <c r="AI99" s="231">
        <f t="shared" si="84"/>
        <v>0</v>
      </c>
      <c r="AJ99" s="231">
        <f t="shared" si="84"/>
        <v>0</v>
      </c>
      <c r="AK99" s="231">
        <f t="shared" si="84"/>
        <v>0</v>
      </c>
      <c r="AL99" s="231">
        <f t="shared" si="84"/>
        <v>0</v>
      </c>
      <c r="AM99" s="231">
        <f t="shared" si="84"/>
        <v>0</v>
      </c>
      <c r="AN99" s="231">
        <f t="shared" si="84"/>
        <v>0</v>
      </c>
      <c r="AO99" s="231">
        <f t="shared" si="84"/>
        <v>0</v>
      </c>
      <c r="AP99" s="231">
        <f t="shared" si="84"/>
        <v>0</v>
      </c>
      <c r="AQ99" s="231">
        <f t="shared" si="84"/>
        <v>0</v>
      </c>
      <c r="AR99" s="231">
        <f t="shared" si="84"/>
        <v>0</v>
      </c>
      <c r="AS99" s="231">
        <f t="shared" si="84"/>
        <v>0</v>
      </c>
      <c r="AT99" s="231">
        <f t="shared" si="84"/>
        <v>0</v>
      </c>
      <c r="AU99" s="231">
        <f t="shared" si="84"/>
        <v>0</v>
      </c>
      <c r="AV99" s="231">
        <f t="shared" si="84"/>
        <v>0</v>
      </c>
      <c r="AW99" s="231">
        <f t="shared" si="84"/>
        <v>0</v>
      </c>
      <c r="AX99" s="231">
        <f t="shared" si="84"/>
        <v>0</v>
      </c>
      <c r="AY99" s="231">
        <f t="shared" si="84"/>
        <v>0</v>
      </c>
      <c r="AZ99" s="231">
        <f t="shared" si="84"/>
        <v>0</v>
      </c>
      <c r="BA99" s="231">
        <f t="shared" si="84"/>
        <v>0</v>
      </c>
      <c r="BB99" s="231">
        <f t="shared" si="84"/>
        <v>0</v>
      </c>
      <c r="BC99" s="231">
        <f t="shared" si="84"/>
        <v>0</v>
      </c>
      <c r="BD99" s="231">
        <f t="shared" si="84"/>
        <v>0</v>
      </c>
      <c r="BE99" s="231">
        <f t="shared" si="84"/>
        <v>0</v>
      </c>
      <c r="BF99" s="231">
        <f t="shared" si="84"/>
        <v>0</v>
      </c>
      <c r="BG99" s="231">
        <f t="shared" si="84"/>
        <v>0</v>
      </c>
      <c r="BI99" s="296">
        <f t="shared" ref="BI99" si="85">SUM(T99:BG99)</f>
        <v>0</v>
      </c>
      <c r="BK99" s="301">
        <f t="shared" ref="BK99:BK100" si="86">SUMPRODUCT(--($T$5:$BG$5&gt;$Q99),($T99:$BG99))*(SUMPRODUCT(--($T$5:$BG$5=$Q99),($T$4:$BG$4))&gt;$P99)</f>
        <v>0</v>
      </c>
    </row>
    <row r="100" spans="2:63">
      <c r="C100" s="99">
        <f>RR!C25</f>
        <v>3</v>
      </c>
      <c r="D100" s="99" t="str">
        <f>RR!E25</f>
        <v>3 - 1</v>
      </c>
      <c r="F100" s="94" t="str">
        <f>INDEX(RR!K:K,MATCH(D100,RR!E:E,0))</f>
        <v>backup</v>
      </c>
      <c r="H100" s="73" t="s">
        <v>318</v>
      </c>
      <c r="J100" s="1325">
        <f>INDEX(AA!E:E,MATCH($C100,AA!C:C,0))</f>
        <v>1</v>
      </c>
      <c r="K100" s="1325">
        <f>INDEX(TA!$G:$G,MATCH($D100,TA!$D:$D,0))</f>
        <v>1</v>
      </c>
      <c r="M100" s="1325" t="str">
        <f>INDEX(TA!$BJ$15:$BJ$17,MATCH($D100,TA!$D$15:$D$17,0))</f>
        <v>no option</v>
      </c>
      <c r="N100" s="1325">
        <f>INDEX(TA!$AJ$15:$AJ$17,MATCH($D100,TA!$D$15:$D$17,0))</f>
        <v>100000</v>
      </c>
      <c r="O100" s="1325">
        <f>INDEX(TA!$BG$15:$BG$17,MATCH($D100,TA!$D$15:$D$17,0))</f>
        <v>100000</v>
      </c>
      <c r="P100" s="288">
        <f>INDEX(TA!$CK$15:$CK$17,MATCH($D100,TA!$D$15:$D$17,0))</f>
        <v>50771</v>
      </c>
      <c r="Q100" s="1325">
        <f>INDEX(AA!$AA:$AA,MATCH($C100,AA!$C:$C,0))</f>
        <v>12</v>
      </c>
      <c r="T100" s="231">
        <f t="shared" ref="T100:BG100" si="87">-IF($M100="ITM",$N100,$O100)/4*(T31-T40)*T56</f>
        <v>0</v>
      </c>
      <c r="U100" s="231">
        <f t="shared" si="87"/>
        <v>0</v>
      </c>
      <c r="V100" s="231">
        <f t="shared" si="87"/>
        <v>0</v>
      </c>
      <c r="W100" s="231">
        <f t="shared" si="87"/>
        <v>0</v>
      </c>
      <c r="X100" s="231">
        <f t="shared" si="87"/>
        <v>0</v>
      </c>
      <c r="Y100" s="231">
        <f t="shared" si="87"/>
        <v>0</v>
      </c>
      <c r="Z100" s="231">
        <f t="shared" si="87"/>
        <v>0</v>
      </c>
      <c r="AA100" s="231">
        <f t="shared" si="87"/>
        <v>0</v>
      </c>
      <c r="AB100" s="231">
        <f t="shared" si="87"/>
        <v>0</v>
      </c>
      <c r="AC100" s="231">
        <f t="shared" si="87"/>
        <v>0</v>
      </c>
      <c r="AD100" s="231">
        <f t="shared" si="87"/>
        <v>0</v>
      </c>
      <c r="AE100" s="231">
        <f t="shared" si="87"/>
        <v>0</v>
      </c>
      <c r="AF100" s="231">
        <f t="shared" si="87"/>
        <v>0</v>
      </c>
      <c r="AG100" s="231">
        <f t="shared" si="87"/>
        <v>0</v>
      </c>
      <c r="AH100" s="231">
        <f t="shared" si="87"/>
        <v>0</v>
      </c>
      <c r="AI100" s="231">
        <f t="shared" si="87"/>
        <v>0</v>
      </c>
      <c r="AJ100" s="231">
        <f t="shared" si="87"/>
        <v>0</v>
      </c>
      <c r="AK100" s="231">
        <f t="shared" si="87"/>
        <v>0</v>
      </c>
      <c r="AL100" s="231">
        <f t="shared" si="87"/>
        <v>0</v>
      </c>
      <c r="AM100" s="231">
        <f t="shared" si="87"/>
        <v>0</v>
      </c>
      <c r="AN100" s="231">
        <f t="shared" si="87"/>
        <v>0</v>
      </c>
      <c r="AO100" s="231">
        <f t="shared" si="87"/>
        <v>0</v>
      </c>
      <c r="AP100" s="231">
        <f t="shared" si="87"/>
        <v>0</v>
      </c>
      <c r="AQ100" s="231">
        <f t="shared" si="87"/>
        <v>0</v>
      </c>
      <c r="AR100" s="231">
        <f t="shared" si="87"/>
        <v>0</v>
      </c>
      <c r="AS100" s="231">
        <f t="shared" si="87"/>
        <v>0</v>
      </c>
      <c r="AT100" s="231">
        <f t="shared" si="87"/>
        <v>0</v>
      </c>
      <c r="AU100" s="231">
        <f t="shared" si="87"/>
        <v>0</v>
      </c>
      <c r="AV100" s="231">
        <f t="shared" si="87"/>
        <v>0</v>
      </c>
      <c r="AW100" s="231">
        <f t="shared" si="87"/>
        <v>0</v>
      </c>
      <c r="AX100" s="231">
        <f t="shared" si="87"/>
        <v>0</v>
      </c>
      <c r="AY100" s="231">
        <f t="shared" si="87"/>
        <v>0</v>
      </c>
      <c r="AZ100" s="231">
        <f t="shared" si="87"/>
        <v>0</v>
      </c>
      <c r="BA100" s="231">
        <f t="shared" si="87"/>
        <v>0</v>
      </c>
      <c r="BB100" s="231">
        <f t="shared" si="87"/>
        <v>0</v>
      </c>
      <c r="BC100" s="231">
        <f t="shared" si="87"/>
        <v>0</v>
      </c>
      <c r="BD100" s="231">
        <f t="shared" si="87"/>
        <v>0</v>
      </c>
      <c r="BE100" s="231">
        <f t="shared" si="87"/>
        <v>0</v>
      </c>
      <c r="BF100" s="231">
        <f t="shared" si="87"/>
        <v>0</v>
      </c>
      <c r="BG100" s="231">
        <f t="shared" si="87"/>
        <v>0</v>
      </c>
      <c r="BI100" s="296">
        <f t="shared" ref="BI100" si="88">SUM(T100:BG100)</f>
        <v>0</v>
      </c>
      <c r="BK100" s="301">
        <f t="shared" si="86"/>
        <v>0</v>
      </c>
    </row>
    <row r="101" spans="2:63">
      <c r="C101" s="269"/>
      <c r="D101" s="269"/>
      <c r="F101" s="269"/>
      <c r="H101" s="269"/>
      <c r="J101" s="269"/>
      <c r="K101" s="269"/>
      <c r="M101" s="269"/>
      <c r="N101" s="269"/>
      <c r="O101" s="269"/>
      <c r="P101" s="269"/>
      <c r="Q101" s="269"/>
      <c r="BI101" s="269"/>
      <c r="BK101" s="269"/>
    </row>
    <row r="103" spans="2:63" s="90" customFormat="1">
      <c r="B103" s="91">
        <f ca="1">MAX(A$1:$B102)+1</f>
        <v>12</v>
      </c>
      <c r="C103" s="92" t="s">
        <v>322</v>
      </c>
    </row>
    <row r="105" spans="2:63" ht="30">
      <c r="C105" s="96" t="s">
        <v>4</v>
      </c>
      <c r="D105" s="97" t="s">
        <v>148</v>
      </c>
      <c r="E105" s="95"/>
      <c r="F105" s="97" t="s">
        <v>149</v>
      </c>
      <c r="G105" s="95"/>
      <c r="H105" s="97" t="s">
        <v>150</v>
      </c>
      <c r="I105" s="95"/>
      <c r="J105" s="97" t="s">
        <v>272</v>
      </c>
      <c r="K105" s="97" t="s">
        <v>273</v>
      </c>
      <c r="M105" s="101" t="s">
        <v>323</v>
      </c>
      <c r="N105" s="101" t="s">
        <v>387</v>
      </c>
      <c r="O105" s="97" t="s">
        <v>392</v>
      </c>
      <c r="BI105" s="239" t="s">
        <v>152</v>
      </c>
      <c r="BK105" s="102"/>
    </row>
    <row r="106" spans="2:63">
      <c r="C106" s="98">
        <f>RR!C23</f>
        <v>1</v>
      </c>
      <c r="D106" s="98" t="str">
        <f>RR!E23</f>
        <v>1 - 1</v>
      </c>
      <c r="F106" s="93" t="str">
        <f>INDEX(RR!K:K,MATCH(D106,RR!E:E,0))</f>
        <v>backup</v>
      </c>
      <c r="H106" s="72" t="s">
        <v>321</v>
      </c>
      <c r="J106" s="1324">
        <f>INDEX(AA!E:E,MATCH($C106,AA!C:C,0))</f>
        <v>1</v>
      </c>
      <c r="K106" s="1324">
        <f>INDEX(TA!$G:$G,MATCH($D106,TA!$D:$D,0))</f>
        <v>1</v>
      </c>
      <c r="M106" s="1324">
        <f>INDEX(TA!$AX:$AX,MATCH($D106,TA!$D:$D,0))</f>
        <v>0</v>
      </c>
      <c r="N106" s="1324">
        <f>INDEX(TA!$CB:$CB,MATCH($D106,TA!$D:$D,0))</f>
        <v>0</v>
      </c>
      <c r="O106" s="307">
        <f>INDEX(TA!$CA$15:$CA$17,MATCH($D106,TA!$D$15:$D$17,0))</f>
        <v>0</v>
      </c>
      <c r="T106" s="231">
        <f t="shared" ref="T106:BG106" si="89">T29*($M106/4+$N106/4*(T$5&gt;=$O106))</f>
        <v>0</v>
      </c>
      <c r="U106" s="231">
        <f t="shared" si="89"/>
        <v>0</v>
      </c>
      <c r="V106" s="231">
        <f t="shared" si="89"/>
        <v>0</v>
      </c>
      <c r="W106" s="231">
        <f t="shared" si="89"/>
        <v>0</v>
      </c>
      <c r="X106" s="231">
        <f t="shared" si="89"/>
        <v>0</v>
      </c>
      <c r="Y106" s="231">
        <f t="shared" si="89"/>
        <v>0</v>
      </c>
      <c r="Z106" s="231">
        <f t="shared" si="89"/>
        <v>0</v>
      </c>
      <c r="AA106" s="231">
        <f t="shared" si="89"/>
        <v>0</v>
      </c>
      <c r="AB106" s="231">
        <f t="shared" si="89"/>
        <v>0</v>
      </c>
      <c r="AC106" s="231">
        <f t="shared" si="89"/>
        <v>0</v>
      </c>
      <c r="AD106" s="231">
        <f t="shared" si="89"/>
        <v>0</v>
      </c>
      <c r="AE106" s="231">
        <f t="shared" si="89"/>
        <v>0</v>
      </c>
      <c r="AF106" s="231">
        <f t="shared" si="89"/>
        <v>0</v>
      </c>
      <c r="AG106" s="231">
        <f t="shared" si="89"/>
        <v>0</v>
      </c>
      <c r="AH106" s="231">
        <f t="shared" si="89"/>
        <v>0</v>
      </c>
      <c r="AI106" s="231">
        <f t="shared" si="89"/>
        <v>0</v>
      </c>
      <c r="AJ106" s="231">
        <f t="shared" si="89"/>
        <v>0</v>
      </c>
      <c r="AK106" s="231">
        <f t="shared" si="89"/>
        <v>0</v>
      </c>
      <c r="AL106" s="231">
        <f t="shared" si="89"/>
        <v>0</v>
      </c>
      <c r="AM106" s="231">
        <f t="shared" si="89"/>
        <v>0</v>
      </c>
      <c r="AN106" s="231">
        <f t="shared" si="89"/>
        <v>0</v>
      </c>
      <c r="AO106" s="231">
        <f t="shared" si="89"/>
        <v>0</v>
      </c>
      <c r="AP106" s="231">
        <f t="shared" si="89"/>
        <v>0</v>
      </c>
      <c r="AQ106" s="231">
        <f t="shared" si="89"/>
        <v>0</v>
      </c>
      <c r="AR106" s="231">
        <f t="shared" si="89"/>
        <v>0</v>
      </c>
      <c r="AS106" s="231">
        <f t="shared" si="89"/>
        <v>0</v>
      </c>
      <c r="AT106" s="231">
        <f t="shared" si="89"/>
        <v>0</v>
      </c>
      <c r="AU106" s="231">
        <f t="shared" si="89"/>
        <v>0</v>
      </c>
      <c r="AV106" s="231">
        <f t="shared" si="89"/>
        <v>0</v>
      </c>
      <c r="AW106" s="231">
        <f t="shared" si="89"/>
        <v>0</v>
      </c>
      <c r="AX106" s="231">
        <f t="shared" si="89"/>
        <v>0</v>
      </c>
      <c r="AY106" s="231">
        <f t="shared" si="89"/>
        <v>0</v>
      </c>
      <c r="AZ106" s="231">
        <f t="shared" si="89"/>
        <v>0</v>
      </c>
      <c r="BA106" s="231">
        <f t="shared" si="89"/>
        <v>0</v>
      </c>
      <c r="BB106" s="231">
        <f t="shared" si="89"/>
        <v>0</v>
      </c>
      <c r="BC106" s="231">
        <f t="shared" si="89"/>
        <v>0</v>
      </c>
      <c r="BD106" s="231">
        <f t="shared" si="89"/>
        <v>0</v>
      </c>
      <c r="BE106" s="231">
        <f t="shared" si="89"/>
        <v>0</v>
      </c>
      <c r="BF106" s="231">
        <f t="shared" si="89"/>
        <v>0</v>
      </c>
      <c r="BG106" s="231">
        <f t="shared" si="89"/>
        <v>0</v>
      </c>
      <c r="BI106" s="295">
        <f>SUM(T106:BG106)</f>
        <v>0</v>
      </c>
      <c r="BK106" s="103"/>
    </row>
    <row r="107" spans="2:63">
      <c r="C107" s="99">
        <f>RR!C24</f>
        <v>2</v>
      </c>
      <c r="D107" s="99" t="str">
        <f>RR!E24</f>
        <v>2 - 1</v>
      </c>
      <c r="F107" s="94" t="str">
        <f>INDEX(RR!K:K,MATCH(D107,RR!E:E,0))</f>
        <v>backup</v>
      </c>
      <c r="H107" s="73" t="s">
        <v>321</v>
      </c>
      <c r="J107" s="1325">
        <f>INDEX(AA!E:E,MATCH($C107,AA!C:C,0))</f>
        <v>1</v>
      </c>
      <c r="K107" s="1325">
        <f>INDEX(TA!$G:$G,MATCH($D107,TA!$D:$D,0))</f>
        <v>1</v>
      </c>
      <c r="M107" s="1325">
        <f>INDEX(TA!$AX:$AX,MATCH($D107,TA!$D:$D,0))</f>
        <v>0</v>
      </c>
      <c r="N107" s="1325">
        <f>INDEX(TA!$CB:$CB,MATCH($D107,TA!$D:$D,0))</f>
        <v>0</v>
      </c>
      <c r="O107" s="308">
        <f>INDEX(TA!$CA$15:$CA$17,MATCH($D107,TA!$D$15:$D$17,0))</f>
        <v>0</v>
      </c>
      <c r="T107" s="231">
        <f t="shared" ref="T107:BG107" si="90">T30*($M107/4+$N107/4*(T$5&gt;=$O107))</f>
        <v>0</v>
      </c>
      <c r="U107" s="231">
        <f t="shared" si="90"/>
        <v>0</v>
      </c>
      <c r="V107" s="231">
        <f t="shared" si="90"/>
        <v>0</v>
      </c>
      <c r="W107" s="231">
        <f t="shared" si="90"/>
        <v>0</v>
      </c>
      <c r="X107" s="231">
        <f t="shared" si="90"/>
        <v>0</v>
      </c>
      <c r="Y107" s="231">
        <f t="shared" si="90"/>
        <v>0</v>
      </c>
      <c r="Z107" s="231">
        <f t="shared" si="90"/>
        <v>0</v>
      </c>
      <c r="AA107" s="231">
        <f t="shared" si="90"/>
        <v>0</v>
      </c>
      <c r="AB107" s="231">
        <f t="shared" si="90"/>
        <v>0</v>
      </c>
      <c r="AC107" s="231">
        <f t="shared" si="90"/>
        <v>0</v>
      </c>
      <c r="AD107" s="231">
        <f t="shared" si="90"/>
        <v>0</v>
      </c>
      <c r="AE107" s="231">
        <f t="shared" si="90"/>
        <v>0</v>
      </c>
      <c r="AF107" s="231">
        <f t="shared" si="90"/>
        <v>0</v>
      </c>
      <c r="AG107" s="231">
        <f t="shared" si="90"/>
        <v>0</v>
      </c>
      <c r="AH107" s="231">
        <f t="shared" si="90"/>
        <v>0</v>
      </c>
      <c r="AI107" s="231">
        <f t="shared" si="90"/>
        <v>0</v>
      </c>
      <c r="AJ107" s="231">
        <f t="shared" si="90"/>
        <v>0</v>
      </c>
      <c r="AK107" s="231">
        <f t="shared" si="90"/>
        <v>0</v>
      </c>
      <c r="AL107" s="231">
        <f t="shared" si="90"/>
        <v>0</v>
      </c>
      <c r="AM107" s="231">
        <f t="shared" si="90"/>
        <v>0</v>
      </c>
      <c r="AN107" s="231">
        <f t="shared" si="90"/>
        <v>0</v>
      </c>
      <c r="AO107" s="231">
        <f t="shared" si="90"/>
        <v>0</v>
      </c>
      <c r="AP107" s="231">
        <f t="shared" si="90"/>
        <v>0</v>
      </c>
      <c r="AQ107" s="231">
        <f t="shared" si="90"/>
        <v>0</v>
      </c>
      <c r="AR107" s="231">
        <f t="shared" si="90"/>
        <v>0</v>
      </c>
      <c r="AS107" s="231">
        <f t="shared" si="90"/>
        <v>0</v>
      </c>
      <c r="AT107" s="231">
        <f t="shared" si="90"/>
        <v>0</v>
      </c>
      <c r="AU107" s="231">
        <f t="shared" si="90"/>
        <v>0</v>
      </c>
      <c r="AV107" s="231">
        <f t="shared" si="90"/>
        <v>0</v>
      </c>
      <c r="AW107" s="231">
        <f t="shared" si="90"/>
        <v>0</v>
      </c>
      <c r="AX107" s="231">
        <f t="shared" si="90"/>
        <v>0</v>
      </c>
      <c r="AY107" s="231">
        <f t="shared" si="90"/>
        <v>0</v>
      </c>
      <c r="AZ107" s="231">
        <f t="shared" si="90"/>
        <v>0</v>
      </c>
      <c r="BA107" s="231">
        <f t="shared" si="90"/>
        <v>0</v>
      </c>
      <c r="BB107" s="231">
        <f t="shared" si="90"/>
        <v>0</v>
      </c>
      <c r="BC107" s="231">
        <f t="shared" si="90"/>
        <v>0</v>
      </c>
      <c r="BD107" s="231">
        <f t="shared" si="90"/>
        <v>0</v>
      </c>
      <c r="BE107" s="231">
        <f t="shared" si="90"/>
        <v>0</v>
      </c>
      <c r="BF107" s="231">
        <f t="shared" si="90"/>
        <v>0</v>
      </c>
      <c r="BG107" s="231">
        <f t="shared" si="90"/>
        <v>0</v>
      </c>
      <c r="BI107" s="296">
        <f t="shared" ref="BI107" si="91">SUM(T107:BG107)</f>
        <v>0</v>
      </c>
      <c r="BK107" s="103"/>
    </row>
    <row r="108" spans="2:63">
      <c r="C108" s="99">
        <f>RR!C25</f>
        <v>3</v>
      </c>
      <c r="D108" s="99" t="str">
        <f>RR!E25</f>
        <v>3 - 1</v>
      </c>
      <c r="F108" s="94" t="str">
        <f>INDEX(RR!K:K,MATCH(D108,RR!E:E,0))</f>
        <v>backup</v>
      </c>
      <c r="H108" s="73" t="s">
        <v>321</v>
      </c>
      <c r="J108" s="1325">
        <f>INDEX(AA!E:E,MATCH($C108,AA!C:C,0))</f>
        <v>1</v>
      </c>
      <c r="K108" s="1325">
        <f>INDEX(TA!$G:$G,MATCH($D108,TA!$D:$D,0))</f>
        <v>1</v>
      </c>
      <c r="M108" s="1325">
        <f>INDEX(TA!$AX:$AX,MATCH($D108,TA!$D:$D,0))</f>
        <v>0</v>
      </c>
      <c r="N108" s="1325">
        <f>INDEX(TA!$CB:$CB,MATCH($D108,TA!$D:$D,0))</f>
        <v>0</v>
      </c>
      <c r="O108" s="308">
        <f>INDEX(TA!$CA$15:$CA$17,MATCH($D108,TA!$D$15:$D$17,0))</f>
        <v>0</v>
      </c>
      <c r="T108" s="231">
        <f t="shared" ref="T108:BG108" si="92">T31*($M108/4+$N108/4*(T$5&gt;=$O108))</f>
        <v>0</v>
      </c>
      <c r="U108" s="231">
        <f t="shared" si="92"/>
        <v>0</v>
      </c>
      <c r="V108" s="231">
        <f t="shared" si="92"/>
        <v>0</v>
      </c>
      <c r="W108" s="231">
        <f t="shared" si="92"/>
        <v>0</v>
      </c>
      <c r="X108" s="231">
        <f t="shared" si="92"/>
        <v>0</v>
      </c>
      <c r="Y108" s="231">
        <f t="shared" si="92"/>
        <v>0</v>
      </c>
      <c r="Z108" s="231">
        <f t="shared" si="92"/>
        <v>0</v>
      </c>
      <c r="AA108" s="231">
        <f t="shared" si="92"/>
        <v>0</v>
      </c>
      <c r="AB108" s="231">
        <f t="shared" si="92"/>
        <v>0</v>
      </c>
      <c r="AC108" s="231">
        <f t="shared" si="92"/>
        <v>0</v>
      </c>
      <c r="AD108" s="231">
        <f t="shared" si="92"/>
        <v>0</v>
      </c>
      <c r="AE108" s="231">
        <f t="shared" si="92"/>
        <v>0</v>
      </c>
      <c r="AF108" s="231">
        <f t="shared" si="92"/>
        <v>0</v>
      </c>
      <c r="AG108" s="231">
        <f t="shared" si="92"/>
        <v>0</v>
      </c>
      <c r="AH108" s="231">
        <f t="shared" si="92"/>
        <v>0</v>
      </c>
      <c r="AI108" s="231">
        <f t="shared" si="92"/>
        <v>0</v>
      </c>
      <c r="AJ108" s="231">
        <f t="shared" si="92"/>
        <v>0</v>
      </c>
      <c r="AK108" s="231">
        <f t="shared" si="92"/>
        <v>0</v>
      </c>
      <c r="AL108" s="231">
        <f t="shared" si="92"/>
        <v>0</v>
      </c>
      <c r="AM108" s="231">
        <f t="shared" si="92"/>
        <v>0</v>
      </c>
      <c r="AN108" s="231">
        <f t="shared" si="92"/>
        <v>0</v>
      </c>
      <c r="AO108" s="231">
        <f t="shared" si="92"/>
        <v>0</v>
      </c>
      <c r="AP108" s="231">
        <f t="shared" si="92"/>
        <v>0</v>
      </c>
      <c r="AQ108" s="231">
        <f t="shared" si="92"/>
        <v>0</v>
      </c>
      <c r="AR108" s="231">
        <f t="shared" si="92"/>
        <v>0</v>
      </c>
      <c r="AS108" s="231">
        <f t="shared" si="92"/>
        <v>0</v>
      </c>
      <c r="AT108" s="231">
        <f t="shared" si="92"/>
        <v>0</v>
      </c>
      <c r="AU108" s="231">
        <f t="shared" si="92"/>
        <v>0</v>
      </c>
      <c r="AV108" s="231">
        <f t="shared" si="92"/>
        <v>0</v>
      </c>
      <c r="AW108" s="231">
        <f t="shared" si="92"/>
        <v>0</v>
      </c>
      <c r="AX108" s="231">
        <f t="shared" si="92"/>
        <v>0</v>
      </c>
      <c r="AY108" s="231">
        <f t="shared" si="92"/>
        <v>0</v>
      </c>
      <c r="AZ108" s="231">
        <f t="shared" si="92"/>
        <v>0</v>
      </c>
      <c r="BA108" s="231">
        <f t="shared" si="92"/>
        <v>0</v>
      </c>
      <c r="BB108" s="231">
        <f t="shared" si="92"/>
        <v>0</v>
      </c>
      <c r="BC108" s="231">
        <f t="shared" si="92"/>
        <v>0</v>
      </c>
      <c r="BD108" s="231">
        <f t="shared" si="92"/>
        <v>0</v>
      </c>
      <c r="BE108" s="231">
        <f t="shared" si="92"/>
        <v>0</v>
      </c>
      <c r="BF108" s="231">
        <f t="shared" si="92"/>
        <v>0</v>
      </c>
      <c r="BG108" s="231">
        <f t="shared" si="92"/>
        <v>0</v>
      </c>
      <c r="BI108" s="296">
        <f t="shared" ref="BI108" si="93">SUM(T108:BG108)</f>
        <v>0</v>
      </c>
      <c r="BK108" s="103"/>
    </row>
    <row r="109" spans="2:63">
      <c r="C109" s="269"/>
      <c r="D109" s="269"/>
      <c r="F109" s="269"/>
      <c r="H109" s="269"/>
      <c r="J109" s="269"/>
      <c r="K109" s="269"/>
      <c r="M109" s="269"/>
      <c r="N109" s="269"/>
      <c r="O109" s="269"/>
      <c r="BI109" s="269"/>
      <c r="BK109" s="269"/>
    </row>
    <row r="111" spans="2:63" s="90" customFormat="1">
      <c r="B111" s="91">
        <f ca="1">MAX(A$1:$B110)+1</f>
        <v>13</v>
      </c>
      <c r="C111" s="92" t="s">
        <v>367</v>
      </c>
    </row>
    <row r="113" spans="2:63" ht="30">
      <c r="C113" s="96" t="s">
        <v>4</v>
      </c>
      <c r="D113" s="97" t="s">
        <v>148</v>
      </c>
      <c r="E113" s="95"/>
      <c r="F113" s="97" t="s">
        <v>149</v>
      </c>
      <c r="G113" s="95"/>
      <c r="H113" s="97" t="s">
        <v>150</v>
      </c>
      <c r="J113" s="97" t="s">
        <v>272</v>
      </c>
      <c r="K113" s="97" t="s">
        <v>273</v>
      </c>
      <c r="M113" s="101" t="s">
        <v>369</v>
      </c>
      <c r="BI113" s="239" t="s">
        <v>152</v>
      </c>
      <c r="BK113" s="102"/>
    </row>
    <row r="114" spans="2:63">
      <c r="C114" s="98">
        <f>RR!C23</f>
        <v>1</v>
      </c>
      <c r="D114" s="98" t="str">
        <f>RR!E23</f>
        <v>1 - 1</v>
      </c>
      <c r="F114" s="93" t="str">
        <f>INDEX(RR!K:K,MATCH(D114,RR!E:E,0))</f>
        <v>backup</v>
      </c>
      <c r="H114" s="72" t="s">
        <v>368</v>
      </c>
      <c r="J114" s="1324">
        <f>INDEX(AA!E:E,MATCH($C114,AA!C:C,0))</f>
        <v>1</v>
      </c>
      <c r="K114" s="1324">
        <f>INDEX(TA!$G:$G,MATCH($D114,TA!$D:$D,0))</f>
        <v>1</v>
      </c>
      <c r="M114" s="1324">
        <f>INDEX(TA!$DL$15:$DL$17,MATCH($D114,TA!$D$15:$D$17,0))</f>
        <v>0</v>
      </c>
      <c r="T114" s="231">
        <f t="shared" ref="T114:BG114" si="94">-IFERROR($M114*T46/$BK46,0)</f>
        <v>0</v>
      </c>
      <c r="U114" s="231">
        <f t="shared" si="94"/>
        <v>0</v>
      </c>
      <c r="V114" s="231">
        <f t="shared" si="94"/>
        <v>0</v>
      </c>
      <c r="W114" s="231">
        <f t="shared" si="94"/>
        <v>0</v>
      </c>
      <c r="X114" s="231">
        <f t="shared" si="94"/>
        <v>0</v>
      </c>
      <c r="Y114" s="231">
        <f t="shared" si="94"/>
        <v>0</v>
      </c>
      <c r="Z114" s="231">
        <f t="shared" si="94"/>
        <v>0</v>
      </c>
      <c r="AA114" s="231">
        <f t="shared" si="94"/>
        <v>0</v>
      </c>
      <c r="AB114" s="231">
        <f t="shared" si="94"/>
        <v>0</v>
      </c>
      <c r="AC114" s="231">
        <f t="shared" si="94"/>
        <v>0</v>
      </c>
      <c r="AD114" s="231">
        <f t="shared" si="94"/>
        <v>0</v>
      </c>
      <c r="AE114" s="231">
        <f t="shared" si="94"/>
        <v>0</v>
      </c>
      <c r="AF114" s="231">
        <f t="shared" si="94"/>
        <v>0</v>
      </c>
      <c r="AG114" s="231">
        <f t="shared" si="94"/>
        <v>0</v>
      </c>
      <c r="AH114" s="231">
        <f t="shared" si="94"/>
        <v>0</v>
      </c>
      <c r="AI114" s="231">
        <f t="shared" si="94"/>
        <v>0</v>
      </c>
      <c r="AJ114" s="231">
        <f t="shared" si="94"/>
        <v>0</v>
      </c>
      <c r="AK114" s="231">
        <f t="shared" si="94"/>
        <v>0</v>
      </c>
      <c r="AL114" s="231">
        <f t="shared" si="94"/>
        <v>0</v>
      </c>
      <c r="AM114" s="231">
        <f t="shared" si="94"/>
        <v>0</v>
      </c>
      <c r="AN114" s="231">
        <f t="shared" si="94"/>
        <v>0</v>
      </c>
      <c r="AO114" s="231">
        <f t="shared" si="94"/>
        <v>0</v>
      </c>
      <c r="AP114" s="231">
        <f t="shared" si="94"/>
        <v>0</v>
      </c>
      <c r="AQ114" s="231">
        <f t="shared" si="94"/>
        <v>0</v>
      </c>
      <c r="AR114" s="231">
        <f t="shared" si="94"/>
        <v>0</v>
      </c>
      <c r="AS114" s="231">
        <f t="shared" si="94"/>
        <v>0</v>
      </c>
      <c r="AT114" s="231">
        <f t="shared" si="94"/>
        <v>0</v>
      </c>
      <c r="AU114" s="231">
        <f t="shared" si="94"/>
        <v>0</v>
      </c>
      <c r="AV114" s="231">
        <f t="shared" si="94"/>
        <v>0</v>
      </c>
      <c r="AW114" s="231">
        <f t="shared" si="94"/>
        <v>0</v>
      </c>
      <c r="AX114" s="231">
        <f t="shared" si="94"/>
        <v>0</v>
      </c>
      <c r="AY114" s="231">
        <f t="shared" si="94"/>
        <v>0</v>
      </c>
      <c r="AZ114" s="231">
        <f t="shared" si="94"/>
        <v>0</v>
      </c>
      <c r="BA114" s="231">
        <f t="shared" si="94"/>
        <v>0</v>
      </c>
      <c r="BB114" s="231">
        <f t="shared" si="94"/>
        <v>0</v>
      </c>
      <c r="BC114" s="231">
        <f t="shared" si="94"/>
        <v>0</v>
      </c>
      <c r="BD114" s="231">
        <f t="shared" si="94"/>
        <v>0</v>
      </c>
      <c r="BE114" s="231">
        <f t="shared" si="94"/>
        <v>0</v>
      </c>
      <c r="BF114" s="231">
        <f t="shared" si="94"/>
        <v>0</v>
      </c>
      <c r="BG114" s="231">
        <f t="shared" si="94"/>
        <v>0</v>
      </c>
      <c r="BI114" s="295">
        <f>SUM(T114:BG114)</f>
        <v>0</v>
      </c>
      <c r="BK114" s="103"/>
    </row>
    <row r="115" spans="2:63">
      <c r="C115" s="99">
        <f>RR!C24</f>
        <v>2</v>
      </c>
      <c r="D115" s="99" t="str">
        <f>RR!E24</f>
        <v>2 - 1</v>
      </c>
      <c r="F115" s="94" t="str">
        <f>INDEX(RR!K:K,MATCH(D115,RR!E:E,0))</f>
        <v>backup</v>
      </c>
      <c r="H115" s="73" t="s">
        <v>368</v>
      </c>
      <c r="J115" s="1325">
        <f>INDEX(AA!E:E,MATCH($C115,AA!C:C,0))</f>
        <v>1</v>
      </c>
      <c r="K115" s="1325">
        <f>INDEX(TA!$G:$G,MATCH($D115,TA!$D:$D,0))</f>
        <v>1</v>
      </c>
      <c r="M115" s="1325">
        <f>INDEX(TA!$DL$15:$DL$17,MATCH($D115,TA!$D$15:$D$17,0))</f>
        <v>0</v>
      </c>
      <c r="T115" s="231">
        <f t="shared" ref="T115:BG115" si="95">-IFERROR($M115*T47/$BK47,0)</f>
        <v>0</v>
      </c>
      <c r="U115" s="231">
        <f t="shared" si="95"/>
        <v>0</v>
      </c>
      <c r="V115" s="231">
        <f t="shared" si="95"/>
        <v>0</v>
      </c>
      <c r="W115" s="231">
        <f t="shared" si="95"/>
        <v>0</v>
      </c>
      <c r="X115" s="231">
        <f t="shared" si="95"/>
        <v>0</v>
      </c>
      <c r="Y115" s="231">
        <f t="shared" si="95"/>
        <v>0</v>
      </c>
      <c r="Z115" s="231">
        <f t="shared" si="95"/>
        <v>0</v>
      </c>
      <c r="AA115" s="231">
        <f t="shared" si="95"/>
        <v>0</v>
      </c>
      <c r="AB115" s="231">
        <f t="shared" si="95"/>
        <v>0</v>
      </c>
      <c r="AC115" s="231">
        <f t="shared" si="95"/>
        <v>0</v>
      </c>
      <c r="AD115" s="231">
        <f t="shared" si="95"/>
        <v>0</v>
      </c>
      <c r="AE115" s="231">
        <f t="shared" si="95"/>
        <v>0</v>
      </c>
      <c r="AF115" s="231">
        <f t="shared" si="95"/>
        <v>0</v>
      </c>
      <c r="AG115" s="231">
        <f t="shared" si="95"/>
        <v>0</v>
      </c>
      <c r="AH115" s="231">
        <f t="shared" si="95"/>
        <v>0</v>
      </c>
      <c r="AI115" s="231">
        <f t="shared" si="95"/>
        <v>0</v>
      </c>
      <c r="AJ115" s="231">
        <f t="shared" si="95"/>
        <v>0</v>
      </c>
      <c r="AK115" s="231">
        <f t="shared" si="95"/>
        <v>0</v>
      </c>
      <c r="AL115" s="231">
        <f t="shared" si="95"/>
        <v>0</v>
      </c>
      <c r="AM115" s="231">
        <f t="shared" si="95"/>
        <v>0</v>
      </c>
      <c r="AN115" s="231">
        <f t="shared" si="95"/>
        <v>0</v>
      </c>
      <c r="AO115" s="231">
        <f t="shared" si="95"/>
        <v>0</v>
      </c>
      <c r="AP115" s="231">
        <f t="shared" si="95"/>
        <v>0</v>
      </c>
      <c r="AQ115" s="231">
        <f t="shared" si="95"/>
        <v>0</v>
      </c>
      <c r="AR115" s="231">
        <f t="shared" si="95"/>
        <v>0</v>
      </c>
      <c r="AS115" s="231">
        <f t="shared" si="95"/>
        <v>0</v>
      </c>
      <c r="AT115" s="231">
        <f t="shared" si="95"/>
        <v>0</v>
      </c>
      <c r="AU115" s="231">
        <f t="shared" si="95"/>
        <v>0</v>
      </c>
      <c r="AV115" s="231">
        <f t="shared" si="95"/>
        <v>0</v>
      </c>
      <c r="AW115" s="231">
        <f t="shared" si="95"/>
        <v>0</v>
      </c>
      <c r="AX115" s="231">
        <f t="shared" si="95"/>
        <v>0</v>
      </c>
      <c r="AY115" s="231">
        <f t="shared" si="95"/>
        <v>0</v>
      </c>
      <c r="AZ115" s="231">
        <f t="shared" si="95"/>
        <v>0</v>
      </c>
      <c r="BA115" s="231">
        <f t="shared" si="95"/>
        <v>0</v>
      </c>
      <c r="BB115" s="231">
        <f t="shared" si="95"/>
        <v>0</v>
      </c>
      <c r="BC115" s="231">
        <f t="shared" si="95"/>
        <v>0</v>
      </c>
      <c r="BD115" s="231">
        <f t="shared" si="95"/>
        <v>0</v>
      </c>
      <c r="BE115" s="231">
        <f t="shared" si="95"/>
        <v>0</v>
      </c>
      <c r="BF115" s="231">
        <f t="shared" si="95"/>
        <v>0</v>
      </c>
      <c r="BG115" s="231">
        <f t="shared" si="95"/>
        <v>0</v>
      </c>
      <c r="BI115" s="296">
        <f t="shared" ref="BI115" si="96">SUM(T115:BG115)</f>
        <v>0</v>
      </c>
      <c r="BK115" s="103"/>
    </row>
    <row r="116" spans="2:63">
      <c r="C116" s="99">
        <f>RR!C25</f>
        <v>3</v>
      </c>
      <c r="D116" s="99" t="str">
        <f>RR!E25</f>
        <v>3 - 1</v>
      </c>
      <c r="F116" s="94" t="str">
        <f>INDEX(RR!K:K,MATCH(D116,RR!E:E,0))</f>
        <v>backup</v>
      </c>
      <c r="H116" s="73" t="s">
        <v>368</v>
      </c>
      <c r="J116" s="1325">
        <f>INDEX(AA!E:E,MATCH($C116,AA!C:C,0))</f>
        <v>1</v>
      </c>
      <c r="K116" s="1325">
        <f>INDEX(TA!$G:$G,MATCH($D116,TA!$D:$D,0))</f>
        <v>1</v>
      </c>
      <c r="M116" s="1325">
        <f>INDEX(TA!$DL$15:$DL$17,MATCH($D116,TA!$D$15:$D$17,0))</f>
        <v>0</v>
      </c>
      <c r="T116" s="231">
        <f t="shared" ref="T116:BG116" si="97">-IFERROR($M116*T48/$BK48,0)</f>
        <v>0</v>
      </c>
      <c r="U116" s="231">
        <f t="shared" si="97"/>
        <v>0</v>
      </c>
      <c r="V116" s="231">
        <f t="shared" si="97"/>
        <v>0</v>
      </c>
      <c r="W116" s="231">
        <f t="shared" si="97"/>
        <v>0</v>
      </c>
      <c r="X116" s="231">
        <f t="shared" si="97"/>
        <v>0</v>
      </c>
      <c r="Y116" s="231">
        <f t="shared" si="97"/>
        <v>0</v>
      </c>
      <c r="Z116" s="231">
        <f t="shared" si="97"/>
        <v>0</v>
      </c>
      <c r="AA116" s="231">
        <f t="shared" si="97"/>
        <v>0</v>
      </c>
      <c r="AB116" s="231">
        <f t="shared" si="97"/>
        <v>0</v>
      </c>
      <c r="AC116" s="231">
        <f t="shared" si="97"/>
        <v>0</v>
      </c>
      <c r="AD116" s="231">
        <f t="shared" si="97"/>
        <v>0</v>
      </c>
      <c r="AE116" s="231">
        <f t="shared" si="97"/>
        <v>0</v>
      </c>
      <c r="AF116" s="231">
        <f t="shared" si="97"/>
        <v>0</v>
      </c>
      <c r="AG116" s="231">
        <f t="shared" si="97"/>
        <v>0</v>
      </c>
      <c r="AH116" s="231">
        <f t="shared" si="97"/>
        <v>0</v>
      </c>
      <c r="AI116" s="231">
        <f t="shared" si="97"/>
        <v>0</v>
      </c>
      <c r="AJ116" s="231">
        <f t="shared" si="97"/>
        <v>0</v>
      </c>
      <c r="AK116" s="231">
        <f t="shared" si="97"/>
        <v>0</v>
      </c>
      <c r="AL116" s="231">
        <f t="shared" si="97"/>
        <v>0</v>
      </c>
      <c r="AM116" s="231">
        <f t="shared" si="97"/>
        <v>0</v>
      </c>
      <c r="AN116" s="231">
        <f t="shared" si="97"/>
        <v>0</v>
      </c>
      <c r="AO116" s="231">
        <f t="shared" si="97"/>
        <v>0</v>
      </c>
      <c r="AP116" s="231">
        <f t="shared" si="97"/>
        <v>0</v>
      </c>
      <c r="AQ116" s="231">
        <f t="shared" si="97"/>
        <v>0</v>
      </c>
      <c r="AR116" s="231">
        <f t="shared" si="97"/>
        <v>0</v>
      </c>
      <c r="AS116" s="231">
        <f t="shared" si="97"/>
        <v>0</v>
      </c>
      <c r="AT116" s="231">
        <f t="shared" si="97"/>
        <v>0</v>
      </c>
      <c r="AU116" s="231">
        <f t="shared" si="97"/>
        <v>0</v>
      </c>
      <c r="AV116" s="231">
        <f t="shared" si="97"/>
        <v>0</v>
      </c>
      <c r="AW116" s="231">
        <f t="shared" si="97"/>
        <v>0</v>
      </c>
      <c r="AX116" s="231">
        <f t="shared" si="97"/>
        <v>0</v>
      </c>
      <c r="AY116" s="231">
        <f t="shared" si="97"/>
        <v>0</v>
      </c>
      <c r="AZ116" s="231">
        <f t="shared" si="97"/>
        <v>0</v>
      </c>
      <c r="BA116" s="231">
        <f t="shared" si="97"/>
        <v>0</v>
      </c>
      <c r="BB116" s="231">
        <f t="shared" si="97"/>
        <v>0</v>
      </c>
      <c r="BC116" s="231">
        <f t="shared" si="97"/>
        <v>0</v>
      </c>
      <c r="BD116" s="231">
        <f t="shared" si="97"/>
        <v>0</v>
      </c>
      <c r="BE116" s="231">
        <f t="shared" si="97"/>
        <v>0</v>
      </c>
      <c r="BF116" s="231">
        <f t="shared" si="97"/>
        <v>0</v>
      </c>
      <c r="BG116" s="231">
        <f t="shared" si="97"/>
        <v>0</v>
      </c>
      <c r="BI116" s="296">
        <f t="shared" ref="BI116" si="98">SUM(T116:BG116)</f>
        <v>0</v>
      </c>
      <c r="BK116" s="103"/>
    </row>
    <row r="117" spans="2:63">
      <c r="C117" s="269"/>
      <c r="D117" s="269"/>
      <c r="F117" s="269"/>
      <c r="H117" s="269"/>
      <c r="J117" s="269"/>
      <c r="K117" s="269"/>
      <c r="M117" s="269"/>
      <c r="BI117" s="269"/>
      <c r="BK117" s="269"/>
    </row>
    <row r="119" spans="2:63" s="90" customFormat="1">
      <c r="B119" s="91">
        <f ca="1">MAX(A$1:$B118)+1</f>
        <v>14</v>
      </c>
      <c r="C119" s="92" t="s">
        <v>394</v>
      </c>
    </row>
    <row r="121" spans="2:63" ht="30">
      <c r="C121" s="96" t="s">
        <v>4</v>
      </c>
      <c r="D121" s="97" t="s">
        <v>148</v>
      </c>
      <c r="E121" s="95"/>
      <c r="F121" s="97" t="s">
        <v>149</v>
      </c>
      <c r="G121" s="95"/>
      <c r="H121" s="97" t="s">
        <v>150</v>
      </c>
      <c r="J121" s="97" t="s">
        <v>272</v>
      </c>
      <c r="K121" s="97" t="s">
        <v>273</v>
      </c>
      <c r="M121" s="101" t="s">
        <v>369</v>
      </c>
      <c r="N121" s="97" t="s">
        <v>395</v>
      </c>
      <c r="O121" s="97" t="s">
        <v>396</v>
      </c>
      <c r="BI121" s="239" t="s">
        <v>152</v>
      </c>
      <c r="BK121" s="102"/>
    </row>
    <row r="122" spans="2:63">
      <c r="C122" s="98">
        <f>RR!C23</f>
        <v>1</v>
      </c>
      <c r="D122" s="98" t="str">
        <f>RR!E23</f>
        <v>1 - 1</v>
      </c>
      <c r="F122" s="93" t="str">
        <f>INDEX(RR!K:K,MATCH(D122,RR!E:E,0))</f>
        <v>backup</v>
      </c>
      <c r="H122" s="72" t="s">
        <v>393</v>
      </c>
      <c r="J122" s="1324">
        <f>INDEX(AA!E:E,MATCH($C122,AA!C:C,0))</f>
        <v>1</v>
      </c>
      <c r="K122" s="1324">
        <f>INDEX(TA!$G:$G,MATCH($D122,TA!$D:$D,0))</f>
        <v>1</v>
      </c>
      <c r="M122" s="1324">
        <f>IF(INDEX(TA!$BP$15:$BP$17,MATCH($D122,TA!$D$15:$D$17,0))="renewal",INDEX(TA!$BT$15:$BT$17,MATCH($D122,TA!$D$15:$D$17,0)),0)</f>
        <v>0</v>
      </c>
      <c r="N122" s="1324">
        <f>INDEX(TA!$BW$15:$BW$17,MATCH($D122,TA!$D$15:$D$17,0))</f>
        <v>0</v>
      </c>
      <c r="O122" s="1324">
        <f>INDEX(TA!$BZ$15:$BZ$17,MATCH($D122,TA!$D$15:$D$17,0))</f>
        <v>0</v>
      </c>
      <c r="T122" s="231">
        <f>-IFERROR($M122/$O122*(T$5&gt;$N122)*(T$5&lt;=$N122+$O122),0)</f>
        <v>0</v>
      </c>
      <c r="U122" s="231">
        <f t="shared" ref="U122:BG123" si="99">-IFERROR($M122/$O122*(U$5&gt;$N122)*(U$5&lt;=$N122+$O122),0)</f>
        <v>0</v>
      </c>
      <c r="V122" s="231">
        <f t="shared" si="99"/>
        <v>0</v>
      </c>
      <c r="W122" s="231">
        <f t="shared" si="99"/>
        <v>0</v>
      </c>
      <c r="X122" s="231">
        <f t="shared" si="99"/>
        <v>0</v>
      </c>
      <c r="Y122" s="231">
        <f t="shared" si="99"/>
        <v>0</v>
      </c>
      <c r="Z122" s="231">
        <f t="shared" si="99"/>
        <v>0</v>
      </c>
      <c r="AA122" s="231">
        <f t="shared" si="99"/>
        <v>0</v>
      </c>
      <c r="AB122" s="231">
        <f t="shared" si="99"/>
        <v>0</v>
      </c>
      <c r="AC122" s="231">
        <f t="shared" si="99"/>
        <v>0</v>
      </c>
      <c r="AD122" s="231">
        <f t="shared" si="99"/>
        <v>0</v>
      </c>
      <c r="AE122" s="231">
        <f t="shared" si="99"/>
        <v>0</v>
      </c>
      <c r="AF122" s="231">
        <f t="shared" si="99"/>
        <v>0</v>
      </c>
      <c r="AG122" s="231">
        <f t="shared" si="99"/>
        <v>0</v>
      </c>
      <c r="AH122" s="231">
        <f t="shared" si="99"/>
        <v>0</v>
      </c>
      <c r="AI122" s="231">
        <f t="shared" si="99"/>
        <v>0</v>
      </c>
      <c r="AJ122" s="231">
        <f t="shared" si="99"/>
        <v>0</v>
      </c>
      <c r="AK122" s="231">
        <f t="shared" si="99"/>
        <v>0</v>
      </c>
      <c r="AL122" s="231">
        <f t="shared" si="99"/>
        <v>0</v>
      </c>
      <c r="AM122" s="231">
        <f t="shared" si="99"/>
        <v>0</v>
      </c>
      <c r="AN122" s="231">
        <f t="shared" si="99"/>
        <v>0</v>
      </c>
      <c r="AO122" s="231">
        <f t="shared" si="99"/>
        <v>0</v>
      </c>
      <c r="AP122" s="231">
        <f t="shared" si="99"/>
        <v>0</v>
      </c>
      <c r="AQ122" s="231">
        <f t="shared" si="99"/>
        <v>0</v>
      </c>
      <c r="AR122" s="231">
        <f t="shared" si="99"/>
        <v>0</v>
      </c>
      <c r="AS122" s="231">
        <f t="shared" si="99"/>
        <v>0</v>
      </c>
      <c r="AT122" s="231">
        <f t="shared" si="99"/>
        <v>0</v>
      </c>
      <c r="AU122" s="231">
        <f t="shared" si="99"/>
        <v>0</v>
      </c>
      <c r="AV122" s="231">
        <f t="shared" si="99"/>
        <v>0</v>
      </c>
      <c r="AW122" s="231">
        <f t="shared" si="99"/>
        <v>0</v>
      </c>
      <c r="AX122" s="231">
        <f t="shared" si="99"/>
        <v>0</v>
      </c>
      <c r="AY122" s="231">
        <f t="shared" si="99"/>
        <v>0</v>
      </c>
      <c r="AZ122" s="231">
        <f t="shared" si="99"/>
        <v>0</v>
      </c>
      <c r="BA122" s="231">
        <f t="shared" si="99"/>
        <v>0</v>
      </c>
      <c r="BB122" s="231">
        <f t="shared" si="99"/>
        <v>0</v>
      </c>
      <c r="BC122" s="231">
        <f t="shared" si="99"/>
        <v>0</v>
      </c>
      <c r="BD122" s="231">
        <f t="shared" si="99"/>
        <v>0</v>
      </c>
      <c r="BE122" s="231">
        <f t="shared" si="99"/>
        <v>0</v>
      </c>
      <c r="BF122" s="231">
        <f t="shared" si="99"/>
        <v>0</v>
      </c>
      <c r="BG122" s="231">
        <f t="shared" si="99"/>
        <v>0</v>
      </c>
      <c r="BI122" s="295">
        <f>SUM(T122:BG122)</f>
        <v>0</v>
      </c>
      <c r="BK122" s="103"/>
    </row>
    <row r="123" spans="2:63">
      <c r="C123" s="99">
        <f>RR!C24</f>
        <v>2</v>
      </c>
      <c r="D123" s="99" t="str">
        <f>RR!E24</f>
        <v>2 - 1</v>
      </c>
      <c r="F123" s="94" t="str">
        <f>INDEX(RR!K:K,MATCH(D123,RR!E:E,0))</f>
        <v>backup</v>
      </c>
      <c r="H123" s="73" t="s">
        <v>393</v>
      </c>
      <c r="J123" s="1325">
        <f>INDEX(AA!E:E,MATCH($C123,AA!C:C,0))</f>
        <v>1</v>
      </c>
      <c r="K123" s="1325">
        <f>INDEX(TA!$G:$G,MATCH($D123,TA!$D:$D,0))</f>
        <v>1</v>
      </c>
      <c r="M123" s="1325">
        <f>IF(INDEX(TA!$BP$15:$BP$17,MATCH($D123,TA!$D$15:$D$17,0))="renewal",INDEX(TA!$BT$15:$BT$17,MATCH($D123,TA!$D$15:$D$17,0)),0)</f>
        <v>0</v>
      </c>
      <c r="N123" s="1325">
        <f>INDEX(TA!$BW$15:$BW$17,MATCH($D123,TA!$D$15:$D$17,0))</f>
        <v>0</v>
      </c>
      <c r="O123" s="1325">
        <f>INDEX(TA!$BZ$15:$BZ$17,MATCH($D123,TA!$D$15:$D$17,0))</f>
        <v>0</v>
      </c>
      <c r="T123" s="231">
        <f t="shared" ref="T123:AI124" si="100">-IFERROR($M123/$O123*(T$5&gt;$N123)*(T$5&lt;=$N123+$O123),0)</f>
        <v>0</v>
      </c>
      <c r="U123" s="231">
        <f t="shared" si="100"/>
        <v>0</v>
      </c>
      <c r="V123" s="231">
        <f t="shared" si="100"/>
        <v>0</v>
      </c>
      <c r="W123" s="231">
        <f t="shared" si="100"/>
        <v>0</v>
      </c>
      <c r="X123" s="231">
        <f t="shared" si="100"/>
        <v>0</v>
      </c>
      <c r="Y123" s="231">
        <f t="shared" si="100"/>
        <v>0</v>
      </c>
      <c r="Z123" s="231">
        <f t="shared" si="100"/>
        <v>0</v>
      </c>
      <c r="AA123" s="231">
        <f t="shared" si="100"/>
        <v>0</v>
      </c>
      <c r="AB123" s="231">
        <f t="shared" si="100"/>
        <v>0</v>
      </c>
      <c r="AC123" s="231">
        <f t="shared" si="100"/>
        <v>0</v>
      </c>
      <c r="AD123" s="231">
        <f t="shared" si="100"/>
        <v>0</v>
      </c>
      <c r="AE123" s="231">
        <f t="shared" si="100"/>
        <v>0</v>
      </c>
      <c r="AF123" s="231">
        <f t="shared" si="100"/>
        <v>0</v>
      </c>
      <c r="AG123" s="231">
        <f t="shared" si="100"/>
        <v>0</v>
      </c>
      <c r="AH123" s="231">
        <f t="shared" si="100"/>
        <v>0</v>
      </c>
      <c r="AI123" s="231">
        <f t="shared" si="100"/>
        <v>0</v>
      </c>
      <c r="AJ123" s="231">
        <f t="shared" si="99"/>
        <v>0</v>
      </c>
      <c r="AK123" s="231">
        <f t="shared" si="99"/>
        <v>0</v>
      </c>
      <c r="AL123" s="231">
        <f t="shared" si="99"/>
        <v>0</v>
      </c>
      <c r="AM123" s="231">
        <f t="shared" si="99"/>
        <v>0</v>
      </c>
      <c r="AN123" s="231">
        <f t="shared" si="99"/>
        <v>0</v>
      </c>
      <c r="AO123" s="231">
        <f t="shared" si="99"/>
        <v>0</v>
      </c>
      <c r="AP123" s="231">
        <f t="shared" si="99"/>
        <v>0</v>
      </c>
      <c r="AQ123" s="231">
        <f t="shared" si="99"/>
        <v>0</v>
      </c>
      <c r="AR123" s="231">
        <f t="shared" si="99"/>
        <v>0</v>
      </c>
      <c r="AS123" s="231">
        <f t="shared" si="99"/>
        <v>0</v>
      </c>
      <c r="AT123" s="231">
        <f t="shared" si="99"/>
        <v>0</v>
      </c>
      <c r="AU123" s="231">
        <f t="shared" si="99"/>
        <v>0</v>
      </c>
      <c r="AV123" s="231">
        <f t="shared" si="99"/>
        <v>0</v>
      </c>
      <c r="AW123" s="231">
        <f t="shared" si="99"/>
        <v>0</v>
      </c>
      <c r="AX123" s="231">
        <f t="shared" si="99"/>
        <v>0</v>
      </c>
      <c r="AY123" s="231">
        <f t="shared" si="99"/>
        <v>0</v>
      </c>
      <c r="AZ123" s="231">
        <f t="shared" si="99"/>
        <v>0</v>
      </c>
      <c r="BA123" s="231">
        <f t="shared" si="99"/>
        <v>0</v>
      </c>
      <c r="BB123" s="231">
        <f t="shared" si="99"/>
        <v>0</v>
      </c>
      <c r="BC123" s="231">
        <f t="shared" si="99"/>
        <v>0</v>
      </c>
      <c r="BD123" s="231">
        <f t="shared" si="99"/>
        <v>0</v>
      </c>
      <c r="BE123" s="231">
        <f t="shared" si="99"/>
        <v>0</v>
      </c>
      <c r="BF123" s="231">
        <f t="shared" si="99"/>
        <v>0</v>
      </c>
      <c r="BG123" s="231">
        <f t="shared" si="99"/>
        <v>0</v>
      </c>
      <c r="BI123" s="296">
        <f t="shared" ref="BI123" si="101">SUM(T123:BG123)</f>
        <v>0</v>
      </c>
      <c r="BK123" s="103"/>
    </row>
    <row r="124" spans="2:63">
      <c r="C124" s="99">
        <f>RR!C25</f>
        <v>3</v>
      </c>
      <c r="D124" s="99" t="str">
        <f>RR!E25</f>
        <v>3 - 1</v>
      </c>
      <c r="F124" s="94" t="str">
        <f>INDEX(RR!K:K,MATCH(D124,RR!E:E,0))</f>
        <v>backup</v>
      </c>
      <c r="H124" s="73" t="s">
        <v>393</v>
      </c>
      <c r="J124" s="1325">
        <f>INDEX(AA!E:E,MATCH($C124,AA!C:C,0))</f>
        <v>1</v>
      </c>
      <c r="K124" s="1325">
        <f>INDEX(TA!$G:$G,MATCH($D124,TA!$D:$D,0))</f>
        <v>1</v>
      </c>
      <c r="M124" s="1325">
        <f>IF(INDEX(TA!$BP$15:$BP$17,MATCH($D124,TA!$D$15:$D$17,0))="renewal",INDEX(TA!$BT$15:$BT$17,MATCH($D124,TA!$D$15:$D$17,0)),0)</f>
        <v>0</v>
      </c>
      <c r="N124" s="1325">
        <f>INDEX(TA!$BW$15:$BW$17,MATCH($D124,TA!$D$15:$D$17,0))</f>
        <v>0</v>
      </c>
      <c r="O124" s="1325">
        <f>INDEX(TA!$BZ$15:$BZ$17,MATCH($D124,TA!$D$15:$D$17,0))</f>
        <v>0</v>
      </c>
      <c r="T124" s="231">
        <f t="shared" si="100"/>
        <v>0</v>
      </c>
      <c r="U124" s="231">
        <f t="shared" si="100"/>
        <v>0</v>
      </c>
      <c r="V124" s="231">
        <f t="shared" si="100"/>
        <v>0</v>
      </c>
      <c r="W124" s="231">
        <f t="shared" si="100"/>
        <v>0</v>
      </c>
      <c r="X124" s="231">
        <f t="shared" si="100"/>
        <v>0</v>
      </c>
      <c r="Y124" s="231">
        <f t="shared" si="100"/>
        <v>0</v>
      </c>
      <c r="Z124" s="231">
        <f t="shared" si="100"/>
        <v>0</v>
      </c>
      <c r="AA124" s="231">
        <f t="shared" si="100"/>
        <v>0</v>
      </c>
      <c r="AB124" s="231">
        <f t="shared" si="100"/>
        <v>0</v>
      </c>
      <c r="AC124" s="231">
        <f t="shared" si="100"/>
        <v>0</v>
      </c>
      <c r="AD124" s="231">
        <f t="shared" si="100"/>
        <v>0</v>
      </c>
      <c r="AE124" s="231">
        <f t="shared" si="100"/>
        <v>0</v>
      </c>
      <c r="AF124" s="231">
        <f t="shared" si="100"/>
        <v>0</v>
      </c>
      <c r="AG124" s="231">
        <f t="shared" si="100"/>
        <v>0</v>
      </c>
      <c r="AH124" s="231">
        <f t="shared" si="100"/>
        <v>0</v>
      </c>
      <c r="AI124" s="231">
        <f t="shared" si="100"/>
        <v>0</v>
      </c>
      <c r="AJ124" s="231">
        <f t="shared" ref="AJ124:AY124" si="102">-IFERROR($M124/$O124*(AJ$5&gt;$N124)*(AJ$5&lt;=$N124+$O124),0)</f>
        <v>0</v>
      </c>
      <c r="AK124" s="231">
        <f t="shared" si="102"/>
        <v>0</v>
      </c>
      <c r="AL124" s="231">
        <f t="shared" si="102"/>
        <v>0</v>
      </c>
      <c r="AM124" s="231">
        <f t="shared" si="102"/>
        <v>0</v>
      </c>
      <c r="AN124" s="231">
        <f t="shared" si="102"/>
        <v>0</v>
      </c>
      <c r="AO124" s="231">
        <f t="shared" si="102"/>
        <v>0</v>
      </c>
      <c r="AP124" s="231">
        <f t="shared" si="102"/>
        <v>0</v>
      </c>
      <c r="AQ124" s="231">
        <f t="shared" si="102"/>
        <v>0</v>
      </c>
      <c r="AR124" s="231">
        <f t="shared" si="102"/>
        <v>0</v>
      </c>
      <c r="AS124" s="231">
        <f t="shared" si="102"/>
        <v>0</v>
      </c>
      <c r="AT124" s="231">
        <f t="shared" si="102"/>
        <v>0</v>
      </c>
      <c r="AU124" s="231">
        <f t="shared" si="102"/>
        <v>0</v>
      </c>
      <c r="AV124" s="231">
        <f t="shared" si="102"/>
        <v>0</v>
      </c>
      <c r="AW124" s="231">
        <f t="shared" si="102"/>
        <v>0</v>
      </c>
      <c r="AX124" s="231">
        <f t="shared" si="102"/>
        <v>0</v>
      </c>
      <c r="AY124" s="231">
        <f t="shared" si="102"/>
        <v>0</v>
      </c>
      <c r="AZ124" s="231">
        <f t="shared" ref="AZ124:BG124" si="103">-IFERROR($M124/$O124*(AZ$5&gt;$N124)*(AZ$5&lt;=$N124+$O124),0)</f>
        <v>0</v>
      </c>
      <c r="BA124" s="231">
        <f t="shared" si="103"/>
        <v>0</v>
      </c>
      <c r="BB124" s="231">
        <f t="shared" si="103"/>
        <v>0</v>
      </c>
      <c r="BC124" s="231">
        <f t="shared" si="103"/>
        <v>0</v>
      </c>
      <c r="BD124" s="231">
        <f t="shared" si="103"/>
        <v>0</v>
      </c>
      <c r="BE124" s="231">
        <f t="shared" si="103"/>
        <v>0</v>
      </c>
      <c r="BF124" s="231">
        <f t="shared" si="103"/>
        <v>0</v>
      </c>
      <c r="BG124" s="231">
        <f t="shared" si="103"/>
        <v>0</v>
      </c>
      <c r="BI124" s="296">
        <f t="shared" ref="BI124" si="104">SUM(T124:BG124)</f>
        <v>0</v>
      </c>
      <c r="BK124" s="103"/>
    </row>
    <row r="125" spans="2:63">
      <c r="C125" s="269"/>
      <c r="D125" s="269"/>
      <c r="F125" s="269"/>
      <c r="H125" s="269"/>
      <c r="J125" s="269"/>
      <c r="K125" s="269"/>
      <c r="M125" s="269"/>
      <c r="N125" s="269"/>
      <c r="O125" s="269"/>
      <c r="BI125" s="269"/>
      <c r="BK125" s="269"/>
    </row>
    <row r="128" spans="2:63" s="90" customFormat="1">
      <c r="B128" s="91">
        <f ca="1">MAX(A$1:$B127)+1</f>
        <v>15</v>
      </c>
      <c r="C128" s="92" t="s">
        <v>373</v>
      </c>
    </row>
    <row r="130" spans="2:63">
      <c r="M130" s="226" t="s">
        <v>374</v>
      </c>
      <c r="N130" s="225"/>
    </row>
    <row r="131" spans="2:63" ht="30">
      <c r="C131" s="96" t="s">
        <v>4</v>
      </c>
      <c r="D131" s="97" t="s">
        <v>148</v>
      </c>
      <c r="E131" s="95"/>
      <c r="F131" s="97" t="s">
        <v>149</v>
      </c>
      <c r="G131" s="95"/>
      <c r="H131" s="97" t="s">
        <v>150</v>
      </c>
      <c r="J131" s="97" t="s">
        <v>272</v>
      </c>
      <c r="K131" s="97" t="s">
        <v>273</v>
      </c>
      <c r="M131" s="101" t="s">
        <v>375</v>
      </c>
      <c r="N131" s="97" t="s">
        <v>376</v>
      </c>
      <c r="BI131" s="239" t="s">
        <v>152</v>
      </c>
      <c r="BK131" s="102"/>
    </row>
    <row r="132" spans="2:63">
      <c r="C132" s="98">
        <f>RR!C23</f>
        <v>1</v>
      </c>
      <c r="D132" s="98" t="str">
        <f>RR!E23</f>
        <v>1 - 1</v>
      </c>
      <c r="F132" s="93" t="str">
        <f>INDEX(RR!K:K,MATCH(D132,RR!E:E,0))</f>
        <v>backup</v>
      </c>
      <c r="H132" s="72" t="s">
        <v>379</v>
      </c>
      <c r="J132" s="1324">
        <f>INDEX(AA!E:E,MATCH($C132,AA!C:C,0))</f>
        <v>1</v>
      </c>
      <c r="K132" s="1324">
        <f>INDEX(TA!$G:$G,MATCH($D132,TA!$D:$D,0))</f>
        <v>1</v>
      </c>
      <c r="M132" s="289">
        <f>INDEX(TA!$CK$15:$CK$17,MATCH($D132,TA!$D$15:$D$17,0))</f>
        <v>50771</v>
      </c>
      <c r="N132" s="1324">
        <f>INDEX(TA!$DM$15:$DM$17,MATCH($D132,TA!$D$15:$D$17,0))</f>
        <v>0</v>
      </c>
      <c r="T132" s="231">
        <f>-$N132*($M132&lt;=T$4)*($M132&gt;=T$3)</f>
        <v>0</v>
      </c>
      <c r="U132" s="231">
        <f t="shared" ref="U132:BG133" si="105">-$N132*($M132&lt;=U$4)*($M132&gt;=U$3)</f>
        <v>0</v>
      </c>
      <c r="V132" s="231">
        <f t="shared" si="105"/>
        <v>0</v>
      </c>
      <c r="W132" s="231">
        <f t="shared" si="105"/>
        <v>0</v>
      </c>
      <c r="X132" s="231">
        <f t="shared" si="105"/>
        <v>0</v>
      </c>
      <c r="Y132" s="231">
        <f t="shared" si="105"/>
        <v>0</v>
      </c>
      <c r="Z132" s="231">
        <f t="shared" si="105"/>
        <v>0</v>
      </c>
      <c r="AA132" s="231">
        <f t="shared" si="105"/>
        <v>0</v>
      </c>
      <c r="AB132" s="231">
        <f t="shared" si="105"/>
        <v>0</v>
      </c>
      <c r="AC132" s="231">
        <f t="shared" si="105"/>
        <v>0</v>
      </c>
      <c r="AD132" s="231">
        <f t="shared" si="105"/>
        <v>0</v>
      </c>
      <c r="AE132" s="231">
        <f t="shared" si="105"/>
        <v>0</v>
      </c>
      <c r="AF132" s="231">
        <f t="shared" si="105"/>
        <v>0</v>
      </c>
      <c r="AG132" s="231">
        <f t="shared" si="105"/>
        <v>0</v>
      </c>
      <c r="AH132" s="231">
        <f t="shared" si="105"/>
        <v>0</v>
      </c>
      <c r="AI132" s="231">
        <f t="shared" si="105"/>
        <v>0</v>
      </c>
      <c r="AJ132" s="231">
        <f t="shared" si="105"/>
        <v>0</v>
      </c>
      <c r="AK132" s="231">
        <f t="shared" si="105"/>
        <v>0</v>
      </c>
      <c r="AL132" s="231">
        <f t="shared" si="105"/>
        <v>0</v>
      </c>
      <c r="AM132" s="231">
        <f t="shared" si="105"/>
        <v>0</v>
      </c>
      <c r="AN132" s="231">
        <f t="shared" si="105"/>
        <v>0</v>
      </c>
      <c r="AO132" s="231">
        <f t="shared" si="105"/>
        <v>0</v>
      </c>
      <c r="AP132" s="231">
        <f t="shared" si="105"/>
        <v>0</v>
      </c>
      <c r="AQ132" s="231">
        <f t="shared" si="105"/>
        <v>0</v>
      </c>
      <c r="AR132" s="231">
        <f t="shared" si="105"/>
        <v>0</v>
      </c>
      <c r="AS132" s="231">
        <f t="shared" si="105"/>
        <v>0</v>
      </c>
      <c r="AT132" s="231">
        <f t="shared" si="105"/>
        <v>0</v>
      </c>
      <c r="AU132" s="231">
        <f t="shared" si="105"/>
        <v>0</v>
      </c>
      <c r="AV132" s="231">
        <f t="shared" si="105"/>
        <v>0</v>
      </c>
      <c r="AW132" s="231">
        <f t="shared" si="105"/>
        <v>0</v>
      </c>
      <c r="AX132" s="231">
        <f t="shared" si="105"/>
        <v>0</v>
      </c>
      <c r="AY132" s="231">
        <f t="shared" si="105"/>
        <v>0</v>
      </c>
      <c r="AZ132" s="231">
        <f t="shared" si="105"/>
        <v>0</v>
      </c>
      <c r="BA132" s="231">
        <f t="shared" si="105"/>
        <v>0</v>
      </c>
      <c r="BB132" s="231">
        <f t="shared" si="105"/>
        <v>0</v>
      </c>
      <c r="BC132" s="231">
        <f t="shared" si="105"/>
        <v>0</v>
      </c>
      <c r="BD132" s="231">
        <f t="shared" si="105"/>
        <v>0</v>
      </c>
      <c r="BE132" s="231">
        <f t="shared" si="105"/>
        <v>0</v>
      </c>
      <c r="BF132" s="231">
        <f t="shared" si="105"/>
        <v>0</v>
      </c>
      <c r="BG132" s="231">
        <f t="shared" si="105"/>
        <v>0</v>
      </c>
      <c r="BI132" s="295">
        <f>SUM(T132:BG132)</f>
        <v>0</v>
      </c>
      <c r="BK132" s="103"/>
    </row>
    <row r="133" spans="2:63">
      <c r="C133" s="99">
        <f>RR!C24</f>
        <v>2</v>
      </c>
      <c r="D133" s="99" t="str">
        <f>RR!E24</f>
        <v>2 - 1</v>
      </c>
      <c r="F133" s="94" t="str">
        <f>INDEX(RR!K:K,MATCH(D133,RR!E:E,0))</f>
        <v>backup</v>
      </c>
      <c r="H133" s="73" t="s">
        <v>379</v>
      </c>
      <c r="J133" s="1325">
        <f>INDEX(AA!E:E,MATCH($C133,AA!C:C,0))</f>
        <v>1</v>
      </c>
      <c r="K133" s="1325">
        <f>INDEX(TA!$G:$G,MATCH($D133,TA!$D:$D,0))</f>
        <v>1</v>
      </c>
      <c r="M133" s="291">
        <f>INDEX(TA!$CK$15:$CK$17,MATCH($D133,TA!$D$15:$D$17,0))</f>
        <v>50771</v>
      </c>
      <c r="N133" s="1325">
        <f>INDEX(TA!$DM$15:$DM$17,MATCH($D133,TA!$D$15:$D$17,0))</f>
        <v>0</v>
      </c>
      <c r="T133" s="231">
        <f t="shared" ref="T133:AI134" si="106">-$N133*($M133&lt;=T$4)*($M133&gt;=T$3)</f>
        <v>0</v>
      </c>
      <c r="U133" s="231">
        <f t="shared" si="106"/>
        <v>0</v>
      </c>
      <c r="V133" s="231">
        <f t="shared" si="106"/>
        <v>0</v>
      </c>
      <c r="W133" s="231">
        <f t="shared" si="106"/>
        <v>0</v>
      </c>
      <c r="X133" s="231">
        <f t="shared" si="106"/>
        <v>0</v>
      </c>
      <c r="Y133" s="231">
        <f t="shared" si="106"/>
        <v>0</v>
      </c>
      <c r="Z133" s="231">
        <f t="shared" si="106"/>
        <v>0</v>
      </c>
      <c r="AA133" s="231">
        <f t="shared" si="106"/>
        <v>0</v>
      </c>
      <c r="AB133" s="231">
        <f t="shared" si="106"/>
        <v>0</v>
      </c>
      <c r="AC133" s="231">
        <f t="shared" si="106"/>
        <v>0</v>
      </c>
      <c r="AD133" s="231">
        <f t="shared" si="106"/>
        <v>0</v>
      </c>
      <c r="AE133" s="231">
        <f t="shared" si="106"/>
        <v>0</v>
      </c>
      <c r="AF133" s="231">
        <f t="shared" si="106"/>
        <v>0</v>
      </c>
      <c r="AG133" s="231">
        <f t="shared" si="106"/>
        <v>0</v>
      </c>
      <c r="AH133" s="231">
        <f t="shared" si="106"/>
        <v>0</v>
      </c>
      <c r="AI133" s="231">
        <f t="shared" si="106"/>
        <v>0</v>
      </c>
      <c r="AJ133" s="231">
        <f t="shared" si="105"/>
        <v>0</v>
      </c>
      <c r="AK133" s="231">
        <f t="shared" si="105"/>
        <v>0</v>
      </c>
      <c r="AL133" s="231">
        <f t="shared" si="105"/>
        <v>0</v>
      </c>
      <c r="AM133" s="231">
        <f t="shared" si="105"/>
        <v>0</v>
      </c>
      <c r="AN133" s="231">
        <f t="shared" si="105"/>
        <v>0</v>
      </c>
      <c r="AO133" s="231">
        <f t="shared" si="105"/>
        <v>0</v>
      </c>
      <c r="AP133" s="231">
        <f t="shared" si="105"/>
        <v>0</v>
      </c>
      <c r="AQ133" s="231">
        <f t="shared" si="105"/>
        <v>0</v>
      </c>
      <c r="AR133" s="231">
        <f t="shared" si="105"/>
        <v>0</v>
      </c>
      <c r="AS133" s="231">
        <f t="shared" si="105"/>
        <v>0</v>
      </c>
      <c r="AT133" s="231">
        <f t="shared" si="105"/>
        <v>0</v>
      </c>
      <c r="AU133" s="231">
        <f t="shared" si="105"/>
        <v>0</v>
      </c>
      <c r="AV133" s="231">
        <f t="shared" si="105"/>
        <v>0</v>
      </c>
      <c r="AW133" s="231">
        <f t="shared" si="105"/>
        <v>0</v>
      </c>
      <c r="AX133" s="231">
        <f t="shared" si="105"/>
        <v>0</v>
      </c>
      <c r="AY133" s="231">
        <f t="shared" si="105"/>
        <v>0</v>
      </c>
      <c r="AZ133" s="231">
        <f t="shared" si="105"/>
        <v>0</v>
      </c>
      <c r="BA133" s="231">
        <f t="shared" si="105"/>
        <v>0</v>
      </c>
      <c r="BB133" s="231">
        <f t="shared" si="105"/>
        <v>0</v>
      </c>
      <c r="BC133" s="231">
        <f t="shared" si="105"/>
        <v>0</v>
      </c>
      <c r="BD133" s="231">
        <f t="shared" si="105"/>
        <v>0</v>
      </c>
      <c r="BE133" s="231">
        <f t="shared" si="105"/>
        <v>0</v>
      </c>
      <c r="BF133" s="231">
        <f t="shared" si="105"/>
        <v>0</v>
      </c>
      <c r="BG133" s="231">
        <f t="shared" si="105"/>
        <v>0</v>
      </c>
      <c r="BI133" s="296">
        <f t="shared" ref="BI133" si="107">SUM(T133:BG133)</f>
        <v>0</v>
      </c>
      <c r="BK133" s="103"/>
    </row>
    <row r="134" spans="2:63">
      <c r="C134" s="99">
        <f>RR!C25</f>
        <v>3</v>
      </c>
      <c r="D134" s="99" t="str">
        <f>RR!E25</f>
        <v>3 - 1</v>
      </c>
      <c r="F134" s="94" t="str">
        <f>INDEX(RR!K:K,MATCH(D134,RR!E:E,0))</f>
        <v>backup</v>
      </c>
      <c r="H134" s="73" t="s">
        <v>379</v>
      </c>
      <c r="J134" s="1325">
        <f>INDEX(AA!E:E,MATCH($C134,AA!C:C,0))</f>
        <v>1</v>
      </c>
      <c r="K134" s="1325">
        <f>INDEX(TA!$G:$G,MATCH($D134,TA!$D:$D,0))</f>
        <v>1</v>
      </c>
      <c r="M134" s="291">
        <f>INDEX(TA!$CK$15:$CK$17,MATCH($D134,TA!$D$15:$D$17,0))</f>
        <v>50771</v>
      </c>
      <c r="N134" s="1325">
        <f>INDEX(TA!$DM$15:$DM$17,MATCH($D134,TA!$D$15:$D$17,0))</f>
        <v>0</v>
      </c>
      <c r="T134" s="231">
        <f t="shared" si="106"/>
        <v>0</v>
      </c>
      <c r="U134" s="231">
        <f t="shared" si="106"/>
        <v>0</v>
      </c>
      <c r="V134" s="231">
        <f t="shared" si="106"/>
        <v>0</v>
      </c>
      <c r="W134" s="231">
        <f t="shared" si="106"/>
        <v>0</v>
      </c>
      <c r="X134" s="231">
        <f t="shared" si="106"/>
        <v>0</v>
      </c>
      <c r="Y134" s="231">
        <f t="shared" si="106"/>
        <v>0</v>
      </c>
      <c r="Z134" s="231">
        <f t="shared" si="106"/>
        <v>0</v>
      </c>
      <c r="AA134" s="231">
        <f t="shared" si="106"/>
        <v>0</v>
      </c>
      <c r="AB134" s="231">
        <f t="shared" si="106"/>
        <v>0</v>
      </c>
      <c r="AC134" s="231">
        <f t="shared" si="106"/>
        <v>0</v>
      </c>
      <c r="AD134" s="231">
        <f t="shared" si="106"/>
        <v>0</v>
      </c>
      <c r="AE134" s="231">
        <f t="shared" si="106"/>
        <v>0</v>
      </c>
      <c r="AF134" s="231">
        <f t="shared" si="106"/>
        <v>0</v>
      </c>
      <c r="AG134" s="231">
        <f t="shared" si="106"/>
        <v>0</v>
      </c>
      <c r="AH134" s="231">
        <f t="shared" si="106"/>
        <v>0</v>
      </c>
      <c r="AI134" s="231">
        <f t="shared" si="106"/>
        <v>0</v>
      </c>
      <c r="AJ134" s="231">
        <f t="shared" ref="AJ134:AY134" si="108">-$N134*($M134&lt;=AJ$4)*($M134&gt;=AJ$3)</f>
        <v>0</v>
      </c>
      <c r="AK134" s="231">
        <f t="shared" si="108"/>
        <v>0</v>
      </c>
      <c r="AL134" s="231">
        <f t="shared" si="108"/>
        <v>0</v>
      </c>
      <c r="AM134" s="231">
        <f t="shared" si="108"/>
        <v>0</v>
      </c>
      <c r="AN134" s="231">
        <f t="shared" si="108"/>
        <v>0</v>
      </c>
      <c r="AO134" s="231">
        <f t="shared" si="108"/>
        <v>0</v>
      </c>
      <c r="AP134" s="231">
        <f t="shared" si="108"/>
        <v>0</v>
      </c>
      <c r="AQ134" s="231">
        <f t="shared" si="108"/>
        <v>0</v>
      </c>
      <c r="AR134" s="231">
        <f t="shared" si="108"/>
        <v>0</v>
      </c>
      <c r="AS134" s="231">
        <f t="shared" si="108"/>
        <v>0</v>
      </c>
      <c r="AT134" s="231">
        <f t="shared" si="108"/>
        <v>0</v>
      </c>
      <c r="AU134" s="231">
        <f t="shared" si="108"/>
        <v>0</v>
      </c>
      <c r="AV134" s="231">
        <f t="shared" si="108"/>
        <v>0</v>
      </c>
      <c r="AW134" s="231">
        <f t="shared" si="108"/>
        <v>0</v>
      </c>
      <c r="AX134" s="231">
        <f t="shared" si="108"/>
        <v>0</v>
      </c>
      <c r="AY134" s="231">
        <f t="shared" si="108"/>
        <v>0</v>
      </c>
      <c r="AZ134" s="231">
        <f t="shared" ref="AZ134:BG134" si="109">-$N134*($M134&lt;=AZ$4)*($M134&gt;=AZ$3)</f>
        <v>0</v>
      </c>
      <c r="BA134" s="231">
        <f t="shared" si="109"/>
        <v>0</v>
      </c>
      <c r="BB134" s="231">
        <f t="shared" si="109"/>
        <v>0</v>
      </c>
      <c r="BC134" s="231">
        <f t="shared" si="109"/>
        <v>0</v>
      </c>
      <c r="BD134" s="231">
        <f t="shared" si="109"/>
        <v>0</v>
      </c>
      <c r="BE134" s="231">
        <f t="shared" si="109"/>
        <v>0</v>
      </c>
      <c r="BF134" s="231">
        <f t="shared" si="109"/>
        <v>0</v>
      </c>
      <c r="BG134" s="231">
        <f t="shared" si="109"/>
        <v>0</v>
      </c>
      <c r="BI134" s="296">
        <f t="shared" ref="BI134" si="110">SUM(T134:BG134)</f>
        <v>0</v>
      </c>
      <c r="BK134" s="103"/>
    </row>
    <row r="135" spans="2:63">
      <c r="C135" s="269"/>
      <c r="D135" s="269"/>
      <c r="F135" s="269"/>
      <c r="H135" s="269"/>
      <c r="J135" s="269"/>
      <c r="K135" s="269"/>
      <c r="M135" s="269"/>
      <c r="N135" s="269"/>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c r="AO135" s="231"/>
      <c r="AP135" s="231"/>
      <c r="AQ135" s="231"/>
      <c r="AR135" s="231"/>
      <c r="AS135" s="231"/>
      <c r="AT135" s="231"/>
      <c r="AU135" s="231"/>
      <c r="AV135" s="231"/>
      <c r="AW135" s="231"/>
      <c r="AX135" s="231"/>
      <c r="AY135" s="231"/>
      <c r="AZ135" s="231"/>
      <c r="BA135" s="231"/>
      <c r="BB135" s="231"/>
      <c r="BC135" s="231"/>
      <c r="BD135" s="231"/>
      <c r="BE135" s="231"/>
      <c r="BF135" s="231"/>
      <c r="BG135" s="231"/>
      <c r="BI135" s="269"/>
      <c r="BK135" s="269"/>
    </row>
    <row r="136" spans="2:63">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c r="AO136" s="231"/>
      <c r="AP136" s="231"/>
      <c r="AQ136" s="231"/>
      <c r="AR136" s="231"/>
      <c r="AS136" s="231"/>
      <c r="AT136" s="231"/>
      <c r="AU136" s="231"/>
      <c r="AV136" s="231"/>
      <c r="AW136" s="231"/>
      <c r="AX136" s="231"/>
      <c r="AY136" s="231"/>
      <c r="AZ136" s="231"/>
      <c r="BA136" s="231"/>
      <c r="BB136" s="231"/>
      <c r="BC136" s="231"/>
      <c r="BD136" s="231"/>
      <c r="BE136" s="231"/>
      <c r="BF136" s="231"/>
      <c r="BG136" s="231"/>
    </row>
    <row r="137" spans="2:63" s="90" customFormat="1">
      <c r="B137" s="91">
        <f ca="1">MAX(A$1:$B136)+1</f>
        <v>16</v>
      </c>
      <c r="C137" s="92" t="s">
        <v>327</v>
      </c>
    </row>
    <row r="138" spans="2:63">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c r="AO138" s="231"/>
      <c r="AP138" s="231"/>
      <c r="AQ138" s="231"/>
      <c r="AR138" s="231"/>
      <c r="AS138" s="231"/>
      <c r="AT138" s="231"/>
      <c r="AU138" s="231"/>
      <c r="AV138" s="231"/>
      <c r="AW138" s="231"/>
      <c r="AX138" s="231"/>
      <c r="AY138" s="231"/>
      <c r="AZ138" s="231"/>
      <c r="BA138" s="231"/>
      <c r="BB138" s="231"/>
      <c r="BC138" s="231"/>
      <c r="BD138" s="231"/>
      <c r="BE138" s="231"/>
      <c r="BF138" s="231"/>
      <c r="BG138" s="231"/>
    </row>
    <row r="139" spans="2:63">
      <c r="F139" s="49" t="str">
        <f>H139</f>
        <v>FMCG-F</v>
      </c>
      <c r="H139" s="98" t="str">
        <f>GA!E76</f>
        <v>FMCG-F</v>
      </c>
      <c r="T139" s="231">
        <f t="shared" ref="T139:AC148" si="111">SUMIFS(T$80:T$82,$N$80:$N$82,$H139)</f>
        <v>0</v>
      </c>
      <c r="U139" s="231">
        <f t="shared" si="111"/>
        <v>0</v>
      </c>
      <c r="V139" s="231">
        <f t="shared" si="111"/>
        <v>0</v>
      </c>
      <c r="W139" s="231">
        <f t="shared" si="111"/>
        <v>0</v>
      </c>
      <c r="X139" s="231">
        <f t="shared" si="111"/>
        <v>0</v>
      </c>
      <c r="Y139" s="231">
        <f t="shared" si="111"/>
        <v>0</v>
      </c>
      <c r="Z139" s="231">
        <f t="shared" si="111"/>
        <v>0</v>
      </c>
      <c r="AA139" s="231">
        <f t="shared" si="111"/>
        <v>0</v>
      </c>
      <c r="AB139" s="231">
        <f t="shared" si="111"/>
        <v>0</v>
      </c>
      <c r="AC139" s="231">
        <f t="shared" si="111"/>
        <v>0</v>
      </c>
      <c r="AD139" s="231">
        <f t="shared" ref="AD139:AM148" si="112">SUMIFS(AD$80:AD$82,$N$80:$N$82,$H139)</f>
        <v>0</v>
      </c>
      <c r="AE139" s="231">
        <f t="shared" si="112"/>
        <v>0</v>
      </c>
      <c r="AF139" s="231">
        <f t="shared" si="112"/>
        <v>0</v>
      </c>
      <c r="AG139" s="231">
        <f t="shared" si="112"/>
        <v>0</v>
      </c>
      <c r="AH139" s="231">
        <f t="shared" si="112"/>
        <v>0</v>
      </c>
      <c r="AI139" s="231">
        <f t="shared" si="112"/>
        <v>0</v>
      </c>
      <c r="AJ139" s="231">
        <f t="shared" si="112"/>
        <v>0</v>
      </c>
      <c r="AK139" s="231">
        <f t="shared" si="112"/>
        <v>0</v>
      </c>
      <c r="AL139" s="231">
        <f t="shared" si="112"/>
        <v>0</v>
      </c>
      <c r="AM139" s="231">
        <f t="shared" si="112"/>
        <v>0</v>
      </c>
      <c r="AN139" s="231">
        <f t="shared" ref="AN139:AW148" si="113">SUMIFS(AN$80:AN$82,$N$80:$N$82,$H139)</f>
        <v>0</v>
      </c>
      <c r="AO139" s="231">
        <f t="shared" si="113"/>
        <v>0</v>
      </c>
      <c r="AP139" s="231">
        <f t="shared" si="113"/>
        <v>0</v>
      </c>
      <c r="AQ139" s="231">
        <f t="shared" si="113"/>
        <v>0</v>
      </c>
      <c r="AR139" s="231">
        <f t="shared" si="113"/>
        <v>0</v>
      </c>
      <c r="AS139" s="231">
        <f t="shared" si="113"/>
        <v>0</v>
      </c>
      <c r="AT139" s="231">
        <f t="shared" si="113"/>
        <v>0</v>
      </c>
      <c r="AU139" s="231">
        <f t="shared" si="113"/>
        <v>0</v>
      </c>
      <c r="AV139" s="231">
        <f t="shared" si="113"/>
        <v>0</v>
      </c>
      <c r="AW139" s="231">
        <f t="shared" si="113"/>
        <v>0</v>
      </c>
      <c r="AX139" s="231">
        <f t="shared" ref="AX139:BG148" si="114">SUMIFS(AX$80:AX$82,$N$80:$N$82,$H139)</f>
        <v>0</v>
      </c>
      <c r="AY139" s="231">
        <f t="shared" si="114"/>
        <v>0</v>
      </c>
      <c r="AZ139" s="231">
        <f t="shared" si="114"/>
        <v>0</v>
      </c>
      <c r="BA139" s="231">
        <f t="shared" si="114"/>
        <v>0</v>
      </c>
      <c r="BB139" s="231">
        <f t="shared" si="114"/>
        <v>0</v>
      </c>
      <c r="BC139" s="231">
        <f t="shared" si="114"/>
        <v>0</v>
      </c>
      <c r="BD139" s="231">
        <f t="shared" si="114"/>
        <v>0</v>
      </c>
      <c r="BE139" s="231">
        <f t="shared" si="114"/>
        <v>0</v>
      </c>
      <c r="BF139" s="231">
        <f t="shared" si="114"/>
        <v>0</v>
      </c>
      <c r="BG139" s="231">
        <f t="shared" si="114"/>
        <v>0</v>
      </c>
    </row>
    <row r="140" spans="2:63">
      <c r="F140" s="49" t="str">
        <f t="shared" ref="F140:F148" si="115">H140</f>
        <v>FMCG-N</v>
      </c>
      <c r="H140" s="99" t="str">
        <f>GA!E77</f>
        <v>FMCG-N</v>
      </c>
      <c r="T140" s="231">
        <f t="shared" si="111"/>
        <v>0</v>
      </c>
      <c r="U140" s="231">
        <f t="shared" si="111"/>
        <v>0</v>
      </c>
      <c r="V140" s="231">
        <f t="shared" si="111"/>
        <v>0</v>
      </c>
      <c r="W140" s="231">
        <f t="shared" si="111"/>
        <v>0</v>
      </c>
      <c r="X140" s="231">
        <f t="shared" si="111"/>
        <v>0</v>
      </c>
      <c r="Y140" s="231">
        <f t="shared" si="111"/>
        <v>0</v>
      </c>
      <c r="Z140" s="231">
        <f t="shared" si="111"/>
        <v>0</v>
      </c>
      <c r="AA140" s="231">
        <f t="shared" si="111"/>
        <v>0</v>
      </c>
      <c r="AB140" s="231">
        <f t="shared" si="111"/>
        <v>0</v>
      </c>
      <c r="AC140" s="231">
        <f t="shared" si="111"/>
        <v>0</v>
      </c>
      <c r="AD140" s="231">
        <f t="shared" si="112"/>
        <v>0</v>
      </c>
      <c r="AE140" s="231">
        <f t="shared" si="112"/>
        <v>0</v>
      </c>
      <c r="AF140" s="231">
        <f t="shared" si="112"/>
        <v>0</v>
      </c>
      <c r="AG140" s="231">
        <f t="shared" si="112"/>
        <v>0</v>
      </c>
      <c r="AH140" s="231">
        <f t="shared" si="112"/>
        <v>0</v>
      </c>
      <c r="AI140" s="231">
        <f t="shared" si="112"/>
        <v>0</v>
      </c>
      <c r="AJ140" s="231">
        <f t="shared" si="112"/>
        <v>0</v>
      </c>
      <c r="AK140" s="231">
        <f t="shared" si="112"/>
        <v>0</v>
      </c>
      <c r="AL140" s="231">
        <f t="shared" si="112"/>
        <v>0</v>
      </c>
      <c r="AM140" s="231">
        <f t="shared" si="112"/>
        <v>0</v>
      </c>
      <c r="AN140" s="231">
        <f t="shared" si="113"/>
        <v>0</v>
      </c>
      <c r="AO140" s="231">
        <f t="shared" si="113"/>
        <v>0</v>
      </c>
      <c r="AP140" s="231">
        <f t="shared" si="113"/>
        <v>0</v>
      </c>
      <c r="AQ140" s="231">
        <f t="shared" si="113"/>
        <v>0</v>
      </c>
      <c r="AR140" s="231">
        <f t="shared" si="113"/>
        <v>0</v>
      </c>
      <c r="AS140" s="231">
        <f t="shared" si="113"/>
        <v>0</v>
      </c>
      <c r="AT140" s="231">
        <f t="shared" si="113"/>
        <v>0</v>
      </c>
      <c r="AU140" s="231">
        <f t="shared" si="113"/>
        <v>0</v>
      </c>
      <c r="AV140" s="231">
        <f t="shared" si="113"/>
        <v>0</v>
      </c>
      <c r="AW140" s="231">
        <f t="shared" si="113"/>
        <v>0</v>
      </c>
      <c r="AX140" s="231">
        <f t="shared" si="114"/>
        <v>0</v>
      </c>
      <c r="AY140" s="231">
        <f t="shared" si="114"/>
        <v>0</v>
      </c>
      <c r="AZ140" s="231">
        <f t="shared" si="114"/>
        <v>0</v>
      </c>
      <c r="BA140" s="231">
        <f t="shared" si="114"/>
        <v>0</v>
      </c>
      <c r="BB140" s="231">
        <f t="shared" si="114"/>
        <v>0</v>
      </c>
      <c r="BC140" s="231">
        <f t="shared" si="114"/>
        <v>0</v>
      </c>
      <c r="BD140" s="231">
        <f t="shared" si="114"/>
        <v>0</v>
      </c>
      <c r="BE140" s="231">
        <f t="shared" si="114"/>
        <v>0</v>
      </c>
      <c r="BF140" s="231">
        <f t="shared" si="114"/>
        <v>0</v>
      </c>
      <c r="BG140" s="231">
        <f t="shared" si="114"/>
        <v>0</v>
      </c>
    </row>
    <row r="141" spans="2:63">
      <c r="F141" s="49" t="str">
        <f t="shared" si="115"/>
        <v>Non-food retail</v>
      </c>
      <c r="H141" s="99" t="str">
        <f>GA!E78</f>
        <v>Non-food retail</v>
      </c>
      <c r="T141" s="231">
        <f t="shared" si="111"/>
        <v>0</v>
      </c>
      <c r="U141" s="231">
        <f t="shared" si="111"/>
        <v>0</v>
      </c>
      <c r="V141" s="231">
        <f t="shared" si="111"/>
        <v>0</v>
      </c>
      <c r="W141" s="231">
        <f t="shared" si="111"/>
        <v>0</v>
      </c>
      <c r="X141" s="231">
        <f t="shared" si="111"/>
        <v>0</v>
      </c>
      <c r="Y141" s="231">
        <f t="shared" si="111"/>
        <v>0</v>
      </c>
      <c r="Z141" s="231">
        <f t="shared" si="111"/>
        <v>0</v>
      </c>
      <c r="AA141" s="231">
        <f t="shared" si="111"/>
        <v>0</v>
      </c>
      <c r="AB141" s="231">
        <f t="shared" si="111"/>
        <v>0</v>
      </c>
      <c r="AC141" s="231">
        <f t="shared" si="111"/>
        <v>0</v>
      </c>
      <c r="AD141" s="231">
        <f t="shared" si="112"/>
        <v>0</v>
      </c>
      <c r="AE141" s="231">
        <f t="shared" si="112"/>
        <v>0</v>
      </c>
      <c r="AF141" s="231">
        <f t="shared" si="112"/>
        <v>0</v>
      </c>
      <c r="AG141" s="231">
        <f t="shared" si="112"/>
        <v>0</v>
      </c>
      <c r="AH141" s="231">
        <f t="shared" si="112"/>
        <v>0</v>
      </c>
      <c r="AI141" s="231">
        <f t="shared" si="112"/>
        <v>0</v>
      </c>
      <c r="AJ141" s="231">
        <f t="shared" si="112"/>
        <v>0</v>
      </c>
      <c r="AK141" s="231">
        <f t="shared" si="112"/>
        <v>0</v>
      </c>
      <c r="AL141" s="231">
        <f t="shared" si="112"/>
        <v>0</v>
      </c>
      <c r="AM141" s="231">
        <f t="shared" si="112"/>
        <v>0</v>
      </c>
      <c r="AN141" s="231">
        <f t="shared" si="113"/>
        <v>0</v>
      </c>
      <c r="AO141" s="231">
        <f t="shared" si="113"/>
        <v>0</v>
      </c>
      <c r="AP141" s="231">
        <f t="shared" si="113"/>
        <v>0</v>
      </c>
      <c r="AQ141" s="231">
        <f t="shared" si="113"/>
        <v>0</v>
      </c>
      <c r="AR141" s="231">
        <f t="shared" si="113"/>
        <v>0</v>
      </c>
      <c r="AS141" s="231">
        <f t="shared" si="113"/>
        <v>0</v>
      </c>
      <c r="AT141" s="231">
        <f t="shared" si="113"/>
        <v>0</v>
      </c>
      <c r="AU141" s="231">
        <f t="shared" si="113"/>
        <v>0</v>
      </c>
      <c r="AV141" s="231">
        <f t="shared" si="113"/>
        <v>0</v>
      </c>
      <c r="AW141" s="231">
        <f t="shared" si="113"/>
        <v>0</v>
      </c>
      <c r="AX141" s="231">
        <f t="shared" si="114"/>
        <v>0</v>
      </c>
      <c r="AY141" s="231">
        <f t="shared" si="114"/>
        <v>0</v>
      </c>
      <c r="AZ141" s="231">
        <f t="shared" si="114"/>
        <v>0</v>
      </c>
      <c r="BA141" s="231">
        <f t="shared" si="114"/>
        <v>0</v>
      </c>
      <c r="BB141" s="231">
        <f t="shared" si="114"/>
        <v>0</v>
      </c>
      <c r="BC141" s="231">
        <f t="shared" si="114"/>
        <v>0</v>
      </c>
      <c r="BD141" s="231">
        <f t="shared" si="114"/>
        <v>0</v>
      </c>
      <c r="BE141" s="231">
        <f t="shared" si="114"/>
        <v>0</v>
      </c>
      <c r="BF141" s="231">
        <f t="shared" si="114"/>
        <v>0</v>
      </c>
      <c r="BG141" s="231">
        <f t="shared" si="114"/>
        <v>0</v>
      </c>
    </row>
    <row r="142" spans="2:63">
      <c r="F142" s="49" t="str">
        <f t="shared" si="115"/>
        <v>Gastronomy</v>
      </c>
      <c r="H142" s="99" t="str">
        <f>GA!E79</f>
        <v>Gastronomy</v>
      </c>
      <c r="T142" s="231">
        <f t="shared" si="111"/>
        <v>0</v>
      </c>
      <c r="U142" s="231">
        <f t="shared" si="111"/>
        <v>0</v>
      </c>
      <c r="V142" s="231">
        <f t="shared" si="111"/>
        <v>0</v>
      </c>
      <c r="W142" s="231">
        <f t="shared" si="111"/>
        <v>0</v>
      </c>
      <c r="X142" s="231">
        <f t="shared" si="111"/>
        <v>0</v>
      </c>
      <c r="Y142" s="231">
        <f t="shared" si="111"/>
        <v>0</v>
      </c>
      <c r="Z142" s="231">
        <f t="shared" si="111"/>
        <v>0</v>
      </c>
      <c r="AA142" s="231">
        <f t="shared" si="111"/>
        <v>0</v>
      </c>
      <c r="AB142" s="231">
        <f t="shared" si="111"/>
        <v>0</v>
      </c>
      <c r="AC142" s="231">
        <f t="shared" si="111"/>
        <v>0</v>
      </c>
      <c r="AD142" s="231">
        <f t="shared" si="112"/>
        <v>0</v>
      </c>
      <c r="AE142" s="231">
        <f t="shared" si="112"/>
        <v>0</v>
      </c>
      <c r="AF142" s="231">
        <f t="shared" si="112"/>
        <v>0</v>
      </c>
      <c r="AG142" s="231">
        <f t="shared" si="112"/>
        <v>0</v>
      </c>
      <c r="AH142" s="231">
        <f t="shared" si="112"/>
        <v>0</v>
      </c>
      <c r="AI142" s="231">
        <f t="shared" si="112"/>
        <v>0</v>
      </c>
      <c r="AJ142" s="231">
        <f t="shared" si="112"/>
        <v>0</v>
      </c>
      <c r="AK142" s="231">
        <f t="shared" si="112"/>
        <v>0</v>
      </c>
      <c r="AL142" s="231">
        <f t="shared" si="112"/>
        <v>0</v>
      </c>
      <c r="AM142" s="231">
        <f t="shared" si="112"/>
        <v>0</v>
      </c>
      <c r="AN142" s="231">
        <f t="shared" si="113"/>
        <v>0</v>
      </c>
      <c r="AO142" s="231">
        <f t="shared" si="113"/>
        <v>0</v>
      </c>
      <c r="AP142" s="231">
        <f t="shared" si="113"/>
        <v>0</v>
      </c>
      <c r="AQ142" s="231">
        <f t="shared" si="113"/>
        <v>0</v>
      </c>
      <c r="AR142" s="231">
        <f t="shared" si="113"/>
        <v>0</v>
      </c>
      <c r="AS142" s="231">
        <f t="shared" si="113"/>
        <v>0</v>
      </c>
      <c r="AT142" s="231">
        <f t="shared" si="113"/>
        <v>0</v>
      </c>
      <c r="AU142" s="231">
        <f t="shared" si="113"/>
        <v>0</v>
      </c>
      <c r="AV142" s="231">
        <f t="shared" si="113"/>
        <v>0</v>
      </c>
      <c r="AW142" s="231">
        <f t="shared" si="113"/>
        <v>0</v>
      </c>
      <c r="AX142" s="231">
        <f t="shared" si="114"/>
        <v>0</v>
      </c>
      <c r="AY142" s="231">
        <f t="shared" si="114"/>
        <v>0</v>
      </c>
      <c r="AZ142" s="231">
        <f t="shared" si="114"/>
        <v>0</v>
      </c>
      <c r="BA142" s="231">
        <f t="shared" si="114"/>
        <v>0</v>
      </c>
      <c r="BB142" s="231">
        <f t="shared" si="114"/>
        <v>0</v>
      </c>
      <c r="BC142" s="231">
        <f t="shared" si="114"/>
        <v>0</v>
      </c>
      <c r="BD142" s="231">
        <f t="shared" si="114"/>
        <v>0</v>
      </c>
      <c r="BE142" s="231">
        <f t="shared" si="114"/>
        <v>0</v>
      </c>
      <c r="BF142" s="231">
        <f t="shared" si="114"/>
        <v>0</v>
      </c>
      <c r="BG142" s="231">
        <f t="shared" si="114"/>
        <v>0</v>
      </c>
    </row>
    <row r="143" spans="2:63">
      <c r="F143" s="49" t="str">
        <f t="shared" si="115"/>
        <v>Bank</v>
      </c>
      <c r="H143" s="99" t="str">
        <f>GA!E80</f>
        <v>Bank</v>
      </c>
      <c r="T143" s="231">
        <f t="shared" si="111"/>
        <v>0</v>
      </c>
      <c r="U143" s="231">
        <f t="shared" si="111"/>
        <v>0</v>
      </c>
      <c r="V143" s="231">
        <f t="shared" si="111"/>
        <v>0</v>
      </c>
      <c r="W143" s="231">
        <f t="shared" si="111"/>
        <v>0</v>
      </c>
      <c r="X143" s="231">
        <f t="shared" si="111"/>
        <v>0</v>
      </c>
      <c r="Y143" s="231">
        <f t="shared" si="111"/>
        <v>0</v>
      </c>
      <c r="Z143" s="231">
        <f t="shared" si="111"/>
        <v>0</v>
      </c>
      <c r="AA143" s="231">
        <f t="shared" si="111"/>
        <v>0</v>
      </c>
      <c r="AB143" s="231">
        <f t="shared" si="111"/>
        <v>0</v>
      </c>
      <c r="AC143" s="231">
        <f t="shared" si="111"/>
        <v>0</v>
      </c>
      <c r="AD143" s="231">
        <f t="shared" si="112"/>
        <v>0</v>
      </c>
      <c r="AE143" s="231">
        <f t="shared" si="112"/>
        <v>0</v>
      </c>
      <c r="AF143" s="231">
        <f t="shared" si="112"/>
        <v>0</v>
      </c>
      <c r="AG143" s="231">
        <f t="shared" si="112"/>
        <v>0</v>
      </c>
      <c r="AH143" s="231">
        <f t="shared" si="112"/>
        <v>0</v>
      </c>
      <c r="AI143" s="231">
        <f t="shared" si="112"/>
        <v>0</v>
      </c>
      <c r="AJ143" s="231">
        <f t="shared" si="112"/>
        <v>0</v>
      </c>
      <c r="AK143" s="231">
        <f t="shared" si="112"/>
        <v>0</v>
      </c>
      <c r="AL143" s="231">
        <f t="shared" si="112"/>
        <v>0</v>
      </c>
      <c r="AM143" s="231">
        <f t="shared" si="112"/>
        <v>0</v>
      </c>
      <c r="AN143" s="231">
        <f t="shared" si="113"/>
        <v>0</v>
      </c>
      <c r="AO143" s="231">
        <f t="shared" si="113"/>
        <v>0</v>
      </c>
      <c r="AP143" s="231">
        <f t="shared" si="113"/>
        <v>0</v>
      </c>
      <c r="AQ143" s="231">
        <f t="shared" si="113"/>
        <v>0</v>
      </c>
      <c r="AR143" s="231">
        <f t="shared" si="113"/>
        <v>0</v>
      </c>
      <c r="AS143" s="231">
        <f t="shared" si="113"/>
        <v>0</v>
      </c>
      <c r="AT143" s="231">
        <f t="shared" si="113"/>
        <v>0</v>
      </c>
      <c r="AU143" s="231">
        <f t="shared" si="113"/>
        <v>0</v>
      </c>
      <c r="AV143" s="231">
        <f t="shared" si="113"/>
        <v>0</v>
      </c>
      <c r="AW143" s="231">
        <f t="shared" si="113"/>
        <v>0</v>
      </c>
      <c r="AX143" s="231">
        <f t="shared" si="114"/>
        <v>0</v>
      </c>
      <c r="AY143" s="231">
        <f t="shared" si="114"/>
        <v>0</v>
      </c>
      <c r="AZ143" s="231">
        <f t="shared" si="114"/>
        <v>0</v>
      </c>
      <c r="BA143" s="231">
        <f t="shared" si="114"/>
        <v>0</v>
      </c>
      <c r="BB143" s="231">
        <f t="shared" si="114"/>
        <v>0</v>
      </c>
      <c r="BC143" s="231">
        <f t="shared" si="114"/>
        <v>0</v>
      </c>
      <c r="BD143" s="231">
        <f t="shared" si="114"/>
        <v>0</v>
      </c>
      <c r="BE143" s="231">
        <f t="shared" si="114"/>
        <v>0</v>
      </c>
      <c r="BF143" s="231">
        <f t="shared" si="114"/>
        <v>0</v>
      </c>
      <c r="BG143" s="231">
        <f t="shared" si="114"/>
        <v>0</v>
      </c>
    </row>
    <row r="144" spans="2:63">
      <c r="F144" s="49" t="str">
        <f t="shared" si="115"/>
        <v>Storage</v>
      </c>
      <c r="H144" s="99" t="str">
        <f>GA!E81</f>
        <v>Storage</v>
      </c>
      <c r="T144" s="231">
        <f t="shared" si="111"/>
        <v>0</v>
      </c>
      <c r="U144" s="231">
        <f t="shared" si="111"/>
        <v>0</v>
      </c>
      <c r="V144" s="231">
        <f t="shared" si="111"/>
        <v>0</v>
      </c>
      <c r="W144" s="231">
        <f t="shared" si="111"/>
        <v>0</v>
      </c>
      <c r="X144" s="231">
        <f t="shared" si="111"/>
        <v>0</v>
      </c>
      <c r="Y144" s="231">
        <f t="shared" si="111"/>
        <v>0</v>
      </c>
      <c r="Z144" s="231">
        <f t="shared" si="111"/>
        <v>0</v>
      </c>
      <c r="AA144" s="231">
        <f t="shared" si="111"/>
        <v>0</v>
      </c>
      <c r="AB144" s="231">
        <f t="shared" si="111"/>
        <v>0</v>
      </c>
      <c r="AC144" s="231">
        <f t="shared" si="111"/>
        <v>0</v>
      </c>
      <c r="AD144" s="231">
        <f t="shared" si="112"/>
        <v>0</v>
      </c>
      <c r="AE144" s="231">
        <f t="shared" si="112"/>
        <v>0</v>
      </c>
      <c r="AF144" s="231">
        <f t="shared" si="112"/>
        <v>0</v>
      </c>
      <c r="AG144" s="231">
        <f t="shared" si="112"/>
        <v>0</v>
      </c>
      <c r="AH144" s="231">
        <f t="shared" si="112"/>
        <v>0</v>
      </c>
      <c r="AI144" s="231">
        <f t="shared" si="112"/>
        <v>0</v>
      </c>
      <c r="AJ144" s="231">
        <f t="shared" si="112"/>
        <v>0</v>
      </c>
      <c r="AK144" s="231">
        <f t="shared" si="112"/>
        <v>0</v>
      </c>
      <c r="AL144" s="231">
        <f t="shared" si="112"/>
        <v>0</v>
      </c>
      <c r="AM144" s="231">
        <f t="shared" si="112"/>
        <v>0</v>
      </c>
      <c r="AN144" s="231">
        <f t="shared" si="113"/>
        <v>0</v>
      </c>
      <c r="AO144" s="231">
        <f t="shared" si="113"/>
        <v>0</v>
      </c>
      <c r="AP144" s="231">
        <f t="shared" si="113"/>
        <v>0</v>
      </c>
      <c r="AQ144" s="231">
        <f t="shared" si="113"/>
        <v>0</v>
      </c>
      <c r="AR144" s="231">
        <f t="shared" si="113"/>
        <v>0</v>
      </c>
      <c r="AS144" s="231">
        <f t="shared" si="113"/>
        <v>0</v>
      </c>
      <c r="AT144" s="231">
        <f t="shared" si="113"/>
        <v>0</v>
      </c>
      <c r="AU144" s="231">
        <f t="shared" si="113"/>
        <v>0</v>
      </c>
      <c r="AV144" s="231">
        <f t="shared" si="113"/>
        <v>0</v>
      </c>
      <c r="AW144" s="231">
        <f t="shared" si="113"/>
        <v>0</v>
      </c>
      <c r="AX144" s="231">
        <f t="shared" si="114"/>
        <v>0</v>
      </c>
      <c r="AY144" s="231">
        <f t="shared" si="114"/>
        <v>0</v>
      </c>
      <c r="AZ144" s="231">
        <f t="shared" si="114"/>
        <v>0</v>
      </c>
      <c r="BA144" s="231">
        <f t="shared" si="114"/>
        <v>0</v>
      </c>
      <c r="BB144" s="231">
        <f t="shared" si="114"/>
        <v>0</v>
      </c>
      <c r="BC144" s="231">
        <f t="shared" si="114"/>
        <v>0</v>
      </c>
      <c r="BD144" s="231">
        <f t="shared" si="114"/>
        <v>0</v>
      </c>
      <c r="BE144" s="231">
        <f t="shared" si="114"/>
        <v>0</v>
      </c>
      <c r="BF144" s="231">
        <f t="shared" si="114"/>
        <v>0</v>
      </c>
      <c r="BG144" s="231">
        <f t="shared" si="114"/>
        <v>0</v>
      </c>
    </row>
    <row r="145" spans="6:59">
      <c r="F145" s="49" t="str">
        <f t="shared" si="115"/>
        <v>Parking</v>
      </c>
      <c r="H145" s="99" t="str">
        <f>GA!E82</f>
        <v>Parking</v>
      </c>
      <c r="T145" s="231">
        <f t="shared" si="111"/>
        <v>0</v>
      </c>
      <c r="U145" s="231">
        <f t="shared" si="111"/>
        <v>0</v>
      </c>
      <c r="V145" s="231">
        <f t="shared" si="111"/>
        <v>0</v>
      </c>
      <c r="W145" s="231">
        <f t="shared" si="111"/>
        <v>0</v>
      </c>
      <c r="X145" s="231">
        <f t="shared" si="111"/>
        <v>0</v>
      </c>
      <c r="Y145" s="231">
        <f t="shared" si="111"/>
        <v>0</v>
      </c>
      <c r="Z145" s="231">
        <f t="shared" si="111"/>
        <v>0</v>
      </c>
      <c r="AA145" s="231">
        <f t="shared" si="111"/>
        <v>0</v>
      </c>
      <c r="AB145" s="231">
        <f t="shared" si="111"/>
        <v>0</v>
      </c>
      <c r="AC145" s="231">
        <f t="shared" si="111"/>
        <v>0</v>
      </c>
      <c r="AD145" s="231">
        <f t="shared" si="112"/>
        <v>0</v>
      </c>
      <c r="AE145" s="231">
        <f t="shared" si="112"/>
        <v>0</v>
      </c>
      <c r="AF145" s="231">
        <f t="shared" si="112"/>
        <v>0</v>
      </c>
      <c r="AG145" s="231">
        <f t="shared" si="112"/>
        <v>0</v>
      </c>
      <c r="AH145" s="231">
        <f t="shared" si="112"/>
        <v>0</v>
      </c>
      <c r="AI145" s="231">
        <f t="shared" si="112"/>
        <v>0</v>
      </c>
      <c r="AJ145" s="231">
        <f t="shared" si="112"/>
        <v>0</v>
      </c>
      <c r="AK145" s="231">
        <f t="shared" si="112"/>
        <v>0</v>
      </c>
      <c r="AL145" s="231">
        <f t="shared" si="112"/>
        <v>0</v>
      </c>
      <c r="AM145" s="231">
        <f t="shared" si="112"/>
        <v>0</v>
      </c>
      <c r="AN145" s="231">
        <f t="shared" si="113"/>
        <v>0</v>
      </c>
      <c r="AO145" s="231">
        <f t="shared" si="113"/>
        <v>0</v>
      </c>
      <c r="AP145" s="231">
        <f t="shared" si="113"/>
        <v>0</v>
      </c>
      <c r="AQ145" s="231">
        <f t="shared" si="113"/>
        <v>0</v>
      </c>
      <c r="AR145" s="231">
        <f t="shared" si="113"/>
        <v>0</v>
      </c>
      <c r="AS145" s="231">
        <f t="shared" si="113"/>
        <v>0</v>
      </c>
      <c r="AT145" s="231">
        <f t="shared" si="113"/>
        <v>0</v>
      </c>
      <c r="AU145" s="231">
        <f t="shared" si="113"/>
        <v>0</v>
      </c>
      <c r="AV145" s="231">
        <f t="shared" si="113"/>
        <v>0</v>
      </c>
      <c r="AW145" s="231">
        <f t="shared" si="113"/>
        <v>0</v>
      </c>
      <c r="AX145" s="231">
        <f t="shared" si="114"/>
        <v>0</v>
      </c>
      <c r="AY145" s="231">
        <f t="shared" si="114"/>
        <v>0</v>
      </c>
      <c r="AZ145" s="231">
        <f t="shared" si="114"/>
        <v>0</v>
      </c>
      <c r="BA145" s="231">
        <f t="shared" si="114"/>
        <v>0</v>
      </c>
      <c r="BB145" s="231">
        <f t="shared" si="114"/>
        <v>0</v>
      </c>
      <c r="BC145" s="231">
        <f t="shared" si="114"/>
        <v>0</v>
      </c>
      <c r="BD145" s="231">
        <f t="shared" si="114"/>
        <v>0</v>
      </c>
      <c r="BE145" s="231">
        <f t="shared" si="114"/>
        <v>0</v>
      </c>
      <c r="BF145" s="231">
        <f t="shared" si="114"/>
        <v>0</v>
      </c>
      <c r="BG145" s="231">
        <f t="shared" si="114"/>
        <v>0</v>
      </c>
    </row>
    <row r="146" spans="6:59">
      <c r="F146" s="49" t="str">
        <f t="shared" si="115"/>
        <v>Residential</v>
      </c>
      <c r="H146" s="99" t="str">
        <f>GA!E83</f>
        <v>Residential</v>
      </c>
      <c r="T146" s="231">
        <f t="shared" si="111"/>
        <v>0</v>
      </c>
      <c r="U146" s="231">
        <f t="shared" si="111"/>
        <v>0</v>
      </c>
      <c r="V146" s="231">
        <f t="shared" si="111"/>
        <v>0</v>
      </c>
      <c r="W146" s="231">
        <f t="shared" si="111"/>
        <v>0</v>
      </c>
      <c r="X146" s="231">
        <f t="shared" si="111"/>
        <v>0</v>
      </c>
      <c r="Y146" s="231">
        <f t="shared" si="111"/>
        <v>0</v>
      </c>
      <c r="Z146" s="231">
        <f t="shared" si="111"/>
        <v>0</v>
      </c>
      <c r="AA146" s="231">
        <f t="shared" si="111"/>
        <v>0</v>
      </c>
      <c r="AB146" s="231">
        <f t="shared" si="111"/>
        <v>0</v>
      </c>
      <c r="AC146" s="231">
        <f t="shared" si="111"/>
        <v>0</v>
      </c>
      <c r="AD146" s="231">
        <f t="shared" si="112"/>
        <v>0</v>
      </c>
      <c r="AE146" s="231">
        <f t="shared" si="112"/>
        <v>0</v>
      </c>
      <c r="AF146" s="231">
        <f t="shared" si="112"/>
        <v>0</v>
      </c>
      <c r="AG146" s="231">
        <f t="shared" si="112"/>
        <v>0</v>
      </c>
      <c r="AH146" s="231">
        <f t="shared" si="112"/>
        <v>0</v>
      </c>
      <c r="AI146" s="231">
        <f t="shared" si="112"/>
        <v>0</v>
      </c>
      <c r="AJ146" s="231">
        <f t="shared" si="112"/>
        <v>0</v>
      </c>
      <c r="AK146" s="231">
        <f t="shared" si="112"/>
        <v>0</v>
      </c>
      <c r="AL146" s="231">
        <f t="shared" si="112"/>
        <v>0</v>
      </c>
      <c r="AM146" s="231">
        <f t="shared" si="112"/>
        <v>0</v>
      </c>
      <c r="AN146" s="231">
        <f t="shared" si="113"/>
        <v>0</v>
      </c>
      <c r="AO146" s="231">
        <f t="shared" si="113"/>
        <v>0</v>
      </c>
      <c r="AP146" s="231">
        <f t="shared" si="113"/>
        <v>0</v>
      </c>
      <c r="AQ146" s="231">
        <f t="shared" si="113"/>
        <v>0</v>
      </c>
      <c r="AR146" s="231">
        <f t="shared" si="113"/>
        <v>0</v>
      </c>
      <c r="AS146" s="231">
        <f t="shared" si="113"/>
        <v>0</v>
      </c>
      <c r="AT146" s="231">
        <f t="shared" si="113"/>
        <v>0</v>
      </c>
      <c r="AU146" s="231">
        <f t="shared" si="113"/>
        <v>0</v>
      </c>
      <c r="AV146" s="231">
        <f t="shared" si="113"/>
        <v>0</v>
      </c>
      <c r="AW146" s="231">
        <f t="shared" si="113"/>
        <v>0</v>
      </c>
      <c r="AX146" s="231">
        <f t="shared" si="114"/>
        <v>0</v>
      </c>
      <c r="AY146" s="231">
        <f t="shared" si="114"/>
        <v>0</v>
      </c>
      <c r="AZ146" s="231">
        <f t="shared" si="114"/>
        <v>0</v>
      </c>
      <c r="BA146" s="231">
        <f t="shared" si="114"/>
        <v>0</v>
      </c>
      <c r="BB146" s="231">
        <f t="shared" si="114"/>
        <v>0</v>
      </c>
      <c r="BC146" s="231">
        <f t="shared" si="114"/>
        <v>0</v>
      </c>
      <c r="BD146" s="231">
        <f t="shared" si="114"/>
        <v>0</v>
      </c>
      <c r="BE146" s="231">
        <f t="shared" si="114"/>
        <v>0</v>
      </c>
      <c r="BF146" s="231">
        <f t="shared" si="114"/>
        <v>0</v>
      </c>
      <c r="BG146" s="231">
        <f t="shared" si="114"/>
        <v>0</v>
      </c>
    </row>
    <row r="147" spans="6:59">
      <c r="F147" s="49" t="str">
        <f t="shared" si="115"/>
        <v>Office</v>
      </c>
      <c r="H147" s="99" t="str">
        <f>GA!E84</f>
        <v>Office</v>
      </c>
      <c r="T147" s="231">
        <f t="shared" si="111"/>
        <v>0</v>
      </c>
      <c r="U147" s="231">
        <f t="shared" si="111"/>
        <v>0</v>
      </c>
      <c r="V147" s="231">
        <f t="shared" si="111"/>
        <v>0</v>
      </c>
      <c r="W147" s="231">
        <f t="shared" si="111"/>
        <v>0</v>
      </c>
      <c r="X147" s="231">
        <f t="shared" si="111"/>
        <v>0</v>
      </c>
      <c r="Y147" s="231">
        <f t="shared" si="111"/>
        <v>0</v>
      </c>
      <c r="Z147" s="231">
        <f t="shared" si="111"/>
        <v>0</v>
      </c>
      <c r="AA147" s="231">
        <f t="shared" si="111"/>
        <v>0</v>
      </c>
      <c r="AB147" s="231">
        <f t="shared" si="111"/>
        <v>0</v>
      </c>
      <c r="AC147" s="231">
        <f t="shared" si="111"/>
        <v>0</v>
      </c>
      <c r="AD147" s="231">
        <f t="shared" si="112"/>
        <v>0</v>
      </c>
      <c r="AE147" s="231">
        <f t="shared" si="112"/>
        <v>0</v>
      </c>
      <c r="AF147" s="231">
        <f t="shared" si="112"/>
        <v>0</v>
      </c>
      <c r="AG147" s="231">
        <f t="shared" si="112"/>
        <v>0</v>
      </c>
      <c r="AH147" s="231">
        <f t="shared" si="112"/>
        <v>0</v>
      </c>
      <c r="AI147" s="231">
        <f t="shared" si="112"/>
        <v>0</v>
      </c>
      <c r="AJ147" s="231">
        <f t="shared" si="112"/>
        <v>0</v>
      </c>
      <c r="AK147" s="231">
        <f t="shared" si="112"/>
        <v>0</v>
      </c>
      <c r="AL147" s="231">
        <f t="shared" si="112"/>
        <v>0</v>
      </c>
      <c r="AM147" s="231">
        <f t="shared" si="112"/>
        <v>0</v>
      </c>
      <c r="AN147" s="231">
        <f t="shared" si="113"/>
        <v>0</v>
      </c>
      <c r="AO147" s="231">
        <f t="shared" si="113"/>
        <v>0</v>
      </c>
      <c r="AP147" s="231">
        <f t="shared" si="113"/>
        <v>0</v>
      </c>
      <c r="AQ147" s="231">
        <f t="shared" si="113"/>
        <v>0</v>
      </c>
      <c r="AR147" s="231">
        <f t="shared" si="113"/>
        <v>0</v>
      </c>
      <c r="AS147" s="231">
        <f t="shared" si="113"/>
        <v>0</v>
      </c>
      <c r="AT147" s="231">
        <f t="shared" si="113"/>
        <v>0</v>
      </c>
      <c r="AU147" s="231">
        <f t="shared" si="113"/>
        <v>0</v>
      </c>
      <c r="AV147" s="231">
        <f t="shared" si="113"/>
        <v>0</v>
      </c>
      <c r="AW147" s="231">
        <f t="shared" si="113"/>
        <v>0</v>
      </c>
      <c r="AX147" s="231">
        <f t="shared" si="114"/>
        <v>0</v>
      </c>
      <c r="AY147" s="231">
        <f t="shared" si="114"/>
        <v>0</v>
      </c>
      <c r="AZ147" s="231">
        <f t="shared" si="114"/>
        <v>0</v>
      </c>
      <c r="BA147" s="231">
        <f t="shared" si="114"/>
        <v>0</v>
      </c>
      <c r="BB147" s="231">
        <f t="shared" si="114"/>
        <v>0</v>
      </c>
      <c r="BC147" s="231">
        <f t="shared" si="114"/>
        <v>0</v>
      </c>
      <c r="BD147" s="231">
        <f t="shared" si="114"/>
        <v>0</v>
      </c>
      <c r="BE147" s="231">
        <f t="shared" si="114"/>
        <v>0</v>
      </c>
      <c r="BF147" s="231">
        <f t="shared" si="114"/>
        <v>0</v>
      </c>
      <c r="BG147" s="231">
        <f t="shared" si="114"/>
        <v>0</v>
      </c>
    </row>
    <row r="148" spans="6:59">
      <c r="F148" s="49" t="str">
        <f t="shared" si="115"/>
        <v>Other</v>
      </c>
      <c r="H148" s="99" t="str">
        <f>GA!E85</f>
        <v>Other</v>
      </c>
      <c r="T148" s="231">
        <f t="shared" si="111"/>
        <v>0</v>
      </c>
      <c r="U148" s="231">
        <f t="shared" si="111"/>
        <v>0</v>
      </c>
      <c r="V148" s="231">
        <f t="shared" si="111"/>
        <v>0</v>
      </c>
      <c r="W148" s="231">
        <f t="shared" si="111"/>
        <v>0</v>
      </c>
      <c r="X148" s="231">
        <f t="shared" si="111"/>
        <v>0</v>
      </c>
      <c r="Y148" s="231">
        <f t="shared" si="111"/>
        <v>0</v>
      </c>
      <c r="Z148" s="231">
        <f t="shared" si="111"/>
        <v>0</v>
      </c>
      <c r="AA148" s="231">
        <f t="shared" si="111"/>
        <v>0</v>
      </c>
      <c r="AB148" s="231">
        <f t="shared" si="111"/>
        <v>0</v>
      </c>
      <c r="AC148" s="231">
        <f t="shared" si="111"/>
        <v>0</v>
      </c>
      <c r="AD148" s="231">
        <f t="shared" si="112"/>
        <v>0</v>
      </c>
      <c r="AE148" s="231">
        <f t="shared" si="112"/>
        <v>0</v>
      </c>
      <c r="AF148" s="231">
        <f t="shared" si="112"/>
        <v>0</v>
      </c>
      <c r="AG148" s="231">
        <f t="shared" si="112"/>
        <v>0</v>
      </c>
      <c r="AH148" s="231">
        <f t="shared" si="112"/>
        <v>0</v>
      </c>
      <c r="AI148" s="231">
        <f t="shared" si="112"/>
        <v>0</v>
      </c>
      <c r="AJ148" s="231">
        <f t="shared" si="112"/>
        <v>0</v>
      </c>
      <c r="AK148" s="231">
        <f t="shared" si="112"/>
        <v>0</v>
      </c>
      <c r="AL148" s="231">
        <f t="shared" si="112"/>
        <v>0</v>
      </c>
      <c r="AM148" s="231">
        <f t="shared" si="112"/>
        <v>0</v>
      </c>
      <c r="AN148" s="231">
        <f t="shared" si="113"/>
        <v>0</v>
      </c>
      <c r="AO148" s="231">
        <f t="shared" si="113"/>
        <v>0</v>
      </c>
      <c r="AP148" s="231">
        <f t="shared" si="113"/>
        <v>0</v>
      </c>
      <c r="AQ148" s="231">
        <f t="shared" si="113"/>
        <v>0</v>
      </c>
      <c r="AR148" s="231">
        <f t="shared" si="113"/>
        <v>0</v>
      </c>
      <c r="AS148" s="231">
        <f t="shared" si="113"/>
        <v>0</v>
      </c>
      <c r="AT148" s="231">
        <f t="shared" si="113"/>
        <v>0</v>
      </c>
      <c r="AU148" s="231">
        <f t="shared" si="113"/>
        <v>0</v>
      </c>
      <c r="AV148" s="231">
        <f t="shared" si="113"/>
        <v>0</v>
      </c>
      <c r="AW148" s="231">
        <f t="shared" si="113"/>
        <v>0</v>
      </c>
      <c r="AX148" s="231">
        <f t="shared" si="114"/>
        <v>0</v>
      </c>
      <c r="AY148" s="231">
        <f t="shared" si="114"/>
        <v>0</v>
      </c>
      <c r="AZ148" s="231">
        <f t="shared" si="114"/>
        <v>0</v>
      </c>
      <c r="BA148" s="231">
        <f t="shared" si="114"/>
        <v>0</v>
      </c>
      <c r="BB148" s="231">
        <f t="shared" si="114"/>
        <v>0</v>
      </c>
      <c r="BC148" s="231">
        <f t="shared" si="114"/>
        <v>0</v>
      </c>
      <c r="BD148" s="231">
        <f t="shared" si="114"/>
        <v>0</v>
      </c>
      <c r="BE148" s="231">
        <f t="shared" si="114"/>
        <v>0</v>
      </c>
      <c r="BF148" s="231">
        <f t="shared" si="114"/>
        <v>0</v>
      </c>
      <c r="BG148" s="231">
        <f t="shared" si="114"/>
        <v>0</v>
      </c>
    </row>
    <row r="149" spans="6:59">
      <c r="F149" s="253" t="s">
        <v>328</v>
      </c>
      <c r="G149" s="253"/>
      <c r="H149" s="253"/>
      <c r="I149" s="268"/>
      <c r="J149" s="268"/>
      <c r="K149" s="268"/>
      <c r="L149" s="268"/>
      <c r="M149" s="268"/>
      <c r="N149" s="268"/>
      <c r="O149" s="268"/>
      <c r="P149" s="268"/>
      <c r="Q149" s="268"/>
      <c r="R149" s="268"/>
      <c r="S149" s="268"/>
      <c r="T149" s="254">
        <f>SUM(T139:T148)</f>
        <v>0</v>
      </c>
      <c r="U149" s="254">
        <f t="shared" ref="U149:BG149" si="116">SUM(U139:U148)</f>
        <v>0</v>
      </c>
      <c r="V149" s="254">
        <f t="shared" si="116"/>
        <v>0</v>
      </c>
      <c r="W149" s="254">
        <f t="shared" si="116"/>
        <v>0</v>
      </c>
      <c r="X149" s="254">
        <f t="shared" si="116"/>
        <v>0</v>
      </c>
      <c r="Y149" s="254">
        <f t="shared" si="116"/>
        <v>0</v>
      </c>
      <c r="Z149" s="254">
        <f t="shared" si="116"/>
        <v>0</v>
      </c>
      <c r="AA149" s="254">
        <f t="shared" si="116"/>
        <v>0</v>
      </c>
      <c r="AB149" s="254">
        <f t="shared" si="116"/>
        <v>0</v>
      </c>
      <c r="AC149" s="254">
        <f t="shared" si="116"/>
        <v>0</v>
      </c>
      <c r="AD149" s="254">
        <f t="shared" si="116"/>
        <v>0</v>
      </c>
      <c r="AE149" s="254">
        <f t="shared" si="116"/>
        <v>0</v>
      </c>
      <c r="AF149" s="254">
        <f t="shared" si="116"/>
        <v>0</v>
      </c>
      <c r="AG149" s="254">
        <f t="shared" si="116"/>
        <v>0</v>
      </c>
      <c r="AH149" s="254">
        <f t="shared" si="116"/>
        <v>0</v>
      </c>
      <c r="AI149" s="254">
        <f t="shared" si="116"/>
        <v>0</v>
      </c>
      <c r="AJ149" s="254">
        <f t="shared" si="116"/>
        <v>0</v>
      </c>
      <c r="AK149" s="254">
        <f t="shared" si="116"/>
        <v>0</v>
      </c>
      <c r="AL149" s="254">
        <f t="shared" si="116"/>
        <v>0</v>
      </c>
      <c r="AM149" s="254">
        <f t="shared" si="116"/>
        <v>0</v>
      </c>
      <c r="AN149" s="254">
        <f t="shared" si="116"/>
        <v>0</v>
      </c>
      <c r="AO149" s="254">
        <f t="shared" si="116"/>
        <v>0</v>
      </c>
      <c r="AP149" s="254">
        <f t="shared" si="116"/>
        <v>0</v>
      </c>
      <c r="AQ149" s="254">
        <f t="shared" si="116"/>
        <v>0</v>
      </c>
      <c r="AR149" s="254">
        <f t="shared" si="116"/>
        <v>0</v>
      </c>
      <c r="AS149" s="254">
        <f t="shared" si="116"/>
        <v>0</v>
      </c>
      <c r="AT149" s="254">
        <f t="shared" si="116"/>
        <v>0</v>
      </c>
      <c r="AU149" s="254">
        <f t="shared" si="116"/>
        <v>0</v>
      </c>
      <c r="AV149" s="254">
        <f t="shared" si="116"/>
        <v>0</v>
      </c>
      <c r="AW149" s="254">
        <f t="shared" si="116"/>
        <v>0</v>
      </c>
      <c r="AX149" s="254">
        <f t="shared" si="116"/>
        <v>0</v>
      </c>
      <c r="AY149" s="254">
        <f t="shared" si="116"/>
        <v>0</v>
      </c>
      <c r="AZ149" s="254">
        <f t="shared" si="116"/>
        <v>0</v>
      </c>
      <c r="BA149" s="254">
        <f t="shared" si="116"/>
        <v>0</v>
      </c>
      <c r="BB149" s="254">
        <f t="shared" si="116"/>
        <v>0</v>
      </c>
      <c r="BC149" s="254">
        <f t="shared" si="116"/>
        <v>0</v>
      </c>
      <c r="BD149" s="254">
        <f t="shared" si="116"/>
        <v>0</v>
      </c>
      <c r="BE149" s="254">
        <f t="shared" si="116"/>
        <v>0</v>
      </c>
      <c r="BF149" s="254">
        <f t="shared" si="116"/>
        <v>0</v>
      </c>
      <c r="BG149" s="254">
        <f t="shared" si="116"/>
        <v>0</v>
      </c>
    </row>
    <row r="150" spans="6:59">
      <c r="F150" s="255" t="s">
        <v>329</v>
      </c>
      <c r="J150" s="257" t="b">
        <f>COUNTIFS($T$150:$BG$150,"true")=COUNTA(T150:BG150)</f>
        <v>1</v>
      </c>
      <c r="T150" s="257" t="b">
        <f t="shared" ref="T150:BG150" si="117">ROUND(SUM(T$80:T$82),1)=ROUND(T149,1)</f>
        <v>1</v>
      </c>
      <c r="U150" s="257" t="b">
        <f t="shared" si="117"/>
        <v>1</v>
      </c>
      <c r="V150" s="257" t="b">
        <f t="shared" si="117"/>
        <v>1</v>
      </c>
      <c r="W150" s="257" t="b">
        <f t="shared" si="117"/>
        <v>1</v>
      </c>
      <c r="X150" s="257" t="b">
        <f t="shared" si="117"/>
        <v>1</v>
      </c>
      <c r="Y150" s="257" t="b">
        <f t="shared" si="117"/>
        <v>1</v>
      </c>
      <c r="Z150" s="257" t="b">
        <f t="shared" si="117"/>
        <v>1</v>
      </c>
      <c r="AA150" s="257" t="b">
        <f t="shared" si="117"/>
        <v>1</v>
      </c>
      <c r="AB150" s="257" t="b">
        <f t="shared" si="117"/>
        <v>1</v>
      </c>
      <c r="AC150" s="257" t="b">
        <f t="shared" si="117"/>
        <v>1</v>
      </c>
      <c r="AD150" s="257" t="b">
        <f t="shared" si="117"/>
        <v>1</v>
      </c>
      <c r="AE150" s="257" t="b">
        <f t="shared" si="117"/>
        <v>1</v>
      </c>
      <c r="AF150" s="257" t="b">
        <f t="shared" si="117"/>
        <v>1</v>
      </c>
      <c r="AG150" s="257" t="b">
        <f t="shared" si="117"/>
        <v>1</v>
      </c>
      <c r="AH150" s="257" t="b">
        <f t="shared" si="117"/>
        <v>1</v>
      </c>
      <c r="AI150" s="257" t="b">
        <f t="shared" si="117"/>
        <v>1</v>
      </c>
      <c r="AJ150" s="257" t="b">
        <f t="shared" si="117"/>
        <v>1</v>
      </c>
      <c r="AK150" s="257" t="b">
        <f t="shared" si="117"/>
        <v>1</v>
      </c>
      <c r="AL150" s="257" t="b">
        <f t="shared" si="117"/>
        <v>1</v>
      </c>
      <c r="AM150" s="257" t="b">
        <f t="shared" si="117"/>
        <v>1</v>
      </c>
      <c r="AN150" s="257" t="b">
        <f t="shared" si="117"/>
        <v>1</v>
      </c>
      <c r="AO150" s="257" t="b">
        <f t="shared" si="117"/>
        <v>1</v>
      </c>
      <c r="AP150" s="257" t="b">
        <f t="shared" si="117"/>
        <v>1</v>
      </c>
      <c r="AQ150" s="257" t="b">
        <f t="shared" si="117"/>
        <v>1</v>
      </c>
      <c r="AR150" s="257" t="b">
        <f t="shared" si="117"/>
        <v>1</v>
      </c>
      <c r="AS150" s="257" t="b">
        <f t="shared" si="117"/>
        <v>1</v>
      </c>
      <c r="AT150" s="257" t="b">
        <f t="shared" si="117"/>
        <v>1</v>
      </c>
      <c r="AU150" s="257" t="b">
        <f t="shared" si="117"/>
        <v>1</v>
      </c>
      <c r="AV150" s="257" t="b">
        <f t="shared" si="117"/>
        <v>1</v>
      </c>
      <c r="AW150" s="257" t="b">
        <f t="shared" si="117"/>
        <v>1</v>
      </c>
      <c r="AX150" s="257" t="b">
        <f t="shared" si="117"/>
        <v>1</v>
      </c>
      <c r="AY150" s="257" t="b">
        <f t="shared" si="117"/>
        <v>1</v>
      </c>
      <c r="AZ150" s="257" t="b">
        <f t="shared" si="117"/>
        <v>1</v>
      </c>
      <c r="BA150" s="257" t="b">
        <f t="shared" si="117"/>
        <v>1</v>
      </c>
      <c r="BB150" s="257" t="b">
        <f t="shared" si="117"/>
        <v>1</v>
      </c>
      <c r="BC150" s="257" t="b">
        <f t="shared" si="117"/>
        <v>1</v>
      </c>
      <c r="BD150" s="257" t="b">
        <f t="shared" si="117"/>
        <v>1</v>
      </c>
      <c r="BE150" s="257" t="b">
        <f t="shared" si="117"/>
        <v>1</v>
      </c>
      <c r="BF150" s="257" t="b">
        <f t="shared" si="117"/>
        <v>1</v>
      </c>
      <c r="BG150" s="257" t="b">
        <f t="shared" si="117"/>
        <v>1</v>
      </c>
    </row>
  </sheetData>
  <conditionalFormatting sqref="J150">
    <cfRule type="cellIs" dxfId="45" priority="3" operator="equal">
      <formula>FALSE</formula>
    </cfRule>
    <cfRule type="cellIs" dxfId="44" priority="4" operator="equal">
      <formula>TRUE</formula>
    </cfRule>
  </conditionalFormatting>
  <conditionalFormatting sqref="T150:BG150">
    <cfRule type="cellIs" dxfId="43" priority="1" operator="equal">
      <formula>FALSE</formula>
    </cfRule>
    <cfRule type="cellIs" dxfId="42" priority="2" operator="equal">
      <formula>TRUE</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A97AE-E14B-4878-A018-C398709B2BAC}">
  <sheetPr codeName="Sheet16">
    <tabColor rgb="FFC00000"/>
  </sheetPr>
  <dimension ref="A1:BK146"/>
  <sheetViews>
    <sheetView topLeftCell="I1" workbookViewId="0">
      <selection activeCell="T20" sqref="T20:BG22"/>
    </sheetView>
  </sheetViews>
  <sheetFormatPr baseColWidth="10" defaultColWidth="8.7109375" defaultRowHeight="15" outlineLevelRow="1"/>
  <cols>
    <col min="1" max="1" width="4.5703125" customWidth="1"/>
    <col min="2" max="2" width="5.5703125" customWidth="1"/>
    <col min="5" max="5" width="3.42578125" customWidth="1"/>
    <col min="6" max="6" width="20.42578125" bestFit="1" customWidth="1"/>
    <col min="7" max="7" width="3.5703125" customWidth="1"/>
    <col min="8" max="8" width="19.7109375" customWidth="1"/>
    <col min="9" max="9" width="2.5703125" customWidth="1"/>
    <col min="10" max="11" width="11.5703125" bestFit="1" customWidth="1"/>
    <col min="12" max="12" width="3.5703125" customWidth="1"/>
    <col min="13" max="15" width="18.28515625" bestFit="1" customWidth="1"/>
    <col min="16" max="16" width="14.28515625" customWidth="1"/>
    <col min="17" max="17" width="16.28515625" customWidth="1"/>
    <col min="19" max="19" width="12" bestFit="1" customWidth="1"/>
    <col min="20" max="20" width="10.5703125" bestFit="1" customWidth="1"/>
    <col min="21" max="21" width="11" bestFit="1" customWidth="1"/>
    <col min="22" max="22" width="10.5703125" bestFit="1" customWidth="1"/>
    <col min="23" max="23" width="10.7109375" bestFit="1" customWidth="1"/>
    <col min="24" max="24" width="10.5703125" bestFit="1" customWidth="1"/>
    <col min="25" max="25" width="11" bestFit="1" customWidth="1"/>
    <col min="26" max="26" width="10.5703125" bestFit="1" customWidth="1"/>
    <col min="27" max="27" width="10.7109375" bestFit="1" customWidth="1"/>
    <col min="28" max="28" width="10.5703125" bestFit="1" customWidth="1"/>
    <col min="29" max="29" width="11" bestFit="1" customWidth="1"/>
    <col min="30" max="30" width="10.5703125" bestFit="1" customWidth="1"/>
    <col min="31" max="31" width="10.7109375" bestFit="1" customWidth="1"/>
    <col min="32" max="32" width="10.5703125" bestFit="1" customWidth="1"/>
    <col min="33" max="33" width="11" bestFit="1" customWidth="1"/>
    <col min="34" max="34" width="10.5703125" bestFit="1" customWidth="1"/>
    <col min="35" max="35" width="10.7109375" bestFit="1" customWidth="1"/>
    <col min="36" max="36" width="10.5703125" bestFit="1" customWidth="1"/>
    <col min="37" max="37" width="11" bestFit="1" customWidth="1"/>
    <col min="38" max="38" width="10.5703125" bestFit="1" customWidth="1"/>
    <col min="39" max="39" width="10.7109375" bestFit="1" customWidth="1"/>
    <col min="40" max="40" width="10.5703125" bestFit="1" customWidth="1"/>
    <col min="41" max="41" width="11" bestFit="1" customWidth="1"/>
    <col min="42" max="42" width="10.5703125" bestFit="1" customWidth="1"/>
    <col min="43" max="43" width="10.7109375" bestFit="1" customWidth="1"/>
    <col min="44" max="44" width="10.5703125" bestFit="1" customWidth="1"/>
    <col min="45" max="45" width="11" bestFit="1" customWidth="1"/>
    <col min="46" max="46" width="10.5703125" bestFit="1" customWidth="1"/>
    <col min="47" max="47" width="10.7109375" bestFit="1" customWidth="1"/>
    <col min="48" max="48" width="10.5703125" bestFit="1" customWidth="1"/>
    <col min="49" max="49" width="11" bestFit="1" customWidth="1"/>
    <col min="50" max="50" width="10.5703125" bestFit="1" customWidth="1"/>
    <col min="51" max="51" width="10.7109375" bestFit="1" customWidth="1"/>
    <col min="52" max="52" width="10.5703125" bestFit="1" customWidth="1"/>
    <col min="53" max="53" width="11" bestFit="1" customWidth="1"/>
    <col min="54" max="54" width="10.5703125" bestFit="1" customWidth="1"/>
    <col min="55" max="55" width="10.7109375" bestFit="1" customWidth="1"/>
    <col min="56" max="56" width="10.5703125" bestFit="1" customWidth="1"/>
    <col min="57" max="57" width="11" bestFit="1" customWidth="1"/>
    <col min="58" max="58" width="10.5703125" bestFit="1" customWidth="1"/>
    <col min="59" max="59" width="10.7109375" bestFit="1" customWidth="1"/>
    <col min="60" max="60" width="3.28515625" customWidth="1"/>
    <col min="61" max="61" width="16.42578125" customWidth="1"/>
    <col min="62" max="62" width="3.42578125" customWidth="1"/>
    <col min="63" max="63" width="19.7109375" customWidth="1"/>
  </cols>
  <sheetData>
    <row r="1" spans="1:61" s="1" customFormat="1">
      <c r="A1" s="1" t="str">
        <f ca="1">UPPER(MID(CELL("filename",A1),FIND("[",CELL("filename",A1))+1,FIND("]",CELL("filename",A1))-FIND("[",CELL("filename",A1))-5))</f>
        <v>VORLAGE.</v>
      </c>
    </row>
    <row r="2" spans="1:61" s="1" customFormat="1">
      <c r="A2" s="1" t="s">
        <v>380</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401</v>
      </c>
      <c r="K14" s="318">
        <f>GA!$F$145</f>
        <v>1.8697495154929022E-3</v>
      </c>
      <c r="S14" s="207">
        <v>1</v>
      </c>
      <c r="T14" s="319">
        <f>S14*(1+$K14)</f>
        <v>1.0018697495154929</v>
      </c>
      <c r="U14" s="319">
        <f t="shared" ref="U14:BG14" si="0">T14*(1+$K14)</f>
        <v>1.0037429949942365</v>
      </c>
      <c r="V14" s="319">
        <f t="shared" si="0"/>
        <v>1.0056197429728064</v>
      </c>
      <c r="W14" s="319">
        <f t="shared" si="0"/>
        <v>1.0074999999999998</v>
      </c>
      <c r="X14" s="319">
        <f t="shared" si="0"/>
        <v>1.0093837726368589</v>
      </c>
      <c r="Y14" s="319">
        <f t="shared" si="0"/>
        <v>1.0112710674566929</v>
      </c>
      <c r="Z14" s="319">
        <f t="shared" si="0"/>
        <v>1.0131618910451021</v>
      </c>
      <c r="AA14" s="319">
        <f t="shared" si="0"/>
        <v>1.0150562499999995</v>
      </c>
      <c r="AB14" s="319">
        <f t="shared" si="0"/>
        <v>1.0169541509316351</v>
      </c>
      <c r="AC14" s="319">
        <f t="shared" si="0"/>
        <v>1.0188556004626179</v>
      </c>
      <c r="AD14" s="319">
        <f t="shared" si="0"/>
        <v>1.0207606052279401</v>
      </c>
      <c r="AE14" s="319">
        <f t="shared" si="0"/>
        <v>1.0226691718749992</v>
      </c>
      <c r="AF14" s="319">
        <f t="shared" si="0"/>
        <v>1.024581307063622</v>
      </c>
      <c r="AG14" s="319">
        <f t="shared" si="0"/>
        <v>1.0264970174660872</v>
      </c>
      <c r="AH14" s="319">
        <f t="shared" si="0"/>
        <v>1.0284163097671493</v>
      </c>
      <c r="AI14" s="319">
        <f t="shared" si="0"/>
        <v>1.0303391906640613</v>
      </c>
      <c r="AJ14" s="319">
        <f t="shared" si="0"/>
        <v>1.0322656668665988</v>
      </c>
      <c r="AK14" s="319">
        <f t="shared" si="0"/>
        <v>1.0341957450970827</v>
      </c>
      <c r="AL14" s="319">
        <f t="shared" si="0"/>
        <v>1.0361294320904029</v>
      </c>
      <c r="AM14" s="319">
        <f t="shared" si="0"/>
        <v>1.0380667345940418</v>
      </c>
      <c r="AN14" s="319">
        <f t="shared" si="0"/>
        <v>1.0400076593680982</v>
      </c>
      <c r="AO14" s="319">
        <f t="shared" si="0"/>
        <v>1.0419522131853107</v>
      </c>
      <c r="AP14" s="319">
        <f t="shared" si="0"/>
        <v>1.0439004028310808</v>
      </c>
      <c r="AQ14" s="319">
        <f t="shared" si="0"/>
        <v>1.0458522351034971</v>
      </c>
      <c r="AR14" s="319">
        <f t="shared" si="0"/>
        <v>1.047807716813359</v>
      </c>
      <c r="AS14" s="319">
        <f t="shared" si="0"/>
        <v>1.0497668547842005</v>
      </c>
      <c r="AT14" s="319">
        <f t="shared" si="0"/>
        <v>1.0517296558523137</v>
      </c>
      <c r="AU14" s="319">
        <f t="shared" si="0"/>
        <v>1.0536961268667731</v>
      </c>
      <c r="AV14" s="319">
        <f t="shared" si="0"/>
        <v>1.0556662746894589</v>
      </c>
      <c r="AW14" s="319">
        <f t="shared" si="0"/>
        <v>1.0576401061950818</v>
      </c>
      <c r="AX14" s="319">
        <f t="shared" si="0"/>
        <v>1.0596176282712058</v>
      </c>
      <c r="AY14" s="319">
        <f t="shared" si="0"/>
        <v>1.0615988478182736</v>
      </c>
      <c r="AZ14" s="319">
        <f t="shared" si="0"/>
        <v>1.0635837717496297</v>
      </c>
      <c r="BA14" s="319">
        <f t="shared" si="0"/>
        <v>1.0655724069915447</v>
      </c>
      <c r="BB14" s="319">
        <f t="shared" si="0"/>
        <v>1.0675647604832397</v>
      </c>
      <c r="BC14" s="319">
        <f t="shared" si="0"/>
        <v>1.0695608391769105</v>
      </c>
      <c r="BD14" s="319">
        <f t="shared" si="0"/>
        <v>1.0715606500377517</v>
      </c>
      <c r="BE14" s="319">
        <f t="shared" si="0"/>
        <v>1.0735642000439811</v>
      </c>
      <c r="BF14" s="319">
        <f t="shared" si="0"/>
        <v>1.0755714961868639</v>
      </c>
      <c r="BG14" s="319">
        <f t="shared" si="0"/>
        <v>1.0775825454707373</v>
      </c>
    </row>
    <row r="15" spans="1:61">
      <c r="C15" t="s">
        <v>402</v>
      </c>
      <c r="K15" s="278" t="str">
        <f>GA!$G$143</f>
        <v>Quarterly</v>
      </c>
      <c r="S15" s="207">
        <v>1</v>
      </c>
      <c r="T15" s="319">
        <f>IF(K15="Annually",IF(T$9=1,T14,S15),T14)</f>
        <v>1.0018697495154929</v>
      </c>
      <c r="U15" s="319">
        <f t="shared" ref="U15:BG15" si="1">IF(L15="Annually",IF(U$9=1,U14,T15),U14)</f>
        <v>1.0037429949942365</v>
      </c>
      <c r="V15" s="319">
        <f t="shared" si="1"/>
        <v>1.0056197429728064</v>
      </c>
      <c r="W15" s="319">
        <f t="shared" si="1"/>
        <v>1.0074999999999998</v>
      </c>
      <c r="X15" s="319">
        <f t="shared" si="1"/>
        <v>1.0093837726368589</v>
      </c>
      <c r="Y15" s="319">
        <f t="shared" si="1"/>
        <v>1.0112710674566929</v>
      </c>
      <c r="Z15" s="319">
        <f t="shared" si="1"/>
        <v>1.0131618910451021</v>
      </c>
      <c r="AA15" s="319">
        <f t="shared" si="1"/>
        <v>1.0150562499999995</v>
      </c>
      <c r="AB15" s="319">
        <f t="shared" si="1"/>
        <v>1.0169541509316351</v>
      </c>
      <c r="AC15" s="319">
        <f t="shared" si="1"/>
        <v>1.0188556004626179</v>
      </c>
      <c r="AD15" s="319">
        <f t="shared" si="1"/>
        <v>1.0207606052279401</v>
      </c>
      <c r="AE15" s="319">
        <f t="shared" si="1"/>
        <v>1.0226691718749992</v>
      </c>
      <c r="AF15" s="319">
        <f t="shared" si="1"/>
        <v>1.024581307063622</v>
      </c>
      <c r="AG15" s="319">
        <f t="shared" si="1"/>
        <v>1.0264970174660872</v>
      </c>
      <c r="AH15" s="319">
        <f t="shared" si="1"/>
        <v>1.0284163097671493</v>
      </c>
      <c r="AI15" s="319">
        <f t="shared" si="1"/>
        <v>1.0303391906640613</v>
      </c>
      <c r="AJ15" s="319">
        <f t="shared" si="1"/>
        <v>1.0322656668665988</v>
      </c>
      <c r="AK15" s="319">
        <f t="shared" si="1"/>
        <v>1.0341957450970827</v>
      </c>
      <c r="AL15" s="319">
        <f t="shared" si="1"/>
        <v>1.0361294320904029</v>
      </c>
      <c r="AM15" s="319">
        <f t="shared" si="1"/>
        <v>1.0380667345940418</v>
      </c>
      <c r="AN15" s="319">
        <f t="shared" si="1"/>
        <v>1.0400076593680982</v>
      </c>
      <c r="AO15" s="319">
        <f t="shared" si="1"/>
        <v>1.0419522131853107</v>
      </c>
      <c r="AP15" s="319">
        <f t="shared" si="1"/>
        <v>1.0439004028310808</v>
      </c>
      <c r="AQ15" s="319">
        <f t="shared" si="1"/>
        <v>1.0458522351034971</v>
      </c>
      <c r="AR15" s="319">
        <f t="shared" si="1"/>
        <v>1.047807716813359</v>
      </c>
      <c r="AS15" s="319">
        <f t="shared" si="1"/>
        <v>1.0497668547842005</v>
      </c>
      <c r="AT15" s="319">
        <f t="shared" si="1"/>
        <v>1.0517296558523137</v>
      </c>
      <c r="AU15" s="319">
        <f t="shared" si="1"/>
        <v>1.0536961268667731</v>
      </c>
      <c r="AV15" s="319">
        <f t="shared" si="1"/>
        <v>1.0556662746894589</v>
      </c>
      <c r="AW15" s="319">
        <f t="shared" si="1"/>
        <v>1.0576401061950818</v>
      </c>
      <c r="AX15" s="319">
        <f t="shared" si="1"/>
        <v>1.0596176282712058</v>
      </c>
      <c r="AY15" s="319">
        <f t="shared" si="1"/>
        <v>1.0615988478182736</v>
      </c>
      <c r="AZ15" s="319">
        <f t="shared" si="1"/>
        <v>1.0635837717496297</v>
      </c>
      <c r="BA15" s="319">
        <f t="shared" si="1"/>
        <v>1.0655724069915447</v>
      </c>
      <c r="BB15" s="319">
        <f t="shared" si="1"/>
        <v>1.0675647604832397</v>
      </c>
      <c r="BC15" s="319">
        <f t="shared" si="1"/>
        <v>1.0695608391769105</v>
      </c>
      <c r="BD15" s="319">
        <f t="shared" si="1"/>
        <v>1.0715606500377517</v>
      </c>
      <c r="BE15" s="319">
        <f t="shared" si="1"/>
        <v>1.0735642000439811</v>
      </c>
      <c r="BF15" s="319">
        <f t="shared" si="1"/>
        <v>1.0755714961868639</v>
      </c>
      <c r="BG15" s="319">
        <f t="shared" si="1"/>
        <v>1.0775825454707373</v>
      </c>
    </row>
    <row r="17" spans="2:63" s="90" customFormat="1">
      <c r="B17" s="91">
        <f ca="1">MAX(A$1:$B16)+1</f>
        <v>2</v>
      </c>
      <c r="C17" s="92" t="s">
        <v>147</v>
      </c>
    </row>
    <row r="19" spans="2:63" ht="30">
      <c r="C19" s="96" t="s">
        <v>4</v>
      </c>
      <c r="D19" s="97" t="s">
        <v>148</v>
      </c>
      <c r="E19" s="95"/>
      <c r="F19" s="97" t="s">
        <v>149</v>
      </c>
      <c r="G19" s="95"/>
      <c r="H19" s="97" t="s">
        <v>150</v>
      </c>
      <c r="I19" s="95"/>
      <c r="J19" s="97" t="s">
        <v>272</v>
      </c>
      <c r="K19" s="97" t="s">
        <v>1711</v>
      </c>
      <c r="L19" s="95"/>
      <c r="M19" s="101" t="s">
        <v>151</v>
      </c>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104" t="s">
        <v>152</v>
      </c>
      <c r="BJ19" s="95"/>
      <c r="BK19" s="102"/>
    </row>
    <row r="20" spans="2:63">
      <c r="C20" s="98">
        <f>RR!C23</f>
        <v>1</v>
      </c>
      <c r="D20" s="98" t="str">
        <f>RR!E23</f>
        <v>1 - 1</v>
      </c>
      <c r="F20" s="93" t="str">
        <f>INDEX(RR!K:K,MATCH(D20,RR!E:E,0))</f>
        <v>backup</v>
      </c>
      <c r="H20" s="72" t="s">
        <v>147</v>
      </c>
      <c r="J20" s="1324">
        <f>INDEX(AA!E:E,MATCH($C20,AA!C:C,0))</f>
        <v>1</v>
      </c>
      <c r="K20" s="1324">
        <f>INDEX(AA!$T$13:$T$47,MATCH($C20,AA!$C$13:$C$47,0))</f>
        <v>1</v>
      </c>
      <c r="M20" s="1324">
        <f>INDEX(AA!AA:AA,MATCH($C20,AA!C:C,0))</f>
        <v>12</v>
      </c>
      <c r="T20" s="230">
        <f>(T$5&lt;=$M20)*$J20*(T$5&gt;=$K20)</f>
        <v>1</v>
      </c>
      <c r="U20" s="230">
        <f t="shared" ref="U20:AJ22" si="2">(U$5&lt;=$M20)*$J20*(U$5&gt;=$K20)</f>
        <v>1</v>
      </c>
      <c r="V20" s="230">
        <f t="shared" si="2"/>
        <v>1</v>
      </c>
      <c r="W20" s="230">
        <f t="shared" si="2"/>
        <v>1</v>
      </c>
      <c r="X20" s="230">
        <f t="shared" si="2"/>
        <v>1</v>
      </c>
      <c r="Y20" s="230">
        <f t="shared" si="2"/>
        <v>1</v>
      </c>
      <c r="Z20" s="230">
        <f t="shared" si="2"/>
        <v>1</v>
      </c>
      <c r="AA20" s="230">
        <f t="shared" si="2"/>
        <v>1</v>
      </c>
      <c r="AB20" s="230">
        <f t="shared" si="2"/>
        <v>1</v>
      </c>
      <c r="AC20" s="230">
        <f t="shared" si="2"/>
        <v>1</v>
      </c>
      <c r="AD20" s="230">
        <f t="shared" si="2"/>
        <v>1</v>
      </c>
      <c r="AE20" s="230">
        <f t="shared" si="2"/>
        <v>1</v>
      </c>
      <c r="AF20" s="230">
        <f t="shared" si="2"/>
        <v>0</v>
      </c>
      <c r="AG20" s="230">
        <f t="shared" si="2"/>
        <v>0</v>
      </c>
      <c r="AH20" s="230">
        <f t="shared" si="2"/>
        <v>0</v>
      </c>
      <c r="AI20" s="230">
        <f t="shared" si="2"/>
        <v>0</v>
      </c>
      <c r="AJ20" s="230">
        <f t="shared" si="2"/>
        <v>0</v>
      </c>
      <c r="AK20" s="230">
        <f t="shared" ref="AK20:AZ22" si="3">(AK$5&lt;=$M20)*$J20*(AK$5&gt;=$K20)</f>
        <v>0</v>
      </c>
      <c r="AL20" s="230">
        <f t="shared" si="3"/>
        <v>0</v>
      </c>
      <c r="AM20" s="230">
        <f t="shared" si="3"/>
        <v>0</v>
      </c>
      <c r="AN20" s="230">
        <f t="shared" si="3"/>
        <v>0</v>
      </c>
      <c r="AO20" s="230">
        <f t="shared" si="3"/>
        <v>0</v>
      </c>
      <c r="AP20" s="230">
        <f t="shared" si="3"/>
        <v>0</v>
      </c>
      <c r="AQ20" s="230">
        <f t="shared" si="3"/>
        <v>0</v>
      </c>
      <c r="AR20" s="230">
        <f t="shared" si="3"/>
        <v>0</v>
      </c>
      <c r="AS20" s="230">
        <f t="shared" si="3"/>
        <v>0</v>
      </c>
      <c r="AT20" s="230">
        <f t="shared" si="3"/>
        <v>0</v>
      </c>
      <c r="AU20" s="230">
        <f t="shared" si="3"/>
        <v>0</v>
      </c>
      <c r="AV20" s="230">
        <f t="shared" si="3"/>
        <v>0</v>
      </c>
      <c r="AW20" s="230">
        <f t="shared" si="3"/>
        <v>0</v>
      </c>
      <c r="AX20" s="230">
        <f t="shared" si="3"/>
        <v>0</v>
      </c>
      <c r="AY20" s="230">
        <f t="shared" si="3"/>
        <v>0</v>
      </c>
      <c r="AZ20" s="230">
        <f t="shared" si="3"/>
        <v>0</v>
      </c>
      <c r="BA20" s="230">
        <f t="shared" ref="BA20:BG22" si="4">(BA$5&lt;=$M20)*$J20*(BA$5&gt;=$K20)</f>
        <v>0</v>
      </c>
      <c r="BB20" s="230">
        <f t="shared" si="4"/>
        <v>0</v>
      </c>
      <c r="BC20" s="230">
        <f t="shared" si="4"/>
        <v>0</v>
      </c>
      <c r="BD20" s="230">
        <f t="shared" si="4"/>
        <v>0</v>
      </c>
      <c r="BE20" s="230">
        <f t="shared" si="4"/>
        <v>0</v>
      </c>
      <c r="BF20" s="230">
        <f t="shared" si="4"/>
        <v>0</v>
      </c>
      <c r="BG20" s="230">
        <f t="shared" si="4"/>
        <v>0</v>
      </c>
      <c r="BI20" s="105" t="s">
        <v>153</v>
      </c>
      <c r="BK20" s="103"/>
    </row>
    <row r="21" spans="2:63">
      <c r="C21" s="99">
        <f>RR!C24</f>
        <v>2</v>
      </c>
      <c r="D21" s="99" t="str">
        <f>RR!E24</f>
        <v>2 - 1</v>
      </c>
      <c r="F21" s="94" t="str">
        <f>INDEX(RR!K:K,MATCH(D21,RR!E:E,0))</f>
        <v>backup</v>
      </c>
      <c r="H21" s="73" t="s">
        <v>147</v>
      </c>
      <c r="J21" s="1325">
        <f>INDEX(AA!E:E,MATCH($C21,AA!C:C,0))</f>
        <v>1</v>
      </c>
      <c r="K21" s="1325">
        <f>INDEX(AA!$T$13:$T$47,MATCH($C21,AA!$C$13:$C$47,0))</f>
        <v>2</v>
      </c>
      <c r="M21" s="1325">
        <f>INDEX(AA!AA:AA,MATCH($C21,AA!C:C,0))</f>
        <v>12</v>
      </c>
      <c r="T21" s="230">
        <f t="shared" ref="T21:T22" si="5">(T$5&lt;=$M21)*$J21*(T$5&gt;=$K21)</f>
        <v>0</v>
      </c>
      <c r="U21" s="230">
        <f t="shared" si="2"/>
        <v>1</v>
      </c>
      <c r="V21" s="230">
        <f t="shared" si="2"/>
        <v>1</v>
      </c>
      <c r="W21" s="230">
        <f t="shared" si="2"/>
        <v>1</v>
      </c>
      <c r="X21" s="230">
        <f t="shared" si="2"/>
        <v>1</v>
      </c>
      <c r="Y21" s="230">
        <f t="shared" si="2"/>
        <v>1</v>
      </c>
      <c r="Z21" s="230">
        <f t="shared" si="2"/>
        <v>1</v>
      </c>
      <c r="AA21" s="230">
        <f t="shared" si="2"/>
        <v>1</v>
      </c>
      <c r="AB21" s="230">
        <f t="shared" si="2"/>
        <v>1</v>
      </c>
      <c r="AC21" s="230">
        <f t="shared" si="2"/>
        <v>1</v>
      </c>
      <c r="AD21" s="230">
        <f t="shared" si="2"/>
        <v>1</v>
      </c>
      <c r="AE21" s="230">
        <f t="shared" si="2"/>
        <v>1</v>
      </c>
      <c r="AF21" s="230">
        <f t="shared" si="2"/>
        <v>0</v>
      </c>
      <c r="AG21" s="230">
        <f t="shared" si="2"/>
        <v>0</v>
      </c>
      <c r="AH21" s="230">
        <f t="shared" si="2"/>
        <v>0</v>
      </c>
      <c r="AI21" s="230">
        <f t="shared" si="2"/>
        <v>0</v>
      </c>
      <c r="AJ21" s="230">
        <f t="shared" si="2"/>
        <v>0</v>
      </c>
      <c r="AK21" s="230">
        <f t="shared" si="3"/>
        <v>0</v>
      </c>
      <c r="AL21" s="230">
        <f t="shared" si="3"/>
        <v>0</v>
      </c>
      <c r="AM21" s="230">
        <f t="shared" si="3"/>
        <v>0</v>
      </c>
      <c r="AN21" s="230">
        <f t="shared" si="3"/>
        <v>0</v>
      </c>
      <c r="AO21" s="230">
        <f t="shared" si="3"/>
        <v>0</v>
      </c>
      <c r="AP21" s="230">
        <f t="shared" si="3"/>
        <v>0</v>
      </c>
      <c r="AQ21" s="230">
        <f t="shared" si="3"/>
        <v>0</v>
      </c>
      <c r="AR21" s="230">
        <f t="shared" si="3"/>
        <v>0</v>
      </c>
      <c r="AS21" s="230">
        <f t="shared" si="3"/>
        <v>0</v>
      </c>
      <c r="AT21" s="230">
        <f t="shared" si="3"/>
        <v>0</v>
      </c>
      <c r="AU21" s="230">
        <f t="shared" si="3"/>
        <v>0</v>
      </c>
      <c r="AV21" s="230">
        <f t="shared" si="3"/>
        <v>0</v>
      </c>
      <c r="AW21" s="230">
        <f t="shared" si="3"/>
        <v>0</v>
      </c>
      <c r="AX21" s="230">
        <f t="shared" si="3"/>
        <v>0</v>
      </c>
      <c r="AY21" s="230">
        <f t="shared" si="3"/>
        <v>0</v>
      </c>
      <c r="AZ21" s="230">
        <f t="shared" si="3"/>
        <v>0</v>
      </c>
      <c r="BA21" s="230">
        <f t="shared" si="4"/>
        <v>0</v>
      </c>
      <c r="BB21" s="230">
        <f t="shared" si="4"/>
        <v>0</v>
      </c>
      <c r="BC21" s="230">
        <f t="shared" si="4"/>
        <v>0</v>
      </c>
      <c r="BD21" s="230">
        <f t="shared" si="4"/>
        <v>0</v>
      </c>
      <c r="BE21" s="230">
        <f t="shared" si="4"/>
        <v>0</v>
      </c>
      <c r="BF21" s="230">
        <f t="shared" si="4"/>
        <v>0</v>
      </c>
      <c r="BG21" s="230">
        <f t="shared" si="4"/>
        <v>0</v>
      </c>
      <c r="BI21" s="106" t="s">
        <v>153</v>
      </c>
      <c r="BK21" s="103"/>
    </row>
    <row r="22" spans="2:63">
      <c r="C22" s="99">
        <f>RR!C25</f>
        <v>3</v>
      </c>
      <c r="D22" s="99" t="str">
        <f>RR!E25</f>
        <v>3 - 1</v>
      </c>
      <c r="F22" s="94" t="str">
        <f>INDEX(RR!K:K,MATCH(D22,RR!E:E,0))</f>
        <v>backup</v>
      </c>
      <c r="H22" s="73" t="s">
        <v>147</v>
      </c>
      <c r="J22" s="1325">
        <f>INDEX(AA!E:E,MATCH($C22,AA!C:C,0))</f>
        <v>1</v>
      </c>
      <c r="K22" s="1325">
        <f>INDEX(AA!$T$13:$T$47,MATCH($C22,AA!$C$13:$C$47,0))</f>
        <v>3</v>
      </c>
      <c r="M22" s="1325">
        <f>INDEX(AA!AA:AA,MATCH($C22,AA!C:C,0))</f>
        <v>12</v>
      </c>
      <c r="T22" s="230">
        <f t="shared" si="5"/>
        <v>0</v>
      </c>
      <c r="U22" s="230">
        <f t="shared" si="2"/>
        <v>0</v>
      </c>
      <c r="V22" s="230">
        <f t="shared" si="2"/>
        <v>1</v>
      </c>
      <c r="W22" s="230">
        <f t="shared" si="2"/>
        <v>1</v>
      </c>
      <c r="X22" s="230">
        <f t="shared" si="2"/>
        <v>1</v>
      </c>
      <c r="Y22" s="230">
        <f t="shared" si="2"/>
        <v>1</v>
      </c>
      <c r="Z22" s="230">
        <f t="shared" si="2"/>
        <v>1</v>
      </c>
      <c r="AA22" s="230">
        <f t="shared" si="2"/>
        <v>1</v>
      </c>
      <c r="AB22" s="230">
        <f t="shared" si="2"/>
        <v>1</v>
      </c>
      <c r="AC22" s="230">
        <f t="shared" si="2"/>
        <v>1</v>
      </c>
      <c r="AD22" s="230">
        <f t="shared" si="2"/>
        <v>1</v>
      </c>
      <c r="AE22" s="230">
        <f t="shared" si="2"/>
        <v>1</v>
      </c>
      <c r="AF22" s="230">
        <f t="shared" si="2"/>
        <v>0</v>
      </c>
      <c r="AG22" s="230">
        <f t="shared" si="2"/>
        <v>0</v>
      </c>
      <c r="AH22" s="230">
        <f t="shared" si="2"/>
        <v>0</v>
      </c>
      <c r="AI22" s="230">
        <f t="shared" si="2"/>
        <v>0</v>
      </c>
      <c r="AJ22" s="230">
        <f t="shared" si="2"/>
        <v>0</v>
      </c>
      <c r="AK22" s="230">
        <f t="shared" si="3"/>
        <v>0</v>
      </c>
      <c r="AL22" s="230">
        <f t="shared" si="3"/>
        <v>0</v>
      </c>
      <c r="AM22" s="230">
        <f t="shared" si="3"/>
        <v>0</v>
      </c>
      <c r="AN22" s="230">
        <f t="shared" si="3"/>
        <v>0</v>
      </c>
      <c r="AO22" s="230">
        <f t="shared" si="3"/>
        <v>0</v>
      </c>
      <c r="AP22" s="230">
        <f t="shared" si="3"/>
        <v>0</v>
      </c>
      <c r="AQ22" s="230">
        <f t="shared" si="3"/>
        <v>0</v>
      </c>
      <c r="AR22" s="230">
        <f t="shared" si="3"/>
        <v>0</v>
      </c>
      <c r="AS22" s="230">
        <f t="shared" si="3"/>
        <v>0</v>
      </c>
      <c r="AT22" s="230">
        <f t="shared" si="3"/>
        <v>0</v>
      </c>
      <c r="AU22" s="230">
        <f t="shared" si="3"/>
        <v>0</v>
      </c>
      <c r="AV22" s="230">
        <f t="shared" si="3"/>
        <v>0</v>
      </c>
      <c r="AW22" s="230">
        <f t="shared" si="3"/>
        <v>0</v>
      </c>
      <c r="AX22" s="230">
        <f t="shared" si="3"/>
        <v>0</v>
      </c>
      <c r="AY22" s="230">
        <f t="shared" si="3"/>
        <v>0</v>
      </c>
      <c r="AZ22" s="230">
        <f t="shared" si="3"/>
        <v>0</v>
      </c>
      <c r="BA22" s="230">
        <f t="shared" si="4"/>
        <v>0</v>
      </c>
      <c r="BB22" s="230">
        <f t="shared" si="4"/>
        <v>0</v>
      </c>
      <c r="BC22" s="230">
        <f t="shared" si="4"/>
        <v>0</v>
      </c>
      <c r="BD22" s="230">
        <f t="shared" si="4"/>
        <v>0</v>
      </c>
      <c r="BE22" s="230">
        <f t="shared" si="4"/>
        <v>0</v>
      </c>
      <c r="BF22" s="230">
        <f t="shared" si="4"/>
        <v>0</v>
      </c>
      <c r="BG22" s="230">
        <f t="shared" si="4"/>
        <v>0</v>
      </c>
      <c r="BI22" s="106" t="s">
        <v>153</v>
      </c>
      <c r="BK22" s="103"/>
    </row>
    <row r="23" spans="2:63">
      <c r="C23" s="269"/>
      <c r="D23" s="269"/>
      <c r="F23" s="269"/>
      <c r="H23" s="269"/>
      <c r="J23" s="269"/>
      <c r="M23" s="269"/>
      <c r="BI23" s="269"/>
      <c r="BK23" s="269"/>
    </row>
    <row r="25" spans="2:63" s="90" customFormat="1">
      <c r="B25" s="91">
        <f ca="1">MAX(A$1:$B24)+1</f>
        <v>3</v>
      </c>
      <c r="C25" s="92" t="s">
        <v>154</v>
      </c>
    </row>
    <row r="27" spans="2:63">
      <c r="M27" s="226" t="s">
        <v>381</v>
      </c>
      <c r="N27" s="225"/>
    </row>
    <row r="28" spans="2:63" ht="30">
      <c r="C28" s="96" t="s">
        <v>4</v>
      </c>
      <c r="D28" s="97" t="s">
        <v>148</v>
      </c>
      <c r="E28" s="95"/>
      <c r="F28" s="97" t="s">
        <v>149</v>
      </c>
      <c r="G28" s="95"/>
      <c r="H28" s="97" t="s">
        <v>150</v>
      </c>
      <c r="I28" s="95"/>
      <c r="J28" s="97" t="s">
        <v>272</v>
      </c>
      <c r="K28" s="97" t="s">
        <v>273</v>
      </c>
      <c r="M28" s="171" t="s">
        <v>382</v>
      </c>
      <c r="N28" s="101" t="s">
        <v>11</v>
      </c>
      <c r="BI28" s="104" t="s">
        <v>152</v>
      </c>
      <c r="BJ28" s="95"/>
      <c r="BK28" s="102"/>
    </row>
    <row r="29" spans="2:63">
      <c r="C29" s="98">
        <f>RR!C23</f>
        <v>1</v>
      </c>
      <c r="D29" s="98" t="str">
        <f>RR!E23</f>
        <v>1 - 1</v>
      </c>
      <c r="F29" s="93" t="str">
        <f>INDEX(RR!K:K,MATCH(D29,RR!E:E,0))</f>
        <v>backup</v>
      </c>
      <c r="H29" s="72" t="s">
        <v>154</v>
      </c>
      <c r="J29" s="1324">
        <f>INDEX(AA!E:E,MATCH($C29,AA!C:C,0))</f>
        <v>1</v>
      </c>
      <c r="K29" s="1324">
        <f>INDEX(TA!$G:$G,MATCH($D29,TA!$D:$D,0))</f>
        <v>1</v>
      </c>
      <c r="M29" s="285">
        <f>INDEX(TA!$EA$15:$EA$17,MATCH($D29,TA!$D$15:$D$17,0))</f>
        <v>0</v>
      </c>
      <c r="N29" s="286">
        <f>INDEX(TA!$DT$15:$DT$17,MATCH($D29,TA!$D$15:$D$17,0))</f>
        <v>51136</v>
      </c>
      <c r="T29" s="230">
        <f>$M29*$J29*$K29*IFERROR(MAX(MIN((T$4-$N29+1)/T$7,1),0),0)</f>
        <v>0</v>
      </c>
      <c r="U29" s="230">
        <f t="shared" ref="U29:BG30" si="6">$M29*$J29*$K29*IFERROR(MAX(MIN((U$4-$N29+1)/U$7,1),0),0)</f>
        <v>0</v>
      </c>
      <c r="V29" s="230">
        <f t="shared" si="6"/>
        <v>0</v>
      </c>
      <c r="W29" s="230">
        <f t="shared" si="6"/>
        <v>0</v>
      </c>
      <c r="X29" s="230">
        <f t="shared" si="6"/>
        <v>0</v>
      </c>
      <c r="Y29" s="230">
        <f t="shared" si="6"/>
        <v>0</v>
      </c>
      <c r="Z29" s="230">
        <f t="shared" si="6"/>
        <v>0</v>
      </c>
      <c r="AA29" s="230">
        <f t="shared" si="6"/>
        <v>0</v>
      </c>
      <c r="AB29" s="230">
        <f t="shared" si="6"/>
        <v>0</v>
      </c>
      <c r="AC29" s="230">
        <f t="shared" si="6"/>
        <v>0</v>
      </c>
      <c r="AD29" s="230">
        <f t="shared" si="6"/>
        <v>0</v>
      </c>
      <c r="AE29" s="230">
        <f t="shared" si="6"/>
        <v>0</v>
      </c>
      <c r="AF29" s="230">
        <f t="shared" si="6"/>
        <v>0</v>
      </c>
      <c r="AG29" s="230">
        <f t="shared" si="6"/>
        <v>0</v>
      </c>
      <c r="AH29" s="230">
        <f t="shared" si="6"/>
        <v>0</v>
      </c>
      <c r="AI29" s="230">
        <f t="shared" si="6"/>
        <v>0</v>
      </c>
      <c r="AJ29" s="230">
        <f t="shared" si="6"/>
        <v>0</v>
      </c>
      <c r="AK29" s="230">
        <f t="shared" si="6"/>
        <v>0</v>
      </c>
      <c r="AL29" s="230">
        <f t="shared" si="6"/>
        <v>0</v>
      </c>
      <c r="AM29" s="230">
        <f t="shared" si="6"/>
        <v>0</v>
      </c>
      <c r="AN29" s="230">
        <f t="shared" si="6"/>
        <v>0</v>
      </c>
      <c r="AO29" s="230">
        <f t="shared" si="6"/>
        <v>0</v>
      </c>
      <c r="AP29" s="230">
        <f t="shared" si="6"/>
        <v>0</v>
      </c>
      <c r="AQ29" s="230">
        <f t="shared" si="6"/>
        <v>0</v>
      </c>
      <c r="AR29" s="230">
        <f t="shared" si="6"/>
        <v>0</v>
      </c>
      <c r="AS29" s="230">
        <f t="shared" si="6"/>
        <v>0</v>
      </c>
      <c r="AT29" s="230">
        <f t="shared" si="6"/>
        <v>0</v>
      </c>
      <c r="AU29" s="230">
        <f t="shared" si="6"/>
        <v>0</v>
      </c>
      <c r="AV29" s="230">
        <f t="shared" si="6"/>
        <v>0</v>
      </c>
      <c r="AW29" s="230">
        <f t="shared" si="6"/>
        <v>0</v>
      </c>
      <c r="AX29" s="230">
        <f t="shared" si="6"/>
        <v>0</v>
      </c>
      <c r="AY29" s="230">
        <f t="shared" si="6"/>
        <v>0</v>
      </c>
      <c r="AZ29" s="230">
        <f t="shared" si="6"/>
        <v>0</v>
      </c>
      <c r="BA29" s="230">
        <f t="shared" si="6"/>
        <v>0</v>
      </c>
      <c r="BB29" s="230">
        <f t="shared" si="6"/>
        <v>0</v>
      </c>
      <c r="BC29" s="230">
        <f t="shared" si="6"/>
        <v>0</v>
      </c>
      <c r="BD29" s="230">
        <f t="shared" si="6"/>
        <v>0</v>
      </c>
      <c r="BE29" s="230">
        <f t="shared" si="6"/>
        <v>0</v>
      </c>
      <c r="BF29" s="230">
        <f t="shared" si="6"/>
        <v>0</v>
      </c>
      <c r="BG29" s="230">
        <f t="shared" si="6"/>
        <v>0</v>
      </c>
      <c r="BI29" s="105" t="s">
        <v>153</v>
      </c>
      <c r="BK29" s="103"/>
    </row>
    <row r="30" spans="2:63">
      <c r="C30" s="99">
        <f>RR!C24</f>
        <v>2</v>
      </c>
      <c r="D30" s="99" t="str">
        <f>RR!E24</f>
        <v>2 - 1</v>
      </c>
      <c r="F30" s="94" t="str">
        <f>INDEX(RR!K:K,MATCH(D30,RR!E:E,0))</f>
        <v>backup</v>
      </c>
      <c r="H30" s="73" t="s">
        <v>154</v>
      </c>
      <c r="J30" s="1325">
        <f>INDEX(AA!E:E,MATCH($C30,AA!C:C,0))</f>
        <v>1</v>
      </c>
      <c r="K30" s="1325">
        <f>INDEX(TA!$G:$G,MATCH($D30,TA!$D:$D,0))</f>
        <v>1</v>
      </c>
      <c r="M30" s="287">
        <f>INDEX(TA!$EA$15:$EA$17,MATCH($D30,TA!$D$15:$D$17,0))</f>
        <v>0</v>
      </c>
      <c r="N30" s="288">
        <f>INDEX(TA!$DT$15:$DT$17,MATCH($D30,TA!$D$15:$D$17,0))</f>
        <v>51136</v>
      </c>
      <c r="T30" s="230">
        <f t="shared" ref="T30:AI30" si="7">$M30*$J30*$K30*IFERROR(MAX(MIN((T$4-$N30+1)/T$7,1),0),0)</f>
        <v>0</v>
      </c>
      <c r="U30" s="230">
        <f t="shared" si="7"/>
        <v>0</v>
      </c>
      <c r="V30" s="230">
        <f t="shared" si="7"/>
        <v>0</v>
      </c>
      <c r="W30" s="230">
        <f t="shared" si="7"/>
        <v>0</v>
      </c>
      <c r="X30" s="230">
        <f t="shared" si="7"/>
        <v>0</v>
      </c>
      <c r="Y30" s="230">
        <f t="shared" si="7"/>
        <v>0</v>
      </c>
      <c r="Z30" s="230">
        <f t="shared" si="7"/>
        <v>0</v>
      </c>
      <c r="AA30" s="230">
        <f t="shared" si="7"/>
        <v>0</v>
      </c>
      <c r="AB30" s="230">
        <f t="shared" si="7"/>
        <v>0</v>
      </c>
      <c r="AC30" s="230">
        <f t="shared" si="7"/>
        <v>0</v>
      </c>
      <c r="AD30" s="230">
        <f t="shared" si="7"/>
        <v>0</v>
      </c>
      <c r="AE30" s="230">
        <f t="shared" si="7"/>
        <v>0</v>
      </c>
      <c r="AF30" s="230">
        <f t="shared" si="7"/>
        <v>0</v>
      </c>
      <c r="AG30" s="230">
        <f t="shared" si="7"/>
        <v>0</v>
      </c>
      <c r="AH30" s="230">
        <f t="shared" si="7"/>
        <v>0</v>
      </c>
      <c r="AI30" s="230">
        <f t="shared" si="7"/>
        <v>0</v>
      </c>
      <c r="AJ30" s="230">
        <f t="shared" si="6"/>
        <v>0</v>
      </c>
      <c r="AK30" s="230">
        <f t="shared" si="6"/>
        <v>0</v>
      </c>
      <c r="AL30" s="230">
        <f t="shared" si="6"/>
        <v>0</v>
      </c>
      <c r="AM30" s="230">
        <f t="shared" si="6"/>
        <v>0</v>
      </c>
      <c r="AN30" s="230">
        <f t="shared" si="6"/>
        <v>0</v>
      </c>
      <c r="AO30" s="230">
        <f t="shared" si="6"/>
        <v>0</v>
      </c>
      <c r="AP30" s="230">
        <f t="shared" si="6"/>
        <v>0</v>
      </c>
      <c r="AQ30" s="230">
        <f t="shared" si="6"/>
        <v>0</v>
      </c>
      <c r="AR30" s="230">
        <f t="shared" si="6"/>
        <v>0</v>
      </c>
      <c r="AS30" s="230">
        <f t="shared" si="6"/>
        <v>0</v>
      </c>
      <c r="AT30" s="230">
        <f t="shared" si="6"/>
        <v>0</v>
      </c>
      <c r="AU30" s="230">
        <f t="shared" si="6"/>
        <v>0</v>
      </c>
      <c r="AV30" s="230">
        <f t="shared" si="6"/>
        <v>0</v>
      </c>
      <c r="AW30" s="230">
        <f t="shared" si="6"/>
        <v>0</v>
      </c>
      <c r="AX30" s="230">
        <f t="shared" si="6"/>
        <v>0</v>
      </c>
      <c r="AY30" s="230">
        <f t="shared" si="6"/>
        <v>0</v>
      </c>
      <c r="AZ30" s="230">
        <f t="shared" si="6"/>
        <v>0</v>
      </c>
      <c r="BA30" s="230">
        <f t="shared" si="6"/>
        <v>0</v>
      </c>
      <c r="BB30" s="230">
        <f t="shared" si="6"/>
        <v>0</v>
      </c>
      <c r="BC30" s="230">
        <f t="shared" si="6"/>
        <v>0</v>
      </c>
      <c r="BD30" s="230">
        <f t="shared" si="6"/>
        <v>0</v>
      </c>
      <c r="BE30" s="230">
        <f t="shared" si="6"/>
        <v>0</v>
      </c>
      <c r="BF30" s="230">
        <f t="shared" si="6"/>
        <v>0</v>
      </c>
      <c r="BG30" s="230">
        <f t="shared" si="6"/>
        <v>0</v>
      </c>
      <c r="BI30" s="106" t="s">
        <v>153</v>
      </c>
      <c r="BK30" s="103"/>
    </row>
    <row r="31" spans="2:63">
      <c r="C31" s="99">
        <f>RR!C25</f>
        <v>3</v>
      </c>
      <c r="D31" s="99" t="str">
        <f>RR!E25</f>
        <v>3 - 1</v>
      </c>
      <c r="F31" s="94" t="str">
        <f>INDEX(RR!K:K,MATCH(D31,RR!E:E,0))</f>
        <v>backup</v>
      </c>
      <c r="H31" s="73" t="s">
        <v>154</v>
      </c>
      <c r="J31" s="1325">
        <f>INDEX(AA!E:E,MATCH($C31,AA!C:C,0))</f>
        <v>1</v>
      </c>
      <c r="K31" s="1325">
        <f>INDEX(TA!$G:$G,MATCH($D31,TA!$D:$D,0))</f>
        <v>1</v>
      </c>
      <c r="M31" s="287">
        <f>INDEX(TA!$EA$15:$EA$17,MATCH($D31,TA!$D$15:$D$17,0))</f>
        <v>0</v>
      </c>
      <c r="N31" s="288">
        <f>INDEX(TA!$DT$15:$DT$17,MATCH($D31,TA!$D$15:$D$17,0))</f>
        <v>51136</v>
      </c>
      <c r="T31" s="230">
        <f t="shared" ref="T31:AI31" si="8">$M31*$J31*$K31*IFERROR(MAX(MIN((T$4-$N31+1)/T$7,1),0),0)</f>
        <v>0</v>
      </c>
      <c r="U31" s="230">
        <f t="shared" si="8"/>
        <v>0</v>
      </c>
      <c r="V31" s="230">
        <f t="shared" si="8"/>
        <v>0</v>
      </c>
      <c r="W31" s="230">
        <f t="shared" si="8"/>
        <v>0</v>
      </c>
      <c r="X31" s="230">
        <f t="shared" si="8"/>
        <v>0</v>
      </c>
      <c r="Y31" s="230">
        <f t="shared" si="8"/>
        <v>0</v>
      </c>
      <c r="Z31" s="230">
        <f t="shared" si="8"/>
        <v>0</v>
      </c>
      <c r="AA31" s="230">
        <f t="shared" si="8"/>
        <v>0</v>
      </c>
      <c r="AB31" s="230">
        <f t="shared" si="8"/>
        <v>0</v>
      </c>
      <c r="AC31" s="230">
        <f t="shared" si="8"/>
        <v>0</v>
      </c>
      <c r="AD31" s="230">
        <f t="shared" si="8"/>
        <v>0</v>
      </c>
      <c r="AE31" s="230">
        <f t="shared" si="8"/>
        <v>0</v>
      </c>
      <c r="AF31" s="230">
        <f t="shared" si="8"/>
        <v>0</v>
      </c>
      <c r="AG31" s="230">
        <f t="shared" si="8"/>
        <v>0</v>
      </c>
      <c r="AH31" s="230">
        <f t="shared" si="8"/>
        <v>0</v>
      </c>
      <c r="AI31" s="230">
        <f t="shared" si="8"/>
        <v>0</v>
      </c>
      <c r="AJ31" s="230">
        <f t="shared" ref="AJ31:AY31" si="9">$M31*$J31*$K31*IFERROR(MAX(MIN((AJ$4-$N31+1)/AJ$7,1),0),0)</f>
        <v>0</v>
      </c>
      <c r="AK31" s="230">
        <f t="shared" si="9"/>
        <v>0</v>
      </c>
      <c r="AL31" s="230">
        <f t="shared" si="9"/>
        <v>0</v>
      </c>
      <c r="AM31" s="230">
        <f t="shared" si="9"/>
        <v>0</v>
      </c>
      <c r="AN31" s="230">
        <f t="shared" si="9"/>
        <v>0</v>
      </c>
      <c r="AO31" s="230">
        <f t="shared" si="9"/>
        <v>0</v>
      </c>
      <c r="AP31" s="230">
        <f t="shared" si="9"/>
        <v>0</v>
      </c>
      <c r="AQ31" s="230">
        <f t="shared" si="9"/>
        <v>0</v>
      </c>
      <c r="AR31" s="230">
        <f t="shared" si="9"/>
        <v>0</v>
      </c>
      <c r="AS31" s="230">
        <f t="shared" si="9"/>
        <v>0</v>
      </c>
      <c r="AT31" s="230">
        <f t="shared" si="9"/>
        <v>0</v>
      </c>
      <c r="AU31" s="230">
        <f t="shared" si="9"/>
        <v>0</v>
      </c>
      <c r="AV31" s="230">
        <f t="shared" si="9"/>
        <v>0</v>
      </c>
      <c r="AW31" s="230">
        <f t="shared" si="9"/>
        <v>0</v>
      </c>
      <c r="AX31" s="230">
        <f t="shared" si="9"/>
        <v>0</v>
      </c>
      <c r="AY31" s="230">
        <f t="shared" si="9"/>
        <v>0</v>
      </c>
      <c r="AZ31" s="230">
        <f t="shared" ref="AZ31:BG31" si="10">$M31*$J31*$K31*IFERROR(MAX(MIN((AZ$4-$N31+1)/AZ$7,1),0),0)</f>
        <v>0</v>
      </c>
      <c r="BA31" s="230">
        <f t="shared" si="10"/>
        <v>0</v>
      </c>
      <c r="BB31" s="230">
        <f t="shared" si="10"/>
        <v>0</v>
      </c>
      <c r="BC31" s="230">
        <f t="shared" si="10"/>
        <v>0</v>
      </c>
      <c r="BD31" s="230">
        <f t="shared" si="10"/>
        <v>0</v>
      </c>
      <c r="BE31" s="230">
        <f t="shared" si="10"/>
        <v>0</v>
      </c>
      <c r="BF31" s="230">
        <f t="shared" si="10"/>
        <v>0</v>
      </c>
      <c r="BG31" s="230">
        <f t="shared" si="10"/>
        <v>0</v>
      </c>
      <c r="BI31" s="106" t="s">
        <v>153</v>
      </c>
      <c r="BK31" s="103"/>
    </row>
    <row r="32" spans="2:63">
      <c r="C32" s="269"/>
      <c r="D32" s="269"/>
      <c r="F32" s="269"/>
      <c r="H32" s="269"/>
      <c r="J32" s="269"/>
      <c r="K32" s="269"/>
      <c r="M32" s="269"/>
      <c r="N32" s="269"/>
      <c r="BI32" s="269"/>
      <c r="BK32" s="269"/>
    </row>
    <row r="34" spans="2:63" s="90" customFormat="1">
      <c r="B34" s="91">
        <f ca="1">MAX(A$1:$B33)+1</f>
        <v>4</v>
      </c>
      <c r="C34" s="92" t="s">
        <v>296</v>
      </c>
    </row>
    <row r="36" spans="2:63">
      <c r="M36" s="226" t="s">
        <v>381</v>
      </c>
      <c r="N36" s="225"/>
    </row>
    <row r="37" spans="2:63" ht="30">
      <c r="C37" s="96" t="s">
        <v>4</v>
      </c>
      <c r="D37" s="97" t="s">
        <v>148</v>
      </c>
      <c r="E37" s="95"/>
      <c r="F37" s="97" t="s">
        <v>149</v>
      </c>
      <c r="G37" s="95"/>
      <c r="H37" s="97" t="s">
        <v>150</v>
      </c>
      <c r="I37" s="95"/>
      <c r="J37" s="97" t="s">
        <v>272</v>
      </c>
      <c r="K37" s="97" t="s">
        <v>273</v>
      </c>
      <c r="M37" s="171" t="s">
        <v>254</v>
      </c>
      <c r="N37" s="101" t="s">
        <v>319</v>
      </c>
      <c r="BI37" s="104" t="s">
        <v>152</v>
      </c>
      <c r="BJ37" s="95"/>
      <c r="BK37" s="102"/>
    </row>
    <row r="38" spans="2:63">
      <c r="C38" s="98">
        <f>RR!C23</f>
        <v>1</v>
      </c>
      <c r="D38" s="98" t="str">
        <f>RR!E23</f>
        <v>1 - 1</v>
      </c>
      <c r="F38" s="93" t="str">
        <f>INDEX(RR!K:K,MATCH(D38,RR!E:E,0))</f>
        <v>backup</v>
      </c>
      <c r="H38" s="72" t="s">
        <v>296</v>
      </c>
      <c r="J38" s="1324">
        <f>INDEX(AA!E:E,MATCH($C38,AA!C:C,0))</f>
        <v>1</v>
      </c>
      <c r="K38" s="1324">
        <f>INDEX(TA!$G:$G,MATCH($D38,TA!$D:$D,0))</f>
        <v>1</v>
      </c>
      <c r="M38" s="285">
        <f>INDEX(TA!$EA$15:$EA$17,MATCH($D38,TA!$D$15:$D$17,0))</f>
        <v>0</v>
      </c>
      <c r="N38" s="286">
        <f>INDEX(TA!$EI$15:$EI$17,MATCH($D38,TA!$D$15:$D$17,0))</f>
        <v>51502</v>
      </c>
      <c r="T38" s="230">
        <f>$M38*$J38*$K38*IFERROR(MAX(MIN((T$4-$N38+1)/T$7,1),0),0)</f>
        <v>0</v>
      </c>
      <c r="U38" s="230">
        <f t="shared" ref="U38:BG39" si="11">$M38*$J38*$K38*IFERROR(MAX(MIN((U$4-$N38+1)/U$7,1),0),0)</f>
        <v>0</v>
      </c>
      <c r="V38" s="230">
        <f t="shared" si="11"/>
        <v>0</v>
      </c>
      <c r="W38" s="230">
        <f t="shared" si="11"/>
        <v>0</v>
      </c>
      <c r="X38" s="230">
        <f t="shared" si="11"/>
        <v>0</v>
      </c>
      <c r="Y38" s="230">
        <f t="shared" si="11"/>
        <v>0</v>
      </c>
      <c r="Z38" s="230">
        <f t="shared" si="11"/>
        <v>0</v>
      </c>
      <c r="AA38" s="230">
        <f t="shared" si="11"/>
        <v>0</v>
      </c>
      <c r="AB38" s="230">
        <f t="shared" si="11"/>
        <v>0</v>
      </c>
      <c r="AC38" s="230">
        <f t="shared" si="11"/>
        <v>0</v>
      </c>
      <c r="AD38" s="230">
        <f t="shared" si="11"/>
        <v>0</v>
      </c>
      <c r="AE38" s="230">
        <f t="shared" si="11"/>
        <v>0</v>
      </c>
      <c r="AF38" s="230">
        <f t="shared" si="11"/>
        <v>0</v>
      </c>
      <c r="AG38" s="230">
        <f t="shared" si="11"/>
        <v>0</v>
      </c>
      <c r="AH38" s="230">
        <f t="shared" si="11"/>
        <v>0</v>
      </c>
      <c r="AI38" s="230">
        <f t="shared" si="11"/>
        <v>0</v>
      </c>
      <c r="AJ38" s="230">
        <f t="shared" si="11"/>
        <v>0</v>
      </c>
      <c r="AK38" s="230">
        <f t="shared" si="11"/>
        <v>0</v>
      </c>
      <c r="AL38" s="230">
        <f t="shared" si="11"/>
        <v>0</v>
      </c>
      <c r="AM38" s="230">
        <f t="shared" si="11"/>
        <v>0</v>
      </c>
      <c r="AN38" s="230">
        <f t="shared" si="11"/>
        <v>0</v>
      </c>
      <c r="AO38" s="230">
        <f t="shared" si="11"/>
        <v>0</v>
      </c>
      <c r="AP38" s="230">
        <f t="shared" si="11"/>
        <v>0</v>
      </c>
      <c r="AQ38" s="230">
        <f t="shared" si="11"/>
        <v>0</v>
      </c>
      <c r="AR38" s="230">
        <f t="shared" si="11"/>
        <v>0</v>
      </c>
      <c r="AS38" s="230">
        <f t="shared" si="11"/>
        <v>0</v>
      </c>
      <c r="AT38" s="230">
        <f t="shared" si="11"/>
        <v>0</v>
      </c>
      <c r="AU38" s="230">
        <f t="shared" si="11"/>
        <v>0</v>
      </c>
      <c r="AV38" s="230">
        <f t="shared" si="11"/>
        <v>0</v>
      </c>
      <c r="AW38" s="230">
        <f t="shared" si="11"/>
        <v>0</v>
      </c>
      <c r="AX38" s="230">
        <f t="shared" si="11"/>
        <v>0</v>
      </c>
      <c r="AY38" s="230">
        <f t="shared" si="11"/>
        <v>0</v>
      </c>
      <c r="AZ38" s="230">
        <f t="shared" si="11"/>
        <v>0</v>
      </c>
      <c r="BA38" s="230">
        <f t="shared" si="11"/>
        <v>0</v>
      </c>
      <c r="BB38" s="230">
        <f t="shared" si="11"/>
        <v>0</v>
      </c>
      <c r="BC38" s="230">
        <f t="shared" si="11"/>
        <v>0</v>
      </c>
      <c r="BD38" s="230">
        <f t="shared" si="11"/>
        <v>0</v>
      </c>
      <c r="BE38" s="230">
        <f t="shared" si="11"/>
        <v>0</v>
      </c>
      <c r="BF38" s="230">
        <f t="shared" si="11"/>
        <v>0</v>
      </c>
      <c r="BG38" s="230">
        <f t="shared" si="11"/>
        <v>0</v>
      </c>
      <c r="BI38" s="105" t="s">
        <v>153</v>
      </c>
      <c r="BK38" s="103"/>
    </row>
    <row r="39" spans="2:63">
      <c r="C39" s="99">
        <f>RR!C24</f>
        <v>2</v>
      </c>
      <c r="D39" s="99" t="str">
        <f>RR!E24</f>
        <v>2 - 1</v>
      </c>
      <c r="F39" s="94" t="str">
        <f>INDEX(RR!K:K,MATCH(D39,RR!E:E,0))</f>
        <v>backup</v>
      </c>
      <c r="H39" s="73" t="s">
        <v>296</v>
      </c>
      <c r="J39" s="1325">
        <f>INDEX(AA!E:E,MATCH($C39,AA!C:C,0))</f>
        <v>1</v>
      </c>
      <c r="K39" s="1325">
        <f>INDEX(TA!$G:$G,MATCH($D39,TA!$D:$D,0))</f>
        <v>1</v>
      </c>
      <c r="M39" s="287">
        <f>INDEX(TA!$EA$15:$EA$17,MATCH($D39,TA!$D$15:$D$17,0))</f>
        <v>0</v>
      </c>
      <c r="N39" s="288">
        <f>INDEX(TA!$EI$15:$EI$17,MATCH($D39,TA!$D$15:$D$17,0))</f>
        <v>51502</v>
      </c>
      <c r="T39" s="230">
        <f t="shared" ref="T39:AI39" si="12">$M39*$J39*$K39*IFERROR(MAX(MIN((T$4-$N39+1)/T$7,1),0),0)</f>
        <v>0</v>
      </c>
      <c r="U39" s="230">
        <f t="shared" si="12"/>
        <v>0</v>
      </c>
      <c r="V39" s="230">
        <f t="shared" si="12"/>
        <v>0</v>
      </c>
      <c r="W39" s="230">
        <f t="shared" si="12"/>
        <v>0</v>
      </c>
      <c r="X39" s="230">
        <f t="shared" si="12"/>
        <v>0</v>
      </c>
      <c r="Y39" s="230">
        <f t="shared" si="12"/>
        <v>0</v>
      </c>
      <c r="Z39" s="230">
        <f t="shared" si="12"/>
        <v>0</v>
      </c>
      <c r="AA39" s="230">
        <f t="shared" si="12"/>
        <v>0</v>
      </c>
      <c r="AB39" s="230">
        <f t="shared" si="12"/>
        <v>0</v>
      </c>
      <c r="AC39" s="230">
        <f t="shared" si="12"/>
        <v>0</v>
      </c>
      <c r="AD39" s="230">
        <f t="shared" si="12"/>
        <v>0</v>
      </c>
      <c r="AE39" s="230">
        <f t="shared" si="12"/>
        <v>0</v>
      </c>
      <c r="AF39" s="230">
        <f t="shared" si="12"/>
        <v>0</v>
      </c>
      <c r="AG39" s="230">
        <f t="shared" si="12"/>
        <v>0</v>
      </c>
      <c r="AH39" s="230">
        <f t="shared" si="12"/>
        <v>0</v>
      </c>
      <c r="AI39" s="230">
        <f t="shared" si="12"/>
        <v>0</v>
      </c>
      <c r="AJ39" s="230">
        <f t="shared" si="11"/>
        <v>0</v>
      </c>
      <c r="AK39" s="230">
        <f t="shared" si="11"/>
        <v>0</v>
      </c>
      <c r="AL39" s="230">
        <f t="shared" si="11"/>
        <v>0</v>
      </c>
      <c r="AM39" s="230">
        <f t="shared" si="11"/>
        <v>0</v>
      </c>
      <c r="AN39" s="230">
        <f t="shared" si="11"/>
        <v>0</v>
      </c>
      <c r="AO39" s="230">
        <f t="shared" si="11"/>
        <v>0</v>
      </c>
      <c r="AP39" s="230">
        <f t="shared" si="11"/>
        <v>0</v>
      </c>
      <c r="AQ39" s="230">
        <f t="shared" si="11"/>
        <v>0</v>
      </c>
      <c r="AR39" s="230">
        <f t="shared" si="11"/>
        <v>0</v>
      </c>
      <c r="AS39" s="230">
        <f t="shared" si="11"/>
        <v>0</v>
      </c>
      <c r="AT39" s="230">
        <f t="shared" si="11"/>
        <v>0</v>
      </c>
      <c r="AU39" s="230">
        <f t="shared" si="11"/>
        <v>0</v>
      </c>
      <c r="AV39" s="230">
        <f t="shared" si="11"/>
        <v>0</v>
      </c>
      <c r="AW39" s="230">
        <f t="shared" si="11"/>
        <v>0</v>
      </c>
      <c r="AX39" s="230">
        <f t="shared" si="11"/>
        <v>0</v>
      </c>
      <c r="AY39" s="230">
        <f t="shared" si="11"/>
        <v>0</v>
      </c>
      <c r="AZ39" s="230">
        <f t="shared" si="11"/>
        <v>0</v>
      </c>
      <c r="BA39" s="230">
        <f t="shared" si="11"/>
        <v>0</v>
      </c>
      <c r="BB39" s="230">
        <f t="shared" si="11"/>
        <v>0</v>
      </c>
      <c r="BC39" s="230">
        <f t="shared" si="11"/>
        <v>0</v>
      </c>
      <c r="BD39" s="230">
        <f t="shared" si="11"/>
        <v>0</v>
      </c>
      <c r="BE39" s="230">
        <f t="shared" si="11"/>
        <v>0</v>
      </c>
      <c r="BF39" s="230">
        <f t="shared" si="11"/>
        <v>0</v>
      </c>
      <c r="BG39" s="230">
        <f t="shared" si="11"/>
        <v>0</v>
      </c>
      <c r="BI39" s="106" t="s">
        <v>153</v>
      </c>
      <c r="BK39" s="103"/>
    </row>
    <row r="40" spans="2:63">
      <c r="C40" s="99">
        <f>RR!C25</f>
        <v>3</v>
      </c>
      <c r="D40" s="99" t="str">
        <f>RR!E25</f>
        <v>3 - 1</v>
      </c>
      <c r="F40" s="94" t="str">
        <f>INDEX(RR!K:K,MATCH(D40,RR!E:E,0))</f>
        <v>backup</v>
      </c>
      <c r="H40" s="73" t="s">
        <v>296</v>
      </c>
      <c r="J40" s="1325">
        <f>INDEX(AA!E:E,MATCH($C40,AA!C:C,0))</f>
        <v>1</v>
      </c>
      <c r="K40" s="1325">
        <f>INDEX(TA!$G:$G,MATCH($D40,TA!$D:$D,0))</f>
        <v>1</v>
      </c>
      <c r="M40" s="287">
        <f>INDEX(TA!$EA$15:$EA$17,MATCH($D40,TA!$D$15:$D$17,0))</f>
        <v>0</v>
      </c>
      <c r="N40" s="288">
        <f>INDEX(TA!$EI$15:$EI$17,MATCH($D40,TA!$D$15:$D$17,0))</f>
        <v>51502</v>
      </c>
      <c r="T40" s="230">
        <f t="shared" ref="T40:AI40" si="13">$M40*$J40*$K40*IFERROR(MAX(MIN((T$4-$N40+1)/T$7,1),0),0)</f>
        <v>0</v>
      </c>
      <c r="U40" s="230">
        <f t="shared" si="13"/>
        <v>0</v>
      </c>
      <c r="V40" s="230">
        <f t="shared" si="13"/>
        <v>0</v>
      </c>
      <c r="W40" s="230">
        <f t="shared" si="13"/>
        <v>0</v>
      </c>
      <c r="X40" s="230">
        <f t="shared" si="13"/>
        <v>0</v>
      </c>
      <c r="Y40" s="230">
        <f t="shared" si="13"/>
        <v>0</v>
      </c>
      <c r="Z40" s="230">
        <f t="shared" si="13"/>
        <v>0</v>
      </c>
      <c r="AA40" s="230">
        <f t="shared" si="13"/>
        <v>0</v>
      </c>
      <c r="AB40" s="230">
        <f t="shared" si="13"/>
        <v>0</v>
      </c>
      <c r="AC40" s="230">
        <f t="shared" si="13"/>
        <v>0</v>
      </c>
      <c r="AD40" s="230">
        <f t="shared" si="13"/>
        <v>0</v>
      </c>
      <c r="AE40" s="230">
        <f t="shared" si="13"/>
        <v>0</v>
      </c>
      <c r="AF40" s="230">
        <f t="shared" si="13"/>
        <v>0</v>
      </c>
      <c r="AG40" s="230">
        <f t="shared" si="13"/>
        <v>0</v>
      </c>
      <c r="AH40" s="230">
        <f t="shared" si="13"/>
        <v>0</v>
      </c>
      <c r="AI40" s="230">
        <f t="shared" si="13"/>
        <v>0</v>
      </c>
      <c r="AJ40" s="230">
        <f t="shared" ref="AJ40:AY40" si="14">$M40*$J40*$K40*IFERROR(MAX(MIN((AJ$4-$N40+1)/AJ$7,1),0),0)</f>
        <v>0</v>
      </c>
      <c r="AK40" s="230">
        <f t="shared" si="14"/>
        <v>0</v>
      </c>
      <c r="AL40" s="230">
        <f t="shared" si="14"/>
        <v>0</v>
      </c>
      <c r="AM40" s="230">
        <f t="shared" si="14"/>
        <v>0</v>
      </c>
      <c r="AN40" s="230">
        <f t="shared" si="14"/>
        <v>0</v>
      </c>
      <c r="AO40" s="230">
        <f t="shared" si="14"/>
        <v>0</v>
      </c>
      <c r="AP40" s="230">
        <f t="shared" si="14"/>
        <v>0</v>
      </c>
      <c r="AQ40" s="230">
        <f t="shared" si="14"/>
        <v>0</v>
      </c>
      <c r="AR40" s="230">
        <f t="shared" si="14"/>
        <v>0</v>
      </c>
      <c r="AS40" s="230">
        <f t="shared" si="14"/>
        <v>0</v>
      </c>
      <c r="AT40" s="230">
        <f t="shared" si="14"/>
        <v>0</v>
      </c>
      <c r="AU40" s="230">
        <f t="shared" si="14"/>
        <v>0</v>
      </c>
      <c r="AV40" s="230">
        <f t="shared" si="14"/>
        <v>0</v>
      </c>
      <c r="AW40" s="230">
        <f t="shared" si="14"/>
        <v>0</v>
      </c>
      <c r="AX40" s="230">
        <f t="shared" si="14"/>
        <v>0</v>
      </c>
      <c r="AY40" s="230">
        <f t="shared" si="14"/>
        <v>0</v>
      </c>
      <c r="AZ40" s="230">
        <f t="shared" ref="AZ40:BG40" si="15">$M40*$J40*$K40*IFERROR(MAX(MIN((AZ$4-$N40+1)/AZ$7,1),0),0)</f>
        <v>0</v>
      </c>
      <c r="BA40" s="230">
        <f t="shared" si="15"/>
        <v>0</v>
      </c>
      <c r="BB40" s="230">
        <f t="shared" si="15"/>
        <v>0</v>
      </c>
      <c r="BC40" s="230">
        <f t="shared" si="15"/>
        <v>0</v>
      </c>
      <c r="BD40" s="230">
        <f t="shared" si="15"/>
        <v>0</v>
      </c>
      <c r="BE40" s="230">
        <f t="shared" si="15"/>
        <v>0</v>
      </c>
      <c r="BF40" s="230">
        <f t="shared" si="15"/>
        <v>0</v>
      </c>
      <c r="BG40" s="230">
        <f t="shared" si="15"/>
        <v>0</v>
      </c>
      <c r="BI40" s="106" t="s">
        <v>153</v>
      </c>
      <c r="BK40" s="103"/>
    </row>
    <row r="41" spans="2:63">
      <c r="C41" s="269"/>
      <c r="D41" s="269"/>
      <c r="F41" s="269"/>
      <c r="H41" s="269"/>
      <c r="J41" s="269"/>
      <c r="K41" s="269"/>
      <c r="M41" s="269"/>
      <c r="N41" s="269"/>
      <c r="BI41" s="269"/>
      <c r="BK41" s="269"/>
    </row>
    <row r="43" spans="2:63" s="90" customFormat="1">
      <c r="B43" s="91">
        <f ca="1">MAX(A$1:$B42)+1</f>
        <v>5</v>
      </c>
      <c r="C43" s="92" t="s">
        <v>299</v>
      </c>
    </row>
    <row r="45" spans="2:63">
      <c r="M45" s="226" t="s">
        <v>299</v>
      </c>
      <c r="N45" s="225"/>
    </row>
    <row r="46" spans="2:63" ht="30">
      <c r="C46" s="96" t="s">
        <v>4</v>
      </c>
      <c r="D46" s="97" t="s">
        <v>148</v>
      </c>
      <c r="E46" s="95"/>
      <c r="F46" s="97" t="s">
        <v>149</v>
      </c>
      <c r="G46" s="95"/>
      <c r="H46" s="97" t="s">
        <v>150</v>
      </c>
      <c r="I46" s="95"/>
      <c r="J46" s="97" t="s">
        <v>272</v>
      </c>
      <c r="K46" s="97" t="s">
        <v>273</v>
      </c>
      <c r="M46" s="96" t="s">
        <v>351</v>
      </c>
      <c r="N46" s="97" t="s">
        <v>352</v>
      </c>
      <c r="BI46" s="104" t="s">
        <v>152</v>
      </c>
      <c r="BJ46" s="95"/>
      <c r="BK46" s="300" t="s">
        <v>372</v>
      </c>
    </row>
    <row r="47" spans="2:63">
      <c r="C47" s="98">
        <f>RR!C23</f>
        <v>1</v>
      </c>
      <c r="D47" s="98" t="str">
        <f>RR!E23</f>
        <v>1 - 1</v>
      </c>
      <c r="F47" s="93" t="str">
        <f>INDEX(RR!K:K,MATCH(D47,RR!E:E,0))</f>
        <v>backup</v>
      </c>
      <c r="H47" s="72" t="s">
        <v>299</v>
      </c>
      <c r="J47" s="1324">
        <f>INDEX(AA!E:E,MATCH($C47,AA!C:C,0))</f>
        <v>1</v>
      </c>
      <c r="K47" s="1324">
        <f>INDEX(TA!$G:$G,MATCH($D47,TA!$D:$D,0))</f>
        <v>1</v>
      </c>
      <c r="M47" s="286">
        <f>INDEX(TA!$EO$15:$EO$17,MATCH($D47,TA!$D$15:$D$17,0))</f>
        <v>51044</v>
      </c>
      <c r="N47" s="286">
        <f>INDEX(TA!$EP$15:$EP$17,MATCH($D47,TA!$D$15:$D$17,0))</f>
        <v>51135</v>
      </c>
      <c r="T47" s="230">
        <f>$J47*$K47*IFERROR((MAX((MIN($N47,T$4)-MAX($M47,T$3)+1),0)/T$7),0)</f>
        <v>0</v>
      </c>
      <c r="U47" s="230">
        <f>$J47*$K47*IFERROR((MAX((MIN($N47,U$4)-MAX($M47,U$3)+1),0)/U$7),0)</f>
        <v>0</v>
      </c>
      <c r="V47" s="230">
        <f t="shared" ref="V47:BG47" si="16">$J47*$K47*IFERROR((MAX((MIN($N47,V$4)-MAX($M47,V$3)+1),0)/V$7),0)</f>
        <v>0</v>
      </c>
      <c r="W47" s="230">
        <f t="shared" si="16"/>
        <v>0</v>
      </c>
      <c r="X47" s="230">
        <f t="shared" si="16"/>
        <v>0</v>
      </c>
      <c r="Y47" s="230">
        <f t="shared" si="16"/>
        <v>0</v>
      </c>
      <c r="Z47" s="230">
        <f t="shared" si="16"/>
        <v>0</v>
      </c>
      <c r="AA47" s="230">
        <f t="shared" si="16"/>
        <v>0</v>
      </c>
      <c r="AB47" s="230">
        <f t="shared" si="16"/>
        <v>0</v>
      </c>
      <c r="AC47" s="230">
        <f t="shared" si="16"/>
        <v>0</v>
      </c>
      <c r="AD47" s="230">
        <f t="shared" si="16"/>
        <v>0</v>
      </c>
      <c r="AE47" s="230">
        <f t="shared" si="16"/>
        <v>0</v>
      </c>
      <c r="AF47" s="230">
        <f t="shared" si="16"/>
        <v>0</v>
      </c>
      <c r="AG47" s="230">
        <f t="shared" si="16"/>
        <v>0</v>
      </c>
      <c r="AH47" s="230">
        <f t="shared" si="16"/>
        <v>0</v>
      </c>
      <c r="AI47" s="230">
        <f t="shared" si="16"/>
        <v>0</v>
      </c>
      <c r="AJ47" s="230">
        <f t="shared" si="16"/>
        <v>0</v>
      </c>
      <c r="AK47" s="230">
        <f t="shared" si="16"/>
        <v>0</v>
      </c>
      <c r="AL47" s="230">
        <f t="shared" si="16"/>
        <v>0</v>
      </c>
      <c r="AM47" s="230">
        <f t="shared" si="16"/>
        <v>0</v>
      </c>
      <c r="AN47" s="230">
        <f t="shared" si="16"/>
        <v>0</v>
      </c>
      <c r="AO47" s="230">
        <f t="shared" si="16"/>
        <v>0</v>
      </c>
      <c r="AP47" s="230">
        <f t="shared" si="16"/>
        <v>0</v>
      </c>
      <c r="AQ47" s="230">
        <f t="shared" si="16"/>
        <v>0</v>
      </c>
      <c r="AR47" s="230">
        <f t="shared" si="16"/>
        <v>0</v>
      </c>
      <c r="AS47" s="230">
        <f t="shared" si="16"/>
        <v>0</v>
      </c>
      <c r="AT47" s="230">
        <f t="shared" si="16"/>
        <v>0</v>
      </c>
      <c r="AU47" s="230">
        <f t="shared" si="16"/>
        <v>0</v>
      </c>
      <c r="AV47" s="230">
        <f t="shared" si="16"/>
        <v>0</v>
      </c>
      <c r="AW47" s="230">
        <f t="shared" si="16"/>
        <v>0</v>
      </c>
      <c r="AX47" s="230">
        <f t="shared" si="16"/>
        <v>0</v>
      </c>
      <c r="AY47" s="230">
        <f t="shared" si="16"/>
        <v>0</v>
      </c>
      <c r="AZ47" s="230">
        <f t="shared" si="16"/>
        <v>0</v>
      </c>
      <c r="BA47" s="230">
        <f t="shared" si="16"/>
        <v>0</v>
      </c>
      <c r="BB47" s="230">
        <f t="shared" si="16"/>
        <v>0</v>
      </c>
      <c r="BC47" s="230">
        <f t="shared" si="16"/>
        <v>0</v>
      </c>
      <c r="BD47" s="230">
        <f t="shared" si="16"/>
        <v>0</v>
      </c>
      <c r="BE47" s="230">
        <f t="shared" si="16"/>
        <v>0</v>
      </c>
      <c r="BF47" s="230">
        <f t="shared" si="16"/>
        <v>0</v>
      </c>
      <c r="BG47" s="230">
        <f t="shared" si="16"/>
        <v>0</v>
      </c>
      <c r="BI47" s="105" t="s">
        <v>153</v>
      </c>
      <c r="BK47" s="303">
        <f>SUM(T47:BG47)</f>
        <v>0</v>
      </c>
    </row>
    <row r="48" spans="2:63">
      <c r="C48" s="99">
        <f>RR!C24</f>
        <v>2</v>
      </c>
      <c r="D48" s="99" t="str">
        <f>RR!E24</f>
        <v>2 - 1</v>
      </c>
      <c r="F48" s="94" t="str">
        <f>INDEX(RR!K:K,MATCH(D48,RR!E:E,0))</f>
        <v>backup</v>
      </c>
      <c r="H48" s="73" t="s">
        <v>299</v>
      </c>
      <c r="J48" s="1325">
        <f>INDEX(AA!E:E,MATCH($C48,AA!C:C,0))</f>
        <v>1</v>
      </c>
      <c r="K48" s="1325">
        <f>INDEX(TA!$G:$G,MATCH($D48,TA!$D:$D,0))</f>
        <v>1</v>
      </c>
      <c r="M48" s="288">
        <f>INDEX(TA!$EO$15:$EO$17,MATCH($D48,TA!$D$15:$D$17,0))</f>
        <v>51044</v>
      </c>
      <c r="N48" s="288">
        <f>INDEX(TA!$EP$15:$EP$17,MATCH($D48,TA!$D$15:$D$17,0))</f>
        <v>51135</v>
      </c>
      <c r="T48" s="230">
        <f t="shared" ref="T48:AI48" si="17">$J48*$K48*IFERROR((MAX((MIN($N48,T$4)-MAX($M48,T$3)+1),0)/T$7),0)</f>
        <v>0</v>
      </c>
      <c r="U48" s="230">
        <f t="shared" si="17"/>
        <v>0</v>
      </c>
      <c r="V48" s="230">
        <f t="shared" si="17"/>
        <v>0</v>
      </c>
      <c r="W48" s="230">
        <f t="shared" si="17"/>
        <v>0</v>
      </c>
      <c r="X48" s="230">
        <f t="shared" si="17"/>
        <v>0</v>
      </c>
      <c r="Y48" s="230">
        <f t="shared" si="17"/>
        <v>0</v>
      </c>
      <c r="Z48" s="230">
        <f t="shared" si="17"/>
        <v>0</v>
      </c>
      <c r="AA48" s="230">
        <f t="shared" si="17"/>
        <v>0</v>
      </c>
      <c r="AB48" s="230">
        <f t="shared" si="17"/>
        <v>0</v>
      </c>
      <c r="AC48" s="230">
        <f t="shared" si="17"/>
        <v>0</v>
      </c>
      <c r="AD48" s="230">
        <f t="shared" si="17"/>
        <v>0</v>
      </c>
      <c r="AE48" s="230">
        <f t="shared" si="17"/>
        <v>0</v>
      </c>
      <c r="AF48" s="230">
        <f t="shared" si="17"/>
        <v>0</v>
      </c>
      <c r="AG48" s="230">
        <f t="shared" si="17"/>
        <v>0</v>
      </c>
      <c r="AH48" s="230">
        <f t="shared" si="17"/>
        <v>0</v>
      </c>
      <c r="AI48" s="230">
        <f t="shared" si="17"/>
        <v>0</v>
      </c>
      <c r="AJ48" s="230">
        <f t="shared" ref="AJ48:AY48" si="18">$J48*$K48*IFERROR((MAX((MIN($N48,AJ$4)-MAX($M48,AJ$3)+1),0)/AJ$7),0)</f>
        <v>0</v>
      </c>
      <c r="AK48" s="230">
        <f t="shared" si="18"/>
        <v>0</v>
      </c>
      <c r="AL48" s="230">
        <f t="shared" si="18"/>
        <v>0</v>
      </c>
      <c r="AM48" s="230">
        <f t="shared" si="18"/>
        <v>0</v>
      </c>
      <c r="AN48" s="230">
        <f t="shared" si="18"/>
        <v>0</v>
      </c>
      <c r="AO48" s="230">
        <f t="shared" si="18"/>
        <v>0</v>
      </c>
      <c r="AP48" s="230">
        <f t="shared" si="18"/>
        <v>0</v>
      </c>
      <c r="AQ48" s="230">
        <f t="shared" si="18"/>
        <v>0</v>
      </c>
      <c r="AR48" s="230">
        <f t="shared" si="18"/>
        <v>0</v>
      </c>
      <c r="AS48" s="230">
        <f t="shared" si="18"/>
        <v>0</v>
      </c>
      <c r="AT48" s="230">
        <f t="shared" si="18"/>
        <v>0</v>
      </c>
      <c r="AU48" s="230">
        <f t="shared" si="18"/>
        <v>0</v>
      </c>
      <c r="AV48" s="230">
        <f t="shared" si="18"/>
        <v>0</v>
      </c>
      <c r="AW48" s="230">
        <f t="shared" si="18"/>
        <v>0</v>
      </c>
      <c r="AX48" s="230">
        <f t="shared" si="18"/>
        <v>0</v>
      </c>
      <c r="AY48" s="230">
        <f t="shared" si="18"/>
        <v>0</v>
      </c>
      <c r="AZ48" s="230">
        <f t="shared" ref="AZ48:BG49" si="19">$J48*$K48*IFERROR((MAX((MIN($N48,AZ$4)-MAX($M48,AZ$3)+1),0)/AZ$7),0)</f>
        <v>0</v>
      </c>
      <c r="BA48" s="230">
        <f t="shared" si="19"/>
        <v>0</v>
      </c>
      <c r="BB48" s="230">
        <f t="shared" si="19"/>
        <v>0</v>
      </c>
      <c r="BC48" s="230">
        <f t="shared" si="19"/>
        <v>0</v>
      </c>
      <c r="BD48" s="230">
        <f t="shared" si="19"/>
        <v>0</v>
      </c>
      <c r="BE48" s="230">
        <f t="shared" si="19"/>
        <v>0</v>
      </c>
      <c r="BF48" s="230">
        <f t="shared" si="19"/>
        <v>0</v>
      </c>
      <c r="BG48" s="230">
        <f t="shared" si="19"/>
        <v>0</v>
      </c>
      <c r="BI48" s="106" t="s">
        <v>153</v>
      </c>
      <c r="BK48" s="304">
        <f t="shared" ref="BK48" si="20">SUM(T48:BG48)</f>
        <v>0</v>
      </c>
    </row>
    <row r="49" spans="2:63">
      <c r="C49" s="99">
        <f>RR!C25</f>
        <v>3</v>
      </c>
      <c r="D49" s="99" t="str">
        <f>RR!E25</f>
        <v>3 - 1</v>
      </c>
      <c r="F49" s="94" t="str">
        <f>INDEX(RR!K:K,MATCH(D49,RR!E:E,0))</f>
        <v>backup</v>
      </c>
      <c r="H49" s="73" t="s">
        <v>299</v>
      </c>
      <c r="J49" s="1325">
        <f>INDEX(AA!E:E,MATCH($C49,AA!C:C,0))</f>
        <v>1</v>
      </c>
      <c r="K49" s="1325">
        <f>INDEX(TA!$G:$G,MATCH($D49,TA!$D:$D,0))</f>
        <v>1</v>
      </c>
      <c r="M49" s="288">
        <f>INDEX(TA!$EO$15:$EO$17,MATCH($D49,TA!$D$15:$D$17,0))</f>
        <v>51044</v>
      </c>
      <c r="N49" s="288">
        <f>INDEX(TA!$EP$15:$EP$17,MATCH($D49,TA!$D$15:$D$17,0))</f>
        <v>51135</v>
      </c>
      <c r="T49" s="230">
        <f t="shared" ref="T49:AI49" si="21">$J49*$K49*IFERROR((MAX((MIN($N49,T$4)-MAX($M49,T$3)+1),0)/T$7),0)</f>
        <v>0</v>
      </c>
      <c r="U49" s="230">
        <f t="shared" si="21"/>
        <v>0</v>
      </c>
      <c r="V49" s="230">
        <f t="shared" si="21"/>
        <v>0</v>
      </c>
      <c r="W49" s="230">
        <f t="shared" si="21"/>
        <v>0</v>
      </c>
      <c r="X49" s="230">
        <f t="shared" si="21"/>
        <v>0</v>
      </c>
      <c r="Y49" s="230">
        <f t="shared" si="21"/>
        <v>0</v>
      </c>
      <c r="Z49" s="230">
        <f t="shared" si="21"/>
        <v>0</v>
      </c>
      <c r="AA49" s="230">
        <f t="shared" si="21"/>
        <v>0</v>
      </c>
      <c r="AB49" s="230">
        <f t="shared" si="21"/>
        <v>0</v>
      </c>
      <c r="AC49" s="230">
        <f t="shared" si="21"/>
        <v>0</v>
      </c>
      <c r="AD49" s="230">
        <f t="shared" si="21"/>
        <v>0</v>
      </c>
      <c r="AE49" s="230">
        <f t="shared" si="21"/>
        <v>0</v>
      </c>
      <c r="AF49" s="230">
        <f t="shared" si="21"/>
        <v>0</v>
      </c>
      <c r="AG49" s="230">
        <f t="shared" si="21"/>
        <v>0</v>
      </c>
      <c r="AH49" s="230">
        <f t="shared" si="21"/>
        <v>0</v>
      </c>
      <c r="AI49" s="230">
        <f t="shared" si="21"/>
        <v>0</v>
      </c>
      <c r="AJ49" s="230">
        <f t="shared" ref="AJ49:AY49" si="22">$J49*$K49*IFERROR((MAX((MIN($N49,AJ$4)-MAX($M49,AJ$3)+1),0)/AJ$7),0)</f>
        <v>0</v>
      </c>
      <c r="AK49" s="230">
        <f t="shared" si="22"/>
        <v>0</v>
      </c>
      <c r="AL49" s="230">
        <f t="shared" si="22"/>
        <v>0</v>
      </c>
      <c r="AM49" s="230">
        <f t="shared" si="22"/>
        <v>0</v>
      </c>
      <c r="AN49" s="230">
        <f t="shared" si="22"/>
        <v>0</v>
      </c>
      <c r="AO49" s="230">
        <f t="shared" si="22"/>
        <v>0</v>
      </c>
      <c r="AP49" s="230">
        <f t="shared" si="22"/>
        <v>0</v>
      </c>
      <c r="AQ49" s="230">
        <f t="shared" si="22"/>
        <v>0</v>
      </c>
      <c r="AR49" s="230">
        <f t="shared" si="22"/>
        <v>0</v>
      </c>
      <c r="AS49" s="230">
        <f t="shared" si="22"/>
        <v>0</v>
      </c>
      <c r="AT49" s="230">
        <f t="shared" si="22"/>
        <v>0</v>
      </c>
      <c r="AU49" s="230">
        <f t="shared" si="22"/>
        <v>0</v>
      </c>
      <c r="AV49" s="230">
        <f t="shared" si="22"/>
        <v>0</v>
      </c>
      <c r="AW49" s="230">
        <f t="shared" si="22"/>
        <v>0</v>
      </c>
      <c r="AX49" s="230">
        <f t="shared" si="22"/>
        <v>0</v>
      </c>
      <c r="AY49" s="230">
        <f t="shared" si="22"/>
        <v>0</v>
      </c>
      <c r="AZ49" s="230">
        <f t="shared" si="19"/>
        <v>0</v>
      </c>
      <c r="BA49" s="230">
        <f t="shared" si="19"/>
        <v>0</v>
      </c>
      <c r="BB49" s="230">
        <f t="shared" si="19"/>
        <v>0</v>
      </c>
      <c r="BC49" s="230">
        <f t="shared" si="19"/>
        <v>0</v>
      </c>
      <c r="BD49" s="230">
        <f t="shared" si="19"/>
        <v>0</v>
      </c>
      <c r="BE49" s="230">
        <f t="shared" si="19"/>
        <v>0</v>
      </c>
      <c r="BF49" s="230">
        <f t="shared" si="19"/>
        <v>0</v>
      </c>
      <c r="BG49" s="230">
        <f t="shared" si="19"/>
        <v>0</v>
      </c>
      <c r="BI49" s="106" t="s">
        <v>153</v>
      </c>
      <c r="BK49" s="304">
        <f t="shared" ref="BK49" si="23">SUM(T49:BG49)</f>
        <v>0</v>
      </c>
    </row>
    <row r="50" spans="2:63">
      <c r="C50" s="269"/>
      <c r="D50" s="269"/>
      <c r="F50" s="269"/>
      <c r="H50" s="269"/>
      <c r="J50" s="269"/>
      <c r="K50" s="269"/>
      <c r="M50" s="269"/>
      <c r="N50" s="269"/>
      <c r="BI50" s="269"/>
      <c r="BK50" s="269"/>
    </row>
    <row r="52" spans="2:63" s="90" customFormat="1">
      <c r="B52" s="91">
        <f ca="1">MAX(A$1:$B51)+1</f>
        <v>6</v>
      </c>
      <c r="C52" s="92" t="s">
        <v>300</v>
      </c>
    </row>
    <row r="54" spans="2:63">
      <c r="M54" s="226" t="s">
        <v>363</v>
      </c>
      <c r="N54" s="226"/>
      <c r="O54" s="226"/>
    </row>
    <row r="55" spans="2:63" ht="30">
      <c r="C55" s="96" t="s">
        <v>4</v>
      </c>
      <c r="D55" s="97" t="s">
        <v>148</v>
      </c>
      <c r="E55" s="95"/>
      <c r="F55" s="97" t="s">
        <v>149</v>
      </c>
      <c r="G55" s="95"/>
      <c r="H55" s="97" t="s">
        <v>150</v>
      </c>
      <c r="I55" s="95"/>
      <c r="J55" s="97" t="s">
        <v>272</v>
      </c>
      <c r="K55" s="97" t="s">
        <v>273</v>
      </c>
      <c r="M55" s="171" t="s">
        <v>11</v>
      </c>
      <c r="N55" s="171" t="s">
        <v>13</v>
      </c>
      <c r="O55" s="101" t="s">
        <v>254</v>
      </c>
      <c r="BI55" s="104" t="s">
        <v>152</v>
      </c>
      <c r="BJ55" s="95"/>
      <c r="BK55" s="102"/>
    </row>
    <row r="56" spans="2:63">
      <c r="C56" s="98">
        <f>RR!C23</f>
        <v>1</v>
      </c>
      <c r="D56" s="98" t="str">
        <f>RR!E23</f>
        <v>1 - 1</v>
      </c>
      <c r="F56" s="93" t="str">
        <f>INDEX(RR!K:K,MATCH(D56,RR!E:E,0))</f>
        <v>backup</v>
      </c>
      <c r="H56" s="72" t="s">
        <v>300</v>
      </c>
      <c r="J56" s="1324">
        <f>INDEX(AA!E:E,MATCH($C56,AA!C:C,0))</f>
        <v>1</v>
      </c>
      <c r="K56" s="1324">
        <f>INDEX(TA!$G:$G,MATCH($D56,TA!$D:$D,0))</f>
        <v>1</v>
      </c>
      <c r="M56" s="289">
        <f>INDEX(TA!$DT$15:$DT$17,MATCH($D56,TA!$D$15:$D$17,0))</f>
        <v>51136</v>
      </c>
      <c r="N56" s="286">
        <f>INDEX(TA!$DU$15:$DU$17,MATCH($D56,TA!$D$15:$D$17,0))</f>
        <v>52963</v>
      </c>
      <c r="O56" s="290">
        <f>INDEX(TA!$EA$15:$EA$17,MATCH($D56,TA!$D$15:$D$17,0))</f>
        <v>0</v>
      </c>
      <c r="T56" s="230">
        <f>($M56&lt;=T$4)*MAX(($N56-T$4)/365,0)*$J56*$K56</f>
        <v>0</v>
      </c>
      <c r="U56" s="230">
        <f t="shared" ref="U56:BG57" si="24">($M56&lt;=U$4)*MAX(($N56-U$4)/365,0)*$J56*$K56</f>
        <v>0</v>
      </c>
      <c r="V56" s="230">
        <f t="shared" si="24"/>
        <v>0</v>
      </c>
      <c r="W56" s="230">
        <f t="shared" si="24"/>
        <v>0</v>
      </c>
      <c r="X56" s="230">
        <f t="shared" si="24"/>
        <v>0</v>
      </c>
      <c r="Y56" s="230">
        <f t="shared" si="24"/>
        <v>0</v>
      </c>
      <c r="Z56" s="230">
        <f t="shared" si="24"/>
        <v>0</v>
      </c>
      <c r="AA56" s="230">
        <f t="shared" si="24"/>
        <v>0</v>
      </c>
      <c r="AB56" s="230">
        <f t="shared" si="24"/>
        <v>0</v>
      </c>
      <c r="AC56" s="230">
        <f t="shared" si="24"/>
        <v>0</v>
      </c>
      <c r="AD56" s="230">
        <f t="shared" si="24"/>
        <v>0</v>
      </c>
      <c r="AE56" s="230">
        <f t="shared" si="24"/>
        <v>0</v>
      </c>
      <c r="AF56" s="230">
        <f t="shared" si="24"/>
        <v>0</v>
      </c>
      <c r="AG56" s="230">
        <f t="shared" si="24"/>
        <v>0</v>
      </c>
      <c r="AH56" s="230">
        <f t="shared" si="24"/>
        <v>0</v>
      </c>
      <c r="AI56" s="230">
        <f t="shared" si="24"/>
        <v>0</v>
      </c>
      <c r="AJ56" s="230">
        <f t="shared" si="24"/>
        <v>0</v>
      </c>
      <c r="AK56" s="230">
        <f t="shared" si="24"/>
        <v>0</v>
      </c>
      <c r="AL56" s="230">
        <f t="shared" si="24"/>
        <v>0</v>
      </c>
      <c r="AM56" s="230">
        <f t="shared" si="24"/>
        <v>0</v>
      </c>
      <c r="AN56" s="230">
        <f t="shared" si="24"/>
        <v>0</v>
      </c>
      <c r="AO56" s="230">
        <f t="shared" si="24"/>
        <v>0</v>
      </c>
      <c r="AP56" s="230">
        <f t="shared" si="24"/>
        <v>0</v>
      </c>
      <c r="AQ56" s="230">
        <f t="shared" si="24"/>
        <v>0</v>
      </c>
      <c r="AR56" s="230">
        <f t="shared" si="24"/>
        <v>0</v>
      </c>
      <c r="AS56" s="230">
        <f t="shared" si="24"/>
        <v>0</v>
      </c>
      <c r="AT56" s="230">
        <f t="shared" si="24"/>
        <v>0</v>
      </c>
      <c r="AU56" s="230">
        <f t="shared" si="24"/>
        <v>0</v>
      </c>
      <c r="AV56" s="230">
        <f t="shared" si="24"/>
        <v>0</v>
      </c>
      <c r="AW56" s="230">
        <f t="shared" si="24"/>
        <v>0</v>
      </c>
      <c r="AX56" s="230">
        <f t="shared" si="24"/>
        <v>0</v>
      </c>
      <c r="AY56" s="230">
        <f t="shared" si="24"/>
        <v>0</v>
      </c>
      <c r="AZ56" s="230">
        <f t="shared" si="24"/>
        <v>0</v>
      </c>
      <c r="BA56" s="230">
        <f t="shared" si="24"/>
        <v>0</v>
      </c>
      <c r="BB56" s="230">
        <f t="shared" si="24"/>
        <v>0</v>
      </c>
      <c r="BC56" s="230">
        <f t="shared" si="24"/>
        <v>0</v>
      </c>
      <c r="BD56" s="230">
        <f t="shared" si="24"/>
        <v>0</v>
      </c>
      <c r="BE56" s="230">
        <f t="shared" si="24"/>
        <v>0</v>
      </c>
      <c r="BF56" s="230">
        <f t="shared" si="24"/>
        <v>0</v>
      </c>
      <c r="BG56" s="230">
        <f t="shared" si="24"/>
        <v>0</v>
      </c>
      <c r="BI56" s="105" t="s">
        <v>153</v>
      </c>
      <c r="BK56" s="103"/>
    </row>
    <row r="57" spans="2:63">
      <c r="C57" s="99">
        <f>RR!C24</f>
        <v>2</v>
      </c>
      <c r="D57" s="99" t="str">
        <f>RR!E24</f>
        <v>2 - 1</v>
      </c>
      <c r="F57" s="94" t="str">
        <f>INDEX(RR!K:K,MATCH(D57,RR!E:E,0))</f>
        <v>backup</v>
      </c>
      <c r="H57" s="73" t="s">
        <v>300</v>
      </c>
      <c r="J57" s="1325">
        <f>INDEX(AA!E:E,MATCH($C57,AA!C:C,0))</f>
        <v>1</v>
      </c>
      <c r="K57" s="1325">
        <f>INDEX(TA!$G:$G,MATCH($D57,TA!$D:$D,0))</f>
        <v>1</v>
      </c>
      <c r="M57" s="291">
        <f>INDEX(TA!$DT$15:$DT$17,MATCH($D57,TA!$D$15:$D$17,0))</f>
        <v>51136</v>
      </c>
      <c r="N57" s="288">
        <f>INDEX(TA!$DU$15:$DU$17,MATCH($D57,TA!$D$15:$D$17,0))</f>
        <v>52963</v>
      </c>
      <c r="O57" s="292">
        <f>INDEX(TA!$EA$15:$EA$17,MATCH($D57,TA!$D$15:$D$17,0))</f>
        <v>0</v>
      </c>
      <c r="T57" s="230">
        <f t="shared" ref="T57" si="25">($M57&lt;=T$4)*MAX(($N57-T$4)/365,0)*$J57*$K57</f>
        <v>0</v>
      </c>
      <c r="U57" s="230">
        <f t="shared" si="24"/>
        <v>0</v>
      </c>
      <c r="V57" s="230">
        <f t="shared" si="24"/>
        <v>0</v>
      </c>
      <c r="W57" s="230">
        <f t="shared" si="24"/>
        <v>0</v>
      </c>
      <c r="X57" s="230">
        <f t="shared" si="24"/>
        <v>0</v>
      </c>
      <c r="Y57" s="230">
        <f t="shared" si="24"/>
        <v>0</v>
      </c>
      <c r="Z57" s="230">
        <f t="shared" si="24"/>
        <v>0</v>
      </c>
      <c r="AA57" s="230">
        <f t="shared" si="24"/>
        <v>0</v>
      </c>
      <c r="AB57" s="230">
        <f t="shared" si="24"/>
        <v>0</v>
      </c>
      <c r="AC57" s="230">
        <f t="shared" si="24"/>
        <v>0</v>
      </c>
      <c r="AD57" s="230">
        <f t="shared" si="24"/>
        <v>0</v>
      </c>
      <c r="AE57" s="230">
        <f t="shared" si="24"/>
        <v>0</v>
      </c>
      <c r="AF57" s="230">
        <f t="shared" si="24"/>
        <v>0</v>
      </c>
      <c r="AG57" s="230">
        <f t="shared" si="24"/>
        <v>0</v>
      </c>
      <c r="AH57" s="230">
        <f t="shared" si="24"/>
        <v>0</v>
      </c>
      <c r="AI57" s="230">
        <f t="shared" si="24"/>
        <v>0</v>
      </c>
      <c r="AJ57" s="230">
        <f t="shared" si="24"/>
        <v>0</v>
      </c>
      <c r="AK57" s="230">
        <f t="shared" si="24"/>
        <v>0</v>
      </c>
      <c r="AL57" s="230">
        <f t="shared" si="24"/>
        <v>0</v>
      </c>
      <c r="AM57" s="230">
        <f t="shared" si="24"/>
        <v>0</v>
      </c>
      <c r="AN57" s="230">
        <f t="shared" si="24"/>
        <v>0</v>
      </c>
      <c r="AO57" s="230">
        <f t="shared" si="24"/>
        <v>0</v>
      </c>
      <c r="AP57" s="230">
        <f t="shared" si="24"/>
        <v>0</v>
      </c>
      <c r="AQ57" s="230">
        <f t="shared" si="24"/>
        <v>0</v>
      </c>
      <c r="AR57" s="230">
        <f t="shared" si="24"/>
        <v>0</v>
      </c>
      <c r="AS57" s="230">
        <f t="shared" si="24"/>
        <v>0</v>
      </c>
      <c r="AT57" s="230">
        <f t="shared" si="24"/>
        <v>0</v>
      </c>
      <c r="AU57" s="230">
        <f t="shared" si="24"/>
        <v>0</v>
      </c>
      <c r="AV57" s="230">
        <f t="shared" si="24"/>
        <v>0</v>
      </c>
      <c r="AW57" s="230">
        <f t="shared" si="24"/>
        <v>0</v>
      </c>
      <c r="AX57" s="230">
        <f t="shared" si="24"/>
        <v>0</v>
      </c>
      <c r="AY57" s="230">
        <f t="shared" si="24"/>
        <v>0</v>
      </c>
      <c r="AZ57" s="230">
        <f t="shared" si="24"/>
        <v>0</v>
      </c>
      <c r="BA57" s="230">
        <f t="shared" si="24"/>
        <v>0</v>
      </c>
      <c r="BB57" s="230">
        <f t="shared" si="24"/>
        <v>0</v>
      </c>
      <c r="BC57" s="230">
        <f t="shared" si="24"/>
        <v>0</v>
      </c>
      <c r="BD57" s="230">
        <f t="shared" si="24"/>
        <v>0</v>
      </c>
      <c r="BE57" s="230">
        <f t="shared" si="24"/>
        <v>0</v>
      </c>
      <c r="BF57" s="230">
        <f t="shared" si="24"/>
        <v>0</v>
      </c>
      <c r="BG57" s="230">
        <f t="shared" si="24"/>
        <v>0</v>
      </c>
      <c r="BI57" s="106" t="s">
        <v>153</v>
      </c>
      <c r="BK57" s="103"/>
    </row>
    <row r="58" spans="2:63">
      <c r="C58" s="99">
        <f>RR!C25</f>
        <v>3</v>
      </c>
      <c r="D58" s="99" t="str">
        <f>RR!E25</f>
        <v>3 - 1</v>
      </c>
      <c r="F58" s="94" t="str">
        <f>INDEX(RR!K:K,MATCH(D58,RR!E:E,0))</f>
        <v>backup</v>
      </c>
      <c r="H58" s="73" t="s">
        <v>300</v>
      </c>
      <c r="J58" s="1325">
        <f>INDEX(AA!E:E,MATCH($C58,AA!C:C,0))</f>
        <v>1</v>
      </c>
      <c r="K58" s="1325">
        <f>INDEX(TA!$G:$G,MATCH($D58,TA!$D:$D,0))</f>
        <v>1</v>
      </c>
      <c r="M58" s="291">
        <f>INDEX(TA!$DT$15:$DT$17,MATCH($D58,TA!$D$15:$D$17,0))</f>
        <v>51136</v>
      </c>
      <c r="N58" s="288">
        <f>INDEX(TA!$DU$15:$DU$17,MATCH($D58,TA!$D$15:$D$17,0))</f>
        <v>52963</v>
      </c>
      <c r="O58" s="292">
        <f>INDEX(TA!$EA$15:$EA$17,MATCH($D58,TA!$D$15:$D$17,0))</f>
        <v>0</v>
      </c>
      <c r="T58" s="230">
        <f t="shared" ref="T58:AI58" si="26">($M58&lt;=T$4)*MAX(($N58-T$4)/365,0)*$J58*$K58</f>
        <v>0</v>
      </c>
      <c r="U58" s="230">
        <f t="shared" si="26"/>
        <v>0</v>
      </c>
      <c r="V58" s="230">
        <f t="shared" si="26"/>
        <v>0</v>
      </c>
      <c r="W58" s="230">
        <f t="shared" si="26"/>
        <v>0</v>
      </c>
      <c r="X58" s="230">
        <f t="shared" si="26"/>
        <v>0</v>
      </c>
      <c r="Y58" s="230">
        <f t="shared" si="26"/>
        <v>0</v>
      </c>
      <c r="Z58" s="230">
        <f t="shared" si="26"/>
        <v>0</v>
      </c>
      <c r="AA58" s="230">
        <f t="shared" si="26"/>
        <v>0</v>
      </c>
      <c r="AB58" s="230">
        <f t="shared" si="26"/>
        <v>0</v>
      </c>
      <c r="AC58" s="230">
        <f t="shared" si="26"/>
        <v>0</v>
      </c>
      <c r="AD58" s="230">
        <f t="shared" si="26"/>
        <v>0</v>
      </c>
      <c r="AE58" s="230">
        <f t="shared" si="26"/>
        <v>0</v>
      </c>
      <c r="AF58" s="230">
        <f t="shared" si="26"/>
        <v>0</v>
      </c>
      <c r="AG58" s="230">
        <f t="shared" si="26"/>
        <v>0</v>
      </c>
      <c r="AH58" s="230">
        <f t="shared" si="26"/>
        <v>0</v>
      </c>
      <c r="AI58" s="230">
        <f t="shared" si="26"/>
        <v>0</v>
      </c>
      <c r="AJ58" s="230">
        <f t="shared" ref="AJ58:AY58" si="27">($M58&lt;=AJ$4)*MAX(($N58-AJ$4)/365,0)*$J58*$K58</f>
        <v>0</v>
      </c>
      <c r="AK58" s="230">
        <f t="shared" si="27"/>
        <v>0</v>
      </c>
      <c r="AL58" s="230">
        <f t="shared" si="27"/>
        <v>0</v>
      </c>
      <c r="AM58" s="230">
        <f t="shared" si="27"/>
        <v>0</v>
      </c>
      <c r="AN58" s="230">
        <f t="shared" si="27"/>
        <v>0</v>
      </c>
      <c r="AO58" s="230">
        <f t="shared" si="27"/>
        <v>0</v>
      </c>
      <c r="AP58" s="230">
        <f t="shared" si="27"/>
        <v>0</v>
      </c>
      <c r="AQ58" s="230">
        <f t="shared" si="27"/>
        <v>0</v>
      </c>
      <c r="AR58" s="230">
        <f t="shared" si="27"/>
        <v>0</v>
      </c>
      <c r="AS58" s="230">
        <f t="shared" si="27"/>
        <v>0</v>
      </c>
      <c r="AT58" s="230">
        <f t="shared" si="27"/>
        <v>0</v>
      </c>
      <c r="AU58" s="230">
        <f t="shared" si="27"/>
        <v>0</v>
      </c>
      <c r="AV58" s="230">
        <f t="shared" si="27"/>
        <v>0</v>
      </c>
      <c r="AW58" s="230">
        <f t="shared" si="27"/>
        <v>0</v>
      </c>
      <c r="AX58" s="230">
        <f t="shared" si="27"/>
        <v>0</v>
      </c>
      <c r="AY58" s="230">
        <f t="shared" si="27"/>
        <v>0</v>
      </c>
      <c r="AZ58" s="230">
        <f t="shared" ref="AZ58:BG58" si="28">($M58&lt;=AZ$4)*MAX(($N58-AZ$4)/365,0)*$J58*$K58</f>
        <v>0</v>
      </c>
      <c r="BA58" s="230">
        <f t="shared" si="28"/>
        <v>0</v>
      </c>
      <c r="BB58" s="230">
        <f t="shared" si="28"/>
        <v>0</v>
      </c>
      <c r="BC58" s="230">
        <f t="shared" si="28"/>
        <v>0</v>
      </c>
      <c r="BD58" s="230">
        <f t="shared" si="28"/>
        <v>0</v>
      </c>
      <c r="BE58" s="230">
        <f t="shared" si="28"/>
        <v>0</v>
      </c>
      <c r="BF58" s="230">
        <f t="shared" si="28"/>
        <v>0</v>
      </c>
      <c r="BG58" s="230">
        <f t="shared" si="28"/>
        <v>0</v>
      </c>
      <c r="BI58" s="106" t="s">
        <v>153</v>
      </c>
      <c r="BK58" s="103"/>
    </row>
    <row r="59" spans="2:63">
      <c r="C59" s="269"/>
      <c r="D59" s="269"/>
      <c r="F59" s="269"/>
      <c r="H59" s="269"/>
      <c r="J59" s="269"/>
      <c r="K59" s="269"/>
      <c r="M59" s="269"/>
      <c r="N59" s="269"/>
      <c r="O59" s="269"/>
      <c r="T59" s="230"/>
      <c r="U59" s="230"/>
      <c r="V59" s="230"/>
      <c r="W59" s="230"/>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I59" s="269"/>
      <c r="BK59" s="269"/>
    </row>
    <row r="60" spans="2:63">
      <c r="T60" s="230"/>
      <c r="U60" s="230"/>
      <c r="V60" s="230"/>
      <c r="W60" s="230"/>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row>
    <row r="61" spans="2:63" s="90" customFormat="1">
      <c r="B61" s="91">
        <f ca="1">MAX(A$1:$B60)+1</f>
        <v>7</v>
      </c>
      <c r="C61" s="92" t="s">
        <v>383</v>
      </c>
    </row>
    <row r="62" spans="2:63">
      <c r="T62" s="230"/>
      <c r="U62" s="230"/>
      <c r="V62" s="230"/>
      <c r="W62" s="230"/>
      <c r="X62" s="230"/>
      <c r="Y62" s="230"/>
      <c r="Z62" s="230"/>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row>
    <row r="63" spans="2:63">
      <c r="M63" s="226" t="s">
        <v>383</v>
      </c>
      <c r="N63" s="225"/>
      <c r="O63" s="225"/>
      <c r="T63" s="230"/>
      <c r="U63" s="230"/>
      <c r="V63" s="230"/>
      <c r="W63" s="230"/>
      <c r="X63" s="230"/>
      <c r="Y63" s="230"/>
      <c r="Z63" s="230"/>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row>
    <row r="64" spans="2:63" ht="30">
      <c r="C64" s="96" t="s">
        <v>4</v>
      </c>
      <c r="D64" s="97" t="s">
        <v>148</v>
      </c>
      <c r="E64" s="95"/>
      <c r="F64" s="97" t="s">
        <v>149</v>
      </c>
      <c r="G64" s="95"/>
      <c r="H64" s="97" t="s">
        <v>150</v>
      </c>
      <c r="I64" s="95"/>
      <c r="J64" s="97" t="s">
        <v>272</v>
      </c>
      <c r="K64" s="97" t="s">
        <v>273</v>
      </c>
      <c r="M64" s="96" t="s">
        <v>384</v>
      </c>
      <c r="N64" s="97" t="s">
        <v>385</v>
      </c>
      <c r="O64" s="97" t="s">
        <v>305</v>
      </c>
      <c r="T64" s="230"/>
      <c r="U64" s="230"/>
      <c r="V64" s="230"/>
      <c r="W64" s="230"/>
      <c r="X64" s="230"/>
      <c r="Y64" s="230"/>
      <c r="Z64" s="230"/>
      <c r="AA64" s="230"/>
      <c r="AB64" s="230"/>
      <c r="AC64" s="230"/>
      <c r="AD64" s="230"/>
      <c r="AE64" s="230"/>
      <c r="AF64" s="230"/>
      <c r="AG64" s="230"/>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I64" s="104" t="s">
        <v>152</v>
      </c>
      <c r="BJ64" s="95"/>
      <c r="BK64" s="102"/>
    </row>
    <row r="65" spans="2:63">
      <c r="C65" s="98">
        <f>RR!C23</f>
        <v>1</v>
      </c>
      <c r="D65" s="98" t="str">
        <f>RR!E23</f>
        <v>1 - 1</v>
      </c>
      <c r="F65" s="93" t="str">
        <f>INDEX(RR!K:K,MATCH(D65,RR!E:E,0))</f>
        <v>backup</v>
      </c>
      <c r="H65" s="72" t="s">
        <v>383</v>
      </c>
      <c r="J65" s="1324">
        <f>INDEX(AA!E:E,MATCH($C65,AA!C:C,0))</f>
        <v>1</v>
      </c>
      <c r="K65" s="1324">
        <f>INDEX(TA!$G:$G,MATCH($D65,TA!$D:$D,0))</f>
        <v>1</v>
      </c>
      <c r="M65" s="305">
        <f>INDEX(TA!$BN$15:$BN$17,MATCH($D65,TA!$D$15:$D$17,0))</f>
        <v>0</v>
      </c>
      <c r="N65" s="307">
        <f>INDEX(TA!$CA$15:$CA$17,MATCH($D65,TA!$D$15:$D$17,0))</f>
        <v>0</v>
      </c>
      <c r="O65" s="1324" t="str">
        <f>INDEX(TA!$U:$U,MATCH($D65,TA!$D:$D,0))</f>
        <v>FMCG-F</v>
      </c>
      <c r="T65" s="231">
        <f>$M65*(T$5&gt;=$N65)</f>
        <v>0</v>
      </c>
      <c r="U65" s="231">
        <f t="shared" ref="U65:BG66" si="29">$M65*(U$5&gt;=$N65)</f>
        <v>0</v>
      </c>
      <c r="V65" s="231">
        <f t="shared" si="29"/>
        <v>0</v>
      </c>
      <c r="W65" s="231">
        <f t="shared" si="29"/>
        <v>0</v>
      </c>
      <c r="X65" s="231">
        <f t="shared" si="29"/>
        <v>0</v>
      </c>
      <c r="Y65" s="231">
        <f t="shared" si="29"/>
        <v>0</v>
      </c>
      <c r="Z65" s="231">
        <f t="shared" si="29"/>
        <v>0</v>
      </c>
      <c r="AA65" s="231">
        <f t="shared" si="29"/>
        <v>0</v>
      </c>
      <c r="AB65" s="231">
        <f t="shared" si="29"/>
        <v>0</v>
      </c>
      <c r="AC65" s="231">
        <f t="shared" si="29"/>
        <v>0</v>
      </c>
      <c r="AD65" s="231">
        <f t="shared" si="29"/>
        <v>0</v>
      </c>
      <c r="AE65" s="231">
        <f t="shared" si="29"/>
        <v>0</v>
      </c>
      <c r="AF65" s="231">
        <f t="shared" si="29"/>
        <v>0</v>
      </c>
      <c r="AG65" s="231">
        <f t="shared" si="29"/>
        <v>0</v>
      </c>
      <c r="AH65" s="231">
        <f t="shared" si="29"/>
        <v>0</v>
      </c>
      <c r="AI65" s="231">
        <f t="shared" si="29"/>
        <v>0</v>
      </c>
      <c r="AJ65" s="231">
        <f t="shared" si="29"/>
        <v>0</v>
      </c>
      <c r="AK65" s="231">
        <f t="shared" si="29"/>
        <v>0</v>
      </c>
      <c r="AL65" s="231">
        <f t="shared" si="29"/>
        <v>0</v>
      </c>
      <c r="AM65" s="231">
        <f t="shared" si="29"/>
        <v>0</v>
      </c>
      <c r="AN65" s="231">
        <f t="shared" si="29"/>
        <v>0</v>
      </c>
      <c r="AO65" s="231">
        <f t="shared" si="29"/>
        <v>0</v>
      </c>
      <c r="AP65" s="231">
        <f t="shared" si="29"/>
        <v>0</v>
      </c>
      <c r="AQ65" s="231">
        <f t="shared" si="29"/>
        <v>0</v>
      </c>
      <c r="AR65" s="231">
        <f t="shared" si="29"/>
        <v>0</v>
      </c>
      <c r="AS65" s="231">
        <f t="shared" si="29"/>
        <v>0</v>
      </c>
      <c r="AT65" s="231">
        <f t="shared" si="29"/>
        <v>0</v>
      </c>
      <c r="AU65" s="231">
        <f t="shared" si="29"/>
        <v>0</v>
      </c>
      <c r="AV65" s="231">
        <f t="shared" si="29"/>
        <v>0</v>
      </c>
      <c r="AW65" s="231">
        <f t="shared" si="29"/>
        <v>0</v>
      </c>
      <c r="AX65" s="231">
        <f t="shared" si="29"/>
        <v>0</v>
      </c>
      <c r="AY65" s="231">
        <f t="shared" si="29"/>
        <v>0</v>
      </c>
      <c r="AZ65" s="231">
        <f t="shared" si="29"/>
        <v>0</v>
      </c>
      <c r="BA65" s="231">
        <f t="shared" si="29"/>
        <v>0</v>
      </c>
      <c r="BB65" s="231">
        <f t="shared" si="29"/>
        <v>0</v>
      </c>
      <c r="BC65" s="231">
        <f t="shared" si="29"/>
        <v>0</v>
      </c>
      <c r="BD65" s="231">
        <f t="shared" si="29"/>
        <v>0</v>
      </c>
      <c r="BE65" s="231">
        <f t="shared" si="29"/>
        <v>0</v>
      </c>
      <c r="BF65" s="231">
        <f t="shared" si="29"/>
        <v>0</v>
      </c>
      <c r="BG65" s="231">
        <f t="shared" si="29"/>
        <v>0</v>
      </c>
      <c r="BI65" s="105" t="s">
        <v>153</v>
      </c>
      <c r="BK65" s="103"/>
    </row>
    <row r="66" spans="2:63">
      <c r="C66" s="99">
        <f>RR!C24</f>
        <v>2</v>
      </c>
      <c r="D66" s="99" t="str">
        <f>RR!E24</f>
        <v>2 - 1</v>
      </c>
      <c r="F66" s="94" t="str">
        <f>INDEX(RR!K:K,MATCH(D66,RR!E:E,0))</f>
        <v>backup</v>
      </c>
      <c r="H66" s="73" t="s">
        <v>383</v>
      </c>
      <c r="J66" s="1325">
        <f>INDEX(AA!E:E,MATCH($C66,AA!C:C,0))</f>
        <v>1</v>
      </c>
      <c r="K66" s="1325">
        <f>INDEX(TA!$G:$G,MATCH($D66,TA!$D:$D,0))</f>
        <v>1</v>
      </c>
      <c r="M66" s="306">
        <f>INDEX(TA!$BN$15:$BN$17,MATCH($D66,TA!$D$15:$D$17,0))</f>
        <v>0</v>
      </c>
      <c r="N66" s="308">
        <f>INDEX(TA!$CA$15:$CA$17,MATCH($D66,TA!$D$15:$D$17,0))</f>
        <v>0</v>
      </c>
      <c r="O66" s="1325" t="str">
        <f>INDEX(TA!$U:$U,MATCH($D66,TA!$D:$D,0))</f>
        <v>FMCG-F</v>
      </c>
      <c r="T66" s="231">
        <f t="shared" ref="T66:AI66" si="30">$M66*(T$5&gt;=$N66)</f>
        <v>0</v>
      </c>
      <c r="U66" s="231">
        <f t="shared" si="30"/>
        <v>0</v>
      </c>
      <c r="V66" s="231">
        <f t="shared" si="30"/>
        <v>0</v>
      </c>
      <c r="W66" s="231">
        <f t="shared" si="30"/>
        <v>0</v>
      </c>
      <c r="X66" s="231">
        <f t="shared" si="30"/>
        <v>0</v>
      </c>
      <c r="Y66" s="231">
        <f t="shared" si="30"/>
        <v>0</v>
      </c>
      <c r="Z66" s="231">
        <f t="shared" si="30"/>
        <v>0</v>
      </c>
      <c r="AA66" s="231">
        <f t="shared" si="30"/>
        <v>0</v>
      </c>
      <c r="AB66" s="231">
        <f t="shared" si="30"/>
        <v>0</v>
      </c>
      <c r="AC66" s="231">
        <f t="shared" si="30"/>
        <v>0</v>
      </c>
      <c r="AD66" s="231">
        <f t="shared" si="30"/>
        <v>0</v>
      </c>
      <c r="AE66" s="231">
        <f t="shared" si="30"/>
        <v>0</v>
      </c>
      <c r="AF66" s="231">
        <f t="shared" si="30"/>
        <v>0</v>
      </c>
      <c r="AG66" s="231">
        <f t="shared" si="30"/>
        <v>0</v>
      </c>
      <c r="AH66" s="231">
        <f t="shared" si="30"/>
        <v>0</v>
      </c>
      <c r="AI66" s="231">
        <f t="shared" si="30"/>
        <v>0</v>
      </c>
      <c r="AJ66" s="231">
        <f t="shared" si="29"/>
        <v>0</v>
      </c>
      <c r="AK66" s="231">
        <f t="shared" si="29"/>
        <v>0</v>
      </c>
      <c r="AL66" s="231">
        <f t="shared" si="29"/>
        <v>0</v>
      </c>
      <c r="AM66" s="231">
        <f t="shared" si="29"/>
        <v>0</v>
      </c>
      <c r="AN66" s="231">
        <f t="shared" si="29"/>
        <v>0</v>
      </c>
      <c r="AO66" s="231">
        <f t="shared" si="29"/>
        <v>0</v>
      </c>
      <c r="AP66" s="231">
        <f t="shared" si="29"/>
        <v>0</v>
      </c>
      <c r="AQ66" s="231">
        <f t="shared" si="29"/>
        <v>0</v>
      </c>
      <c r="AR66" s="231">
        <f t="shared" si="29"/>
        <v>0</v>
      </c>
      <c r="AS66" s="231">
        <f t="shared" si="29"/>
        <v>0</v>
      </c>
      <c r="AT66" s="231">
        <f t="shared" si="29"/>
        <v>0</v>
      </c>
      <c r="AU66" s="231">
        <f t="shared" si="29"/>
        <v>0</v>
      </c>
      <c r="AV66" s="231">
        <f t="shared" si="29"/>
        <v>0</v>
      </c>
      <c r="AW66" s="231">
        <f t="shared" si="29"/>
        <v>0</v>
      </c>
      <c r="AX66" s="231">
        <f t="shared" si="29"/>
        <v>0</v>
      </c>
      <c r="AY66" s="231">
        <f t="shared" si="29"/>
        <v>0</v>
      </c>
      <c r="AZ66" s="231">
        <f t="shared" si="29"/>
        <v>0</v>
      </c>
      <c r="BA66" s="231">
        <f t="shared" si="29"/>
        <v>0</v>
      </c>
      <c r="BB66" s="231">
        <f t="shared" si="29"/>
        <v>0</v>
      </c>
      <c r="BC66" s="231">
        <f t="shared" si="29"/>
        <v>0</v>
      </c>
      <c r="BD66" s="231">
        <f t="shared" si="29"/>
        <v>0</v>
      </c>
      <c r="BE66" s="231">
        <f t="shared" si="29"/>
        <v>0</v>
      </c>
      <c r="BF66" s="231">
        <f t="shared" si="29"/>
        <v>0</v>
      </c>
      <c r="BG66" s="231">
        <f t="shared" si="29"/>
        <v>0</v>
      </c>
      <c r="BI66" s="106" t="s">
        <v>153</v>
      </c>
      <c r="BK66" s="103"/>
    </row>
    <row r="67" spans="2:63">
      <c r="C67" s="99">
        <f>RR!C25</f>
        <v>3</v>
      </c>
      <c r="D67" s="99" t="str">
        <f>RR!E25</f>
        <v>3 - 1</v>
      </c>
      <c r="F67" s="94" t="str">
        <f>INDEX(RR!K:K,MATCH(D67,RR!E:E,0))</f>
        <v>backup</v>
      </c>
      <c r="H67" s="73" t="s">
        <v>383</v>
      </c>
      <c r="J67" s="1325">
        <f>INDEX(AA!E:E,MATCH($C67,AA!C:C,0))</f>
        <v>1</v>
      </c>
      <c r="K67" s="1325">
        <f>INDEX(TA!$G:$G,MATCH($D67,TA!$D:$D,0))</f>
        <v>1</v>
      </c>
      <c r="M67" s="306">
        <f>INDEX(TA!$BN$15:$BN$17,MATCH($D67,TA!$D$15:$D$17,0))</f>
        <v>0</v>
      </c>
      <c r="N67" s="308">
        <f>INDEX(TA!$CA$15:$CA$17,MATCH($D67,TA!$D$15:$D$17,0))</f>
        <v>0</v>
      </c>
      <c r="O67" s="1325" t="str">
        <f>INDEX(TA!$U:$U,MATCH($D67,TA!$D:$D,0))</f>
        <v>FMCG-F</v>
      </c>
      <c r="T67" s="231">
        <f t="shared" ref="T67:AI67" si="31">$M67*(T$5&gt;=$N67)</f>
        <v>0</v>
      </c>
      <c r="U67" s="231">
        <f t="shared" si="31"/>
        <v>0</v>
      </c>
      <c r="V67" s="231">
        <f t="shared" si="31"/>
        <v>0</v>
      </c>
      <c r="W67" s="231">
        <f t="shared" si="31"/>
        <v>0</v>
      </c>
      <c r="X67" s="231">
        <f t="shared" si="31"/>
        <v>0</v>
      </c>
      <c r="Y67" s="231">
        <f t="shared" si="31"/>
        <v>0</v>
      </c>
      <c r="Z67" s="231">
        <f t="shared" si="31"/>
        <v>0</v>
      </c>
      <c r="AA67" s="231">
        <f t="shared" si="31"/>
        <v>0</v>
      </c>
      <c r="AB67" s="231">
        <f t="shared" si="31"/>
        <v>0</v>
      </c>
      <c r="AC67" s="231">
        <f t="shared" si="31"/>
        <v>0</v>
      </c>
      <c r="AD67" s="231">
        <f t="shared" si="31"/>
        <v>0</v>
      </c>
      <c r="AE67" s="231">
        <f t="shared" si="31"/>
        <v>0</v>
      </c>
      <c r="AF67" s="231">
        <f t="shared" si="31"/>
        <v>0</v>
      </c>
      <c r="AG67" s="231">
        <f t="shared" si="31"/>
        <v>0</v>
      </c>
      <c r="AH67" s="231">
        <f t="shared" si="31"/>
        <v>0</v>
      </c>
      <c r="AI67" s="231">
        <f t="shared" si="31"/>
        <v>0</v>
      </c>
      <c r="AJ67" s="231">
        <f t="shared" ref="AJ67:AY67" si="32">$M67*(AJ$5&gt;=$N67)</f>
        <v>0</v>
      </c>
      <c r="AK67" s="231">
        <f t="shared" si="32"/>
        <v>0</v>
      </c>
      <c r="AL67" s="231">
        <f t="shared" si="32"/>
        <v>0</v>
      </c>
      <c r="AM67" s="231">
        <f t="shared" si="32"/>
        <v>0</v>
      </c>
      <c r="AN67" s="231">
        <f t="shared" si="32"/>
        <v>0</v>
      </c>
      <c r="AO67" s="231">
        <f t="shared" si="32"/>
        <v>0</v>
      </c>
      <c r="AP67" s="231">
        <f t="shared" si="32"/>
        <v>0</v>
      </c>
      <c r="AQ67" s="231">
        <f t="shared" si="32"/>
        <v>0</v>
      </c>
      <c r="AR67" s="231">
        <f t="shared" si="32"/>
        <v>0</v>
      </c>
      <c r="AS67" s="231">
        <f t="shared" si="32"/>
        <v>0</v>
      </c>
      <c r="AT67" s="231">
        <f t="shared" si="32"/>
        <v>0</v>
      </c>
      <c r="AU67" s="231">
        <f t="shared" si="32"/>
        <v>0</v>
      </c>
      <c r="AV67" s="231">
        <f t="shared" si="32"/>
        <v>0</v>
      </c>
      <c r="AW67" s="231">
        <f t="shared" si="32"/>
        <v>0</v>
      </c>
      <c r="AX67" s="231">
        <f t="shared" si="32"/>
        <v>0</v>
      </c>
      <c r="AY67" s="231">
        <f t="shared" si="32"/>
        <v>0</v>
      </c>
      <c r="AZ67" s="231">
        <f t="shared" ref="AZ67:BG67" si="33">$M67*(AZ$5&gt;=$N67)</f>
        <v>0</v>
      </c>
      <c r="BA67" s="231">
        <f t="shared" si="33"/>
        <v>0</v>
      </c>
      <c r="BB67" s="231">
        <f t="shared" si="33"/>
        <v>0</v>
      </c>
      <c r="BC67" s="231">
        <f t="shared" si="33"/>
        <v>0</v>
      </c>
      <c r="BD67" s="231">
        <f t="shared" si="33"/>
        <v>0</v>
      </c>
      <c r="BE67" s="231">
        <f t="shared" si="33"/>
        <v>0</v>
      </c>
      <c r="BF67" s="231">
        <f t="shared" si="33"/>
        <v>0</v>
      </c>
      <c r="BG67" s="231">
        <f t="shared" si="33"/>
        <v>0</v>
      </c>
      <c r="BI67" s="106" t="s">
        <v>153</v>
      </c>
      <c r="BK67" s="103"/>
    </row>
    <row r="68" spans="2:63">
      <c r="C68" s="269"/>
      <c r="D68" s="269"/>
      <c r="F68" s="269"/>
      <c r="H68" s="269"/>
      <c r="J68" s="269"/>
      <c r="K68" s="269"/>
      <c r="M68" s="269"/>
      <c r="N68" s="269"/>
      <c r="O68" s="269"/>
      <c r="T68" s="230"/>
      <c r="U68" s="230"/>
      <c r="V68" s="230"/>
      <c r="W68" s="230"/>
      <c r="X68" s="230"/>
      <c r="Y68" s="230"/>
      <c r="Z68" s="230"/>
      <c r="AA68" s="230"/>
      <c r="AB68" s="230"/>
      <c r="AC68" s="230"/>
      <c r="AD68" s="230"/>
      <c r="AE68" s="230"/>
      <c r="AF68" s="230"/>
      <c r="AG68" s="230"/>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I68" s="269"/>
      <c r="BK68" s="269"/>
    </row>
    <row r="69" spans="2:63">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row>
    <row r="70" spans="2:63" s="90" customFormat="1">
      <c r="B70" s="91">
        <f ca="1">MAX(A$1:$B69)+1</f>
        <v>8</v>
      </c>
      <c r="C70" s="92" t="s">
        <v>302</v>
      </c>
    </row>
    <row r="71" spans="2:63">
      <c r="T71" s="230"/>
      <c r="U71" s="230"/>
      <c r="V71" s="230"/>
      <c r="W71" s="230"/>
      <c r="X71" s="230"/>
      <c r="Y71" s="230"/>
      <c r="Z71" s="230"/>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row>
    <row r="72" spans="2:63">
      <c r="M72" s="226" t="s">
        <v>303</v>
      </c>
      <c r="N72" s="225"/>
      <c r="T72" s="230"/>
      <c r="U72" s="230"/>
      <c r="V72" s="230"/>
      <c r="W72" s="230"/>
      <c r="X72" s="230"/>
      <c r="Y72" s="230"/>
      <c r="Z72" s="230"/>
      <c r="AA72" s="230"/>
      <c r="AB72" s="230"/>
      <c r="AC72" s="230"/>
      <c r="AD72" s="230"/>
      <c r="AE72" s="230"/>
      <c r="AF72" s="230"/>
      <c r="AG72" s="230"/>
      <c r="AH72" s="230"/>
      <c r="AI72" s="230"/>
      <c r="AJ72" s="230"/>
      <c r="AK72" s="230"/>
      <c r="AL72" s="230"/>
      <c r="AM72" s="230"/>
      <c r="AN72" s="230"/>
      <c r="AO72" s="230"/>
      <c r="AP72" s="230"/>
      <c r="AQ72" s="230"/>
      <c r="AR72" s="230"/>
      <c r="AS72" s="230"/>
      <c r="AT72" s="230"/>
      <c r="AU72" s="230"/>
      <c r="AV72" s="230"/>
      <c r="AW72" s="230"/>
      <c r="AX72" s="230"/>
      <c r="AY72" s="230"/>
      <c r="AZ72" s="230"/>
      <c r="BA72" s="230"/>
      <c r="BB72" s="230"/>
      <c r="BC72" s="230"/>
      <c r="BD72" s="230"/>
      <c r="BE72" s="230"/>
      <c r="BF72" s="230"/>
      <c r="BG72" s="230"/>
    </row>
    <row r="73" spans="2:63" ht="30">
      <c r="C73" s="96" t="s">
        <v>4</v>
      </c>
      <c r="D73" s="97" t="s">
        <v>148</v>
      </c>
      <c r="E73" s="95"/>
      <c r="F73" s="97" t="s">
        <v>149</v>
      </c>
      <c r="G73" s="95"/>
      <c r="H73" s="97" t="s">
        <v>150</v>
      </c>
      <c r="I73" s="95"/>
      <c r="J73" s="97" t="s">
        <v>272</v>
      </c>
      <c r="K73" s="97" t="s">
        <v>273</v>
      </c>
      <c r="M73" s="96" t="s">
        <v>304</v>
      </c>
      <c r="N73" s="97" t="s">
        <v>305</v>
      </c>
      <c r="T73" s="230"/>
      <c r="U73" s="230"/>
      <c r="V73" s="230"/>
      <c r="W73" s="230"/>
      <c r="X73" s="230"/>
      <c r="Y73" s="230"/>
      <c r="Z73" s="230"/>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I73" s="104" t="s">
        <v>152</v>
      </c>
      <c r="BJ73" s="95"/>
      <c r="BK73" s="102"/>
    </row>
    <row r="74" spans="2:63">
      <c r="C74" s="98">
        <f>RR!C23</f>
        <v>1</v>
      </c>
      <c r="D74" s="98" t="str">
        <f>RR!E23</f>
        <v>1 - 1</v>
      </c>
      <c r="F74" s="93" t="str">
        <f>INDEX(RR!K:K,MATCH(D74,RR!E:E,0))</f>
        <v>backup</v>
      </c>
      <c r="H74" s="72" t="s">
        <v>301</v>
      </c>
      <c r="J74" s="1324">
        <f>INDEX(AA!E:E,MATCH($C74,AA!C:C,0))</f>
        <v>1</v>
      </c>
      <c r="K74" s="1324">
        <f>INDEX(TA!$G:$G,MATCH($D74,TA!$D:$D,0))</f>
        <v>1</v>
      </c>
      <c r="M74" s="1324">
        <f>INDEX(TA!V:V,MATCH($D74,TA!D:D,0))</f>
        <v>1000</v>
      </c>
      <c r="N74" s="1324" t="str">
        <f>INDEX(TA!U:U,MATCH($D74,TA!D:D,0))</f>
        <v>FMCG-F</v>
      </c>
      <c r="T74" s="231">
        <f t="shared" ref="T74:BG74" si="34">T20*T29*($M74+T65)</f>
        <v>0</v>
      </c>
      <c r="U74" s="231">
        <f t="shared" si="34"/>
        <v>0</v>
      </c>
      <c r="V74" s="231">
        <f t="shared" si="34"/>
        <v>0</v>
      </c>
      <c r="W74" s="231">
        <f t="shared" si="34"/>
        <v>0</v>
      </c>
      <c r="X74" s="231">
        <f t="shared" si="34"/>
        <v>0</v>
      </c>
      <c r="Y74" s="231">
        <f t="shared" si="34"/>
        <v>0</v>
      </c>
      <c r="Z74" s="231">
        <f t="shared" si="34"/>
        <v>0</v>
      </c>
      <c r="AA74" s="231">
        <f t="shared" si="34"/>
        <v>0</v>
      </c>
      <c r="AB74" s="231">
        <f t="shared" si="34"/>
        <v>0</v>
      </c>
      <c r="AC74" s="231">
        <f t="shared" si="34"/>
        <v>0</v>
      </c>
      <c r="AD74" s="231">
        <f t="shared" si="34"/>
        <v>0</v>
      </c>
      <c r="AE74" s="231">
        <f t="shared" si="34"/>
        <v>0</v>
      </c>
      <c r="AF74" s="231">
        <f t="shared" si="34"/>
        <v>0</v>
      </c>
      <c r="AG74" s="231">
        <f t="shared" si="34"/>
        <v>0</v>
      </c>
      <c r="AH74" s="231">
        <f t="shared" si="34"/>
        <v>0</v>
      </c>
      <c r="AI74" s="231">
        <f t="shared" si="34"/>
        <v>0</v>
      </c>
      <c r="AJ74" s="231">
        <f t="shared" si="34"/>
        <v>0</v>
      </c>
      <c r="AK74" s="231">
        <f t="shared" si="34"/>
        <v>0</v>
      </c>
      <c r="AL74" s="231">
        <f t="shared" si="34"/>
        <v>0</v>
      </c>
      <c r="AM74" s="231">
        <f t="shared" si="34"/>
        <v>0</v>
      </c>
      <c r="AN74" s="231">
        <f t="shared" si="34"/>
        <v>0</v>
      </c>
      <c r="AO74" s="231">
        <f t="shared" si="34"/>
        <v>0</v>
      </c>
      <c r="AP74" s="231">
        <f t="shared" si="34"/>
        <v>0</v>
      </c>
      <c r="AQ74" s="231">
        <f t="shared" si="34"/>
        <v>0</v>
      </c>
      <c r="AR74" s="231">
        <f t="shared" si="34"/>
        <v>0</v>
      </c>
      <c r="AS74" s="231">
        <f t="shared" si="34"/>
        <v>0</v>
      </c>
      <c r="AT74" s="231">
        <f t="shared" si="34"/>
        <v>0</v>
      </c>
      <c r="AU74" s="231">
        <f t="shared" si="34"/>
        <v>0</v>
      </c>
      <c r="AV74" s="231">
        <f t="shared" si="34"/>
        <v>0</v>
      </c>
      <c r="AW74" s="231">
        <f t="shared" si="34"/>
        <v>0</v>
      </c>
      <c r="AX74" s="231">
        <f t="shared" si="34"/>
        <v>0</v>
      </c>
      <c r="AY74" s="231">
        <f t="shared" si="34"/>
        <v>0</v>
      </c>
      <c r="AZ74" s="231">
        <f t="shared" si="34"/>
        <v>0</v>
      </c>
      <c r="BA74" s="231">
        <f t="shared" si="34"/>
        <v>0</v>
      </c>
      <c r="BB74" s="231">
        <f t="shared" si="34"/>
        <v>0</v>
      </c>
      <c r="BC74" s="231">
        <f t="shared" si="34"/>
        <v>0</v>
      </c>
      <c r="BD74" s="231">
        <f t="shared" si="34"/>
        <v>0</v>
      </c>
      <c r="BE74" s="231">
        <f t="shared" si="34"/>
        <v>0</v>
      </c>
      <c r="BF74" s="231">
        <f t="shared" si="34"/>
        <v>0</v>
      </c>
      <c r="BG74" s="231">
        <f t="shared" si="34"/>
        <v>0</v>
      </c>
      <c r="BI74" s="105" t="s">
        <v>153</v>
      </c>
      <c r="BK74" s="103"/>
    </row>
    <row r="75" spans="2:63">
      <c r="C75" s="99">
        <f>RR!C24</f>
        <v>2</v>
      </c>
      <c r="D75" s="99" t="str">
        <f>RR!E24</f>
        <v>2 - 1</v>
      </c>
      <c r="F75" s="94" t="str">
        <f>INDEX(RR!K:K,MATCH(D75,RR!E:E,0))</f>
        <v>backup</v>
      </c>
      <c r="H75" s="73" t="s">
        <v>301</v>
      </c>
      <c r="J75" s="1325">
        <f>INDEX(AA!E:E,MATCH($C75,AA!C:C,0))</f>
        <v>1</v>
      </c>
      <c r="K75" s="1325">
        <f>INDEX(TA!$G:$G,MATCH($D75,TA!$D:$D,0))</f>
        <v>1</v>
      </c>
      <c r="M75" s="1325">
        <f>INDEX(TA!V:V,MATCH($D75,TA!D:D,0))</f>
        <v>1000</v>
      </c>
      <c r="N75" s="1325" t="str">
        <f>INDEX(TA!U:U,MATCH($D75,TA!D:D,0))</f>
        <v>FMCG-F</v>
      </c>
      <c r="T75" s="231">
        <f t="shared" ref="T75:BG75" si="35">T21*T30*($M75+T66)</f>
        <v>0</v>
      </c>
      <c r="U75" s="231">
        <f t="shared" si="35"/>
        <v>0</v>
      </c>
      <c r="V75" s="231">
        <f t="shared" si="35"/>
        <v>0</v>
      </c>
      <c r="W75" s="231">
        <f t="shared" si="35"/>
        <v>0</v>
      </c>
      <c r="X75" s="231">
        <f t="shared" si="35"/>
        <v>0</v>
      </c>
      <c r="Y75" s="231">
        <f t="shared" si="35"/>
        <v>0</v>
      </c>
      <c r="Z75" s="231">
        <f t="shared" si="35"/>
        <v>0</v>
      </c>
      <c r="AA75" s="231">
        <f t="shared" si="35"/>
        <v>0</v>
      </c>
      <c r="AB75" s="231">
        <f t="shared" si="35"/>
        <v>0</v>
      </c>
      <c r="AC75" s="231">
        <f t="shared" si="35"/>
        <v>0</v>
      </c>
      <c r="AD75" s="231">
        <f t="shared" si="35"/>
        <v>0</v>
      </c>
      <c r="AE75" s="231">
        <f t="shared" si="35"/>
        <v>0</v>
      </c>
      <c r="AF75" s="231">
        <f t="shared" si="35"/>
        <v>0</v>
      </c>
      <c r="AG75" s="231">
        <f t="shared" si="35"/>
        <v>0</v>
      </c>
      <c r="AH75" s="231">
        <f t="shared" si="35"/>
        <v>0</v>
      </c>
      <c r="AI75" s="231">
        <f t="shared" si="35"/>
        <v>0</v>
      </c>
      <c r="AJ75" s="231">
        <f t="shared" si="35"/>
        <v>0</v>
      </c>
      <c r="AK75" s="231">
        <f t="shared" si="35"/>
        <v>0</v>
      </c>
      <c r="AL75" s="231">
        <f t="shared" si="35"/>
        <v>0</v>
      </c>
      <c r="AM75" s="231">
        <f t="shared" si="35"/>
        <v>0</v>
      </c>
      <c r="AN75" s="231">
        <f t="shared" si="35"/>
        <v>0</v>
      </c>
      <c r="AO75" s="231">
        <f t="shared" si="35"/>
        <v>0</v>
      </c>
      <c r="AP75" s="231">
        <f t="shared" si="35"/>
        <v>0</v>
      </c>
      <c r="AQ75" s="231">
        <f t="shared" si="35"/>
        <v>0</v>
      </c>
      <c r="AR75" s="231">
        <f t="shared" si="35"/>
        <v>0</v>
      </c>
      <c r="AS75" s="231">
        <f t="shared" si="35"/>
        <v>0</v>
      </c>
      <c r="AT75" s="231">
        <f t="shared" si="35"/>
        <v>0</v>
      </c>
      <c r="AU75" s="231">
        <f t="shared" si="35"/>
        <v>0</v>
      </c>
      <c r="AV75" s="231">
        <f t="shared" si="35"/>
        <v>0</v>
      </c>
      <c r="AW75" s="231">
        <f t="shared" si="35"/>
        <v>0</v>
      </c>
      <c r="AX75" s="231">
        <f t="shared" si="35"/>
        <v>0</v>
      </c>
      <c r="AY75" s="231">
        <f t="shared" si="35"/>
        <v>0</v>
      </c>
      <c r="AZ75" s="231">
        <f t="shared" si="35"/>
        <v>0</v>
      </c>
      <c r="BA75" s="231">
        <f t="shared" si="35"/>
        <v>0</v>
      </c>
      <c r="BB75" s="231">
        <f t="shared" si="35"/>
        <v>0</v>
      </c>
      <c r="BC75" s="231">
        <f t="shared" si="35"/>
        <v>0</v>
      </c>
      <c r="BD75" s="231">
        <f t="shared" si="35"/>
        <v>0</v>
      </c>
      <c r="BE75" s="231">
        <f t="shared" si="35"/>
        <v>0</v>
      </c>
      <c r="BF75" s="231">
        <f t="shared" si="35"/>
        <v>0</v>
      </c>
      <c r="BG75" s="231">
        <f t="shared" si="35"/>
        <v>0</v>
      </c>
      <c r="BI75" s="106" t="s">
        <v>153</v>
      </c>
      <c r="BK75" s="103"/>
    </row>
    <row r="76" spans="2:63">
      <c r="C76" s="99">
        <f>RR!C25</f>
        <v>3</v>
      </c>
      <c r="D76" s="99" t="str">
        <f>RR!E25</f>
        <v>3 - 1</v>
      </c>
      <c r="F76" s="94" t="str">
        <f>INDEX(RR!K:K,MATCH(D76,RR!E:E,0))</f>
        <v>backup</v>
      </c>
      <c r="H76" s="73" t="s">
        <v>301</v>
      </c>
      <c r="J76" s="1325">
        <f>INDEX(AA!E:E,MATCH($C76,AA!C:C,0))</f>
        <v>1</v>
      </c>
      <c r="K76" s="1325">
        <f>INDEX(TA!$G:$G,MATCH($D76,TA!$D:$D,0))</f>
        <v>1</v>
      </c>
      <c r="M76" s="1325">
        <f>INDEX(TA!V:V,MATCH($D76,TA!D:D,0))</f>
        <v>1000</v>
      </c>
      <c r="N76" s="1325" t="str">
        <f>INDEX(TA!U:U,MATCH($D76,TA!D:D,0))</f>
        <v>FMCG-F</v>
      </c>
      <c r="T76" s="231">
        <f t="shared" ref="T76:BG76" si="36">T22*T31*($M76+T67)</f>
        <v>0</v>
      </c>
      <c r="U76" s="231">
        <f t="shared" si="36"/>
        <v>0</v>
      </c>
      <c r="V76" s="231">
        <f t="shared" si="36"/>
        <v>0</v>
      </c>
      <c r="W76" s="231">
        <f t="shared" si="36"/>
        <v>0</v>
      </c>
      <c r="X76" s="231">
        <f t="shared" si="36"/>
        <v>0</v>
      </c>
      <c r="Y76" s="231">
        <f t="shared" si="36"/>
        <v>0</v>
      </c>
      <c r="Z76" s="231">
        <f t="shared" si="36"/>
        <v>0</v>
      </c>
      <c r="AA76" s="231">
        <f t="shared" si="36"/>
        <v>0</v>
      </c>
      <c r="AB76" s="231">
        <f t="shared" si="36"/>
        <v>0</v>
      </c>
      <c r="AC76" s="231">
        <f t="shared" si="36"/>
        <v>0</v>
      </c>
      <c r="AD76" s="231">
        <f t="shared" si="36"/>
        <v>0</v>
      </c>
      <c r="AE76" s="231">
        <f t="shared" si="36"/>
        <v>0</v>
      </c>
      <c r="AF76" s="231">
        <f t="shared" si="36"/>
        <v>0</v>
      </c>
      <c r="AG76" s="231">
        <f t="shared" si="36"/>
        <v>0</v>
      </c>
      <c r="AH76" s="231">
        <f t="shared" si="36"/>
        <v>0</v>
      </c>
      <c r="AI76" s="231">
        <f t="shared" si="36"/>
        <v>0</v>
      </c>
      <c r="AJ76" s="231">
        <f t="shared" si="36"/>
        <v>0</v>
      </c>
      <c r="AK76" s="231">
        <f t="shared" si="36"/>
        <v>0</v>
      </c>
      <c r="AL76" s="231">
        <f t="shared" si="36"/>
        <v>0</v>
      </c>
      <c r="AM76" s="231">
        <f t="shared" si="36"/>
        <v>0</v>
      </c>
      <c r="AN76" s="231">
        <f t="shared" si="36"/>
        <v>0</v>
      </c>
      <c r="AO76" s="231">
        <f t="shared" si="36"/>
        <v>0</v>
      </c>
      <c r="AP76" s="231">
        <f t="shared" si="36"/>
        <v>0</v>
      </c>
      <c r="AQ76" s="231">
        <f t="shared" si="36"/>
        <v>0</v>
      </c>
      <c r="AR76" s="231">
        <f t="shared" si="36"/>
        <v>0</v>
      </c>
      <c r="AS76" s="231">
        <f t="shared" si="36"/>
        <v>0</v>
      </c>
      <c r="AT76" s="231">
        <f t="shared" si="36"/>
        <v>0</v>
      </c>
      <c r="AU76" s="231">
        <f t="shared" si="36"/>
        <v>0</v>
      </c>
      <c r="AV76" s="231">
        <f t="shared" si="36"/>
        <v>0</v>
      </c>
      <c r="AW76" s="231">
        <f t="shared" si="36"/>
        <v>0</v>
      </c>
      <c r="AX76" s="231">
        <f t="shared" si="36"/>
        <v>0</v>
      </c>
      <c r="AY76" s="231">
        <f t="shared" si="36"/>
        <v>0</v>
      </c>
      <c r="AZ76" s="231">
        <f t="shared" si="36"/>
        <v>0</v>
      </c>
      <c r="BA76" s="231">
        <f t="shared" si="36"/>
        <v>0</v>
      </c>
      <c r="BB76" s="231">
        <f t="shared" si="36"/>
        <v>0</v>
      </c>
      <c r="BC76" s="231">
        <f t="shared" si="36"/>
        <v>0</v>
      </c>
      <c r="BD76" s="231">
        <f t="shared" si="36"/>
        <v>0</v>
      </c>
      <c r="BE76" s="231">
        <f t="shared" si="36"/>
        <v>0</v>
      </c>
      <c r="BF76" s="231">
        <f t="shared" si="36"/>
        <v>0</v>
      </c>
      <c r="BG76" s="231">
        <f t="shared" si="36"/>
        <v>0</v>
      </c>
      <c r="BI76" s="106" t="s">
        <v>153</v>
      </c>
      <c r="BK76" s="103"/>
    </row>
    <row r="77" spans="2:63">
      <c r="C77" s="269"/>
      <c r="D77" s="269"/>
      <c r="F77" s="269"/>
      <c r="H77" s="269"/>
      <c r="J77" s="269"/>
      <c r="K77" s="269"/>
      <c r="M77" s="269"/>
      <c r="N77" s="269"/>
      <c r="BI77" s="269"/>
      <c r="BK77" s="269"/>
    </row>
    <row r="79" spans="2:63" s="90" customFormat="1">
      <c r="B79" s="91">
        <f ca="1">MAX(A$1:$B78)+1</f>
        <v>9</v>
      </c>
      <c r="C79" s="92" t="s">
        <v>397</v>
      </c>
    </row>
    <row r="81" spans="2:63">
      <c r="M81" s="226" t="s">
        <v>365</v>
      </c>
      <c r="N81" s="312" t="s">
        <v>232</v>
      </c>
      <c r="O81" s="312"/>
    </row>
    <row r="82" spans="2:63" ht="30">
      <c r="C82" s="96" t="s">
        <v>4</v>
      </c>
      <c r="D82" s="97" t="s">
        <v>148</v>
      </c>
      <c r="E82" s="95"/>
      <c r="F82" s="97" t="s">
        <v>149</v>
      </c>
      <c r="G82" s="95"/>
      <c r="H82" s="97" t="s">
        <v>150</v>
      </c>
      <c r="J82" s="97" t="s">
        <v>272</v>
      </c>
      <c r="K82" s="97" t="s">
        <v>273</v>
      </c>
      <c r="M82" s="97" t="s">
        <v>229</v>
      </c>
      <c r="N82" s="171" t="s">
        <v>388</v>
      </c>
      <c r="O82" s="101" t="s">
        <v>389</v>
      </c>
      <c r="BI82" s="239" t="s">
        <v>152</v>
      </c>
      <c r="BJ82" s="95"/>
      <c r="BK82" s="102"/>
    </row>
    <row r="83" spans="2:63">
      <c r="C83" s="98">
        <f>RR!C23</f>
        <v>1</v>
      </c>
      <c r="D83" s="98" t="str">
        <f>RR!E23</f>
        <v>1 - 1</v>
      </c>
      <c r="F83" s="93" t="str">
        <f>INDEX(RR!K:K,MATCH(D83,RR!E:E,0))</f>
        <v>backup</v>
      </c>
      <c r="H83" s="72" t="s">
        <v>309</v>
      </c>
      <c r="J83" s="1324">
        <f>INDEX(AA!E:E,MATCH($C83,AA!C:C,0))</f>
        <v>1</v>
      </c>
      <c r="K83" s="1324">
        <f>INDEX(TA!$G:$G,MATCH($D83,TA!$D:$D,0))</f>
        <v>1</v>
      </c>
      <c r="M83" s="1324">
        <f>INDEX(TA!$BG$15:$BG$17,MATCH($D83,TA!$D$15:$D$17,0))</f>
        <v>100000</v>
      </c>
      <c r="N83" s="1324">
        <f>IF(INDEX(TA!$BP$15:$BP$17,MATCH($D83,TA!$D$15:$D$17,0))="re-leasing",INDEX(TA!$BO$15:$BO$17,MATCH($D83,TA!$D$15:$D$17,0)),0)</f>
        <v>0</v>
      </c>
      <c r="O83" s="1324">
        <f>INDEX(TA!$CA$15:$CA$17,MATCH($D83,TA!$D$15:$D$17,0))</f>
        <v>0</v>
      </c>
      <c r="T83" s="231">
        <f t="shared" ref="T83:BG83" si="37">($M83+(T$5&gt;=$O83)*$N83)/4*T29*T$15</f>
        <v>0</v>
      </c>
      <c r="U83" s="231">
        <f t="shared" si="37"/>
        <v>0</v>
      </c>
      <c r="V83" s="231">
        <f t="shared" si="37"/>
        <v>0</v>
      </c>
      <c r="W83" s="231">
        <f t="shared" si="37"/>
        <v>0</v>
      </c>
      <c r="X83" s="231">
        <f t="shared" si="37"/>
        <v>0</v>
      </c>
      <c r="Y83" s="231">
        <f t="shared" si="37"/>
        <v>0</v>
      </c>
      <c r="Z83" s="231">
        <f t="shared" si="37"/>
        <v>0</v>
      </c>
      <c r="AA83" s="231">
        <f t="shared" si="37"/>
        <v>0</v>
      </c>
      <c r="AB83" s="231">
        <f t="shared" si="37"/>
        <v>0</v>
      </c>
      <c r="AC83" s="231">
        <f t="shared" si="37"/>
        <v>0</v>
      </c>
      <c r="AD83" s="231">
        <f t="shared" si="37"/>
        <v>0</v>
      </c>
      <c r="AE83" s="231">
        <f t="shared" si="37"/>
        <v>0</v>
      </c>
      <c r="AF83" s="231">
        <f t="shared" si="37"/>
        <v>0</v>
      </c>
      <c r="AG83" s="231">
        <f t="shared" si="37"/>
        <v>0</v>
      </c>
      <c r="AH83" s="231">
        <f t="shared" si="37"/>
        <v>0</v>
      </c>
      <c r="AI83" s="231">
        <f t="shared" si="37"/>
        <v>0</v>
      </c>
      <c r="AJ83" s="231">
        <f t="shared" si="37"/>
        <v>0</v>
      </c>
      <c r="AK83" s="231">
        <f t="shared" si="37"/>
        <v>0</v>
      </c>
      <c r="AL83" s="231">
        <f t="shared" si="37"/>
        <v>0</v>
      </c>
      <c r="AM83" s="231">
        <f t="shared" si="37"/>
        <v>0</v>
      </c>
      <c r="AN83" s="231">
        <f t="shared" si="37"/>
        <v>0</v>
      </c>
      <c r="AO83" s="231">
        <f t="shared" si="37"/>
        <v>0</v>
      </c>
      <c r="AP83" s="231">
        <f t="shared" si="37"/>
        <v>0</v>
      </c>
      <c r="AQ83" s="231">
        <f t="shared" si="37"/>
        <v>0</v>
      </c>
      <c r="AR83" s="231">
        <f t="shared" si="37"/>
        <v>0</v>
      </c>
      <c r="AS83" s="231">
        <f t="shared" si="37"/>
        <v>0</v>
      </c>
      <c r="AT83" s="231">
        <f t="shared" si="37"/>
        <v>0</v>
      </c>
      <c r="AU83" s="231">
        <f t="shared" si="37"/>
        <v>0</v>
      </c>
      <c r="AV83" s="231">
        <f t="shared" si="37"/>
        <v>0</v>
      </c>
      <c r="AW83" s="231">
        <f t="shared" si="37"/>
        <v>0</v>
      </c>
      <c r="AX83" s="231">
        <f t="shared" si="37"/>
        <v>0</v>
      </c>
      <c r="AY83" s="231">
        <f t="shared" si="37"/>
        <v>0</v>
      </c>
      <c r="AZ83" s="231">
        <f t="shared" si="37"/>
        <v>0</v>
      </c>
      <c r="BA83" s="231">
        <f t="shared" si="37"/>
        <v>0</v>
      </c>
      <c r="BB83" s="231">
        <f t="shared" si="37"/>
        <v>0</v>
      </c>
      <c r="BC83" s="231">
        <f t="shared" si="37"/>
        <v>0</v>
      </c>
      <c r="BD83" s="231">
        <f t="shared" si="37"/>
        <v>0</v>
      </c>
      <c r="BE83" s="231">
        <f t="shared" si="37"/>
        <v>0</v>
      </c>
      <c r="BF83" s="231">
        <f t="shared" si="37"/>
        <v>0</v>
      </c>
      <c r="BG83" s="231">
        <f t="shared" si="37"/>
        <v>0</v>
      </c>
      <c r="BI83" s="295">
        <f>SUM(T83:BG83)</f>
        <v>0</v>
      </c>
      <c r="BK83" s="103"/>
    </row>
    <row r="84" spans="2:63">
      <c r="C84" s="99">
        <f>RR!C24</f>
        <v>2</v>
      </c>
      <c r="D84" s="99" t="str">
        <f>RR!E24</f>
        <v>2 - 1</v>
      </c>
      <c r="F84" s="94" t="str">
        <f>INDEX(RR!K:K,MATCH(D84,RR!E:E,0))</f>
        <v>backup</v>
      </c>
      <c r="H84" s="73" t="s">
        <v>309</v>
      </c>
      <c r="J84" s="1325">
        <f>INDEX(AA!E:E,MATCH($C84,AA!C:C,0))</f>
        <v>1</v>
      </c>
      <c r="K84" s="1325">
        <f>INDEX(TA!$G:$G,MATCH($D84,TA!$D:$D,0))</f>
        <v>1</v>
      </c>
      <c r="M84" s="1325">
        <f>INDEX(TA!$BG$15:$BG$17,MATCH($D84,TA!$D$15:$D$17,0))</f>
        <v>100000</v>
      </c>
      <c r="N84" s="1325">
        <f>IF(INDEX(TA!$BP$15:$BP$17,MATCH($D84,TA!$D$15:$D$17,0))="re-leasing",INDEX(TA!$BO$15:$BO$17,MATCH($D84,TA!$D$15:$D$17,0)),0)</f>
        <v>0</v>
      </c>
      <c r="O84" s="1325">
        <f>INDEX(TA!$CA$15:$CA$17,MATCH($D84,TA!$D$15:$D$17,0))</f>
        <v>0</v>
      </c>
      <c r="T84" s="231">
        <f t="shared" ref="T84:BG84" si="38">($M84+(T$5&gt;=$O84)*$N84)/4*T30*T$15</f>
        <v>0</v>
      </c>
      <c r="U84" s="231">
        <f t="shared" si="38"/>
        <v>0</v>
      </c>
      <c r="V84" s="231">
        <f t="shared" si="38"/>
        <v>0</v>
      </c>
      <c r="W84" s="231">
        <f t="shared" si="38"/>
        <v>0</v>
      </c>
      <c r="X84" s="231">
        <f t="shared" si="38"/>
        <v>0</v>
      </c>
      <c r="Y84" s="231">
        <f t="shared" si="38"/>
        <v>0</v>
      </c>
      <c r="Z84" s="231">
        <f t="shared" si="38"/>
        <v>0</v>
      </c>
      <c r="AA84" s="231">
        <f t="shared" si="38"/>
        <v>0</v>
      </c>
      <c r="AB84" s="231">
        <f t="shared" si="38"/>
        <v>0</v>
      </c>
      <c r="AC84" s="231">
        <f t="shared" si="38"/>
        <v>0</v>
      </c>
      <c r="AD84" s="231">
        <f t="shared" si="38"/>
        <v>0</v>
      </c>
      <c r="AE84" s="231">
        <f t="shared" si="38"/>
        <v>0</v>
      </c>
      <c r="AF84" s="231">
        <f t="shared" si="38"/>
        <v>0</v>
      </c>
      <c r="AG84" s="231">
        <f t="shared" si="38"/>
        <v>0</v>
      </c>
      <c r="AH84" s="231">
        <f t="shared" si="38"/>
        <v>0</v>
      </c>
      <c r="AI84" s="231">
        <f t="shared" si="38"/>
        <v>0</v>
      </c>
      <c r="AJ84" s="231">
        <f t="shared" si="38"/>
        <v>0</v>
      </c>
      <c r="AK84" s="231">
        <f t="shared" si="38"/>
        <v>0</v>
      </c>
      <c r="AL84" s="231">
        <f t="shared" si="38"/>
        <v>0</v>
      </c>
      <c r="AM84" s="231">
        <f t="shared" si="38"/>
        <v>0</v>
      </c>
      <c r="AN84" s="231">
        <f t="shared" si="38"/>
        <v>0</v>
      </c>
      <c r="AO84" s="231">
        <f t="shared" si="38"/>
        <v>0</v>
      </c>
      <c r="AP84" s="231">
        <f t="shared" si="38"/>
        <v>0</v>
      </c>
      <c r="AQ84" s="231">
        <f t="shared" si="38"/>
        <v>0</v>
      </c>
      <c r="AR84" s="231">
        <f t="shared" si="38"/>
        <v>0</v>
      </c>
      <c r="AS84" s="231">
        <f t="shared" si="38"/>
        <v>0</v>
      </c>
      <c r="AT84" s="231">
        <f t="shared" si="38"/>
        <v>0</v>
      </c>
      <c r="AU84" s="231">
        <f t="shared" si="38"/>
        <v>0</v>
      </c>
      <c r="AV84" s="231">
        <f t="shared" si="38"/>
        <v>0</v>
      </c>
      <c r="AW84" s="231">
        <f t="shared" si="38"/>
        <v>0</v>
      </c>
      <c r="AX84" s="231">
        <f t="shared" si="38"/>
        <v>0</v>
      </c>
      <c r="AY84" s="231">
        <f t="shared" si="38"/>
        <v>0</v>
      </c>
      <c r="AZ84" s="231">
        <f t="shared" si="38"/>
        <v>0</v>
      </c>
      <c r="BA84" s="231">
        <f t="shared" si="38"/>
        <v>0</v>
      </c>
      <c r="BB84" s="231">
        <f t="shared" si="38"/>
        <v>0</v>
      </c>
      <c r="BC84" s="231">
        <f t="shared" si="38"/>
        <v>0</v>
      </c>
      <c r="BD84" s="231">
        <f t="shared" si="38"/>
        <v>0</v>
      </c>
      <c r="BE84" s="231">
        <f t="shared" si="38"/>
        <v>0</v>
      </c>
      <c r="BF84" s="231">
        <f t="shared" si="38"/>
        <v>0</v>
      </c>
      <c r="BG84" s="231">
        <f t="shared" si="38"/>
        <v>0</v>
      </c>
      <c r="BI84" s="296">
        <f t="shared" ref="BI84" si="39">SUM(T84:BG84)</f>
        <v>0</v>
      </c>
      <c r="BK84" s="103"/>
    </row>
    <row r="85" spans="2:63">
      <c r="C85" s="99">
        <f>RR!C25</f>
        <v>3</v>
      </c>
      <c r="D85" s="99" t="str">
        <f>RR!E25</f>
        <v>3 - 1</v>
      </c>
      <c r="F85" s="94" t="str">
        <f>INDEX(RR!K:K,MATCH(D85,RR!E:E,0))</f>
        <v>backup</v>
      </c>
      <c r="H85" s="73" t="s">
        <v>309</v>
      </c>
      <c r="J85" s="1325">
        <f>INDEX(AA!E:E,MATCH($C85,AA!C:C,0))</f>
        <v>1</v>
      </c>
      <c r="K85" s="1325">
        <f>INDEX(TA!$G:$G,MATCH($D85,TA!$D:$D,0))</f>
        <v>1</v>
      </c>
      <c r="M85" s="1325">
        <f>INDEX(TA!$BG$15:$BG$17,MATCH($D85,TA!$D$15:$D$17,0))</f>
        <v>100000</v>
      </c>
      <c r="N85" s="1325">
        <f>IF(INDEX(TA!$BP$15:$BP$17,MATCH($D85,TA!$D$15:$D$17,0))="re-leasing",INDEX(TA!$BO$15:$BO$17,MATCH($D85,TA!$D$15:$D$17,0)),0)</f>
        <v>0</v>
      </c>
      <c r="O85" s="1325">
        <f>INDEX(TA!$CA$15:$CA$17,MATCH($D85,TA!$D$15:$D$17,0))</f>
        <v>0</v>
      </c>
      <c r="T85" s="231">
        <f t="shared" ref="T85:BG85" si="40">($M85+(T$5&gt;=$O85)*$N85)/4*T31*T$15</f>
        <v>0</v>
      </c>
      <c r="U85" s="231">
        <f t="shared" si="40"/>
        <v>0</v>
      </c>
      <c r="V85" s="231">
        <f t="shared" si="40"/>
        <v>0</v>
      </c>
      <c r="W85" s="231">
        <f t="shared" si="40"/>
        <v>0</v>
      </c>
      <c r="X85" s="231">
        <f t="shared" si="40"/>
        <v>0</v>
      </c>
      <c r="Y85" s="231">
        <f t="shared" si="40"/>
        <v>0</v>
      </c>
      <c r="Z85" s="231">
        <f t="shared" si="40"/>
        <v>0</v>
      </c>
      <c r="AA85" s="231">
        <f t="shared" si="40"/>
        <v>0</v>
      </c>
      <c r="AB85" s="231">
        <f t="shared" si="40"/>
        <v>0</v>
      </c>
      <c r="AC85" s="231">
        <f t="shared" si="40"/>
        <v>0</v>
      </c>
      <c r="AD85" s="231">
        <f t="shared" si="40"/>
        <v>0</v>
      </c>
      <c r="AE85" s="231">
        <f t="shared" si="40"/>
        <v>0</v>
      </c>
      <c r="AF85" s="231">
        <f t="shared" si="40"/>
        <v>0</v>
      </c>
      <c r="AG85" s="231">
        <f t="shared" si="40"/>
        <v>0</v>
      </c>
      <c r="AH85" s="231">
        <f t="shared" si="40"/>
        <v>0</v>
      </c>
      <c r="AI85" s="231">
        <f t="shared" si="40"/>
        <v>0</v>
      </c>
      <c r="AJ85" s="231">
        <f t="shared" si="40"/>
        <v>0</v>
      </c>
      <c r="AK85" s="231">
        <f t="shared" si="40"/>
        <v>0</v>
      </c>
      <c r="AL85" s="231">
        <f t="shared" si="40"/>
        <v>0</v>
      </c>
      <c r="AM85" s="231">
        <f t="shared" si="40"/>
        <v>0</v>
      </c>
      <c r="AN85" s="231">
        <f t="shared" si="40"/>
        <v>0</v>
      </c>
      <c r="AO85" s="231">
        <f t="shared" si="40"/>
        <v>0</v>
      </c>
      <c r="AP85" s="231">
        <f t="shared" si="40"/>
        <v>0</v>
      </c>
      <c r="AQ85" s="231">
        <f t="shared" si="40"/>
        <v>0</v>
      </c>
      <c r="AR85" s="231">
        <f t="shared" si="40"/>
        <v>0</v>
      </c>
      <c r="AS85" s="231">
        <f t="shared" si="40"/>
        <v>0</v>
      </c>
      <c r="AT85" s="231">
        <f t="shared" si="40"/>
        <v>0</v>
      </c>
      <c r="AU85" s="231">
        <f t="shared" si="40"/>
        <v>0</v>
      </c>
      <c r="AV85" s="231">
        <f t="shared" si="40"/>
        <v>0</v>
      </c>
      <c r="AW85" s="231">
        <f t="shared" si="40"/>
        <v>0</v>
      </c>
      <c r="AX85" s="231">
        <f t="shared" si="40"/>
        <v>0</v>
      </c>
      <c r="AY85" s="231">
        <f t="shared" si="40"/>
        <v>0</v>
      </c>
      <c r="AZ85" s="231">
        <f t="shared" si="40"/>
        <v>0</v>
      </c>
      <c r="BA85" s="231">
        <f t="shared" si="40"/>
        <v>0</v>
      </c>
      <c r="BB85" s="231">
        <f t="shared" si="40"/>
        <v>0</v>
      </c>
      <c r="BC85" s="231">
        <f t="shared" si="40"/>
        <v>0</v>
      </c>
      <c r="BD85" s="231">
        <f t="shared" si="40"/>
        <v>0</v>
      </c>
      <c r="BE85" s="231">
        <f t="shared" si="40"/>
        <v>0</v>
      </c>
      <c r="BF85" s="231">
        <f t="shared" si="40"/>
        <v>0</v>
      </c>
      <c r="BG85" s="231">
        <f t="shared" si="40"/>
        <v>0</v>
      </c>
      <c r="BI85" s="296">
        <f t="shared" ref="BI85" si="41">SUM(T85:BG85)</f>
        <v>0</v>
      </c>
      <c r="BK85" s="103"/>
    </row>
    <row r="86" spans="2:63">
      <c r="C86" s="269"/>
      <c r="D86" s="269"/>
      <c r="F86" s="269"/>
      <c r="H86" s="269"/>
      <c r="J86" s="269"/>
      <c r="K86" s="269"/>
      <c r="M86" s="269"/>
      <c r="N86" s="269"/>
      <c r="O86" s="269"/>
      <c r="BI86" s="269"/>
      <c r="BK86" s="269"/>
    </row>
    <row r="88" spans="2:63" s="90" customFormat="1">
      <c r="B88" s="91">
        <f ca="1">MAX(A$1:$B87)+1</f>
        <v>10</v>
      </c>
      <c r="C88" s="92" t="s">
        <v>317</v>
      </c>
    </row>
    <row r="90" spans="2:63">
      <c r="M90" s="226" t="s">
        <v>365</v>
      </c>
      <c r="N90" s="226" t="s">
        <v>366</v>
      </c>
      <c r="O90" s="225"/>
    </row>
    <row r="91" spans="2:63" ht="30">
      <c r="C91" s="96" t="s">
        <v>4</v>
      </c>
      <c r="D91" s="97" t="s">
        <v>148</v>
      </c>
      <c r="E91" s="95"/>
      <c r="F91" s="97" t="s">
        <v>149</v>
      </c>
      <c r="G91" s="95"/>
      <c r="H91" s="97" t="s">
        <v>150</v>
      </c>
      <c r="J91" s="97" t="s">
        <v>272</v>
      </c>
      <c r="K91" s="97" t="s">
        <v>273</v>
      </c>
      <c r="M91" s="97" t="s">
        <v>229</v>
      </c>
      <c r="N91" s="101" t="s">
        <v>11</v>
      </c>
      <c r="O91" s="101" t="s">
        <v>151</v>
      </c>
      <c r="BI91" s="239" t="s">
        <v>152</v>
      </c>
      <c r="BK91" s="300" t="s">
        <v>320</v>
      </c>
    </row>
    <row r="92" spans="2:63">
      <c r="C92" s="98">
        <f>RR!C23</f>
        <v>1</v>
      </c>
      <c r="D92" s="98" t="str">
        <f>RR!E23</f>
        <v>1 - 1</v>
      </c>
      <c r="F92" s="93" t="str">
        <f>INDEX(RR!K:K,MATCH(D92,RR!E:E,0))</f>
        <v>backup</v>
      </c>
      <c r="H92" s="72" t="s">
        <v>318</v>
      </c>
      <c r="J92" s="1324">
        <f>INDEX(AA!E:E,MATCH($C92,AA!C:C,0))</f>
        <v>1</v>
      </c>
      <c r="K92" s="1324">
        <f>INDEX(TA!$G:$G,MATCH($D92,TA!$D:$D,0))</f>
        <v>1</v>
      </c>
      <c r="M92" s="1324">
        <f>INDEX(TA!$BG$15:$BG$17,MATCH($D92,TA!$D$15:$D$17,0))</f>
        <v>100000</v>
      </c>
      <c r="N92" s="286">
        <f>INDEX(TA!$DT$15:$DT$17,MATCH($D92,TA!$D$15:$D$17,0))</f>
        <v>51136</v>
      </c>
      <c r="O92" s="1324">
        <f>INDEX(AA!$AA:$AA,MATCH($C92,AA!$C:$C,0))</f>
        <v>12</v>
      </c>
      <c r="T92" s="231">
        <f t="shared" ref="T92:BG92" si="42">-$M92/4*(T29-T38)*T$15</f>
        <v>0</v>
      </c>
      <c r="U92" s="231">
        <f t="shared" si="42"/>
        <v>0</v>
      </c>
      <c r="V92" s="231">
        <f t="shared" si="42"/>
        <v>0</v>
      </c>
      <c r="W92" s="231">
        <f t="shared" si="42"/>
        <v>0</v>
      </c>
      <c r="X92" s="231">
        <f t="shared" si="42"/>
        <v>0</v>
      </c>
      <c r="Y92" s="231">
        <f t="shared" si="42"/>
        <v>0</v>
      </c>
      <c r="Z92" s="231">
        <f t="shared" si="42"/>
        <v>0</v>
      </c>
      <c r="AA92" s="231">
        <f t="shared" si="42"/>
        <v>0</v>
      </c>
      <c r="AB92" s="231">
        <f t="shared" si="42"/>
        <v>0</v>
      </c>
      <c r="AC92" s="231">
        <f t="shared" si="42"/>
        <v>0</v>
      </c>
      <c r="AD92" s="231">
        <f t="shared" si="42"/>
        <v>0</v>
      </c>
      <c r="AE92" s="231">
        <f t="shared" si="42"/>
        <v>0</v>
      </c>
      <c r="AF92" s="231">
        <f t="shared" si="42"/>
        <v>0</v>
      </c>
      <c r="AG92" s="231">
        <f t="shared" si="42"/>
        <v>0</v>
      </c>
      <c r="AH92" s="231">
        <f t="shared" si="42"/>
        <v>0</v>
      </c>
      <c r="AI92" s="231">
        <f t="shared" si="42"/>
        <v>0</v>
      </c>
      <c r="AJ92" s="231">
        <f t="shared" si="42"/>
        <v>0</v>
      </c>
      <c r="AK92" s="231">
        <f t="shared" si="42"/>
        <v>0</v>
      </c>
      <c r="AL92" s="231">
        <f t="shared" si="42"/>
        <v>0</v>
      </c>
      <c r="AM92" s="231">
        <f t="shared" si="42"/>
        <v>0</v>
      </c>
      <c r="AN92" s="231">
        <f t="shared" si="42"/>
        <v>0</v>
      </c>
      <c r="AO92" s="231">
        <f t="shared" si="42"/>
        <v>0</v>
      </c>
      <c r="AP92" s="231">
        <f t="shared" si="42"/>
        <v>0</v>
      </c>
      <c r="AQ92" s="231">
        <f t="shared" si="42"/>
        <v>0</v>
      </c>
      <c r="AR92" s="231">
        <f t="shared" si="42"/>
        <v>0</v>
      </c>
      <c r="AS92" s="231">
        <f t="shared" si="42"/>
        <v>0</v>
      </c>
      <c r="AT92" s="231">
        <f t="shared" si="42"/>
        <v>0</v>
      </c>
      <c r="AU92" s="231">
        <f t="shared" si="42"/>
        <v>0</v>
      </c>
      <c r="AV92" s="231">
        <f t="shared" si="42"/>
        <v>0</v>
      </c>
      <c r="AW92" s="231">
        <f t="shared" si="42"/>
        <v>0</v>
      </c>
      <c r="AX92" s="231">
        <f t="shared" si="42"/>
        <v>0</v>
      </c>
      <c r="AY92" s="231">
        <f t="shared" si="42"/>
        <v>0</v>
      </c>
      <c r="AZ92" s="231">
        <f t="shared" si="42"/>
        <v>0</v>
      </c>
      <c r="BA92" s="231">
        <f t="shared" si="42"/>
        <v>0</v>
      </c>
      <c r="BB92" s="231">
        <f t="shared" si="42"/>
        <v>0</v>
      </c>
      <c r="BC92" s="231">
        <f t="shared" si="42"/>
        <v>0</v>
      </c>
      <c r="BD92" s="231">
        <f t="shared" si="42"/>
        <v>0</v>
      </c>
      <c r="BE92" s="231">
        <f t="shared" si="42"/>
        <v>0</v>
      </c>
      <c r="BF92" s="231">
        <f t="shared" si="42"/>
        <v>0</v>
      </c>
      <c r="BG92" s="231">
        <f t="shared" si="42"/>
        <v>0</v>
      </c>
      <c r="BI92" s="295">
        <f>SUM(T92:BG92)</f>
        <v>0</v>
      </c>
      <c r="BK92" s="302">
        <f t="shared" ref="BK92:BK94" si="43">SUMPRODUCT(--($T$5:$BG$5&gt;$O92),($T92:$BG92))*(SUMPRODUCT(--($T$5:$BG$5=$O92),($T$4:$BG$4))&gt;$N92)</f>
        <v>0</v>
      </c>
    </row>
    <row r="93" spans="2:63">
      <c r="C93" s="99">
        <f>RR!C24</f>
        <v>2</v>
      </c>
      <c r="D93" s="99" t="str">
        <f>RR!E24</f>
        <v>2 - 1</v>
      </c>
      <c r="F93" s="94" t="str">
        <f>INDEX(RR!K:K,MATCH(D93,RR!E:E,0))</f>
        <v>backup</v>
      </c>
      <c r="H93" s="73" t="s">
        <v>318</v>
      </c>
      <c r="J93" s="1325">
        <f>INDEX(AA!E:E,MATCH($C93,AA!C:C,0))</f>
        <v>1</v>
      </c>
      <c r="K93" s="1325">
        <f>INDEX(TA!$G:$G,MATCH($D93,TA!$D:$D,0))</f>
        <v>1</v>
      </c>
      <c r="M93" s="1325">
        <f>INDEX(TA!$BG$15:$BG$17,MATCH($D93,TA!$D$15:$D$17,0))</f>
        <v>100000</v>
      </c>
      <c r="N93" s="288">
        <f>INDEX(TA!$DT$15:$DT$17,MATCH($D93,TA!$D$15:$D$17,0))</f>
        <v>51136</v>
      </c>
      <c r="O93" s="1325">
        <f>INDEX(AA!$AA:$AA,MATCH($C93,AA!$C:$C,0))</f>
        <v>12</v>
      </c>
      <c r="T93" s="231">
        <f t="shared" ref="T93:BG93" si="44">-$M93/4*(T30-T39)*T$15</f>
        <v>0</v>
      </c>
      <c r="U93" s="231">
        <f t="shared" si="44"/>
        <v>0</v>
      </c>
      <c r="V93" s="231">
        <f t="shared" si="44"/>
        <v>0</v>
      </c>
      <c r="W93" s="231">
        <f t="shared" si="44"/>
        <v>0</v>
      </c>
      <c r="X93" s="231">
        <f t="shared" si="44"/>
        <v>0</v>
      </c>
      <c r="Y93" s="231">
        <f t="shared" si="44"/>
        <v>0</v>
      </c>
      <c r="Z93" s="231">
        <f t="shared" si="44"/>
        <v>0</v>
      </c>
      <c r="AA93" s="231">
        <f t="shared" si="44"/>
        <v>0</v>
      </c>
      <c r="AB93" s="231">
        <f t="shared" si="44"/>
        <v>0</v>
      </c>
      <c r="AC93" s="231">
        <f t="shared" si="44"/>
        <v>0</v>
      </c>
      <c r="AD93" s="231">
        <f t="shared" si="44"/>
        <v>0</v>
      </c>
      <c r="AE93" s="231">
        <f t="shared" si="44"/>
        <v>0</v>
      </c>
      <c r="AF93" s="231">
        <f t="shared" si="44"/>
        <v>0</v>
      </c>
      <c r="AG93" s="231">
        <f t="shared" si="44"/>
        <v>0</v>
      </c>
      <c r="AH93" s="231">
        <f t="shared" si="44"/>
        <v>0</v>
      </c>
      <c r="AI93" s="231">
        <f t="shared" si="44"/>
        <v>0</v>
      </c>
      <c r="AJ93" s="231">
        <f t="shared" si="44"/>
        <v>0</v>
      </c>
      <c r="AK93" s="231">
        <f t="shared" si="44"/>
        <v>0</v>
      </c>
      <c r="AL93" s="231">
        <f t="shared" si="44"/>
        <v>0</v>
      </c>
      <c r="AM93" s="231">
        <f t="shared" si="44"/>
        <v>0</v>
      </c>
      <c r="AN93" s="231">
        <f t="shared" si="44"/>
        <v>0</v>
      </c>
      <c r="AO93" s="231">
        <f t="shared" si="44"/>
        <v>0</v>
      </c>
      <c r="AP93" s="231">
        <f t="shared" si="44"/>
        <v>0</v>
      </c>
      <c r="AQ93" s="231">
        <f t="shared" si="44"/>
        <v>0</v>
      </c>
      <c r="AR93" s="231">
        <f t="shared" si="44"/>
        <v>0</v>
      </c>
      <c r="AS93" s="231">
        <f t="shared" si="44"/>
        <v>0</v>
      </c>
      <c r="AT93" s="231">
        <f t="shared" si="44"/>
        <v>0</v>
      </c>
      <c r="AU93" s="231">
        <f t="shared" si="44"/>
        <v>0</v>
      </c>
      <c r="AV93" s="231">
        <f t="shared" si="44"/>
        <v>0</v>
      </c>
      <c r="AW93" s="231">
        <f t="shared" si="44"/>
        <v>0</v>
      </c>
      <c r="AX93" s="231">
        <f t="shared" si="44"/>
        <v>0</v>
      </c>
      <c r="AY93" s="231">
        <f t="shared" si="44"/>
        <v>0</v>
      </c>
      <c r="AZ93" s="231">
        <f t="shared" si="44"/>
        <v>0</v>
      </c>
      <c r="BA93" s="231">
        <f t="shared" si="44"/>
        <v>0</v>
      </c>
      <c r="BB93" s="231">
        <f t="shared" si="44"/>
        <v>0</v>
      </c>
      <c r="BC93" s="231">
        <f t="shared" si="44"/>
        <v>0</v>
      </c>
      <c r="BD93" s="231">
        <f t="shared" si="44"/>
        <v>0</v>
      </c>
      <c r="BE93" s="231">
        <f t="shared" si="44"/>
        <v>0</v>
      </c>
      <c r="BF93" s="231">
        <f t="shared" si="44"/>
        <v>0</v>
      </c>
      <c r="BG93" s="231">
        <f t="shared" si="44"/>
        <v>0</v>
      </c>
      <c r="BI93" s="296">
        <f t="shared" ref="BI93" si="45">SUM(T93:BG93)</f>
        <v>0</v>
      </c>
      <c r="BK93" s="301">
        <f t="shared" si="43"/>
        <v>0</v>
      </c>
    </row>
    <row r="94" spans="2:63">
      <c r="C94" s="99">
        <f>RR!C25</f>
        <v>3</v>
      </c>
      <c r="D94" s="99" t="str">
        <f>RR!E25</f>
        <v>3 - 1</v>
      </c>
      <c r="F94" s="94" t="str">
        <f>INDEX(RR!K:K,MATCH(D94,RR!E:E,0))</f>
        <v>backup</v>
      </c>
      <c r="H94" s="73" t="s">
        <v>318</v>
      </c>
      <c r="J94" s="1325">
        <f>INDEX(AA!E:E,MATCH($C94,AA!C:C,0))</f>
        <v>1</v>
      </c>
      <c r="K94" s="1325">
        <f>INDEX(TA!$G:$G,MATCH($D94,TA!$D:$D,0))</f>
        <v>1</v>
      </c>
      <c r="M94" s="1325">
        <f>INDEX(TA!$BG$15:$BG$17,MATCH($D94,TA!$D$15:$D$17,0))</f>
        <v>100000</v>
      </c>
      <c r="N94" s="288">
        <f>INDEX(TA!$DT$15:$DT$17,MATCH($D94,TA!$D$15:$D$17,0))</f>
        <v>51136</v>
      </c>
      <c r="O94" s="1325">
        <f>INDEX(AA!$AA:$AA,MATCH($C94,AA!$C:$C,0))</f>
        <v>12</v>
      </c>
      <c r="T94" s="231">
        <f t="shared" ref="T94:BG94" si="46">-$M94/4*(T31-T40)*T$15</f>
        <v>0</v>
      </c>
      <c r="U94" s="231">
        <f t="shared" si="46"/>
        <v>0</v>
      </c>
      <c r="V94" s="231">
        <f t="shared" si="46"/>
        <v>0</v>
      </c>
      <c r="W94" s="231">
        <f t="shared" si="46"/>
        <v>0</v>
      </c>
      <c r="X94" s="231">
        <f t="shared" si="46"/>
        <v>0</v>
      </c>
      <c r="Y94" s="231">
        <f t="shared" si="46"/>
        <v>0</v>
      </c>
      <c r="Z94" s="231">
        <f t="shared" si="46"/>
        <v>0</v>
      </c>
      <c r="AA94" s="231">
        <f t="shared" si="46"/>
        <v>0</v>
      </c>
      <c r="AB94" s="231">
        <f t="shared" si="46"/>
        <v>0</v>
      </c>
      <c r="AC94" s="231">
        <f t="shared" si="46"/>
        <v>0</v>
      </c>
      <c r="AD94" s="231">
        <f t="shared" si="46"/>
        <v>0</v>
      </c>
      <c r="AE94" s="231">
        <f t="shared" si="46"/>
        <v>0</v>
      </c>
      <c r="AF94" s="231">
        <f t="shared" si="46"/>
        <v>0</v>
      </c>
      <c r="AG94" s="231">
        <f t="shared" si="46"/>
        <v>0</v>
      </c>
      <c r="AH94" s="231">
        <f t="shared" si="46"/>
        <v>0</v>
      </c>
      <c r="AI94" s="231">
        <f t="shared" si="46"/>
        <v>0</v>
      </c>
      <c r="AJ94" s="231">
        <f t="shared" si="46"/>
        <v>0</v>
      </c>
      <c r="AK94" s="231">
        <f t="shared" si="46"/>
        <v>0</v>
      </c>
      <c r="AL94" s="231">
        <f t="shared" si="46"/>
        <v>0</v>
      </c>
      <c r="AM94" s="231">
        <f t="shared" si="46"/>
        <v>0</v>
      </c>
      <c r="AN94" s="231">
        <f t="shared" si="46"/>
        <v>0</v>
      </c>
      <c r="AO94" s="231">
        <f t="shared" si="46"/>
        <v>0</v>
      </c>
      <c r="AP94" s="231">
        <f t="shared" si="46"/>
        <v>0</v>
      </c>
      <c r="AQ94" s="231">
        <f t="shared" si="46"/>
        <v>0</v>
      </c>
      <c r="AR94" s="231">
        <f t="shared" si="46"/>
        <v>0</v>
      </c>
      <c r="AS94" s="231">
        <f t="shared" si="46"/>
        <v>0</v>
      </c>
      <c r="AT94" s="231">
        <f t="shared" si="46"/>
        <v>0</v>
      </c>
      <c r="AU94" s="231">
        <f t="shared" si="46"/>
        <v>0</v>
      </c>
      <c r="AV94" s="231">
        <f t="shared" si="46"/>
        <v>0</v>
      </c>
      <c r="AW94" s="231">
        <f t="shared" si="46"/>
        <v>0</v>
      </c>
      <c r="AX94" s="231">
        <f t="shared" si="46"/>
        <v>0</v>
      </c>
      <c r="AY94" s="231">
        <f t="shared" si="46"/>
        <v>0</v>
      </c>
      <c r="AZ94" s="231">
        <f t="shared" si="46"/>
        <v>0</v>
      </c>
      <c r="BA94" s="231">
        <f t="shared" si="46"/>
        <v>0</v>
      </c>
      <c r="BB94" s="231">
        <f t="shared" si="46"/>
        <v>0</v>
      </c>
      <c r="BC94" s="231">
        <f t="shared" si="46"/>
        <v>0</v>
      </c>
      <c r="BD94" s="231">
        <f t="shared" si="46"/>
        <v>0</v>
      </c>
      <c r="BE94" s="231">
        <f t="shared" si="46"/>
        <v>0</v>
      </c>
      <c r="BF94" s="231">
        <f t="shared" si="46"/>
        <v>0</v>
      </c>
      <c r="BG94" s="231">
        <f t="shared" si="46"/>
        <v>0</v>
      </c>
      <c r="BI94" s="296">
        <f t="shared" ref="BI94" si="47">SUM(T94:BG94)</f>
        <v>0</v>
      </c>
      <c r="BK94" s="301">
        <f t="shared" si="43"/>
        <v>0</v>
      </c>
    </row>
    <row r="95" spans="2:63">
      <c r="C95" s="269"/>
      <c r="D95" s="269"/>
      <c r="F95" s="269"/>
      <c r="H95" s="269"/>
      <c r="J95" s="269"/>
      <c r="K95" s="269"/>
      <c r="M95" s="269"/>
      <c r="N95" s="269"/>
      <c r="O95" s="269"/>
      <c r="BI95" s="269"/>
      <c r="BK95" s="269"/>
    </row>
    <row r="97" spans="2:63" s="90" customFormat="1">
      <c r="B97" s="91">
        <f ca="1">MAX(A$1:$B96)+1</f>
        <v>11</v>
      </c>
      <c r="C97" s="92" t="s">
        <v>322</v>
      </c>
    </row>
    <row r="99" spans="2:63" ht="30">
      <c r="C99" s="96" t="s">
        <v>4</v>
      </c>
      <c r="D99" s="97" t="s">
        <v>148</v>
      </c>
      <c r="E99" s="95"/>
      <c r="F99" s="97" t="s">
        <v>149</v>
      </c>
      <c r="G99" s="95"/>
      <c r="H99" s="97" t="s">
        <v>150</v>
      </c>
      <c r="I99" s="95"/>
      <c r="J99" s="97" t="s">
        <v>272</v>
      </c>
      <c r="K99" s="97" t="s">
        <v>273</v>
      </c>
      <c r="M99" s="101" t="s">
        <v>323</v>
      </c>
      <c r="N99" s="101" t="s">
        <v>387</v>
      </c>
      <c r="O99" s="97" t="s">
        <v>392</v>
      </c>
      <c r="BI99" s="239" t="s">
        <v>152</v>
      </c>
      <c r="BK99" s="102"/>
    </row>
    <row r="100" spans="2:63">
      <c r="C100" s="98">
        <f>RR!C23</f>
        <v>1</v>
      </c>
      <c r="D100" s="98" t="str">
        <f>RR!E23</f>
        <v>1 - 1</v>
      </c>
      <c r="F100" s="93" t="str">
        <f>INDEX(RR!K:K,MATCH(D100,RR!E:E,0))</f>
        <v>backup</v>
      </c>
      <c r="H100" s="72" t="s">
        <v>321</v>
      </c>
      <c r="J100" s="1324">
        <f>INDEX(AA!E:E,MATCH($C100,AA!C:C,0))</f>
        <v>1</v>
      </c>
      <c r="K100" s="1324">
        <f>INDEX(TA!$G:$G,MATCH($D100,TA!$D:$D,0))</f>
        <v>1</v>
      </c>
      <c r="M100" s="1324">
        <f>INDEX(TA!$AX:$AX,MATCH($D100,TA!$D:$D,0))</f>
        <v>0</v>
      </c>
      <c r="N100" s="1324">
        <f>INDEX(TA!$CB:$CB,MATCH($D100,TA!$D:$D,0))</f>
        <v>0</v>
      </c>
      <c r="O100" s="307">
        <f>INDEX(TA!$CA$15:$CA$17,MATCH($D100,TA!$D$15:$D$17,0))</f>
        <v>0</v>
      </c>
      <c r="T100" s="231">
        <f t="shared" ref="T100:BG100" si="48">$M100/4*T29+$N100/4*(T$5&gt;=$O100)*T29</f>
        <v>0</v>
      </c>
      <c r="U100" s="231">
        <f t="shared" si="48"/>
        <v>0</v>
      </c>
      <c r="V100" s="231">
        <f t="shared" si="48"/>
        <v>0</v>
      </c>
      <c r="W100" s="231">
        <f t="shared" si="48"/>
        <v>0</v>
      </c>
      <c r="X100" s="231">
        <f t="shared" si="48"/>
        <v>0</v>
      </c>
      <c r="Y100" s="231">
        <f t="shared" si="48"/>
        <v>0</v>
      </c>
      <c r="Z100" s="231">
        <f t="shared" si="48"/>
        <v>0</v>
      </c>
      <c r="AA100" s="231">
        <f t="shared" si="48"/>
        <v>0</v>
      </c>
      <c r="AB100" s="231">
        <f t="shared" si="48"/>
        <v>0</v>
      </c>
      <c r="AC100" s="231">
        <f t="shared" si="48"/>
        <v>0</v>
      </c>
      <c r="AD100" s="231">
        <f t="shared" si="48"/>
        <v>0</v>
      </c>
      <c r="AE100" s="231">
        <f t="shared" si="48"/>
        <v>0</v>
      </c>
      <c r="AF100" s="231">
        <f t="shared" si="48"/>
        <v>0</v>
      </c>
      <c r="AG100" s="231">
        <f t="shared" si="48"/>
        <v>0</v>
      </c>
      <c r="AH100" s="231">
        <f t="shared" si="48"/>
        <v>0</v>
      </c>
      <c r="AI100" s="231">
        <f t="shared" si="48"/>
        <v>0</v>
      </c>
      <c r="AJ100" s="231">
        <f t="shared" si="48"/>
        <v>0</v>
      </c>
      <c r="AK100" s="231">
        <f t="shared" si="48"/>
        <v>0</v>
      </c>
      <c r="AL100" s="231">
        <f t="shared" si="48"/>
        <v>0</v>
      </c>
      <c r="AM100" s="231">
        <f t="shared" si="48"/>
        <v>0</v>
      </c>
      <c r="AN100" s="231">
        <f t="shared" si="48"/>
        <v>0</v>
      </c>
      <c r="AO100" s="231">
        <f t="shared" si="48"/>
        <v>0</v>
      </c>
      <c r="AP100" s="231">
        <f t="shared" si="48"/>
        <v>0</v>
      </c>
      <c r="AQ100" s="231">
        <f t="shared" si="48"/>
        <v>0</v>
      </c>
      <c r="AR100" s="231">
        <f t="shared" si="48"/>
        <v>0</v>
      </c>
      <c r="AS100" s="231">
        <f t="shared" si="48"/>
        <v>0</v>
      </c>
      <c r="AT100" s="231">
        <f t="shared" si="48"/>
        <v>0</v>
      </c>
      <c r="AU100" s="231">
        <f t="shared" si="48"/>
        <v>0</v>
      </c>
      <c r="AV100" s="231">
        <f t="shared" si="48"/>
        <v>0</v>
      </c>
      <c r="AW100" s="231">
        <f t="shared" si="48"/>
        <v>0</v>
      </c>
      <c r="AX100" s="231">
        <f t="shared" si="48"/>
        <v>0</v>
      </c>
      <c r="AY100" s="231">
        <f t="shared" si="48"/>
        <v>0</v>
      </c>
      <c r="AZ100" s="231">
        <f t="shared" si="48"/>
        <v>0</v>
      </c>
      <c r="BA100" s="231">
        <f t="shared" si="48"/>
        <v>0</v>
      </c>
      <c r="BB100" s="231">
        <f t="shared" si="48"/>
        <v>0</v>
      </c>
      <c r="BC100" s="231">
        <f t="shared" si="48"/>
        <v>0</v>
      </c>
      <c r="BD100" s="231">
        <f t="shared" si="48"/>
        <v>0</v>
      </c>
      <c r="BE100" s="231">
        <f t="shared" si="48"/>
        <v>0</v>
      </c>
      <c r="BF100" s="231">
        <f t="shared" si="48"/>
        <v>0</v>
      </c>
      <c r="BG100" s="231">
        <f t="shared" si="48"/>
        <v>0</v>
      </c>
      <c r="BI100" s="295">
        <f>SUM(T100:BG100)</f>
        <v>0</v>
      </c>
      <c r="BK100" s="103"/>
    </row>
    <row r="101" spans="2:63">
      <c r="C101" s="99">
        <f>RR!C24</f>
        <v>2</v>
      </c>
      <c r="D101" s="99" t="str">
        <f>RR!E24</f>
        <v>2 - 1</v>
      </c>
      <c r="F101" s="94" t="str">
        <f>INDEX(RR!K:K,MATCH(D101,RR!E:E,0))</f>
        <v>backup</v>
      </c>
      <c r="H101" s="73" t="s">
        <v>321</v>
      </c>
      <c r="J101" s="1325">
        <f>INDEX(AA!E:E,MATCH($C101,AA!C:C,0))</f>
        <v>1</v>
      </c>
      <c r="K101" s="1325">
        <f>INDEX(TA!$G:$G,MATCH($D101,TA!$D:$D,0))</f>
        <v>1</v>
      </c>
      <c r="M101" s="1325">
        <f>INDEX(TA!$AX:$AX,MATCH($D101,TA!$D:$D,0))</f>
        <v>0</v>
      </c>
      <c r="N101" s="1325">
        <f>INDEX(TA!$CB:$CB,MATCH($D101,TA!$D:$D,0))</f>
        <v>0</v>
      </c>
      <c r="O101" s="308">
        <f>INDEX(TA!$CA$15:$CA$17,MATCH($D101,TA!$D$15:$D$17,0))</f>
        <v>0</v>
      </c>
      <c r="T101" s="231">
        <f t="shared" ref="T101:BG101" si="49">$M101/4*T30+$N101/4*(T$5&gt;=$O101)*T30</f>
        <v>0</v>
      </c>
      <c r="U101" s="231">
        <f t="shared" si="49"/>
        <v>0</v>
      </c>
      <c r="V101" s="231">
        <f t="shared" si="49"/>
        <v>0</v>
      </c>
      <c r="W101" s="231">
        <f t="shared" si="49"/>
        <v>0</v>
      </c>
      <c r="X101" s="231">
        <f t="shared" si="49"/>
        <v>0</v>
      </c>
      <c r="Y101" s="231">
        <f t="shared" si="49"/>
        <v>0</v>
      </c>
      <c r="Z101" s="231">
        <f t="shared" si="49"/>
        <v>0</v>
      </c>
      <c r="AA101" s="231">
        <f t="shared" si="49"/>
        <v>0</v>
      </c>
      <c r="AB101" s="231">
        <f t="shared" si="49"/>
        <v>0</v>
      </c>
      <c r="AC101" s="231">
        <f t="shared" si="49"/>
        <v>0</v>
      </c>
      <c r="AD101" s="231">
        <f t="shared" si="49"/>
        <v>0</v>
      </c>
      <c r="AE101" s="231">
        <f t="shared" si="49"/>
        <v>0</v>
      </c>
      <c r="AF101" s="231">
        <f t="shared" si="49"/>
        <v>0</v>
      </c>
      <c r="AG101" s="231">
        <f t="shared" si="49"/>
        <v>0</v>
      </c>
      <c r="AH101" s="231">
        <f t="shared" si="49"/>
        <v>0</v>
      </c>
      <c r="AI101" s="231">
        <f t="shared" si="49"/>
        <v>0</v>
      </c>
      <c r="AJ101" s="231">
        <f t="shared" si="49"/>
        <v>0</v>
      </c>
      <c r="AK101" s="231">
        <f t="shared" si="49"/>
        <v>0</v>
      </c>
      <c r="AL101" s="231">
        <f t="shared" si="49"/>
        <v>0</v>
      </c>
      <c r="AM101" s="231">
        <f t="shared" si="49"/>
        <v>0</v>
      </c>
      <c r="AN101" s="231">
        <f t="shared" si="49"/>
        <v>0</v>
      </c>
      <c r="AO101" s="231">
        <f t="shared" si="49"/>
        <v>0</v>
      </c>
      <c r="AP101" s="231">
        <f t="shared" si="49"/>
        <v>0</v>
      </c>
      <c r="AQ101" s="231">
        <f t="shared" si="49"/>
        <v>0</v>
      </c>
      <c r="AR101" s="231">
        <f t="shared" si="49"/>
        <v>0</v>
      </c>
      <c r="AS101" s="231">
        <f t="shared" si="49"/>
        <v>0</v>
      </c>
      <c r="AT101" s="231">
        <f t="shared" si="49"/>
        <v>0</v>
      </c>
      <c r="AU101" s="231">
        <f t="shared" si="49"/>
        <v>0</v>
      </c>
      <c r="AV101" s="231">
        <f t="shared" si="49"/>
        <v>0</v>
      </c>
      <c r="AW101" s="231">
        <f t="shared" si="49"/>
        <v>0</v>
      </c>
      <c r="AX101" s="231">
        <f t="shared" si="49"/>
        <v>0</v>
      </c>
      <c r="AY101" s="231">
        <f t="shared" si="49"/>
        <v>0</v>
      </c>
      <c r="AZ101" s="231">
        <f t="shared" si="49"/>
        <v>0</v>
      </c>
      <c r="BA101" s="231">
        <f t="shared" si="49"/>
        <v>0</v>
      </c>
      <c r="BB101" s="231">
        <f t="shared" si="49"/>
        <v>0</v>
      </c>
      <c r="BC101" s="231">
        <f t="shared" si="49"/>
        <v>0</v>
      </c>
      <c r="BD101" s="231">
        <f t="shared" si="49"/>
        <v>0</v>
      </c>
      <c r="BE101" s="231">
        <f t="shared" si="49"/>
        <v>0</v>
      </c>
      <c r="BF101" s="231">
        <f t="shared" si="49"/>
        <v>0</v>
      </c>
      <c r="BG101" s="231">
        <f t="shared" si="49"/>
        <v>0</v>
      </c>
      <c r="BI101" s="296">
        <f t="shared" ref="BI101" si="50">SUM(T101:BG101)</f>
        <v>0</v>
      </c>
      <c r="BK101" s="103"/>
    </row>
    <row r="102" spans="2:63">
      <c r="C102" s="99">
        <f>RR!C25</f>
        <v>3</v>
      </c>
      <c r="D102" s="99" t="str">
        <f>RR!E25</f>
        <v>3 - 1</v>
      </c>
      <c r="F102" s="94" t="str">
        <f>INDEX(RR!K:K,MATCH(D102,RR!E:E,0))</f>
        <v>backup</v>
      </c>
      <c r="H102" s="73" t="s">
        <v>321</v>
      </c>
      <c r="J102" s="1325">
        <f>INDEX(AA!E:E,MATCH($C102,AA!C:C,0))</f>
        <v>1</v>
      </c>
      <c r="K102" s="1325">
        <f>INDEX(TA!$G:$G,MATCH($D102,TA!$D:$D,0))</f>
        <v>1</v>
      </c>
      <c r="M102" s="1325">
        <f>INDEX(TA!$AX:$AX,MATCH($D102,TA!$D:$D,0))</f>
        <v>0</v>
      </c>
      <c r="N102" s="1325">
        <f>INDEX(TA!$CB:$CB,MATCH($D102,TA!$D:$D,0))</f>
        <v>0</v>
      </c>
      <c r="O102" s="308">
        <f>INDEX(TA!$CA$15:$CA$17,MATCH($D102,TA!$D$15:$D$17,0))</f>
        <v>0</v>
      </c>
      <c r="T102" s="231">
        <f t="shared" ref="T102:BG102" si="51">$M102/4*T31+$N102/4*(T$5&gt;=$O102)*T31</f>
        <v>0</v>
      </c>
      <c r="U102" s="231">
        <f t="shared" si="51"/>
        <v>0</v>
      </c>
      <c r="V102" s="231">
        <f t="shared" si="51"/>
        <v>0</v>
      </c>
      <c r="W102" s="231">
        <f t="shared" si="51"/>
        <v>0</v>
      </c>
      <c r="X102" s="231">
        <f t="shared" si="51"/>
        <v>0</v>
      </c>
      <c r="Y102" s="231">
        <f t="shared" si="51"/>
        <v>0</v>
      </c>
      <c r="Z102" s="231">
        <f t="shared" si="51"/>
        <v>0</v>
      </c>
      <c r="AA102" s="231">
        <f t="shared" si="51"/>
        <v>0</v>
      </c>
      <c r="AB102" s="231">
        <f t="shared" si="51"/>
        <v>0</v>
      </c>
      <c r="AC102" s="231">
        <f t="shared" si="51"/>
        <v>0</v>
      </c>
      <c r="AD102" s="231">
        <f t="shared" si="51"/>
        <v>0</v>
      </c>
      <c r="AE102" s="231">
        <f t="shared" si="51"/>
        <v>0</v>
      </c>
      <c r="AF102" s="231">
        <f t="shared" si="51"/>
        <v>0</v>
      </c>
      <c r="AG102" s="231">
        <f t="shared" si="51"/>
        <v>0</v>
      </c>
      <c r="AH102" s="231">
        <f t="shared" si="51"/>
        <v>0</v>
      </c>
      <c r="AI102" s="231">
        <f t="shared" si="51"/>
        <v>0</v>
      </c>
      <c r="AJ102" s="231">
        <f t="shared" si="51"/>
        <v>0</v>
      </c>
      <c r="AK102" s="231">
        <f t="shared" si="51"/>
        <v>0</v>
      </c>
      <c r="AL102" s="231">
        <f t="shared" si="51"/>
        <v>0</v>
      </c>
      <c r="AM102" s="231">
        <f t="shared" si="51"/>
        <v>0</v>
      </c>
      <c r="AN102" s="231">
        <f t="shared" si="51"/>
        <v>0</v>
      </c>
      <c r="AO102" s="231">
        <f t="shared" si="51"/>
        <v>0</v>
      </c>
      <c r="AP102" s="231">
        <f t="shared" si="51"/>
        <v>0</v>
      </c>
      <c r="AQ102" s="231">
        <f t="shared" si="51"/>
        <v>0</v>
      </c>
      <c r="AR102" s="231">
        <f t="shared" si="51"/>
        <v>0</v>
      </c>
      <c r="AS102" s="231">
        <f t="shared" si="51"/>
        <v>0</v>
      </c>
      <c r="AT102" s="231">
        <f t="shared" si="51"/>
        <v>0</v>
      </c>
      <c r="AU102" s="231">
        <f t="shared" si="51"/>
        <v>0</v>
      </c>
      <c r="AV102" s="231">
        <f t="shared" si="51"/>
        <v>0</v>
      </c>
      <c r="AW102" s="231">
        <f t="shared" si="51"/>
        <v>0</v>
      </c>
      <c r="AX102" s="231">
        <f t="shared" si="51"/>
        <v>0</v>
      </c>
      <c r="AY102" s="231">
        <f t="shared" si="51"/>
        <v>0</v>
      </c>
      <c r="AZ102" s="231">
        <f t="shared" si="51"/>
        <v>0</v>
      </c>
      <c r="BA102" s="231">
        <f t="shared" si="51"/>
        <v>0</v>
      </c>
      <c r="BB102" s="231">
        <f t="shared" si="51"/>
        <v>0</v>
      </c>
      <c r="BC102" s="231">
        <f t="shared" si="51"/>
        <v>0</v>
      </c>
      <c r="BD102" s="231">
        <f t="shared" si="51"/>
        <v>0</v>
      </c>
      <c r="BE102" s="231">
        <f t="shared" si="51"/>
        <v>0</v>
      </c>
      <c r="BF102" s="231">
        <f t="shared" si="51"/>
        <v>0</v>
      </c>
      <c r="BG102" s="231">
        <f t="shared" si="51"/>
        <v>0</v>
      </c>
      <c r="BI102" s="296">
        <f t="shared" ref="BI102" si="52">SUM(T102:BG102)</f>
        <v>0</v>
      </c>
      <c r="BK102" s="103"/>
    </row>
    <row r="103" spans="2:63">
      <c r="C103" s="269"/>
      <c r="D103" s="269"/>
      <c r="F103" s="269"/>
      <c r="H103" s="269"/>
      <c r="J103" s="269"/>
      <c r="K103" s="269"/>
      <c r="M103" s="269"/>
      <c r="N103" s="269"/>
      <c r="O103" s="269"/>
      <c r="BI103" s="269"/>
      <c r="BK103" s="269"/>
    </row>
    <row r="105" spans="2:63" s="90" customFormat="1">
      <c r="B105" s="91">
        <f ca="1">MAX(A$1:$B104)+1</f>
        <v>12</v>
      </c>
      <c r="C105" s="92" t="s">
        <v>367</v>
      </c>
    </row>
    <row r="107" spans="2:63" ht="30">
      <c r="C107" s="96" t="s">
        <v>4</v>
      </c>
      <c r="D107" s="97" t="s">
        <v>148</v>
      </c>
      <c r="E107" s="95"/>
      <c r="F107" s="97" t="s">
        <v>149</v>
      </c>
      <c r="G107" s="95"/>
      <c r="H107" s="97" t="s">
        <v>150</v>
      </c>
      <c r="J107" s="97" t="s">
        <v>272</v>
      </c>
      <c r="K107" s="97" t="s">
        <v>273</v>
      </c>
      <c r="M107" s="101" t="s">
        <v>369</v>
      </c>
      <c r="BI107" s="239" t="s">
        <v>152</v>
      </c>
      <c r="BK107" s="102"/>
    </row>
    <row r="108" spans="2:63">
      <c r="C108" s="98">
        <f>RR!C23</f>
        <v>1</v>
      </c>
      <c r="D108" s="98" t="str">
        <f>RR!E23</f>
        <v>1 - 1</v>
      </c>
      <c r="F108" s="93" t="str">
        <f>INDEX(RR!K:K,MATCH(D108,RR!E:E,0))</f>
        <v>backup</v>
      </c>
      <c r="H108" s="72" t="s">
        <v>368</v>
      </c>
      <c r="J108" s="1324">
        <f>INDEX(AA!E:E,MATCH($C108,AA!C:C,0))</f>
        <v>1</v>
      </c>
      <c r="K108" s="1324">
        <f>INDEX(TA!$G:$G,MATCH($D108,TA!$D:$D,0))</f>
        <v>1</v>
      </c>
      <c r="M108" s="1324">
        <f>INDEX(TA!$EW$15:$EW$17,MATCH($D108,TA!$D$15:$D$17,0))</f>
        <v>0</v>
      </c>
      <c r="T108" s="231">
        <f t="shared" ref="T108:BG108" si="53">-IFERROR($M108*T47/$BK47,0)</f>
        <v>0</v>
      </c>
      <c r="U108" s="231">
        <f t="shared" si="53"/>
        <v>0</v>
      </c>
      <c r="V108" s="231">
        <f t="shared" si="53"/>
        <v>0</v>
      </c>
      <c r="W108" s="231">
        <f t="shared" si="53"/>
        <v>0</v>
      </c>
      <c r="X108" s="231">
        <f t="shared" si="53"/>
        <v>0</v>
      </c>
      <c r="Y108" s="231">
        <f t="shared" si="53"/>
        <v>0</v>
      </c>
      <c r="Z108" s="231">
        <f t="shared" si="53"/>
        <v>0</v>
      </c>
      <c r="AA108" s="231">
        <f t="shared" si="53"/>
        <v>0</v>
      </c>
      <c r="AB108" s="231">
        <f t="shared" si="53"/>
        <v>0</v>
      </c>
      <c r="AC108" s="231">
        <f t="shared" si="53"/>
        <v>0</v>
      </c>
      <c r="AD108" s="231">
        <f t="shared" si="53"/>
        <v>0</v>
      </c>
      <c r="AE108" s="231">
        <f t="shared" si="53"/>
        <v>0</v>
      </c>
      <c r="AF108" s="231">
        <f t="shared" si="53"/>
        <v>0</v>
      </c>
      <c r="AG108" s="231">
        <f t="shared" si="53"/>
        <v>0</v>
      </c>
      <c r="AH108" s="231">
        <f t="shared" si="53"/>
        <v>0</v>
      </c>
      <c r="AI108" s="231">
        <f t="shared" si="53"/>
        <v>0</v>
      </c>
      <c r="AJ108" s="231">
        <f t="shared" si="53"/>
        <v>0</v>
      </c>
      <c r="AK108" s="231">
        <f t="shared" si="53"/>
        <v>0</v>
      </c>
      <c r="AL108" s="231">
        <f t="shared" si="53"/>
        <v>0</v>
      </c>
      <c r="AM108" s="231">
        <f t="shared" si="53"/>
        <v>0</v>
      </c>
      <c r="AN108" s="231">
        <f t="shared" si="53"/>
        <v>0</v>
      </c>
      <c r="AO108" s="231">
        <f t="shared" si="53"/>
        <v>0</v>
      </c>
      <c r="AP108" s="231">
        <f t="shared" si="53"/>
        <v>0</v>
      </c>
      <c r="AQ108" s="231">
        <f t="shared" si="53"/>
        <v>0</v>
      </c>
      <c r="AR108" s="231">
        <f t="shared" si="53"/>
        <v>0</v>
      </c>
      <c r="AS108" s="231">
        <f t="shared" si="53"/>
        <v>0</v>
      </c>
      <c r="AT108" s="231">
        <f t="shared" si="53"/>
        <v>0</v>
      </c>
      <c r="AU108" s="231">
        <f t="shared" si="53"/>
        <v>0</v>
      </c>
      <c r="AV108" s="231">
        <f t="shared" si="53"/>
        <v>0</v>
      </c>
      <c r="AW108" s="231">
        <f t="shared" si="53"/>
        <v>0</v>
      </c>
      <c r="AX108" s="231">
        <f t="shared" si="53"/>
        <v>0</v>
      </c>
      <c r="AY108" s="231">
        <f t="shared" si="53"/>
        <v>0</v>
      </c>
      <c r="AZ108" s="231">
        <f t="shared" si="53"/>
        <v>0</v>
      </c>
      <c r="BA108" s="231">
        <f t="shared" si="53"/>
        <v>0</v>
      </c>
      <c r="BB108" s="231">
        <f t="shared" si="53"/>
        <v>0</v>
      </c>
      <c r="BC108" s="231">
        <f t="shared" si="53"/>
        <v>0</v>
      </c>
      <c r="BD108" s="231">
        <f t="shared" si="53"/>
        <v>0</v>
      </c>
      <c r="BE108" s="231">
        <f t="shared" si="53"/>
        <v>0</v>
      </c>
      <c r="BF108" s="231">
        <f t="shared" si="53"/>
        <v>0</v>
      </c>
      <c r="BG108" s="231">
        <f t="shared" si="53"/>
        <v>0</v>
      </c>
      <c r="BI108" s="295">
        <f>SUM(T108:BG108)</f>
        <v>0</v>
      </c>
      <c r="BK108" s="103"/>
    </row>
    <row r="109" spans="2:63">
      <c r="C109" s="99">
        <f>RR!C24</f>
        <v>2</v>
      </c>
      <c r="D109" s="99" t="str">
        <f>RR!E24</f>
        <v>2 - 1</v>
      </c>
      <c r="F109" s="94" t="str">
        <f>INDEX(RR!K:K,MATCH(D109,RR!E:E,0))</f>
        <v>backup</v>
      </c>
      <c r="H109" s="73" t="s">
        <v>368</v>
      </c>
      <c r="J109" s="1325">
        <f>INDEX(AA!E:E,MATCH($C109,AA!C:C,0))</f>
        <v>1</v>
      </c>
      <c r="K109" s="1325">
        <f>INDEX(TA!$G:$G,MATCH($D109,TA!$D:$D,0))</f>
        <v>1</v>
      </c>
      <c r="M109" s="1325">
        <f>INDEX(TA!$EW$15:$EW$17,MATCH($D109,TA!$D$15:$D$17,0))</f>
        <v>0</v>
      </c>
      <c r="T109" s="231">
        <f t="shared" ref="T109:BG109" si="54">-IFERROR($M109*T48/$BK48,0)</f>
        <v>0</v>
      </c>
      <c r="U109" s="231">
        <f t="shared" si="54"/>
        <v>0</v>
      </c>
      <c r="V109" s="231">
        <f t="shared" si="54"/>
        <v>0</v>
      </c>
      <c r="W109" s="231">
        <f t="shared" si="54"/>
        <v>0</v>
      </c>
      <c r="X109" s="231">
        <f t="shared" si="54"/>
        <v>0</v>
      </c>
      <c r="Y109" s="231">
        <f t="shared" si="54"/>
        <v>0</v>
      </c>
      <c r="Z109" s="231">
        <f t="shared" si="54"/>
        <v>0</v>
      </c>
      <c r="AA109" s="231">
        <f t="shared" si="54"/>
        <v>0</v>
      </c>
      <c r="AB109" s="231">
        <f t="shared" si="54"/>
        <v>0</v>
      </c>
      <c r="AC109" s="231">
        <f t="shared" si="54"/>
        <v>0</v>
      </c>
      <c r="AD109" s="231">
        <f t="shared" si="54"/>
        <v>0</v>
      </c>
      <c r="AE109" s="231">
        <f t="shared" si="54"/>
        <v>0</v>
      </c>
      <c r="AF109" s="231">
        <f t="shared" si="54"/>
        <v>0</v>
      </c>
      <c r="AG109" s="231">
        <f t="shared" si="54"/>
        <v>0</v>
      </c>
      <c r="AH109" s="231">
        <f t="shared" si="54"/>
        <v>0</v>
      </c>
      <c r="AI109" s="231">
        <f t="shared" si="54"/>
        <v>0</v>
      </c>
      <c r="AJ109" s="231">
        <f t="shared" si="54"/>
        <v>0</v>
      </c>
      <c r="AK109" s="231">
        <f t="shared" si="54"/>
        <v>0</v>
      </c>
      <c r="AL109" s="231">
        <f t="shared" si="54"/>
        <v>0</v>
      </c>
      <c r="AM109" s="231">
        <f t="shared" si="54"/>
        <v>0</v>
      </c>
      <c r="AN109" s="231">
        <f t="shared" si="54"/>
        <v>0</v>
      </c>
      <c r="AO109" s="231">
        <f t="shared" si="54"/>
        <v>0</v>
      </c>
      <c r="AP109" s="231">
        <f t="shared" si="54"/>
        <v>0</v>
      </c>
      <c r="AQ109" s="231">
        <f t="shared" si="54"/>
        <v>0</v>
      </c>
      <c r="AR109" s="231">
        <f t="shared" si="54"/>
        <v>0</v>
      </c>
      <c r="AS109" s="231">
        <f t="shared" si="54"/>
        <v>0</v>
      </c>
      <c r="AT109" s="231">
        <f t="shared" si="54"/>
        <v>0</v>
      </c>
      <c r="AU109" s="231">
        <f t="shared" si="54"/>
        <v>0</v>
      </c>
      <c r="AV109" s="231">
        <f t="shared" si="54"/>
        <v>0</v>
      </c>
      <c r="AW109" s="231">
        <f t="shared" si="54"/>
        <v>0</v>
      </c>
      <c r="AX109" s="231">
        <f t="shared" si="54"/>
        <v>0</v>
      </c>
      <c r="AY109" s="231">
        <f t="shared" si="54"/>
        <v>0</v>
      </c>
      <c r="AZ109" s="231">
        <f t="shared" si="54"/>
        <v>0</v>
      </c>
      <c r="BA109" s="231">
        <f t="shared" si="54"/>
        <v>0</v>
      </c>
      <c r="BB109" s="231">
        <f t="shared" si="54"/>
        <v>0</v>
      </c>
      <c r="BC109" s="231">
        <f t="shared" si="54"/>
        <v>0</v>
      </c>
      <c r="BD109" s="231">
        <f t="shared" si="54"/>
        <v>0</v>
      </c>
      <c r="BE109" s="231">
        <f t="shared" si="54"/>
        <v>0</v>
      </c>
      <c r="BF109" s="231">
        <f t="shared" si="54"/>
        <v>0</v>
      </c>
      <c r="BG109" s="231">
        <f t="shared" si="54"/>
        <v>0</v>
      </c>
      <c r="BI109" s="296">
        <f t="shared" ref="BI109" si="55">SUM(T109:BG109)</f>
        <v>0</v>
      </c>
      <c r="BK109" s="103"/>
    </row>
    <row r="110" spans="2:63">
      <c r="C110" s="99">
        <f>RR!C25</f>
        <v>3</v>
      </c>
      <c r="D110" s="99" t="str">
        <f>RR!E25</f>
        <v>3 - 1</v>
      </c>
      <c r="F110" s="94" t="str">
        <f>INDEX(RR!K:K,MATCH(D110,RR!E:E,0))</f>
        <v>backup</v>
      </c>
      <c r="H110" s="73" t="s">
        <v>368</v>
      </c>
      <c r="J110" s="1325">
        <f>INDEX(AA!E:E,MATCH($C110,AA!C:C,0))</f>
        <v>1</v>
      </c>
      <c r="K110" s="1325">
        <f>INDEX(TA!$G:$G,MATCH($D110,TA!$D:$D,0))</f>
        <v>1</v>
      </c>
      <c r="M110" s="1325">
        <f>INDEX(TA!$EW$15:$EW$17,MATCH($D110,TA!$D$15:$D$17,0))</f>
        <v>0</v>
      </c>
      <c r="T110" s="231">
        <f t="shared" ref="T110:BG110" si="56">-IFERROR($M110*T49/$BK49,0)</f>
        <v>0</v>
      </c>
      <c r="U110" s="231">
        <f t="shared" si="56"/>
        <v>0</v>
      </c>
      <c r="V110" s="231">
        <f t="shared" si="56"/>
        <v>0</v>
      </c>
      <c r="W110" s="231">
        <f t="shared" si="56"/>
        <v>0</v>
      </c>
      <c r="X110" s="231">
        <f t="shared" si="56"/>
        <v>0</v>
      </c>
      <c r="Y110" s="231">
        <f t="shared" si="56"/>
        <v>0</v>
      </c>
      <c r="Z110" s="231">
        <f t="shared" si="56"/>
        <v>0</v>
      </c>
      <c r="AA110" s="231">
        <f t="shared" si="56"/>
        <v>0</v>
      </c>
      <c r="AB110" s="231">
        <f t="shared" si="56"/>
        <v>0</v>
      </c>
      <c r="AC110" s="231">
        <f t="shared" si="56"/>
        <v>0</v>
      </c>
      <c r="AD110" s="231">
        <f t="shared" si="56"/>
        <v>0</v>
      </c>
      <c r="AE110" s="231">
        <f t="shared" si="56"/>
        <v>0</v>
      </c>
      <c r="AF110" s="231">
        <f t="shared" si="56"/>
        <v>0</v>
      </c>
      <c r="AG110" s="231">
        <f t="shared" si="56"/>
        <v>0</v>
      </c>
      <c r="AH110" s="231">
        <f t="shared" si="56"/>
        <v>0</v>
      </c>
      <c r="AI110" s="231">
        <f t="shared" si="56"/>
        <v>0</v>
      </c>
      <c r="AJ110" s="231">
        <f t="shared" si="56"/>
        <v>0</v>
      </c>
      <c r="AK110" s="231">
        <f t="shared" si="56"/>
        <v>0</v>
      </c>
      <c r="AL110" s="231">
        <f t="shared" si="56"/>
        <v>0</v>
      </c>
      <c r="AM110" s="231">
        <f t="shared" si="56"/>
        <v>0</v>
      </c>
      <c r="AN110" s="231">
        <f t="shared" si="56"/>
        <v>0</v>
      </c>
      <c r="AO110" s="231">
        <f t="shared" si="56"/>
        <v>0</v>
      </c>
      <c r="AP110" s="231">
        <f t="shared" si="56"/>
        <v>0</v>
      </c>
      <c r="AQ110" s="231">
        <f t="shared" si="56"/>
        <v>0</v>
      </c>
      <c r="AR110" s="231">
        <f t="shared" si="56"/>
        <v>0</v>
      </c>
      <c r="AS110" s="231">
        <f t="shared" si="56"/>
        <v>0</v>
      </c>
      <c r="AT110" s="231">
        <f t="shared" si="56"/>
        <v>0</v>
      </c>
      <c r="AU110" s="231">
        <f t="shared" si="56"/>
        <v>0</v>
      </c>
      <c r="AV110" s="231">
        <f t="shared" si="56"/>
        <v>0</v>
      </c>
      <c r="AW110" s="231">
        <f t="shared" si="56"/>
        <v>0</v>
      </c>
      <c r="AX110" s="231">
        <f t="shared" si="56"/>
        <v>0</v>
      </c>
      <c r="AY110" s="231">
        <f t="shared" si="56"/>
        <v>0</v>
      </c>
      <c r="AZ110" s="231">
        <f t="shared" si="56"/>
        <v>0</v>
      </c>
      <c r="BA110" s="231">
        <f t="shared" si="56"/>
        <v>0</v>
      </c>
      <c r="BB110" s="231">
        <f t="shared" si="56"/>
        <v>0</v>
      </c>
      <c r="BC110" s="231">
        <f t="shared" si="56"/>
        <v>0</v>
      </c>
      <c r="BD110" s="231">
        <f t="shared" si="56"/>
        <v>0</v>
      </c>
      <c r="BE110" s="231">
        <f t="shared" si="56"/>
        <v>0</v>
      </c>
      <c r="BF110" s="231">
        <f t="shared" si="56"/>
        <v>0</v>
      </c>
      <c r="BG110" s="231">
        <f t="shared" si="56"/>
        <v>0</v>
      </c>
      <c r="BI110" s="296">
        <f t="shared" ref="BI110" si="57">SUM(T110:BG110)</f>
        <v>0</v>
      </c>
      <c r="BK110" s="103"/>
    </row>
    <row r="111" spans="2:63">
      <c r="C111" s="269"/>
      <c r="D111" s="269"/>
      <c r="F111" s="269"/>
      <c r="H111" s="269"/>
      <c r="J111" s="269"/>
      <c r="K111" s="269"/>
      <c r="M111" s="269"/>
      <c r="BI111" s="269"/>
      <c r="BK111" s="269"/>
    </row>
    <row r="113" spans="2:63" s="90" customFormat="1">
      <c r="B113" s="91">
        <f ca="1">MAX(A$1:$B112)+1</f>
        <v>13</v>
      </c>
      <c r="C113" s="92" t="s">
        <v>394</v>
      </c>
    </row>
    <row r="115" spans="2:63" ht="30">
      <c r="C115" s="96" t="s">
        <v>4</v>
      </c>
      <c r="D115" s="97" t="s">
        <v>148</v>
      </c>
      <c r="E115" s="95"/>
      <c r="F115" s="97" t="s">
        <v>149</v>
      </c>
      <c r="G115" s="95"/>
      <c r="H115" s="97" t="s">
        <v>150</v>
      </c>
      <c r="J115" s="97" t="s">
        <v>272</v>
      </c>
      <c r="K115" s="97" t="s">
        <v>273</v>
      </c>
      <c r="M115" s="101" t="s">
        <v>369</v>
      </c>
      <c r="N115" s="97" t="s">
        <v>395</v>
      </c>
      <c r="O115" s="97" t="s">
        <v>1366</v>
      </c>
      <c r="BI115" s="239" t="s">
        <v>152</v>
      </c>
      <c r="BK115" s="102"/>
    </row>
    <row r="116" spans="2:63">
      <c r="C116" s="98">
        <f>RR!C23</f>
        <v>1</v>
      </c>
      <c r="D116" s="98" t="str">
        <f>RR!E23</f>
        <v>1 - 1</v>
      </c>
      <c r="F116" s="93" t="str">
        <f>INDEX(RR!K:K,MATCH(D116,RR!E:E,0))</f>
        <v>backup</v>
      </c>
      <c r="H116" s="72" t="s">
        <v>393</v>
      </c>
      <c r="J116" s="1324">
        <f>INDEX(AA!E:E,MATCH($C116,AA!C:C,0))</f>
        <v>1</v>
      </c>
      <c r="K116" s="1324">
        <f>INDEX(TA!$G:$G,MATCH($D116,TA!$D:$D,0))</f>
        <v>1</v>
      </c>
      <c r="M116" s="1324">
        <f>IF(INDEX(TA!$BP$15:$BP$17,MATCH($D116,TA!$D$15:$D$17,0))="re-leasing",INDEX(TA!$BT$15:$BT$17,MATCH($D116,TA!$D$15:$D$17,0)),0)</f>
        <v>0</v>
      </c>
      <c r="N116" s="1324">
        <f>INDEX(TA!$BW$15:$BW$17,MATCH($D116,TA!$D$15:$D$17,0))</f>
        <v>0</v>
      </c>
      <c r="O116" s="1324">
        <f>INDEX(TA!$BZ$15:$BZ$17,MATCH($D116,TA!$D$15:$D$17,0))</f>
        <v>0</v>
      </c>
      <c r="T116" s="231">
        <f>-IFERROR($M116/$O116*(T$5&gt;$N116)*(T$5&lt;=$N116+$O116),0)</f>
        <v>0</v>
      </c>
      <c r="U116" s="231">
        <f t="shared" ref="U116:BG117" si="58">-IFERROR($M116/$O116*(U$5&gt;$N116)*(U$5&lt;=$N116+$O116),0)</f>
        <v>0</v>
      </c>
      <c r="V116" s="231">
        <f t="shared" si="58"/>
        <v>0</v>
      </c>
      <c r="W116" s="231">
        <f t="shared" si="58"/>
        <v>0</v>
      </c>
      <c r="X116" s="231">
        <f t="shared" si="58"/>
        <v>0</v>
      </c>
      <c r="Y116" s="231">
        <f t="shared" si="58"/>
        <v>0</v>
      </c>
      <c r="Z116" s="231">
        <f t="shared" si="58"/>
        <v>0</v>
      </c>
      <c r="AA116" s="231">
        <f t="shared" si="58"/>
        <v>0</v>
      </c>
      <c r="AB116" s="231">
        <f t="shared" si="58"/>
        <v>0</v>
      </c>
      <c r="AC116" s="231">
        <f t="shared" si="58"/>
        <v>0</v>
      </c>
      <c r="AD116" s="231">
        <f t="shared" si="58"/>
        <v>0</v>
      </c>
      <c r="AE116" s="231">
        <f t="shared" si="58"/>
        <v>0</v>
      </c>
      <c r="AF116" s="231">
        <f t="shared" si="58"/>
        <v>0</v>
      </c>
      <c r="AG116" s="231">
        <f t="shared" si="58"/>
        <v>0</v>
      </c>
      <c r="AH116" s="231">
        <f t="shared" si="58"/>
        <v>0</v>
      </c>
      <c r="AI116" s="231">
        <f t="shared" si="58"/>
        <v>0</v>
      </c>
      <c r="AJ116" s="231">
        <f t="shared" si="58"/>
        <v>0</v>
      </c>
      <c r="AK116" s="231">
        <f t="shared" si="58"/>
        <v>0</v>
      </c>
      <c r="AL116" s="231">
        <f t="shared" si="58"/>
        <v>0</v>
      </c>
      <c r="AM116" s="231">
        <f t="shared" si="58"/>
        <v>0</v>
      </c>
      <c r="AN116" s="231">
        <f t="shared" si="58"/>
        <v>0</v>
      </c>
      <c r="AO116" s="231">
        <f t="shared" si="58"/>
        <v>0</v>
      </c>
      <c r="AP116" s="231">
        <f t="shared" si="58"/>
        <v>0</v>
      </c>
      <c r="AQ116" s="231">
        <f t="shared" si="58"/>
        <v>0</v>
      </c>
      <c r="AR116" s="231">
        <f t="shared" si="58"/>
        <v>0</v>
      </c>
      <c r="AS116" s="231">
        <f t="shared" si="58"/>
        <v>0</v>
      </c>
      <c r="AT116" s="231">
        <f t="shared" si="58"/>
        <v>0</v>
      </c>
      <c r="AU116" s="231">
        <f t="shared" si="58"/>
        <v>0</v>
      </c>
      <c r="AV116" s="231">
        <f t="shared" si="58"/>
        <v>0</v>
      </c>
      <c r="AW116" s="231">
        <f t="shared" si="58"/>
        <v>0</v>
      </c>
      <c r="AX116" s="231">
        <f t="shared" si="58"/>
        <v>0</v>
      </c>
      <c r="AY116" s="231">
        <f t="shared" si="58"/>
        <v>0</v>
      </c>
      <c r="AZ116" s="231">
        <f t="shared" si="58"/>
        <v>0</v>
      </c>
      <c r="BA116" s="231">
        <f t="shared" si="58"/>
        <v>0</v>
      </c>
      <c r="BB116" s="231">
        <f t="shared" si="58"/>
        <v>0</v>
      </c>
      <c r="BC116" s="231">
        <f t="shared" si="58"/>
        <v>0</v>
      </c>
      <c r="BD116" s="231">
        <f t="shared" si="58"/>
        <v>0</v>
      </c>
      <c r="BE116" s="231">
        <f t="shared" si="58"/>
        <v>0</v>
      </c>
      <c r="BF116" s="231">
        <f t="shared" si="58"/>
        <v>0</v>
      </c>
      <c r="BG116" s="231">
        <f t="shared" si="58"/>
        <v>0</v>
      </c>
      <c r="BI116" s="295">
        <f>SUM(T116:BG116)</f>
        <v>0</v>
      </c>
      <c r="BK116" s="103"/>
    </row>
    <row r="117" spans="2:63">
      <c r="C117" s="99">
        <f>RR!C24</f>
        <v>2</v>
      </c>
      <c r="D117" s="99" t="str">
        <f>RR!E24</f>
        <v>2 - 1</v>
      </c>
      <c r="F117" s="94" t="str">
        <f>INDEX(RR!K:K,MATCH(D117,RR!E:E,0))</f>
        <v>backup</v>
      </c>
      <c r="H117" s="73" t="s">
        <v>393</v>
      </c>
      <c r="J117" s="1325">
        <f>INDEX(AA!E:E,MATCH($C117,AA!C:C,0))</f>
        <v>1</v>
      </c>
      <c r="K117" s="1325">
        <f>INDEX(TA!$G:$G,MATCH($D117,TA!$D:$D,0))</f>
        <v>1</v>
      </c>
      <c r="M117" s="1325">
        <f>IF(INDEX(TA!$BP$15:$BP$17,MATCH($D117,TA!$D$15:$D$17,0))="re-leasing",INDEX(TA!$BT$15:$BT$17,MATCH($D117,TA!$D$15:$D$17,0)),0)</f>
        <v>0</v>
      </c>
      <c r="N117" s="1325">
        <f>INDEX(TA!$BW$15:$BW$17,MATCH($D117,TA!$D$15:$D$17,0))</f>
        <v>0</v>
      </c>
      <c r="O117" s="1325">
        <f>INDEX(TA!$BZ$15:$BZ$17,MATCH($D117,TA!$D$15:$D$17,0))</f>
        <v>0</v>
      </c>
      <c r="T117" s="231">
        <f t="shared" ref="T117:AI117" si="59">-IFERROR($M117/$O117*(T$5&gt;$N117)*(T$5&lt;=$N117+$O117),0)</f>
        <v>0</v>
      </c>
      <c r="U117" s="231">
        <f t="shared" si="59"/>
        <v>0</v>
      </c>
      <c r="V117" s="231">
        <f t="shared" si="59"/>
        <v>0</v>
      </c>
      <c r="W117" s="231">
        <f t="shared" si="59"/>
        <v>0</v>
      </c>
      <c r="X117" s="231">
        <f t="shared" si="59"/>
        <v>0</v>
      </c>
      <c r="Y117" s="231">
        <f t="shared" si="59"/>
        <v>0</v>
      </c>
      <c r="Z117" s="231">
        <f t="shared" si="59"/>
        <v>0</v>
      </c>
      <c r="AA117" s="231">
        <f t="shared" si="59"/>
        <v>0</v>
      </c>
      <c r="AB117" s="231">
        <f t="shared" si="59"/>
        <v>0</v>
      </c>
      <c r="AC117" s="231">
        <f t="shared" si="59"/>
        <v>0</v>
      </c>
      <c r="AD117" s="231">
        <f t="shared" si="59"/>
        <v>0</v>
      </c>
      <c r="AE117" s="231">
        <f t="shared" si="59"/>
        <v>0</v>
      </c>
      <c r="AF117" s="231">
        <f t="shared" si="59"/>
        <v>0</v>
      </c>
      <c r="AG117" s="231">
        <f t="shared" si="59"/>
        <v>0</v>
      </c>
      <c r="AH117" s="231">
        <f t="shared" si="59"/>
        <v>0</v>
      </c>
      <c r="AI117" s="231">
        <f t="shared" si="59"/>
        <v>0</v>
      </c>
      <c r="AJ117" s="231">
        <f t="shared" si="58"/>
        <v>0</v>
      </c>
      <c r="AK117" s="231">
        <f t="shared" si="58"/>
        <v>0</v>
      </c>
      <c r="AL117" s="231">
        <f t="shared" si="58"/>
        <v>0</v>
      </c>
      <c r="AM117" s="231">
        <f t="shared" si="58"/>
        <v>0</v>
      </c>
      <c r="AN117" s="231">
        <f t="shared" si="58"/>
        <v>0</v>
      </c>
      <c r="AO117" s="231">
        <f t="shared" si="58"/>
        <v>0</v>
      </c>
      <c r="AP117" s="231">
        <f t="shared" si="58"/>
        <v>0</v>
      </c>
      <c r="AQ117" s="231">
        <f t="shared" si="58"/>
        <v>0</v>
      </c>
      <c r="AR117" s="231">
        <f t="shared" si="58"/>
        <v>0</v>
      </c>
      <c r="AS117" s="231">
        <f t="shared" si="58"/>
        <v>0</v>
      </c>
      <c r="AT117" s="231">
        <f t="shared" si="58"/>
        <v>0</v>
      </c>
      <c r="AU117" s="231">
        <f t="shared" si="58"/>
        <v>0</v>
      </c>
      <c r="AV117" s="231">
        <f t="shared" si="58"/>
        <v>0</v>
      </c>
      <c r="AW117" s="231">
        <f t="shared" si="58"/>
        <v>0</v>
      </c>
      <c r="AX117" s="231">
        <f t="shared" si="58"/>
        <v>0</v>
      </c>
      <c r="AY117" s="231">
        <f t="shared" si="58"/>
        <v>0</v>
      </c>
      <c r="AZ117" s="231">
        <f t="shared" si="58"/>
        <v>0</v>
      </c>
      <c r="BA117" s="231">
        <f t="shared" si="58"/>
        <v>0</v>
      </c>
      <c r="BB117" s="231">
        <f t="shared" si="58"/>
        <v>0</v>
      </c>
      <c r="BC117" s="231">
        <f t="shared" si="58"/>
        <v>0</v>
      </c>
      <c r="BD117" s="231">
        <f t="shared" si="58"/>
        <v>0</v>
      </c>
      <c r="BE117" s="231">
        <f t="shared" si="58"/>
        <v>0</v>
      </c>
      <c r="BF117" s="231">
        <f t="shared" si="58"/>
        <v>0</v>
      </c>
      <c r="BG117" s="231">
        <f t="shared" si="58"/>
        <v>0</v>
      </c>
      <c r="BI117" s="296">
        <f t="shared" ref="BI117" si="60">SUM(T117:BG117)</f>
        <v>0</v>
      </c>
      <c r="BK117" s="103"/>
    </row>
    <row r="118" spans="2:63">
      <c r="C118" s="99">
        <f>RR!C25</f>
        <v>3</v>
      </c>
      <c r="D118" s="99" t="str">
        <f>RR!E25</f>
        <v>3 - 1</v>
      </c>
      <c r="F118" s="94" t="str">
        <f>INDEX(RR!K:K,MATCH(D118,RR!E:E,0))</f>
        <v>backup</v>
      </c>
      <c r="H118" s="73" t="s">
        <v>393</v>
      </c>
      <c r="J118" s="1325">
        <f>INDEX(AA!E:E,MATCH($C118,AA!C:C,0))</f>
        <v>1</v>
      </c>
      <c r="K118" s="1325">
        <f>INDEX(TA!$G:$G,MATCH($D118,TA!$D:$D,0))</f>
        <v>1</v>
      </c>
      <c r="M118" s="1325">
        <f>IF(INDEX(TA!$BP$15:$BP$17,MATCH($D118,TA!$D$15:$D$17,0))="re-leasing",INDEX(TA!$BT$15:$BT$17,MATCH($D118,TA!$D$15:$D$17,0)),0)</f>
        <v>0</v>
      </c>
      <c r="N118" s="1325">
        <f>INDEX(TA!$BW$15:$BW$17,MATCH($D118,TA!$D$15:$D$17,0))</f>
        <v>0</v>
      </c>
      <c r="O118" s="1325">
        <f>INDEX(TA!$BZ$15:$BZ$17,MATCH($D118,TA!$D$15:$D$17,0))</f>
        <v>0</v>
      </c>
      <c r="T118" s="231">
        <f t="shared" ref="T118:AI118" si="61">-IFERROR($M118/$O118*(T$5&gt;$N118)*(T$5&lt;=$N118+$O118),0)</f>
        <v>0</v>
      </c>
      <c r="U118" s="231">
        <f t="shared" si="61"/>
        <v>0</v>
      </c>
      <c r="V118" s="231">
        <f t="shared" si="61"/>
        <v>0</v>
      </c>
      <c r="W118" s="231">
        <f t="shared" si="61"/>
        <v>0</v>
      </c>
      <c r="X118" s="231">
        <f t="shared" si="61"/>
        <v>0</v>
      </c>
      <c r="Y118" s="231">
        <f t="shared" si="61"/>
        <v>0</v>
      </c>
      <c r="Z118" s="231">
        <f t="shared" si="61"/>
        <v>0</v>
      </c>
      <c r="AA118" s="231">
        <f t="shared" si="61"/>
        <v>0</v>
      </c>
      <c r="AB118" s="231">
        <f t="shared" si="61"/>
        <v>0</v>
      </c>
      <c r="AC118" s="231">
        <f t="shared" si="61"/>
        <v>0</v>
      </c>
      <c r="AD118" s="231">
        <f t="shared" si="61"/>
        <v>0</v>
      </c>
      <c r="AE118" s="231">
        <f t="shared" si="61"/>
        <v>0</v>
      </c>
      <c r="AF118" s="231">
        <f t="shared" si="61"/>
        <v>0</v>
      </c>
      <c r="AG118" s="231">
        <f t="shared" si="61"/>
        <v>0</v>
      </c>
      <c r="AH118" s="231">
        <f t="shared" si="61"/>
        <v>0</v>
      </c>
      <c r="AI118" s="231">
        <f t="shared" si="61"/>
        <v>0</v>
      </c>
      <c r="AJ118" s="231">
        <f t="shared" ref="AJ118:AY118" si="62">-IFERROR($M118/$O118*(AJ$5&gt;$N118)*(AJ$5&lt;=$N118+$O118),0)</f>
        <v>0</v>
      </c>
      <c r="AK118" s="231">
        <f t="shared" si="62"/>
        <v>0</v>
      </c>
      <c r="AL118" s="231">
        <f t="shared" si="62"/>
        <v>0</v>
      </c>
      <c r="AM118" s="231">
        <f t="shared" si="62"/>
        <v>0</v>
      </c>
      <c r="AN118" s="231">
        <f t="shared" si="62"/>
        <v>0</v>
      </c>
      <c r="AO118" s="231">
        <f t="shared" si="62"/>
        <v>0</v>
      </c>
      <c r="AP118" s="231">
        <f t="shared" si="62"/>
        <v>0</v>
      </c>
      <c r="AQ118" s="231">
        <f t="shared" si="62"/>
        <v>0</v>
      </c>
      <c r="AR118" s="231">
        <f t="shared" si="62"/>
        <v>0</v>
      </c>
      <c r="AS118" s="231">
        <f t="shared" si="62"/>
        <v>0</v>
      </c>
      <c r="AT118" s="231">
        <f t="shared" si="62"/>
        <v>0</v>
      </c>
      <c r="AU118" s="231">
        <f t="shared" si="62"/>
        <v>0</v>
      </c>
      <c r="AV118" s="231">
        <f t="shared" si="62"/>
        <v>0</v>
      </c>
      <c r="AW118" s="231">
        <f t="shared" si="62"/>
        <v>0</v>
      </c>
      <c r="AX118" s="231">
        <f t="shared" si="62"/>
        <v>0</v>
      </c>
      <c r="AY118" s="231">
        <f t="shared" si="62"/>
        <v>0</v>
      </c>
      <c r="AZ118" s="231">
        <f t="shared" ref="AZ118:BG118" si="63">-IFERROR($M118/$O118*(AZ$5&gt;$N118)*(AZ$5&lt;=$N118+$O118),0)</f>
        <v>0</v>
      </c>
      <c r="BA118" s="231">
        <f t="shared" si="63"/>
        <v>0</v>
      </c>
      <c r="BB118" s="231">
        <f t="shared" si="63"/>
        <v>0</v>
      </c>
      <c r="BC118" s="231">
        <f t="shared" si="63"/>
        <v>0</v>
      </c>
      <c r="BD118" s="231">
        <f t="shared" si="63"/>
        <v>0</v>
      </c>
      <c r="BE118" s="231">
        <f t="shared" si="63"/>
        <v>0</v>
      </c>
      <c r="BF118" s="231">
        <f t="shared" si="63"/>
        <v>0</v>
      </c>
      <c r="BG118" s="231">
        <f t="shared" si="63"/>
        <v>0</v>
      </c>
      <c r="BI118" s="296">
        <f t="shared" ref="BI118" si="64">SUM(T118:BG118)</f>
        <v>0</v>
      </c>
      <c r="BK118" s="103"/>
    </row>
    <row r="119" spans="2:63">
      <c r="C119" s="269"/>
      <c r="D119" s="269"/>
      <c r="F119" s="269"/>
      <c r="H119" s="269"/>
      <c r="J119" s="269"/>
      <c r="K119" s="269"/>
      <c r="M119" s="269"/>
      <c r="N119" s="269"/>
      <c r="O119" s="269"/>
      <c r="BI119" s="269"/>
      <c r="BK119" s="269"/>
    </row>
    <row r="122" spans="2:63" s="90" customFormat="1">
      <c r="B122" s="91">
        <f ca="1">MAX(A$1:$B121)+1</f>
        <v>14</v>
      </c>
      <c r="C122" s="92" t="s">
        <v>373</v>
      </c>
    </row>
    <row r="124" spans="2:63">
      <c r="M124" s="226" t="s">
        <v>374</v>
      </c>
      <c r="N124" s="225"/>
    </row>
    <row r="125" spans="2:63" ht="30">
      <c r="C125" s="96" t="s">
        <v>4</v>
      </c>
      <c r="D125" s="97" t="s">
        <v>148</v>
      </c>
      <c r="E125" s="95"/>
      <c r="F125" s="97" t="s">
        <v>149</v>
      </c>
      <c r="G125" s="95"/>
      <c r="H125" s="97" t="s">
        <v>150</v>
      </c>
      <c r="J125" s="97" t="s">
        <v>272</v>
      </c>
      <c r="K125" s="97" t="s">
        <v>273</v>
      </c>
      <c r="M125" s="101" t="s">
        <v>375</v>
      </c>
      <c r="N125" s="101" t="s">
        <v>376</v>
      </c>
      <c r="BI125" s="239" t="s">
        <v>152</v>
      </c>
      <c r="BK125" s="102"/>
    </row>
    <row r="126" spans="2:63">
      <c r="C126" s="98">
        <f>RR!C23</f>
        <v>1</v>
      </c>
      <c r="D126" s="98" t="str">
        <f>RR!E23</f>
        <v>1 - 1</v>
      </c>
      <c r="F126" s="93" t="str">
        <f>INDEX(RR!K:K,MATCH(D126,RR!E:E,0))</f>
        <v>backup</v>
      </c>
      <c r="H126" s="72" t="s">
        <v>379</v>
      </c>
      <c r="J126" s="1324">
        <f>INDEX(AA!E:E,MATCH($C126,AA!C:C,0))</f>
        <v>1</v>
      </c>
      <c r="K126" s="1324">
        <f>INDEX(TA!$G:$G,MATCH($D126,TA!$D:$D,0))</f>
        <v>1</v>
      </c>
      <c r="M126" s="286">
        <f>INDEX(TA!$DT$15:$DT$17,MATCH($D126,TA!$D$15:$D$17,0))</f>
        <v>51136</v>
      </c>
      <c r="N126" s="1324">
        <f>INDEX(TA!$EX$15:$EX$17,MATCH($D126,TA!$D$15:$D$17,0))</f>
        <v>0</v>
      </c>
      <c r="T126" s="231">
        <f>-$N126*($M126&lt;=S$4)*($M126&gt;=S$3)</f>
        <v>0</v>
      </c>
      <c r="U126" s="231">
        <f t="shared" ref="U126:BG126" si="65">-$N126*($M126&lt;=T$4)*($M126&gt;=T$3)</f>
        <v>0</v>
      </c>
      <c r="V126" s="231">
        <f t="shared" si="65"/>
        <v>0</v>
      </c>
      <c r="W126" s="231">
        <f t="shared" si="65"/>
        <v>0</v>
      </c>
      <c r="X126" s="231">
        <f t="shared" si="65"/>
        <v>0</v>
      </c>
      <c r="Y126" s="231">
        <f t="shared" si="65"/>
        <v>0</v>
      </c>
      <c r="Z126" s="231">
        <f t="shared" si="65"/>
        <v>0</v>
      </c>
      <c r="AA126" s="231">
        <f t="shared" si="65"/>
        <v>0</v>
      </c>
      <c r="AB126" s="231">
        <f t="shared" si="65"/>
        <v>0</v>
      </c>
      <c r="AC126" s="231">
        <f t="shared" si="65"/>
        <v>0</v>
      </c>
      <c r="AD126" s="231">
        <f t="shared" si="65"/>
        <v>0</v>
      </c>
      <c r="AE126" s="231">
        <f t="shared" si="65"/>
        <v>0</v>
      </c>
      <c r="AF126" s="231">
        <f t="shared" si="65"/>
        <v>0</v>
      </c>
      <c r="AG126" s="231">
        <f t="shared" si="65"/>
        <v>0</v>
      </c>
      <c r="AH126" s="231">
        <f t="shared" si="65"/>
        <v>0</v>
      </c>
      <c r="AI126" s="231">
        <f t="shared" si="65"/>
        <v>0</v>
      </c>
      <c r="AJ126" s="231">
        <f t="shared" si="65"/>
        <v>0</v>
      </c>
      <c r="AK126" s="231">
        <f t="shared" si="65"/>
        <v>0</v>
      </c>
      <c r="AL126" s="231">
        <f t="shared" si="65"/>
        <v>0</v>
      </c>
      <c r="AM126" s="231">
        <f t="shared" si="65"/>
        <v>0</v>
      </c>
      <c r="AN126" s="231">
        <f t="shared" si="65"/>
        <v>0</v>
      </c>
      <c r="AO126" s="231">
        <f t="shared" si="65"/>
        <v>0</v>
      </c>
      <c r="AP126" s="231">
        <f t="shared" si="65"/>
        <v>0</v>
      </c>
      <c r="AQ126" s="231">
        <f t="shared" si="65"/>
        <v>0</v>
      </c>
      <c r="AR126" s="231">
        <f t="shared" si="65"/>
        <v>0</v>
      </c>
      <c r="AS126" s="231">
        <f t="shared" si="65"/>
        <v>0</v>
      </c>
      <c r="AT126" s="231">
        <f t="shared" si="65"/>
        <v>0</v>
      </c>
      <c r="AU126" s="231">
        <f t="shared" si="65"/>
        <v>0</v>
      </c>
      <c r="AV126" s="231">
        <f t="shared" si="65"/>
        <v>0</v>
      </c>
      <c r="AW126" s="231">
        <f t="shared" si="65"/>
        <v>0</v>
      </c>
      <c r="AX126" s="231">
        <f t="shared" si="65"/>
        <v>0</v>
      </c>
      <c r="AY126" s="231">
        <f t="shared" si="65"/>
        <v>0</v>
      </c>
      <c r="AZ126" s="231">
        <f t="shared" si="65"/>
        <v>0</v>
      </c>
      <c r="BA126" s="231">
        <f t="shared" si="65"/>
        <v>0</v>
      </c>
      <c r="BB126" s="231">
        <f t="shared" si="65"/>
        <v>0</v>
      </c>
      <c r="BC126" s="231">
        <f t="shared" si="65"/>
        <v>0</v>
      </c>
      <c r="BD126" s="231">
        <f t="shared" si="65"/>
        <v>0</v>
      </c>
      <c r="BE126" s="231">
        <f t="shared" si="65"/>
        <v>0</v>
      </c>
      <c r="BF126" s="231">
        <f t="shared" si="65"/>
        <v>0</v>
      </c>
      <c r="BG126" s="231">
        <f t="shared" si="65"/>
        <v>0</v>
      </c>
      <c r="BI126" s="295">
        <f>SUM(T126:BG126)</f>
        <v>0</v>
      </c>
      <c r="BK126" s="103"/>
    </row>
    <row r="127" spans="2:63">
      <c r="C127" s="99">
        <f>RR!C24</f>
        <v>2</v>
      </c>
      <c r="D127" s="99" t="str">
        <f>RR!E24</f>
        <v>2 - 1</v>
      </c>
      <c r="F127" s="94" t="str">
        <f>INDEX(RR!K:K,MATCH(D127,RR!E:E,0))</f>
        <v>backup</v>
      </c>
      <c r="H127" s="73" t="s">
        <v>379</v>
      </c>
      <c r="J127" s="1325">
        <f>INDEX(AA!E:E,MATCH($C127,AA!C:C,0))</f>
        <v>1</v>
      </c>
      <c r="K127" s="1325">
        <f>INDEX(TA!$G:$G,MATCH($D127,TA!$D:$D,0))</f>
        <v>1</v>
      </c>
      <c r="M127" s="288">
        <f>INDEX(TA!$DT$15:$DT$17,MATCH($D127,TA!$D$15:$D$17,0))</f>
        <v>51136</v>
      </c>
      <c r="N127" s="1325">
        <f>INDEX(TA!$EX$15:$EX$17,MATCH($D127,TA!$D$15:$D$17,0))</f>
        <v>0</v>
      </c>
      <c r="T127" s="231">
        <f t="shared" ref="T127:BG127" si="66">-$N127*($M127&lt;=S$4)*($M127&gt;=S$3)</f>
        <v>0</v>
      </c>
      <c r="U127" s="231">
        <f t="shared" si="66"/>
        <v>0</v>
      </c>
      <c r="V127" s="231">
        <f t="shared" si="66"/>
        <v>0</v>
      </c>
      <c r="W127" s="231">
        <f t="shared" si="66"/>
        <v>0</v>
      </c>
      <c r="X127" s="231">
        <f t="shared" si="66"/>
        <v>0</v>
      </c>
      <c r="Y127" s="231">
        <f t="shared" si="66"/>
        <v>0</v>
      </c>
      <c r="Z127" s="231">
        <f t="shared" si="66"/>
        <v>0</v>
      </c>
      <c r="AA127" s="231">
        <f t="shared" si="66"/>
        <v>0</v>
      </c>
      <c r="AB127" s="231">
        <f t="shared" si="66"/>
        <v>0</v>
      </c>
      <c r="AC127" s="231">
        <f t="shared" si="66"/>
        <v>0</v>
      </c>
      <c r="AD127" s="231">
        <f t="shared" si="66"/>
        <v>0</v>
      </c>
      <c r="AE127" s="231">
        <f t="shared" si="66"/>
        <v>0</v>
      </c>
      <c r="AF127" s="231">
        <f t="shared" si="66"/>
        <v>0</v>
      </c>
      <c r="AG127" s="231">
        <f t="shared" si="66"/>
        <v>0</v>
      </c>
      <c r="AH127" s="231">
        <f t="shared" si="66"/>
        <v>0</v>
      </c>
      <c r="AI127" s="231">
        <f t="shared" si="66"/>
        <v>0</v>
      </c>
      <c r="AJ127" s="231">
        <f t="shared" si="66"/>
        <v>0</v>
      </c>
      <c r="AK127" s="231">
        <f t="shared" si="66"/>
        <v>0</v>
      </c>
      <c r="AL127" s="231">
        <f t="shared" si="66"/>
        <v>0</v>
      </c>
      <c r="AM127" s="231">
        <f t="shared" si="66"/>
        <v>0</v>
      </c>
      <c r="AN127" s="231">
        <f t="shared" si="66"/>
        <v>0</v>
      </c>
      <c r="AO127" s="231">
        <f t="shared" si="66"/>
        <v>0</v>
      </c>
      <c r="AP127" s="231">
        <f t="shared" si="66"/>
        <v>0</v>
      </c>
      <c r="AQ127" s="231">
        <f t="shared" si="66"/>
        <v>0</v>
      </c>
      <c r="AR127" s="231">
        <f t="shared" si="66"/>
        <v>0</v>
      </c>
      <c r="AS127" s="231">
        <f t="shared" si="66"/>
        <v>0</v>
      </c>
      <c r="AT127" s="231">
        <f t="shared" si="66"/>
        <v>0</v>
      </c>
      <c r="AU127" s="231">
        <f t="shared" si="66"/>
        <v>0</v>
      </c>
      <c r="AV127" s="231">
        <f t="shared" si="66"/>
        <v>0</v>
      </c>
      <c r="AW127" s="231">
        <f t="shared" si="66"/>
        <v>0</v>
      </c>
      <c r="AX127" s="231">
        <f t="shared" si="66"/>
        <v>0</v>
      </c>
      <c r="AY127" s="231">
        <f t="shared" si="66"/>
        <v>0</v>
      </c>
      <c r="AZ127" s="231">
        <f t="shared" si="66"/>
        <v>0</v>
      </c>
      <c r="BA127" s="231">
        <f t="shared" si="66"/>
        <v>0</v>
      </c>
      <c r="BB127" s="231">
        <f t="shared" si="66"/>
        <v>0</v>
      </c>
      <c r="BC127" s="231">
        <f t="shared" si="66"/>
        <v>0</v>
      </c>
      <c r="BD127" s="231">
        <f t="shared" si="66"/>
        <v>0</v>
      </c>
      <c r="BE127" s="231">
        <f t="shared" si="66"/>
        <v>0</v>
      </c>
      <c r="BF127" s="231">
        <f t="shared" si="66"/>
        <v>0</v>
      </c>
      <c r="BG127" s="231">
        <f t="shared" si="66"/>
        <v>0</v>
      </c>
      <c r="BI127" s="296">
        <f t="shared" ref="BI127" si="67">SUM(T127:BG127)</f>
        <v>0</v>
      </c>
      <c r="BK127" s="103"/>
    </row>
    <row r="128" spans="2:63">
      <c r="C128" s="99">
        <f>RR!C25</f>
        <v>3</v>
      </c>
      <c r="D128" s="99" t="str">
        <f>RR!E25</f>
        <v>3 - 1</v>
      </c>
      <c r="F128" s="94" t="str">
        <f>INDEX(RR!K:K,MATCH(D128,RR!E:E,0))</f>
        <v>backup</v>
      </c>
      <c r="H128" s="73" t="s">
        <v>379</v>
      </c>
      <c r="J128" s="1325">
        <f>INDEX(AA!E:E,MATCH($C128,AA!C:C,0))</f>
        <v>1</v>
      </c>
      <c r="K128" s="1325">
        <f>INDEX(TA!$G:$G,MATCH($D128,TA!$D:$D,0))</f>
        <v>1</v>
      </c>
      <c r="M128" s="288">
        <f>INDEX(TA!$DT$15:$DT$17,MATCH($D128,TA!$D$15:$D$17,0))</f>
        <v>51136</v>
      </c>
      <c r="N128" s="1325">
        <f>INDEX(TA!$EX$15:$EX$17,MATCH($D128,TA!$D$15:$D$17,0))</f>
        <v>0</v>
      </c>
      <c r="T128" s="231">
        <f t="shared" ref="T128:AI128" si="68">-$N128*($M128&lt;=S$4)*($M128&gt;=S$3)</f>
        <v>0</v>
      </c>
      <c r="U128" s="231">
        <f t="shared" si="68"/>
        <v>0</v>
      </c>
      <c r="V128" s="231">
        <f t="shared" si="68"/>
        <v>0</v>
      </c>
      <c r="W128" s="231">
        <f t="shared" si="68"/>
        <v>0</v>
      </c>
      <c r="X128" s="231">
        <f t="shared" si="68"/>
        <v>0</v>
      </c>
      <c r="Y128" s="231">
        <f t="shared" si="68"/>
        <v>0</v>
      </c>
      <c r="Z128" s="231">
        <f t="shared" si="68"/>
        <v>0</v>
      </c>
      <c r="AA128" s="231">
        <f t="shared" si="68"/>
        <v>0</v>
      </c>
      <c r="AB128" s="231">
        <f t="shared" si="68"/>
        <v>0</v>
      </c>
      <c r="AC128" s="231">
        <f t="shared" si="68"/>
        <v>0</v>
      </c>
      <c r="AD128" s="231">
        <f t="shared" si="68"/>
        <v>0</v>
      </c>
      <c r="AE128" s="231">
        <f t="shared" si="68"/>
        <v>0</v>
      </c>
      <c r="AF128" s="231">
        <f t="shared" si="68"/>
        <v>0</v>
      </c>
      <c r="AG128" s="231">
        <f t="shared" si="68"/>
        <v>0</v>
      </c>
      <c r="AH128" s="231">
        <f t="shared" si="68"/>
        <v>0</v>
      </c>
      <c r="AI128" s="231">
        <f t="shared" si="68"/>
        <v>0</v>
      </c>
      <c r="AJ128" s="231">
        <f t="shared" ref="AJ128:AY128" si="69">-$N128*($M128&lt;=AI$4)*($M128&gt;=AI$3)</f>
        <v>0</v>
      </c>
      <c r="AK128" s="231">
        <f t="shared" si="69"/>
        <v>0</v>
      </c>
      <c r="AL128" s="231">
        <f t="shared" si="69"/>
        <v>0</v>
      </c>
      <c r="AM128" s="231">
        <f t="shared" si="69"/>
        <v>0</v>
      </c>
      <c r="AN128" s="231">
        <f t="shared" si="69"/>
        <v>0</v>
      </c>
      <c r="AO128" s="231">
        <f t="shared" si="69"/>
        <v>0</v>
      </c>
      <c r="AP128" s="231">
        <f t="shared" si="69"/>
        <v>0</v>
      </c>
      <c r="AQ128" s="231">
        <f t="shared" si="69"/>
        <v>0</v>
      </c>
      <c r="AR128" s="231">
        <f t="shared" si="69"/>
        <v>0</v>
      </c>
      <c r="AS128" s="231">
        <f t="shared" si="69"/>
        <v>0</v>
      </c>
      <c r="AT128" s="231">
        <f t="shared" si="69"/>
        <v>0</v>
      </c>
      <c r="AU128" s="231">
        <f t="shared" si="69"/>
        <v>0</v>
      </c>
      <c r="AV128" s="231">
        <f t="shared" si="69"/>
        <v>0</v>
      </c>
      <c r="AW128" s="231">
        <f t="shared" si="69"/>
        <v>0</v>
      </c>
      <c r="AX128" s="231">
        <f t="shared" si="69"/>
        <v>0</v>
      </c>
      <c r="AY128" s="231">
        <f t="shared" si="69"/>
        <v>0</v>
      </c>
      <c r="AZ128" s="231">
        <f t="shared" ref="AZ128:BG128" si="70">-$N128*($M128&lt;=AY$4)*($M128&gt;=AY$3)</f>
        <v>0</v>
      </c>
      <c r="BA128" s="231">
        <f t="shared" si="70"/>
        <v>0</v>
      </c>
      <c r="BB128" s="231">
        <f t="shared" si="70"/>
        <v>0</v>
      </c>
      <c r="BC128" s="231">
        <f t="shared" si="70"/>
        <v>0</v>
      </c>
      <c r="BD128" s="231">
        <f t="shared" si="70"/>
        <v>0</v>
      </c>
      <c r="BE128" s="231">
        <f t="shared" si="70"/>
        <v>0</v>
      </c>
      <c r="BF128" s="231">
        <f t="shared" si="70"/>
        <v>0</v>
      </c>
      <c r="BG128" s="231">
        <f t="shared" si="70"/>
        <v>0</v>
      </c>
      <c r="BI128" s="296">
        <f t="shared" ref="BI128" si="71">SUM(T128:BG128)</f>
        <v>0</v>
      </c>
      <c r="BK128" s="103"/>
    </row>
    <row r="129" spans="2:63">
      <c r="C129" s="269"/>
      <c r="D129" s="269"/>
      <c r="F129" s="269"/>
      <c r="H129" s="269"/>
      <c r="J129" s="269"/>
      <c r="K129" s="269"/>
      <c r="M129" s="269"/>
      <c r="N129" s="269"/>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c r="AP129" s="231"/>
      <c r="AQ129" s="231"/>
      <c r="AR129" s="231"/>
      <c r="AS129" s="231"/>
      <c r="AT129" s="231"/>
      <c r="AU129" s="231"/>
      <c r="AV129" s="231"/>
      <c r="AW129" s="231"/>
      <c r="AX129" s="231"/>
      <c r="AY129" s="231"/>
      <c r="AZ129" s="231"/>
      <c r="BA129" s="231"/>
      <c r="BB129" s="231"/>
      <c r="BC129" s="231"/>
      <c r="BD129" s="231"/>
      <c r="BE129" s="231"/>
      <c r="BF129" s="231"/>
      <c r="BG129" s="231"/>
      <c r="BI129" s="269"/>
      <c r="BK129" s="269"/>
    </row>
    <row r="130" spans="2:63">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c r="AP130" s="231"/>
      <c r="AQ130" s="231"/>
      <c r="AR130" s="231"/>
      <c r="AS130" s="231"/>
      <c r="AT130" s="231"/>
      <c r="AU130" s="231"/>
      <c r="AV130" s="231"/>
      <c r="AW130" s="231"/>
      <c r="AX130" s="231"/>
      <c r="AY130" s="231"/>
      <c r="AZ130" s="231"/>
      <c r="BA130" s="231"/>
      <c r="BB130" s="231"/>
      <c r="BC130" s="231"/>
      <c r="BD130" s="231"/>
      <c r="BE130" s="231"/>
      <c r="BF130" s="231"/>
      <c r="BG130" s="231"/>
    </row>
    <row r="131" spans="2:63" s="90" customFormat="1">
      <c r="B131" s="91">
        <f ca="1">MAX(A$1:$B130)+1</f>
        <v>15</v>
      </c>
      <c r="C131" s="92" t="s">
        <v>327</v>
      </c>
    </row>
    <row r="132" spans="2:63">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row>
    <row r="133" spans="2:63">
      <c r="F133" s="49" t="str">
        <f>H133</f>
        <v>FMCG-F</v>
      </c>
      <c r="H133" s="98" t="str">
        <f>GA!E76</f>
        <v>FMCG-F</v>
      </c>
      <c r="T133" s="231">
        <f t="shared" ref="T133:AC142" si="72">SUMIFS(T$74:T$76,$N$74:$N$76,$H133)</f>
        <v>0</v>
      </c>
      <c r="U133" s="231">
        <f t="shared" si="72"/>
        <v>0</v>
      </c>
      <c r="V133" s="231">
        <f t="shared" si="72"/>
        <v>0</v>
      </c>
      <c r="W133" s="231">
        <f t="shared" si="72"/>
        <v>0</v>
      </c>
      <c r="X133" s="231">
        <f t="shared" si="72"/>
        <v>0</v>
      </c>
      <c r="Y133" s="231">
        <f t="shared" si="72"/>
        <v>0</v>
      </c>
      <c r="Z133" s="231">
        <f t="shared" si="72"/>
        <v>0</v>
      </c>
      <c r="AA133" s="231">
        <f t="shared" si="72"/>
        <v>0</v>
      </c>
      <c r="AB133" s="231">
        <f t="shared" si="72"/>
        <v>0</v>
      </c>
      <c r="AC133" s="231">
        <f t="shared" si="72"/>
        <v>0</v>
      </c>
      <c r="AD133" s="231">
        <f t="shared" ref="AD133:AM142" si="73">SUMIFS(AD$74:AD$76,$N$74:$N$76,$H133)</f>
        <v>0</v>
      </c>
      <c r="AE133" s="231">
        <f t="shared" si="73"/>
        <v>0</v>
      </c>
      <c r="AF133" s="231">
        <f t="shared" si="73"/>
        <v>0</v>
      </c>
      <c r="AG133" s="231">
        <f t="shared" si="73"/>
        <v>0</v>
      </c>
      <c r="AH133" s="231">
        <f t="shared" si="73"/>
        <v>0</v>
      </c>
      <c r="AI133" s="231">
        <f t="shared" si="73"/>
        <v>0</v>
      </c>
      <c r="AJ133" s="231">
        <f t="shared" si="73"/>
        <v>0</v>
      </c>
      <c r="AK133" s="231">
        <f t="shared" si="73"/>
        <v>0</v>
      </c>
      <c r="AL133" s="231">
        <f t="shared" si="73"/>
        <v>0</v>
      </c>
      <c r="AM133" s="231">
        <f t="shared" si="73"/>
        <v>0</v>
      </c>
      <c r="AN133" s="231">
        <f t="shared" ref="AN133:AW142" si="74">SUMIFS(AN$74:AN$76,$N$74:$N$76,$H133)</f>
        <v>0</v>
      </c>
      <c r="AO133" s="231">
        <f t="shared" si="74"/>
        <v>0</v>
      </c>
      <c r="AP133" s="231">
        <f t="shared" si="74"/>
        <v>0</v>
      </c>
      <c r="AQ133" s="231">
        <f t="shared" si="74"/>
        <v>0</v>
      </c>
      <c r="AR133" s="231">
        <f t="shared" si="74"/>
        <v>0</v>
      </c>
      <c r="AS133" s="231">
        <f t="shared" si="74"/>
        <v>0</v>
      </c>
      <c r="AT133" s="231">
        <f t="shared" si="74"/>
        <v>0</v>
      </c>
      <c r="AU133" s="231">
        <f t="shared" si="74"/>
        <v>0</v>
      </c>
      <c r="AV133" s="231">
        <f t="shared" si="74"/>
        <v>0</v>
      </c>
      <c r="AW133" s="231">
        <f t="shared" si="74"/>
        <v>0</v>
      </c>
      <c r="AX133" s="231">
        <f t="shared" ref="AX133:BG142" si="75">SUMIFS(AX$74:AX$76,$N$74:$N$76,$H133)</f>
        <v>0</v>
      </c>
      <c r="AY133" s="231">
        <f t="shared" si="75"/>
        <v>0</v>
      </c>
      <c r="AZ133" s="231">
        <f t="shared" si="75"/>
        <v>0</v>
      </c>
      <c r="BA133" s="231">
        <f t="shared" si="75"/>
        <v>0</v>
      </c>
      <c r="BB133" s="231">
        <f t="shared" si="75"/>
        <v>0</v>
      </c>
      <c r="BC133" s="231">
        <f t="shared" si="75"/>
        <v>0</v>
      </c>
      <c r="BD133" s="231">
        <f t="shared" si="75"/>
        <v>0</v>
      </c>
      <c r="BE133" s="231">
        <f t="shared" si="75"/>
        <v>0</v>
      </c>
      <c r="BF133" s="231">
        <f t="shared" si="75"/>
        <v>0</v>
      </c>
      <c r="BG133" s="231">
        <f t="shared" si="75"/>
        <v>0</v>
      </c>
    </row>
    <row r="134" spans="2:63">
      <c r="F134" s="49" t="str">
        <f t="shared" ref="F134:F142" si="76">H134</f>
        <v>FMCG-N</v>
      </c>
      <c r="H134" s="99" t="str">
        <f>GA!E77</f>
        <v>FMCG-N</v>
      </c>
      <c r="T134" s="231">
        <f t="shared" si="72"/>
        <v>0</v>
      </c>
      <c r="U134" s="231">
        <f t="shared" si="72"/>
        <v>0</v>
      </c>
      <c r="V134" s="231">
        <f t="shared" si="72"/>
        <v>0</v>
      </c>
      <c r="W134" s="231">
        <f t="shared" si="72"/>
        <v>0</v>
      </c>
      <c r="X134" s="231">
        <f t="shared" si="72"/>
        <v>0</v>
      </c>
      <c r="Y134" s="231">
        <f t="shared" si="72"/>
        <v>0</v>
      </c>
      <c r="Z134" s="231">
        <f t="shared" si="72"/>
        <v>0</v>
      </c>
      <c r="AA134" s="231">
        <f t="shared" si="72"/>
        <v>0</v>
      </c>
      <c r="AB134" s="231">
        <f t="shared" si="72"/>
        <v>0</v>
      </c>
      <c r="AC134" s="231">
        <f t="shared" si="72"/>
        <v>0</v>
      </c>
      <c r="AD134" s="231">
        <f t="shared" si="73"/>
        <v>0</v>
      </c>
      <c r="AE134" s="231">
        <f t="shared" si="73"/>
        <v>0</v>
      </c>
      <c r="AF134" s="231">
        <f t="shared" si="73"/>
        <v>0</v>
      </c>
      <c r="AG134" s="231">
        <f t="shared" si="73"/>
        <v>0</v>
      </c>
      <c r="AH134" s="231">
        <f t="shared" si="73"/>
        <v>0</v>
      </c>
      <c r="AI134" s="231">
        <f t="shared" si="73"/>
        <v>0</v>
      </c>
      <c r="AJ134" s="231">
        <f t="shared" si="73"/>
        <v>0</v>
      </c>
      <c r="AK134" s="231">
        <f t="shared" si="73"/>
        <v>0</v>
      </c>
      <c r="AL134" s="231">
        <f t="shared" si="73"/>
        <v>0</v>
      </c>
      <c r="AM134" s="231">
        <f t="shared" si="73"/>
        <v>0</v>
      </c>
      <c r="AN134" s="231">
        <f t="shared" si="74"/>
        <v>0</v>
      </c>
      <c r="AO134" s="231">
        <f t="shared" si="74"/>
        <v>0</v>
      </c>
      <c r="AP134" s="231">
        <f t="shared" si="74"/>
        <v>0</v>
      </c>
      <c r="AQ134" s="231">
        <f t="shared" si="74"/>
        <v>0</v>
      </c>
      <c r="AR134" s="231">
        <f t="shared" si="74"/>
        <v>0</v>
      </c>
      <c r="AS134" s="231">
        <f t="shared" si="74"/>
        <v>0</v>
      </c>
      <c r="AT134" s="231">
        <f t="shared" si="74"/>
        <v>0</v>
      </c>
      <c r="AU134" s="231">
        <f t="shared" si="74"/>
        <v>0</v>
      </c>
      <c r="AV134" s="231">
        <f t="shared" si="74"/>
        <v>0</v>
      </c>
      <c r="AW134" s="231">
        <f t="shared" si="74"/>
        <v>0</v>
      </c>
      <c r="AX134" s="231">
        <f t="shared" si="75"/>
        <v>0</v>
      </c>
      <c r="AY134" s="231">
        <f t="shared" si="75"/>
        <v>0</v>
      </c>
      <c r="AZ134" s="231">
        <f t="shared" si="75"/>
        <v>0</v>
      </c>
      <c r="BA134" s="231">
        <f t="shared" si="75"/>
        <v>0</v>
      </c>
      <c r="BB134" s="231">
        <f t="shared" si="75"/>
        <v>0</v>
      </c>
      <c r="BC134" s="231">
        <f t="shared" si="75"/>
        <v>0</v>
      </c>
      <c r="BD134" s="231">
        <f t="shared" si="75"/>
        <v>0</v>
      </c>
      <c r="BE134" s="231">
        <f t="shared" si="75"/>
        <v>0</v>
      </c>
      <c r="BF134" s="231">
        <f t="shared" si="75"/>
        <v>0</v>
      </c>
      <c r="BG134" s="231">
        <f t="shared" si="75"/>
        <v>0</v>
      </c>
    </row>
    <row r="135" spans="2:63">
      <c r="F135" s="49" t="str">
        <f t="shared" si="76"/>
        <v>Non-food retail</v>
      </c>
      <c r="H135" s="99" t="str">
        <f>GA!E78</f>
        <v>Non-food retail</v>
      </c>
      <c r="T135" s="231">
        <f t="shared" si="72"/>
        <v>0</v>
      </c>
      <c r="U135" s="231">
        <f t="shared" si="72"/>
        <v>0</v>
      </c>
      <c r="V135" s="231">
        <f t="shared" si="72"/>
        <v>0</v>
      </c>
      <c r="W135" s="231">
        <f t="shared" si="72"/>
        <v>0</v>
      </c>
      <c r="X135" s="231">
        <f t="shared" si="72"/>
        <v>0</v>
      </c>
      <c r="Y135" s="231">
        <f t="shared" si="72"/>
        <v>0</v>
      </c>
      <c r="Z135" s="231">
        <f t="shared" si="72"/>
        <v>0</v>
      </c>
      <c r="AA135" s="231">
        <f t="shared" si="72"/>
        <v>0</v>
      </c>
      <c r="AB135" s="231">
        <f t="shared" si="72"/>
        <v>0</v>
      </c>
      <c r="AC135" s="231">
        <f t="shared" si="72"/>
        <v>0</v>
      </c>
      <c r="AD135" s="231">
        <f t="shared" si="73"/>
        <v>0</v>
      </c>
      <c r="AE135" s="231">
        <f t="shared" si="73"/>
        <v>0</v>
      </c>
      <c r="AF135" s="231">
        <f t="shared" si="73"/>
        <v>0</v>
      </c>
      <c r="AG135" s="231">
        <f t="shared" si="73"/>
        <v>0</v>
      </c>
      <c r="AH135" s="231">
        <f t="shared" si="73"/>
        <v>0</v>
      </c>
      <c r="AI135" s="231">
        <f t="shared" si="73"/>
        <v>0</v>
      </c>
      <c r="AJ135" s="231">
        <f t="shared" si="73"/>
        <v>0</v>
      </c>
      <c r="AK135" s="231">
        <f t="shared" si="73"/>
        <v>0</v>
      </c>
      <c r="AL135" s="231">
        <f t="shared" si="73"/>
        <v>0</v>
      </c>
      <c r="AM135" s="231">
        <f t="shared" si="73"/>
        <v>0</v>
      </c>
      <c r="AN135" s="231">
        <f t="shared" si="74"/>
        <v>0</v>
      </c>
      <c r="AO135" s="231">
        <f t="shared" si="74"/>
        <v>0</v>
      </c>
      <c r="AP135" s="231">
        <f t="shared" si="74"/>
        <v>0</v>
      </c>
      <c r="AQ135" s="231">
        <f t="shared" si="74"/>
        <v>0</v>
      </c>
      <c r="AR135" s="231">
        <f t="shared" si="74"/>
        <v>0</v>
      </c>
      <c r="AS135" s="231">
        <f t="shared" si="74"/>
        <v>0</v>
      </c>
      <c r="AT135" s="231">
        <f t="shared" si="74"/>
        <v>0</v>
      </c>
      <c r="AU135" s="231">
        <f t="shared" si="74"/>
        <v>0</v>
      </c>
      <c r="AV135" s="231">
        <f t="shared" si="74"/>
        <v>0</v>
      </c>
      <c r="AW135" s="231">
        <f t="shared" si="74"/>
        <v>0</v>
      </c>
      <c r="AX135" s="231">
        <f t="shared" si="75"/>
        <v>0</v>
      </c>
      <c r="AY135" s="231">
        <f t="shared" si="75"/>
        <v>0</v>
      </c>
      <c r="AZ135" s="231">
        <f t="shared" si="75"/>
        <v>0</v>
      </c>
      <c r="BA135" s="231">
        <f t="shared" si="75"/>
        <v>0</v>
      </c>
      <c r="BB135" s="231">
        <f t="shared" si="75"/>
        <v>0</v>
      </c>
      <c r="BC135" s="231">
        <f t="shared" si="75"/>
        <v>0</v>
      </c>
      <c r="BD135" s="231">
        <f t="shared" si="75"/>
        <v>0</v>
      </c>
      <c r="BE135" s="231">
        <f t="shared" si="75"/>
        <v>0</v>
      </c>
      <c r="BF135" s="231">
        <f t="shared" si="75"/>
        <v>0</v>
      </c>
      <c r="BG135" s="231">
        <f t="shared" si="75"/>
        <v>0</v>
      </c>
    </row>
    <row r="136" spans="2:63">
      <c r="F136" s="49" t="str">
        <f t="shared" si="76"/>
        <v>Gastronomy</v>
      </c>
      <c r="H136" s="99" t="str">
        <f>GA!E79</f>
        <v>Gastronomy</v>
      </c>
      <c r="T136" s="231">
        <f t="shared" si="72"/>
        <v>0</v>
      </c>
      <c r="U136" s="231">
        <f t="shared" si="72"/>
        <v>0</v>
      </c>
      <c r="V136" s="231">
        <f t="shared" si="72"/>
        <v>0</v>
      </c>
      <c r="W136" s="231">
        <f t="shared" si="72"/>
        <v>0</v>
      </c>
      <c r="X136" s="231">
        <f t="shared" si="72"/>
        <v>0</v>
      </c>
      <c r="Y136" s="231">
        <f t="shared" si="72"/>
        <v>0</v>
      </c>
      <c r="Z136" s="231">
        <f t="shared" si="72"/>
        <v>0</v>
      </c>
      <c r="AA136" s="231">
        <f t="shared" si="72"/>
        <v>0</v>
      </c>
      <c r="AB136" s="231">
        <f t="shared" si="72"/>
        <v>0</v>
      </c>
      <c r="AC136" s="231">
        <f t="shared" si="72"/>
        <v>0</v>
      </c>
      <c r="AD136" s="231">
        <f t="shared" si="73"/>
        <v>0</v>
      </c>
      <c r="AE136" s="231">
        <f t="shared" si="73"/>
        <v>0</v>
      </c>
      <c r="AF136" s="231">
        <f t="shared" si="73"/>
        <v>0</v>
      </c>
      <c r="AG136" s="231">
        <f t="shared" si="73"/>
        <v>0</v>
      </c>
      <c r="AH136" s="231">
        <f t="shared" si="73"/>
        <v>0</v>
      </c>
      <c r="AI136" s="231">
        <f t="shared" si="73"/>
        <v>0</v>
      </c>
      <c r="AJ136" s="231">
        <f t="shared" si="73"/>
        <v>0</v>
      </c>
      <c r="AK136" s="231">
        <f t="shared" si="73"/>
        <v>0</v>
      </c>
      <c r="AL136" s="231">
        <f t="shared" si="73"/>
        <v>0</v>
      </c>
      <c r="AM136" s="231">
        <f t="shared" si="73"/>
        <v>0</v>
      </c>
      <c r="AN136" s="231">
        <f t="shared" si="74"/>
        <v>0</v>
      </c>
      <c r="AO136" s="231">
        <f t="shared" si="74"/>
        <v>0</v>
      </c>
      <c r="AP136" s="231">
        <f t="shared" si="74"/>
        <v>0</v>
      </c>
      <c r="AQ136" s="231">
        <f t="shared" si="74"/>
        <v>0</v>
      </c>
      <c r="AR136" s="231">
        <f t="shared" si="74"/>
        <v>0</v>
      </c>
      <c r="AS136" s="231">
        <f t="shared" si="74"/>
        <v>0</v>
      </c>
      <c r="AT136" s="231">
        <f t="shared" si="74"/>
        <v>0</v>
      </c>
      <c r="AU136" s="231">
        <f t="shared" si="74"/>
        <v>0</v>
      </c>
      <c r="AV136" s="231">
        <f t="shared" si="74"/>
        <v>0</v>
      </c>
      <c r="AW136" s="231">
        <f t="shared" si="74"/>
        <v>0</v>
      </c>
      <c r="AX136" s="231">
        <f t="shared" si="75"/>
        <v>0</v>
      </c>
      <c r="AY136" s="231">
        <f t="shared" si="75"/>
        <v>0</v>
      </c>
      <c r="AZ136" s="231">
        <f t="shared" si="75"/>
        <v>0</v>
      </c>
      <c r="BA136" s="231">
        <f t="shared" si="75"/>
        <v>0</v>
      </c>
      <c r="BB136" s="231">
        <f t="shared" si="75"/>
        <v>0</v>
      </c>
      <c r="BC136" s="231">
        <f t="shared" si="75"/>
        <v>0</v>
      </c>
      <c r="BD136" s="231">
        <f t="shared" si="75"/>
        <v>0</v>
      </c>
      <c r="BE136" s="231">
        <f t="shared" si="75"/>
        <v>0</v>
      </c>
      <c r="BF136" s="231">
        <f t="shared" si="75"/>
        <v>0</v>
      </c>
      <c r="BG136" s="231">
        <f t="shared" si="75"/>
        <v>0</v>
      </c>
    </row>
    <row r="137" spans="2:63">
      <c r="F137" s="49" t="str">
        <f t="shared" si="76"/>
        <v>Bank</v>
      </c>
      <c r="H137" s="99" t="str">
        <f>GA!E80</f>
        <v>Bank</v>
      </c>
      <c r="T137" s="231">
        <f t="shared" si="72"/>
        <v>0</v>
      </c>
      <c r="U137" s="231">
        <f t="shared" si="72"/>
        <v>0</v>
      </c>
      <c r="V137" s="231">
        <f t="shared" si="72"/>
        <v>0</v>
      </c>
      <c r="W137" s="231">
        <f t="shared" si="72"/>
        <v>0</v>
      </c>
      <c r="X137" s="231">
        <f t="shared" si="72"/>
        <v>0</v>
      </c>
      <c r="Y137" s="231">
        <f t="shared" si="72"/>
        <v>0</v>
      </c>
      <c r="Z137" s="231">
        <f t="shared" si="72"/>
        <v>0</v>
      </c>
      <c r="AA137" s="231">
        <f t="shared" si="72"/>
        <v>0</v>
      </c>
      <c r="AB137" s="231">
        <f t="shared" si="72"/>
        <v>0</v>
      </c>
      <c r="AC137" s="231">
        <f t="shared" si="72"/>
        <v>0</v>
      </c>
      <c r="AD137" s="231">
        <f t="shared" si="73"/>
        <v>0</v>
      </c>
      <c r="AE137" s="231">
        <f t="shared" si="73"/>
        <v>0</v>
      </c>
      <c r="AF137" s="231">
        <f t="shared" si="73"/>
        <v>0</v>
      </c>
      <c r="AG137" s="231">
        <f t="shared" si="73"/>
        <v>0</v>
      </c>
      <c r="AH137" s="231">
        <f t="shared" si="73"/>
        <v>0</v>
      </c>
      <c r="AI137" s="231">
        <f t="shared" si="73"/>
        <v>0</v>
      </c>
      <c r="AJ137" s="231">
        <f t="shared" si="73"/>
        <v>0</v>
      </c>
      <c r="AK137" s="231">
        <f t="shared" si="73"/>
        <v>0</v>
      </c>
      <c r="AL137" s="231">
        <f t="shared" si="73"/>
        <v>0</v>
      </c>
      <c r="AM137" s="231">
        <f t="shared" si="73"/>
        <v>0</v>
      </c>
      <c r="AN137" s="231">
        <f t="shared" si="74"/>
        <v>0</v>
      </c>
      <c r="AO137" s="231">
        <f t="shared" si="74"/>
        <v>0</v>
      </c>
      <c r="AP137" s="231">
        <f t="shared" si="74"/>
        <v>0</v>
      </c>
      <c r="AQ137" s="231">
        <f t="shared" si="74"/>
        <v>0</v>
      </c>
      <c r="AR137" s="231">
        <f t="shared" si="74"/>
        <v>0</v>
      </c>
      <c r="AS137" s="231">
        <f t="shared" si="74"/>
        <v>0</v>
      </c>
      <c r="AT137" s="231">
        <f t="shared" si="74"/>
        <v>0</v>
      </c>
      <c r="AU137" s="231">
        <f t="shared" si="74"/>
        <v>0</v>
      </c>
      <c r="AV137" s="231">
        <f t="shared" si="74"/>
        <v>0</v>
      </c>
      <c r="AW137" s="231">
        <f t="shared" si="74"/>
        <v>0</v>
      </c>
      <c r="AX137" s="231">
        <f t="shared" si="75"/>
        <v>0</v>
      </c>
      <c r="AY137" s="231">
        <f t="shared" si="75"/>
        <v>0</v>
      </c>
      <c r="AZ137" s="231">
        <f t="shared" si="75"/>
        <v>0</v>
      </c>
      <c r="BA137" s="231">
        <f t="shared" si="75"/>
        <v>0</v>
      </c>
      <c r="BB137" s="231">
        <f t="shared" si="75"/>
        <v>0</v>
      </c>
      <c r="BC137" s="231">
        <f t="shared" si="75"/>
        <v>0</v>
      </c>
      <c r="BD137" s="231">
        <f t="shared" si="75"/>
        <v>0</v>
      </c>
      <c r="BE137" s="231">
        <f t="shared" si="75"/>
        <v>0</v>
      </c>
      <c r="BF137" s="231">
        <f t="shared" si="75"/>
        <v>0</v>
      </c>
      <c r="BG137" s="231">
        <f t="shared" si="75"/>
        <v>0</v>
      </c>
    </row>
    <row r="138" spans="2:63">
      <c r="F138" s="49" t="str">
        <f t="shared" si="76"/>
        <v>Storage</v>
      </c>
      <c r="H138" s="99" t="str">
        <f>GA!E81</f>
        <v>Storage</v>
      </c>
      <c r="T138" s="231">
        <f t="shared" si="72"/>
        <v>0</v>
      </c>
      <c r="U138" s="231">
        <f t="shared" si="72"/>
        <v>0</v>
      </c>
      <c r="V138" s="231">
        <f t="shared" si="72"/>
        <v>0</v>
      </c>
      <c r="W138" s="231">
        <f t="shared" si="72"/>
        <v>0</v>
      </c>
      <c r="X138" s="231">
        <f t="shared" si="72"/>
        <v>0</v>
      </c>
      <c r="Y138" s="231">
        <f t="shared" si="72"/>
        <v>0</v>
      </c>
      <c r="Z138" s="231">
        <f t="shared" si="72"/>
        <v>0</v>
      </c>
      <c r="AA138" s="231">
        <f t="shared" si="72"/>
        <v>0</v>
      </c>
      <c r="AB138" s="231">
        <f t="shared" si="72"/>
        <v>0</v>
      </c>
      <c r="AC138" s="231">
        <f t="shared" si="72"/>
        <v>0</v>
      </c>
      <c r="AD138" s="231">
        <f t="shared" si="73"/>
        <v>0</v>
      </c>
      <c r="AE138" s="231">
        <f t="shared" si="73"/>
        <v>0</v>
      </c>
      <c r="AF138" s="231">
        <f t="shared" si="73"/>
        <v>0</v>
      </c>
      <c r="AG138" s="231">
        <f t="shared" si="73"/>
        <v>0</v>
      </c>
      <c r="AH138" s="231">
        <f t="shared" si="73"/>
        <v>0</v>
      </c>
      <c r="AI138" s="231">
        <f t="shared" si="73"/>
        <v>0</v>
      </c>
      <c r="AJ138" s="231">
        <f t="shared" si="73"/>
        <v>0</v>
      </c>
      <c r="AK138" s="231">
        <f t="shared" si="73"/>
        <v>0</v>
      </c>
      <c r="AL138" s="231">
        <f t="shared" si="73"/>
        <v>0</v>
      </c>
      <c r="AM138" s="231">
        <f t="shared" si="73"/>
        <v>0</v>
      </c>
      <c r="AN138" s="231">
        <f t="shared" si="74"/>
        <v>0</v>
      </c>
      <c r="AO138" s="231">
        <f t="shared" si="74"/>
        <v>0</v>
      </c>
      <c r="AP138" s="231">
        <f t="shared" si="74"/>
        <v>0</v>
      </c>
      <c r="AQ138" s="231">
        <f t="shared" si="74"/>
        <v>0</v>
      </c>
      <c r="AR138" s="231">
        <f t="shared" si="74"/>
        <v>0</v>
      </c>
      <c r="AS138" s="231">
        <f t="shared" si="74"/>
        <v>0</v>
      </c>
      <c r="AT138" s="231">
        <f t="shared" si="74"/>
        <v>0</v>
      </c>
      <c r="AU138" s="231">
        <f t="shared" si="74"/>
        <v>0</v>
      </c>
      <c r="AV138" s="231">
        <f t="shared" si="74"/>
        <v>0</v>
      </c>
      <c r="AW138" s="231">
        <f t="shared" si="74"/>
        <v>0</v>
      </c>
      <c r="AX138" s="231">
        <f t="shared" si="75"/>
        <v>0</v>
      </c>
      <c r="AY138" s="231">
        <f t="shared" si="75"/>
        <v>0</v>
      </c>
      <c r="AZ138" s="231">
        <f t="shared" si="75"/>
        <v>0</v>
      </c>
      <c r="BA138" s="231">
        <f t="shared" si="75"/>
        <v>0</v>
      </c>
      <c r="BB138" s="231">
        <f t="shared" si="75"/>
        <v>0</v>
      </c>
      <c r="BC138" s="231">
        <f t="shared" si="75"/>
        <v>0</v>
      </c>
      <c r="BD138" s="231">
        <f t="shared" si="75"/>
        <v>0</v>
      </c>
      <c r="BE138" s="231">
        <f t="shared" si="75"/>
        <v>0</v>
      </c>
      <c r="BF138" s="231">
        <f t="shared" si="75"/>
        <v>0</v>
      </c>
      <c r="BG138" s="231">
        <f t="shared" si="75"/>
        <v>0</v>
      </c>
    </row>
    <row r="139" spans="2:63">
      <c r="F139" s="49" t="str">
        <f t="shared" si="76"/>
        <v>Parking</v>
      </c>
      <c r="H139" s="99" t="str">
        <f>GA!E82</f>
        <v>Parking</v>
      </c>
      <c r="T139" s="231">
        <f t="shared" si="72"/>
        <v>0</v>
      </c>
      <c r="U139" s="231">
        <f t="shared" si="72"/>
        <v>0</v>
      </c>
      <c r="V139" s="231">
        <f t="shared" si="72"/>
        <v>0</v>
      </c>
      <c r="W139" s="231">
        <f t="shared" si="72"/>
        <v>0</v>
      </c>
      <c r="X139" s="231">
        <f t="shared" si="72"/>
        <v>0</v>
      </c>
      <c r="Y139" s="231">
        <f t="shared" si="72"/>
        <v>0</v>
      </c>
      <c r="Z139" s="231">
        <f t="shared" si="72"/>
        <v>0</v>
      </c>
      <c r="AA139" s="231">
        <f t="shared" si="72"/>
        <v>0</v>
      </c>
      <c r="AB139" s="231">
        <f t="shared" si="72"/>
        <v>0</v>
      </c>
      <c r="AC139" s="231">
        <f t="shared" si="72"/>
        <v>0</v>
      </c>
      <c r="AD139" s="231">
        <f t="shared" si="73"/>
        <v>0</v>
      </c>
      <c r="AE139" s="231">
        <f t="shared" si="73"/>
        <v>0</v>
      </c>
      <c r="AF139" s="231">
        <f t="shared" si="73"/>
        <v>0</v>
      </c>
      <c r="AG139" s="231">
        <f t="shared" si="73"/>
        <v>0</v>
      </c>
      <c r="AH139" s="231">
        <f t="shared" si="73"/>
        <v>0</v>
      </c>
      <c r="AI139" s="231">
        <f t="shared" si="73"/>
        <v>0</v>
      </c>
      <c r="AJ139" s="231">
        <f t="shared" si="73"/>
        <v>0</v>
      </c>
      <c r="AK139" s="231">
        <f t="shared" si="73"/>
        <v>0</v>
      </c>
      <c r="AL139" s="231">
        <f t="shared" si="73"/>
        <v>0</v>
      </c>
      <c r="AM139" s="231">
        <f t="shared" si="73"/>
        <v>0</v>
      </c>
      <c r="AN139" s="231">
        <f t="shared" si="74"/>
        <v>0</v>
      </c>
      <c r="AO139" s="231">
        <f t="shared" si="74"/>
        <v>0</v>
      </c>
      <c r="AP139" s="231">
        <f t="shared" si="74"/>
        <v>0</v>
      </c>
      <c r="AQ139" s="231">
        <f t="shared" si="74"/>
        <v>0</v>
      </c>
      <c r="AR139" s="231">
        <f t="shared" si="74"/>
        <v>0</v>
      </c>
      <c r="AS139" s="231">
        <f t="shared" si="74"/>
        <v>0</v>
      </c>
      <c r="AT139" s="231">
        <f t="shared" si="74"/>
        <v>0</v>
      </c>
      <c r="AU139" s="231">
        <f t="shared" si="74"/>
        <v>0</v>
      </c>
      <c r="AV139" s="231">
        <f t="shared" si="74"/>
        <v>0</v>
      </c>
      <c r="AW139" s="231">
        <f t="shared" si="74"/>
        <v>0</v>
      </c>
      <c r="AX139" s="231">
        <f t="shared" si="75"/>
        <v>0</v>
      </c>
      <c r="AY139" s="231">
        <f t="shared" si="75"/>
        <v>0</v>
      </c>
      <c r="AZ139" s="231">
        <f t="shared" si="75"/>
        <v>0</v>
      </c>
      <c r="BA139" s="231">
        <f t="shared" si="75"/>
        <v>0</v>
      </c>
      <c r="BB139" s="231">
        <f t="shared" si="75"/>
        <v>0</v>
      </c>
      <c r="BC139" s="231">
        <f t="shared" si="75"/>
        <v>0</v>
      </c>
      <c r="BD139" s="231">
        <f t="shared" si="75"/>
        <v>0</v>
      </c>
      <c r="BE139" s="231">
        <f t="shared" si="75"/>
        <v>0</v>
      </c>
      <c r="BF139" s="231">
        <f t="shared" si="75"/>
        <v>0</v>
      </c>
      <c r="BG139" s="231">
        <f t="shared" si="75"/>
        <v>0</v>
      </c>
    </row>
    <row r="140" spans="2:63">
      <c r="F140" s="49" t="str">
        <f t="shared" si="76"/>
        <v>Residential</v>
      </c>
      <c r="H140" s="99" t="str">
        <f>GA!E83</f>
        <v>Residential</v>
      </c>
      <c r="T140" s="231">
        <f t="shared" si="72"/>
        <v>0</v>
      </c>
      <c r="U140" s="231">
        <f t="shared" si="72"/>
        <v>0</v>
      </c>
      <c r="V140" s="231">
        <f t="shared" si="72"/>
        <v>0</v>
      </c>
      <c r="W140" s="231">
        <f t="shared" si="72"/>
        <v>0</v>
      </c>
      <c r="X140" s="231">
        <f t="shared" si="72"/>
        <v>0</v>
      </c>
      <c r="Y140" s="231">
        <f t="shared" si="72"/>
        <v>0</v>
      </c>
      <c r="Z140" s="231">
        <f t="shared" si="72"/>
        <v>0</v>
      </c>
      <c r="AA140" s="231">
        <f t="shared" si="72"/>
        <v>0</v>
      </c>
      <c r="AB140" s="231">
        <f t="shared" si="72"/>
        <v>0</v>
      </c>
      <c r="AC140" s="231">
        <f t="shared" si="72"/>
        <v>0</v>
      </c>
      <c r="AD140" s="231">
        <f t="shared" si="73"/>
        <v>0</v>
      </c>
      <c r="AE140" s="231">
        <f t="shared" si="73"/>
        <v>0</v>
      </c>
      <c r="AF140" s="231">
        <f t="shared" si="73"/>
        <v>0</v>
      </c>
      <c r="AG140" s="231">
        <f t="shared" si="73"/>
        <v>0</v>
      </c>
      <c r="AH140" s="231">
        <f t="shared" si="73"/>
        <v>0</v>
      </c>
      <c r="AI140" s="231">
        <f t="shared" si="73"/>
        <v>0</v>
      </c>
      <c r="AJ140" s="231">
        <f t="shared" si="73"/>
        <v>0</v>
      </c>
      <c r="AK140" s="231">
        <f t="shared" si="73"/>
        <v>0</v>
      </c>
      <c r="AL140" s="231">
        <f t="shared" si="73"/>
        <v>0</v>
      </c>
      <c r="AM140" s="231">
        <f t="shared" si="73"/>
        <v>0</v>
      </c>
      <c r="AN140" s="231">
        <f t="shared" si="74"/>
        <v>0</v>
      </c>
      <c r="AO140" s="231">
        <f t="shared" si="74"/>
        <v>0</v>
      </c>
      <c r="AP140" s="231">
        <f t="shared" si="74"/>
        <v>0</v>
      </c>
      <c r="AQ140" s="231">
        <f t="shared" si="74"/>
        <v>0</v>
      </c>
      <c r="AR140" s="231">
        <f t="shared" si="74"/>
        <v>0</v>
      </c>
      <c r="AS140" s="231">
        <f t="shared" si="74"/>
        <v>0</v>
      </c>
      <c r="AT140" s="231">
        <f t="shared" si="74"/>
        <v>0</v>
      </c>
      <c r="AU140" s="231">
        <f t="shared" si="74"/>
        <v>0</v>
      </c>
      <c r="AV140" s="231">
        <f t="shared" si="74"/>
        <v>0</v>
      </c>
      <c r="AW140" s="231">
        <f t="shared" si="74"/>
        <v>0</v>
      </c>
      <c r="AX140" s="231">
        <f t="shared" si="75"/>
        <v>0</v>
      </c>
      <c r="AY140" s="231">
        <f t="shared" si="75"/>
        <v>0</v>
      </c>
      <c r="AZ140" s="231">
        <f t="shared" si="75"/>
        <v>0</v>
      </c>
      <c r="BA140" s="231">
        <f t="shared" si="75"/>
        <v>0</v>
      </c>
      <c r="BB140" s="231">
        <f t="shared" si="75"/>
        <v>0</v>
      </c>
      <c r="BC140" s="231">
        <f t="shared" si="75"/>
        <v>0</v>
      </c>
      <c r="BD140" s="231">
        <f t="shared" si="75"/>
        <v>0</v>
      </c>
      <c r="BE140" s="231">
        <f t="shared" si="75"/>
        <v>0</v>
      </c>
      <c r="BF140" s="231">
        <f t="shared" si="75"/>
        <v>0</v>
      </c>
      <c r="BG140" s="231">
        <f t="shared" si="75"/>
        <v>0</v>
      </c>
    </row>
    <row r="141" spans="2:63">
      <c r="F141" s="49" t="str">
        <f t="shared" si="76"/>
        <v>Office</v>
      </c>
      <c r="H141" s="99" t="str">
        <f>GA!E84</f>
        <v>Office</v>
      </c>
      <c r="T141" s="231">
        <f t="shared" si="72"/>
        <v>0</v>
      </c>
      <c r="U141" s="231">
        <f t="shared" si="72"/>
        <v>0</v>
      </c>
      <c r="V141" s="231">
        <f t="shared" si="72"/>
        <v>0</v>
      </c>
      <c r="W141" s="231">
        <f t="shared" si="72"/>
        <v>0</v>
      </c>
      <c r="X141" s="231">
        <f t="shared" si="72"/>
        <v>0</v>
      </c>
      <c r="Y141" s="231">
        <f t="shared" si="72"/>
        <v>0</v>
      </c>
      <c r="Z141" s="231">
        <f t="shared" si="72"/>
        <v>0</v>
      </c>
      <c r="AA141" s="231">
        <f t="shared" si="72"/>
        <v>0</v>
      </c>
      <c r="AB141" s="231">
        <f t="shared" si="72"/>
        <v>0</v>
      </c>
      <c r="AC141" s="231">
        <f t="shared" si="72"/>
        <v>0</v>
      </c>
      <c r="AD141" s="231">
        <f t="shared" si="73"/>
        <v>0</v>
      </c>
      <c r="AE141" s="231">
        <f t="shared" si="73"/>
        <v>0</v>
      </c>
      <c r="AF141" s="231">
        <f t="shared" si="73"/>
        <v>0</v>
      </c>
      <c r="AG141" s="231">
        <f t="shared" si="73"/>
        <v>0</v>
      </c>
      <c r="AH141" s="231">
        <f t="shared" si="73"/>
        <v>0</v>
      </c>
      <c r="AI141" s="231">
        <f t="shared" si="73"/>
        <v>0</v>
      </c>
      <c r="AJ141" s="231">
        <f t="shared" si="73"/>
        <v>0</v>
      </c>
      <c r="AK141" s="231">
        <f t="shared" si="73"/>
        <v>0</v>
      </c>
      <c r="AL141" s="231">
        <f t="shared" si="73"/>
        <v>0</v>
      </c>
      <c r="AM141" s="231">
        <f t="shared" si="73"/>
        <v>0</v>
      </c>
      <c r="AN141" s="231">
        <f t="shared" si="74"/>
        <v>0</v>
      </c>
      <c r="AO141" s="231">
        <f t="shared" si="74"/>
        <v>0</v>
      </c>
      <c r="AP141" s="231">
        <f t="shared" si="74"/>
        <v>0</v>
      </c>
      <c r="AQ141" s="231">
        <f t="shared" si="74"/>
        <v>0</v>
      </c>
      <c r="AR141" s="231">
        <f t="shared" si="74"/>
        <v>0</v>
      </c>
      <c r="AS141" s="231">
        <f t="shared" si="74"/>
        <v>0</v>
      </c>
      <c r="AT141" s="231">
        <f t="shared" si="74"/>
        <v>0</v>
      </c>
      <c r="AU141" s="231">
        <f t="shared" si="74"/>
        <v>0</v>
      </c>
      <c r="AV141" s="231">
        <f t="shared" si="74"/>
        <v>0</v>
      </c>
      <c r="AW141" s="231">
        <f t="shared" si="74"/>
        <v>0</v>
      </c>
      <c r="AX141" s="231">
        <f t="shared" si="75"/>
        <v>0</v>
      </c>
      <c r="AY141" s="231">
        <f t="shared" si="75"/>
        <v>0</v>
      </c>
      <c r="AZ141" s="231">
        <f t="shared" si="75"/>
        <v>0</v>
      </c>
      <c r="BA141" s="231">
        <f t="shared" si="75"/>
        <v>0</v>
      </c>
      <c r="BB141" s="231">
        <f t="shared" si="75"/>
        <v>0</v>
      </c>
      <c r="BC141" s="231">
        <f t="shared" si="75"/>
        <v>0</v>
      </c>
      <c r="BD141" s="231">
        <f t="shared" si="75"/>
        <v>0</v>
      </c>
      <c r="BE141" s="231">
        <f t="shared" si="75"/>
        <v>0</v>
      </c>
      <c r="BF141" s="231">
        <f t="shared" si="75"/>
        <v>0</v>
      </c>
      <c r="BG141" s="231">
        <f t="shared" si="75"/>
        <v>0</v>
      </c>
    </row>
    <row r="142" spans="2:63">
      <c r="F142" s="49" t="str">
        <f t="shared" si="76"/>
        <v>Other</v>
      </c>
      <c r="H142" s="99" t="str">
        <f>GA!E85</f>
        <v>Other</v>
      </c>
      <c r="T142" s="231">
        <f t="shared" si="72"/>
        <v>0</v>
      </c>
      <c r="U142" s="231">
        <f t="shared" si="72"/>
        <v>0</v>
      </c>
      <c r="V142" s="231">
        <f t="shared" si="72"/>
        <v>0</v>
      </c>
      <c r="W142" s="231">
        <f t="shared" si="72"/>
        <v>0</v>
      </c>
      <c r="X142" s="231">
        <f t="shared" si="72"/>
        <v>0</v>
      </c>
      <c r="Y142" s="231">
        <f t="shared" si="72"/>
        <v>0</v>
      </c>
      <c r="Z142" s="231">
        <f t="shared" si="72"/>
        <v>0</v>
      </c>
      <c r="AA142" s="231">
        <f t="shared" si="72"/>
        <v>0</v>
      </c>
      <c r="AB142" s="231">
        <f t="shared" si="72"/>
        <v>0</v>
      </c>
      <c r="AC142" s="231">
        <f t="shared" si="72"/>
        <v>0</v>
      </c>
      <c r="AD142" s="231">
        <f t="shared" si="73"/>
        <v>0</v>
      </c>
      <c r="AE142" s="231">
        <f t="shared" si="73"/>
        <v>0</v>
      </c>
      <c r="AF142" s="231">
        <f t="shared" si="73"/>
        <v>0</v>
      </c>
      <c r="AG142" s="231">
        <f t="shared" si="73"/>
        <v>0</v>
      </c>
      <c r="AH142" s="231">
        <f t="shared" si="73"/>
        <v>0</v>
      </c>
      <c r="AI142" s="231">
        <f t="shared" si="73"/>
        <v>0</v>
      </c>
      <c r="AJ142" s="231">
        <f t="shared" si="73"/>
        <v>0</v>
      </c>
      <c r="AK142" s="231">
        <f t="shared" si="73"/>
        <v>0</v>
      </c>
      <c r="AL142" s="231">
        <f t="shared" si="73"/>
        <v>0</v>
      </c>
      <c r="AM142" s="231">
        <f t="shared" si="73"/>
        <v>0</v>
      </c>
      <c r="AN142" s="231">
        <f t="shared" si="74"/>
        <v>0</v>
      </c>
      <c r="AO142" s="231">
        <f t="shared" si="74"/>
        <v>0</v>
      </c>
      <c r="AP142" s="231">
        <f t="shared" si="74"/>
        <v>0</v>
      </c>
      <c r="AQ142" s="231">
        <f t="shared" si="74"/>
        <v>0</v>
      </c>
      <c r="AR142" s="231">
        <f t="shared" si="74"/>
        <v>0</v>
      </c>
      <c r="AS142" s="231">
        <f t="shared" si="74"/>
        <v>0</v>
      </c>
      <c r="AT142" s="231">
        <f t="shared" si="74"/>
        <v>0</v>
      </c>
      <c r="AU142" s="231">
        <f t="shared" si="74"/>
        <v>0</v>
      </c>
      <c r="AV142" s="231">
        <f t="shared" si="74"/>
        <v>0</v>
      </c>
      <c r="AW142" s="231">
        <f t="shared" si="74"/>
        <v>0</v>
      </c>
      <c r="AX142" s="231">
        <f t="shared" si="75"/>
        <v>0</v>
      </c>
      <c r="AY142" s="231">
        <f t="shared" si="75"/>
        <v>0</v>
      </c>
      <c r="AZ142" s="231">
        <f t="shared" si="75"/>
        <v>0</v>
      </c>
      <c r="BA142" s="231">
        <f t="shared" si="75"/>
        <v>0</v>
      </c>
      <c r="BB142" s="231">
        <f t="shared" si="75"/>
        <v>0</v>
      </c>
      <c r="BC142" s="231">
        <f t="shared" si="75"/>
        <v>0</v>
      </c>
      <c r="BD142" s="231">
        <f t="shared" si="75"/>
        <v>0</v>
      </c>
      <c r="BE142" s="231">
        <f t="shared" si="75"/>
        <v>0</v>
      </c>
      <c r="BF142" s="231">
        <f t="shared" si="75"/>
        <v>0</v>
      </c>
      <c r="BG142" s="231">
        <f t="shared" si="75"/>
        <v>0</v>
      </c>
    </row>
    <row r="143" spans="2:63">
      <c r="F143" s="253" t="s">
        <v>328</v>
      </c>
      <c r="G143" s="253"/>
      <c r="H143" s="253"/>
      <c r="I143" s="268"/>
      <c r="J143" s="268"/>
      <c r="K143" s="268"/>
      <c r="L143" s="268"/>
      <c r="M143" s="268"/>
      <c r="N143" s="268"/>
      <c r="O143" s="268"/>
      <c r="P143" s="268"/>
      <c r="Q143" s="268"/>
      <c r="R143" s="268"/>
      <c r="S143" s="268"/>
      <c r="T143" s="254">
        <f>SUM(T133:T142)</f>
        <v>0</v>
      </c>
      <c r="U143" s="254">
        <f t="shared" ref="U143:BG143" si="77">SUM(U133:U142)</f>
        <v>0</v>
      </c>
      <c r="V143" s="254">
        <f t="shared" si="77"/>
        <v>0</v>
      </c>
      <c r="W143" s="254">
        <f t="shared" si="77"/>
        <v>0</v>
      </c>
      <c r="X143" s="254">
        <f t="shared" si="77"/>
        <v>0</v>
      </c>
      <c r="Y143" s="254">
        <f t="shared" si="77"/>
        <v>0</v>
      </c>
      <c r="Z143" s="254">
        <f t="shared" si="77"/>
        <v>0</v>
      </c>
      <c r="AA143" s="254">
        <f t="shared" si="77"/>
        <v>0</v>
      </c>
      <c r="AB143" s="254">
        <f t="shared" si="77"/>
        <v>0</v>
      </c>
      <c r="AC143" s="254">
        <f t="shared" si="77"/>
        <v>0</v>
      </c>
      <c r="AD143" s="254">
        <f t="shared" si="77"/>
        <v>0</v>
      </c>
      <c r="AE143" s="254">
        <f t="shared" si="77"/>
        <v>0</v>
      </c>
      <c r="AF143" s="254">
        <f t="shared" si="77"/>
        <v>0</v>
      </c>
      <c r="AG143" s="254">
        <f t="shared" si="77"/>
        <v>0</v>
      </c>
      <c r="AH143" s="254">
        <f t="shared" si="77"/>
        <v>0</v>
      </c>
      <c r="AI143" s="254">
        <f t="shared" si="77"/>
        <v>0</v>
      </c>
      <c r="AJ143" s="254">
        <f t="shared" si="77"/>
        <v>0</v>
      </c>
      <c r="AK143" s="254">
        <f t="shared" si="77"/>
        <v>0</v>
      </c>
      <c r="AL143" s="254">
        <f t="shared" si="77"/>
        <v>0</v>
      </c>
      <c r="AM143" s="254">
        <f t="shared" si="77"/>
        <v>0</v>
      </c>
      <c r="AN143" s="254">
        <f t="shared" si="77"/>
        <v>0</v>
      </c>
      <c r="AO143" s="254">
        <f t="shared" si="77"/>
        <v>0</v>
      </c>
      <c r="AP143" s="254">
        <f t="shared" si="77"/>
        <v>0</v>
      </c>
      <c r="AQ143" s="254">
        <f t="shared" si="77"/>
        <v>0</v>
      </c>
      <c r="AR143" s="254">
        <f t="shared" si="77"/>
        <v>0</v>
      </c>
      <c r="AS143" s="254">
        <f t="shared" si="77"/>
        <v>0</v>
      </c>
      <c r="AT143" s="254">
        <f t="shared" si="77"/>
        <v>0</v>
      </c>
      <c r="AU143" s="254">
        <f t="shared" si="77"/>
        <v>0</v>
      </c>
      <c r="AV143" s="254">
        <f t="shared" si="77"/>
        <v>0</v>
      </c>
      <c r="AW143" s="254">
        <f t="shared" si="77"/>
        <v>0</v>
      </c>
      <c r="AX143" s="254">
        <f t="shared" si="77"/>
        <v>0</v>
      </c>
      <c r="AY143" s="254">
        <f t="shared" si="77"/>
        <v>0</v>
      </c>
      <c r="AZ143" s="254">
        <f t="shared" si="77"/>
        <v>0</v>
      </c>
      <c r="BA143" s="254">
        <f t="shared" si="77"/>
        <v>0</v>
      </c>
      <c r="BB143" s="254">
        <f t="shared" si="77"/>
        <v>0</v>
      </c>
      <c r="BC143" s="254">
        <f t="shared" si="77"/>
        <v>0</v>
      </c>
      <c r="BD143" s="254">
        <f t="shared" si="77"/>
        <v>0</v>
      </c>
      <c r="BE143" s="254">
        <f t="shared" si="77"/>
        <v>0</v>
      </c>
      <c r="BF143" s="254">
        <f t="shared" si="77"/>
        <v>0</v>
      </c>
      <c r="BG143" s="254">
        <f t="shared" si="77"/>
        <v>0</v>
      </c>
    </row>
    <row r="144" spans="2:63">
      <c r="F144" s="255" t="s">
        <v>329</v>
      </c>
      <c r="J144" s="257" t="b">
        <f>COUNTIFS($T$144:$BG$144,"true")=COUNTA(T144:BG144)</f>
        <v>1</v>
      </c>
      <c r="T144" s="257" t="b">
        <f t="shared" ref="T144:BG144" si="78">ROUND(SUM(T$74:T$76),1)=ROUND(T143,1)</f>
        <v>1</v>
      </c>
      <c r="U144" s="257" t="b">
        <f t="shared" si="78"/>
        <v>1</v>
      </c>
      <c r="V144" s="257" t="b">
        <f t="shared" si="78"/>
        <v>1</v>
      </c>
      <c r="W144" s="257" t="b">
        <f t="shared" si="78"/>
        <v>1</v>
      </c>
      <c r="X144" s="257" t="b">
        <f t="shared" si="78"/>
        <v>1</v>
      </c>
      <c r="Y144" s="257" t="b">
        <f t="shared" si="78"/>
        <v>1</v>
      </c>
      <c r="Z144" s="257" t="b">
        <f t="shared" si="78"/>
        <v>1</v>
      </c>
      <c r="AA144" s="257" t="b">
        <f t="shared" si="78"/>
        <v>1</v>
      </c>
      <c r="AB144" s="257" t="b">
        <f t="shared" si="78"/>
        <v>1</v>
      </c>
      <c r="AC144" s="257" t="b">
        <f t="shared" si="78"/>
        <v>1</v>
      </c>
      <c r="AD144" s="257" t="b">
        <f t="shared" si="78"/>
        <v>1</v>
      </c>
      <c r="AE144" s="257" t="b">
        <f t="shared" si="78"/>
        <v>1</v>
      </c>
      <c r="AF144" s="257" t="b">
        <f t="shared" si="78"/>
        <v>1</v>
      </c>
      <c r="AG144" s="257" t="b">
        <f t="shared" si="78"/>
        <v>1</v>
      </c>
      <c r="AH144" s="257" t="b">
        <f t="shared" si="78"/>
        <v>1</v>
      </c>
      <c r="AI144" s="257" t="b">
        <f t="shared" si="78"/>
        <v>1</v>
      </c>
      <c r="AJ144" s="257" t="b">
        <f t="shared" si="78"/>
        <v>1</v>
      </c>
      <c r="AK144" s="257" t="b">
        <f t="shared" si="78"/>
        <v>1</v>
      </c>
      <c r="AL144" s="257" t="b">
        <f t="shared" si="78"/>
        <v>1</v>
      </c>
      <c r="AM144" s="257" t="b">
        <f t="shared" si="78"/>
        <v>1</v>
      </c>
      <c r="AN144" s="257" t="b">
        <f t="shared" si="78"/>
        <v>1</v>
      </c>
      <c r="AO144" s="257" t="b">
        <f t="shared" si="78"/>
        <v>1</v>
      </c>
      <c r="AP144" s="257" t="b">
        <f t="shared" si="78"/>
        <v>1</v>
      </c>
      <c r="AQ144" s="257" t="b">
        <f t="shared" si="78"/>
        <v>1</v>
      </c>
      <c r="AR144" s="257" t="b">
        <f t="shared" si="78"/>
        <v>1</v>
      </c>
      <c r="AS144" s="257" t="b">
        <f t="shared" si="78"/>
        <v>1</v>
      </c>
      <c r="AT144" s="257" t="b">
        <f t="shared" si="78"/>
        <v>1</v>
      </c>
      <c r="AU144" s="257" t="b">
        <f t="shared" si="78"/>
        <v>1</v>
      </c>
      <c r="AV144" s="257" t="b">
        <f t="shared" si="78"/>
        <v>1</v>
      </c>
      <c r="AW144" s="257" t="b">
        <f t="shared" si="78"/>
        <v>1</v>
      </c>
      <c r="AX144" s="257" t="b">
        <f t="shared" si="78"/>
        <v>1</v>
      </c>
      <c r="AY144" s="257" t="b">
        <f t="shared" si="78"/>
        <v>1</v>
      </c>
      <c r="AZ144" s="257" t="b">
        <f t="shared" si="78"/>
        <v>1</v>
      </c>
      <c r="BA144" s="257" t="b">
        <f t="shared" si="78"/>
        <v>1</v>
      </c>
      <c r="BB144" s="257" t="b">
        <f t="shared" si="78"/>
        <v>1</v>
      </c>
      <c r="BC144" s="257" t="b">
        <f t="shared" si="78"/>
        <v>1</v>
      </c>
      <c r="BD144" s="257" t="b">
        <f t="shared" si="78"/>
        <v>1</v>
      </c>
      <c r="BE144" s="257" t="b">
        <f t="shared" si="78"/>
        <v>1</v>
      </c>
      <c r="BF144" s="257" t="b">
        <f t="shared" si="78"/>
        <v>1</v>
      </c>
      <c r="BG144" s="257" t="b">
        <f t="shared" si="78"/>
        <v>1</v>
      </c>
    </row>
    <row r="146" spans="23: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row>
  </sheetData>
  <conditionalFormatting sqref="J144">
    <cfRule type="cellIs" dxfId="41" priority="3" operator="equal">
      <formula>FALSE</formula>
    </cfRule>
    <cfRule type="cellIs" dxfId="40" priority="4" operator="equal">
      <formula>TRUE</formula>
    </cfRule>
  </conditionalFormatting>
  <conditionalFormatting sqref="T144:BG144">
    <cfRule type="cellIs" dxfId="39" priority="1" operator="equal">
      <formula>FALSE</formula>
    </cfRule>
    <cfRule type="cellIs" dxfId="38" priority="2" operator="equal">
      <formula>TRUE</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55225-D3F1-46F1-A5E8-20E5263A7168}">
  <sheetPr codeName="Sheet17">
    <tabColor rgb="FFC00000"/>
  </sheetPr>
  <dimension ref="A1:BK146"/>
  <sheetViews>
    <sheetView topLeftCell="I1" workbookViewId="0">
      <selection activeCell="T20" sqref="T20:BG22"/>
    </sheetView>
  </sheetViews>
  <sheetFormatPr baseColWidth="10" defaultColWidth="8.7109375" defaultRowHeight="15" outlineLevelRow="1"/>
  <cols>
    <col min="1" max="1" width="4.5703125" customWidth="1"/>
    <col min="2" max="2" width="5.5703125" customWidth="1"/>
    <col min="5" max="5" width="3.42578125" customWidth="1"/>
    <col min="6" max="6" width="20.42578125" bestFit="1" customWidth="1"/>
    <col min="7" max="7" width="3.5703125" customWidth="1"/>
    <col min="8" max="8" width="19.7109375" customWidth="1"/>
    <col min="9" max="9" width="2.5703125" customWidth="1"/>
    <col min="10" max="11" width="11.5703125" bestFit="1" customWidth="1"/>
    <col min="12" max="12" width="3.5703125" customWidth="1"/>
    <col min="13" max="15" width="18.28515625" bestFit="1" customWidth="1"/>
    <col min="16" max="16" width="14.28515625" customWidth="1"/>
    <col min="17" max="17" width="16.28515625" customWidth="1"/>
    <col min="19" max="19" width="12" bestFit="1" customWidth="1"/>
    <col min="20" max="21" width="15.42578125" bestFit="1" customWidth="1"/>
    <col min="22" max="22" width="14.42578125" bestFit="1" customWidth="1"/>
    <col min="23" max="23" width="15.42578125" bestFit="1" customWidth="1"/>
    <col min="24" max="24" width="14.7109375" bestFit="1" customWidth="1"/>
    <col min="25" max="25" width="15" bestFit="1" customWidth="1"/>
    <col min="26" max="26" width="14" bestFit="1" customWidth="1"/>
    <col min="27" max="27" width="14.7109375" bestFit="1" customWidth="1"/>
    <col min="28" max="29" width="15.42578125" bestFit="1" customWidth="1"/>
    <col min="30" max="30" width="14.42578125" bestFit="1" customWidth="1"/>
    <col min="31" max="33" width="15.42578125" bestFit="1" customWidth="1"/>
    <col min="34" max="34" width="14.42578125" bestFit="1" customWidth="1"/>
    <col min="35" max="37" width="15.42578125" bestFit="1" customWidth="1"/>
    <col min="38" max="38" width="14.42578125" bestFit="1" customWidth="1"/>
    <col min="39" max="41" width="15.42578125" bestFit="1" customWidth="1"/>
    <col min="42" max="42" width="14.42578125" bestFit="1" customWidth="1"/>
    <col min="43" max="45" width="15.42578125" bestFit="1" customWidth="1"/>
    <col min="46" max="46" width="14.42578125" bestFit="1" customWidth="1"/>
    <col min="47" max="49" width="15.42578125" bestFit="1" customWidth="1"/>
    <col min="50" max="50" width="14.42578125" bestFit="1" customWidth="1"/>
    <col min="51" max="53" width="15.42578125" bestFit="1" customWidth="1"/>
    <col min="54" max="54" width="14.42578125" bestFit="1" customWidth="1"/>
    <col min="55" max="57" width="15.42578125" bestFit="1" customWidth="1"/>
    <col min="58" max="58" width="14.42578125" bestFit="1" customWidth="1"/>
    <col min="59" max="59" width="15.42578125" bestFit="1" customWidth="1"/>
    <col min="60" max="60" width="3.28515625" customWidth="1"/>
    <col min="61" max="61" width="16.42578125" customWidth="1"/>
    <col min="62" max="62" width="3.42578125" customWidth="1"/>
    <col min="63" max="63" width="19.7109375" customWidth="1"/>
  </cols>
  <sheetData>
    <row r="1" spans="1:61" s="1" customFormat="1">
      <c r="A1" s="1" t="str">
        <f ca="1">UPPER(MID(CELL("filename",A1),FIND("[",CELL("filename",A1))+1,FIND("]",CELL("filename",A1))-FIND("[",CELL("filename",A1))-5))</f>
        <v>VORLAGE.</v>
      </c>
    </row>
    <row r="2" spans="1:61" s="1" customFormat="1">
      <c r="A2" s="1" t="s">
        <v>399</v>
      </c>
      <c r="S2" s="1" t="str">
        <f>GA!L94</f>
        <v>Closing Date</v>
      </c>
    </row>
    <row r="3" spans="1:61" s="1" customFormat="1">
      <c r="P3" s="1" t="str">
        <f>GA!E95</f>
        <v>Deal Quarter Start</v>
      </c>
      <c r="S3" s="88">
        <f>GA!L95</f>
        <v>44255</v>
      </c>
      <c r="T3" s="88">
        <f>GA!M95</f>
        <v>44256</v>
      </c>
      <c r="U3" s="88">
        <f>GA!N95</f>
        <v>44348</v>
      </c>
      <c r="V3" s="88">
        <f>GA!O95</f>
        <v>44440</v>
      </c>
      <c r="W3" s="88">
        <f>GA!P95</f>
        <v>44531</v>
      </c>
      <c r="X3" s="88">
        <f>GA!Q95</f>
        <v>44621</v>
      </c>
      <c r="Y3" s="88">
        <f>GA!R95</f>
        <v>44713</v>
      </c>
      <c r="Z3" s="88">
        <f>GA!S95</f>
        <v>44805</v>
      </c>
      <c r="AA3" s="88">
        <f>GA!T95</f>
        <v>44896</v>
      </c>
      <c r="AB3" s="88">
        <f>GA!U95</f>
        <v>44986</v>
      </c>
      <c r="AC3" s="88">
        <f>GA!V95</f>
        <v>45078</v>
      </c>
      <c r="AD3" s="88">
        <f>GA!W95</f>
        <v>45170</v>
      </c>
      <c r="AE3" s="88">
        <f>GA!X95</f>
        <v>45261</v>
      </c>
      <c r="AF3" s="88">
        <f>GA!Y95</f>
        <v>45352</v>
      </c>
      <c r="AG3" s="88">
        <f>GA!Z95</f>
        <v>45444</v>
      </c>
      <c r="AH3" s="88">
        <f>GA!AA95</f>
        <v>45536</v>
      </c>
      <c r="AI3" s="88">
        <f>GA!AB95</f>
        <v>45627</v>
      </c>
      <c r="AJ3" s="88">
        <f>GA!AC95</f>
        <v>45717</v>
      </c>
      <c r="AK3" s="88">
        <f>GA!AD95</f>
        <v>45809</v>
      </c>
      <c r="AL3" s="88">
        <f>GA!AE95</f>
        <v>45901</v>
      </c>
      <c r="AM3" s="88">
        <f>GA!AF95</f>
        <v>45992</v>
      </c>
      <c r="AN3" s="88">
        <f>GA!AG95</f>
        <v>46082</v>
      </c>
      <c r="AO3" s="88">
        <f>GA!AH95</f>
        <v>46174</v>
      </c>
      <c r="AP3" s="88">
        <f>GA!AI95</f>
        <v>46266</v>
      </c>
      <c r="AQ3" s="88">
        <f>GA!AJ95</f>
        <v>46357</v>
      </c>
      <c r="AR3" s="88">
        <f>GA!AK95</f>
        <v>46447</v>
      </c>
      <c r="AS3" s="88">
        <f>GA!AL95</f>
        <v>46539</v>
      </c>
      <c r="AT3" s="88">
        <f>GA!AM95</f>
        <v>46631</v>
      </c>
      <c r="AU3" s="88">
        <f>GA!AN95</f>
        <v>46722</v>
      </c>
      <c r="AV3" s="88">
        <f>GA!AO95</f>
        <v>46813</v>
      </c>
      <c r="AW3" s="88">
        <f>GA!AP95</f>
        <v>46905</v>
      </c>
      <c r="AX3" s="88">
        <f>GA!AQ95</f>
        <v>46997</v>
      </c>
      <c r="AY3" s="88">
        <f>GA!AR95</f>
        <v>47088</v>
      </c>
      <c r="AZ3" s="88">
        <f>GA!AS95</f>
        <v>47178</v>
      </c>
      <c r="BA3" s="88">
        <f>GA!AT95</f>
        <v>47270</v>
      </c>
      <c r="BB3" s="88">
        <f>GA!AU95</f>
        <v>47362</v>
      </c>
      <c r="BC3" s="88">
        <f>GA!AV95</f>
        <v>47453</v>
      </c>
      <c r="BD3" s="88">
        <f>GA!AW95</f>
        <v>47543</v>
      </c>
      <c r="BE3" s="88">
        <f>GA!AX95</f>
        <v>47635</v>
      </c>
      <c r="BF3" s="88">
        <f>GA!AY95</f>
        <v>47727</v>
      </c>
      <c r="BG3" s="88">
        <f>GA!AZ95</f>
        <v>47818</v>
      </c>
    </row>
    <row r="4" spans="1:61" s="1" customFormat="1">
      <c r="P4" s="1" t="str">
        <f>GA!E96</f>
        <v>Deal Quarter End</v>
      </c>
      <c r="S4" s="88">
        <f>GA!L96</f>
        <v>44255</v>
      </c>
      <c r="T4" s="88">
        <f>GA!M96</f>
        <v>44347</v>
      </c>
      <c r="U4" s="88">
        <f>GA!N96</f>
        <v>44439</v>
      </c>
      <c r="V4" s="88">
        <f>GA!O96</f>
        <v>44530</v>
      </c>
      <c r="W4" s="88">
        <f>GA!P96</f>
        <v>44620</v>
      </c>
      <c r="X4" s="88">
        <f>GA!Q96</f>
        <v>44712</v>
      </c>
      <c r="Y4" s="88">
        <f>GA!R96</f>
        <v>44804</v>
      </c>
      <c r="Z4" s="88">
        <f>GA!S96</f>
        <v>44895</v>
      </c>
      <c r="AA4" s="88">
        <f>GA!T96</f>
        <v>44985</v>
      </c>
      <c r="AB4" s="88">
        <f>GA!U96</f>
        <v>45077</v>
      </c>
      <c r="AC4" s="88">
        <f>GA!V96</f>
        <v>45169</v>
      </c>
      <c r="AD4" s="88">
        <f>GA!W96</f>
        <v>45260</v>
      </c>
      <c r="AE4" s="88">
        <f>GA!X96</f>
        <v>45351</v>
      </c>
      <c r="AF4" s="88">
        <f>GA!Y96</f>
        <v>45443</v>
      </c>
      <c r="AG4" s="88">
        <f>GA!Z96</f>
        <v>45535</v>
      </c>
      <c r="AH4" s="88">
        <f>GA!AA96</f>
        <v>45626</v>
      </c>
      <c r="AI4" s="88">
        <f>GA!AB96</f>
        <v>45716</v>
      </c>
      <c r="AJ4" s="88">
        <f>GA!AC96</f>
        <v>45808</v>
      </c>
      <c r="AK4" s="88">
        <f>GA!AD96</f>
        <v>45900</v>
      </c>
      <c r="AL4" s="88">
        <f>GA!AE96</f>
        <v>45991</v>
      </c>
      <c r="AM4" s="88">
        <f>GA!AF96</f>
        <v>46081</v>
      </c>
      <c r="AN4" s="88">
        <f>GA!AG96</f>
        <v>46173</v>
      </c>
      <c r="AO4" s="88">
        <f>GA!AH96</f>
        <v>46265</v>
      </c>
      <c r="AP4" s="88">
        <f>GA!AI96</f>
        <v>46356</v>
      </c>
      <c r="AQ4" s="88">
        <f>GA!AJ96</f>
        <v>46446</v>
      </c>
      <c r="AR4" s="88">
        <f>GA!AK96</f>
        <v>46538</v>
      </c>
      <c r="AS4" s="88">
        <f>GA!AL96</f>
        <v>46630</v>
      </c>
      <c r="AT4" s="88">
        <f>GA!AM96</f>
        <v>46721</v>
      </c>
      <c r="AU4" s="88">
        <f>GA!AN96</f>
        <v>46812</v>
      </c>
      <c r="AV4" s="88">
        <f>GA!AO96</f>
        <v>46904</v>
      </c>
      <c r="AW4" s="88">
        <f>GA!AP96</f>
        <v>46996</v>
      </c>
      <c r="AX4" s="88">
        <f>GA!AQ96</f>
        <v>47087</v>
      </c>
      <c r="AY4" s="88">
        <f>GA!AR96</f>
        <v>47177</v>
      </c>
      <c r="AZ4" s="88">
        <f>GA!AS96</f>
        <v>47269</v>
      </c>
      <c r="BA4" s="88">
        <f>GA!AT96</f>
        <v>47361</v>
      </c>
      <c r="BB4" s="88">
        <f>GA!AU96</f>
        <v>47452</v>
      </c>
      <c r="BC4" s="88">
        <f>GA!AV96</f>
        <v>47542</v>
      </c>
      <c r="BD4" s="88">
        <f>GA!AW96</f>
        <v>47634</v>
      </c>
      <c r="BE4" s="88">
        <f>GA!AX96</f>
        <v>47726</v>
      </c>
      <c r="BF4" s="88">
        <f>GA!AY96</f>
        <v>47817</v>
      </c>
      <c r="BG4" s="88">
        <f>GA!AZ96</f>
        <v>47907</v>
      </c>
      <c r="BI4" s="1" t="s">
        <v>152</v>
      </c>
    </row>
    <row r="5" spans="1:61" s="1" customFormat="1">
      <c r="P5" s="1" t="str">
        <f>GA!E97</f>
        <v>Deal Quarter Count</v>
      </c>
      <c r="S5" s="89">
        <f>GA!L97</f>
        <v>0</v>
      </c>
      <c r="T5" s="89">
        <f>GA!M97</f>
        <v>1</v>
      </c>
      <c r="U5" s="89">
        <f>GA!N97</f>
        <v>2</v>
      </c>
      <c r="V5" s="89">
        <f>GA!O97</f>
        <v>3</v>
      </c>
      <c r="W5" s="89">
        <f>GA!P97</f>
        <v>4</v>
      </c>
      <c r="X5" s="89">
        <f>GA!Q97</f>
        <v>5</v>
      </c>
      <c r="Y5" s="89">
        <f>GA!R97</f>
        <v>6</v>
      </c>
      <c r="Z5" s="89">
        <f>GA!S97</f>
        <v>7</v>
      </c>
      <c r="AA5" s="89">
        <f>GA!T97</f>
        <v>8</v>
      </c>
      <c r="AB5" s="89">
        <f>GA!U97</f>
        <v>9</v>
      </c>
      <c r="AC5" s="89">
        <f>GA!V97</f>
        <v>10</v>
      </c>
      <c r="AD5" s="89">
        <f>GA!W97</f>
        <v>11</v>
      </c>
      <c r="AE5" s="89">
        <f>GA!X97</f>
        <v>12</v>
      </c>
      <c r="AF5" s="89">
        <f>GA!Y97</f>
        <v>13</v>
      </c>
      <c r="AG5" s="89">
        <f>GA!Z97</f>
        <v>14</v>
      </c>
      <c r="AH5" s="89">
        <f>GA!AA97</f>
        <v>15</v>
      </c>
      <c r="AI5" s="89">
        <f>GA!AB97</f>
        <v>16</v>
      </c>
      <c r="AJ5" s="89">
        <f>GA!AC97</f>
        <v>17</v>
      </c>
      <c r="AK5" s="89">
        <f>GA!AD97</f>
        <v>18</v>
      </c>
      <c r="AL5" s="89">
        <f>GA!AE97</f>
        <v>19</v>
      </c>
      <c r="AM5" s="89">
        <f>GA!AF97</f>
        <v>20</v>
      </c>
      <c r="AN5" s="89">
        <f>GA!AG97</f>
        <v>21</v>
      </c>
      <c r="AO5" s="89">
        <f>GA!AH97</f>
        <v>22</v>
      </c>
      <c r="AP5" s="89">
        <f>GA!AI97</f>
        <v>23</v>
      </c>
      <c r="AQ5" s="89">
        <f>GA!AJ97</f>
        <v>24</v>
      </c>
      <c r="AR5" s="89">
        <f>GA!AK97</f>
        <v>25</v>
      </c>
      <c r="AS5" s="89">
        <f>GA!AL97</f>
        <v>26</v>
      </c>
      <c r="AT5" s="89">
        <f>GA!AM97</f>
        <v>27</v>
      </c>
      <c r="AU5" s="89">
        <f>GA!AN97</f>
        <v>28</v>
      </c>
      <c r="AV5" s="89">
        <f>GA!AO97</f>
        <v>29</v>
      </c>
      <c r="AW5" s="89">
        <f>GA!AP97</f>
        <v>30</v>
      </c>
      <c r="AX5" s="89">
        <f>GA!AQ97</f>
        <v>31</v>
      </c>
      <c r="AY5" s="89">
        <f>GA!AR97</f>
        <v>32</v>
      </c>
      <c r="AZ5" s="89">
        <f>GA!AS97</f>
        <v>33</v>
      </c>
      <c r="BA5" s="89">
        <f>GA!AT97</f>
        <v>34</v>
      </c>
      <c r="BB5" s="89">
        <f>GA!AU97</f>
        <v>35</v>
      </c>
      <c r="BC5" s="89">
        <f>GA!AV97</f>
        <v>36</v>
      </c>
      <c r="BD5" s="89">
        <f>GA!AW97</f>
        <v>37</v>
      </c>
      <c r="BE5" s="89">
        <f>GA!AX97</f>
        <v>38</v>
      </c>
      <c r="BF5" s="89">
        <f>GA!AY97</f>
        <v>39</v>
      </c>
      <c r="BG5" s="89">
        <f>GA!AZ97</f>
        <v>40</v>
      </c>
    </row>
    <row r="6" spans="1:61" s="1" customFormat="1" outlineLevel="1">
      <c r="P6" s="1" t="str">
        <f>GA!E98</f>
        <v>Days in Period (30/360)</v>
      </c>
      <c r="S6" s="89">
        <f>GA!L98</f>
        <v>57</v>
      </c>
      <c r="T6" s="89">
        <f>GA!M98</f>
        <v>90</v>
      </c>
      <c r="U6" s="89">
        <f>GA!N98</f>
        <v>90</v>
      </c>
      <c r="V6" s="89">
        <f>GA!O98</f>
        <v>90</v>
      </c>
      <c r="W6" s="89">
        <f>GA!P98</f>
        <v>88</v>
      </c>
      <c r="X6" s="89">
        <f>GA!Q98</f>
        <v>90</v>
      </c>
      <c r="Y6" s="89">
        <f>GA!R98</f>
        <v>90</v>
      </c>
      <c r="Z6" s="89">
        <f>GA!S98</f>
        <v>90</v>
      </c>
      <c r="AA6" s="89">
        <f>GA!T98</f>
        <v>88</v>
      </c>
      <c r="AB6" s="89">
        <f>GA!U98</f>
        <v>90</v>
      </c>
      <c r="AC6" s="89">
        <f>GA!V98</f>
        <v>90</v>
      </c>
      <c r="AD6" s="89">
        <f>GA!W98</f>
        <v>90</v>
      </c>
      <c r="AE6" s="89">
        <f>GA!X98</f>
        <v>89</v>
      </c>
      <c r="AF6" s="89">
        <f>GA!Y98</f>
        <v>90</v>
      </c>
      <c r="AG6" s="89">
        <f>GA!Z98</f>
        <v>90</v>
      </c>
      <c r="AH6" s="89">
        <f>GA!AA98</f>
        <v>90</v>
      </c>
      <c r="AI6" s="89">
        <f>GA!AB98</f>
        <v>88</v>
      </c>
      <c r="AJ6" s="89">
        <f>GA!AC98</f>
        <v>90</v>
      </c>
      <c r="AK6" s="89">
        <f>GA!AD98</f>
        <v>90</v>
      </c>
      <c r="AL6" s="89">
        <f>GA!AE98</f>
        <v>90</v>
      </c>
      <c r="AM6" s="89">
        <f>GA!AF98</f>
        <v>88</v>
      </c>
      <c r="AN6" s="89">
        <f>GA!AG98</f>
        <v>90</v>
      </c>
      <c r="AO6" s="89">
        <f>GA!AH98</f>
        <v>90</v>
      </c>
      <c r="AP6" s="89">
        <f>GA!AI98</f>
        <v>90</v>
      </c>
      <c r="AQ6" s="89">
        <f>GA!AJ98</f>
        <v>88</v>
      </c>
      <c r="AR6" s="89">
        <f>GA!AK98</f>
        <v>90</v>
      </c>
      <c r="AS6" s="89">
        <f>GA!AL98</f>
        <v>90</v>
      </c>
      <c r="AT6" s="89">
        <f>GA!AM98</f>
        <v>90</v>
      </c>
      <c r="AU6" s="89">
        <f>GA!AN98</f>
        <v>89</v>
      </c>
      <c r="AV6" s="89">
        <f>GA!AO98</f>
        <v>90</v>
      </c>
      <c r="AW6" s="89">
        <f>GA!AP98</f>
        <v>90</v>
      </c>
      <c r="AX6" s="89">
        <f>GA!AQ98</f>
        <v>90</v>
      </c>
      <c r="AY6" s="89">
        <f>GA!AR98</f>
        <v>88</v>
      </c>
      <c r="AZ6" s="89">
        <f>GA!AS98</f>
        <v>90</v>
      </c>
      <c r="BA6" s="89">
        <f>GA!AT98</f>
        <v>90</v>
      </c>
      <c r="BB6" s="89">
        <f>GA!AU98</f>
        <v>90</v>
      </c>
      <c r="BC6" s="89">
        <f>GA!AV98</f>
        <v>88</v>
      </c>
      <c r="BD6" s="89">
        <f>GA!AW98</f>
        <v>90</v>
      </c>
      <c r="BE6" s="89">
        <f>GA!AX98</f>
        <v>90</v>
      </c>
      <c r="BF6" s="89">
        <f>GA!AY98</f>
        <v>90</v>
      </c>
      <c r="BG6" s="89">
        <f>GA!AZ98</f>
        <v>88</v>
      </c>
    </row>
    <row r="7" spans="1:61" s="1" customFormat="1" outlineLevel="1">
      <c r="P7" s="1" t="str">
        <f>GA!E99</f>
        <v>Days in Period (Act/Act)</v>
      </c>
      <c r="S7" s="89">
        <f>GA!L99</f>
        <v>58</v>
      </c>
      <c r="T7" s="89">
        <f>GA!M99</f>
        <v>92</v>
      </c>
      <c r="U7" s="89">
        <f>GA!N99</f>
        <v>92</v>
      </c>
      <c r="V7" s="89">
        <f>GA!O99</f>
        <v>91</v>
      </c>
      <c r="W7" s="89">
        <f>GA!P99</f>
        <v>90</v>
      </c>
      <c r="X7" s="89">
        <f>GA!Q99</f>
        <v>92</v>
      </c>
      <c r="Y7" s="89">
        <f>GA!R99</f>
        <v>92</v>
      </c>
      <c r="Z7" s="89">
        <f>GA!S99</f>
        <v>91</v>
      </c>
      <c r="AA7" s="89">
        <f>GA!T99</f>
        <v>90</v>
      </c>
      <c r="AB7" s="89">
        <f>GA!U99</f>
        <v>92</v>
      </c>
      <c r="AC7" s="89">
        <f>GA!V99</f>
        <v>92</v>
      </c>
      <c r="AD7" s="89">
        <f>GA!W99</f>
        <v>91</v>
      </c>
      <c r="AE7" s="89">
        <f>GA!X99</f>
        <v>91</v>
      </c>
      <c r="AF7" s="89">
        <f>GA!Y99</f>
        <v>92</v>
      </c>
      <c r="AG7" s="89">
        <f>GA!Z99</f>
        <v>92</v>
      </c>
      <c r="AH7" s="89">
        <f>GA!AA99</f>
        <v>91</v>
      </c>
      <c r="AI7" s="89">
        <f>GA!AB99</f>
        <v>90</v>
      </c>
      <c r="AJ7" s="89">
        <f>GA!AC99</f>
        <v>92</v>
      </c>
      <c r="AK7" s="89">
        <f>GA!AD99</f>
        <v>92</v>
      </c>
      <c r="AL7" s="89">
        <f>GA!AE99</f>
        <v>91</v>
      </c>
      <c r="AM7" s="89">
        <f>GA!AF99</f>
        <v>90</v>
      </c>
      <c r="AN7" s="89">
        <f>GA!AG99</f>
        <v>92</v>
      </c>
      <c r="AO7" s="89">
        <f>GA!AH99</f>
        <v>92</v>
      </c>
      <c r="AP7" s="89">
        <f>GA!AI99</f>
        <v>91</v>
      </c>
      <c r="AQ7" s="89">
        <f>GA!AJ99</f>
        <v>90</v>
      </c>
      <c r="AR7" s="89">
        <f>GA!AK99</f>
        <v>92</v>
      </c>
      <c r="AS7" s="89">
        <f>GA!AL99</f>
        <v>92</v>
      </c>
      <c r="AT7" s="89">
        <f>GA!AM99</f>
        <v>91</v>
      </c>
      <c r="AU7" s="89">
        <f>GA!AN99</f>
        <v>91</v>
      </c>
      <c r="AV7" s="89">
        <f>GA!AO99</f>
        <v>92</v>
      </c>
      <c r="AW7" s="89">
        <f>GA!AP99</f>
        <v>92</v>
      </c>
      <c r="AX7" s="89">
        <f>GA!AQ99</f>
        <v>91</v>
      </c>
      <c r="AY7" s="89">
        <f>GA!AR99</f>
        <v>90</v>
      </c>
      <c r="AZ7" s="89">
        <f>GA!AS99</f>
        <v>92</v>
      </c>
      <c r="BA7" s="89">
        <f>GA!AT99</f>
        <v>92</v>
      </c>
      <c r="BB7" s="89">
        <f>GA!AU99</f>
        <v>91</v>
      </c>
      <c r="BC7" s="89">
        <f>GA!AV99</f>
        <v>90</v>
      </c>
      <c r="BD7" s="89">
        <f>GA!AW99</f>
        <v>92</v>
      </c>
      <c r="BE7" s="89">
        <f>GA!AX99</f>
        <v>92</v>
      </c>
      <c r="BF7" s="89">
        <f>GA!AY99</f>
        <v>91</v>
      </c>
      <c r="BG7" s="89">
        <f>GA!AZ99</f>
        <v>90</v>
      </c>
    </row>
    <row r="8" spans="1:61" s="1" customFormat="1" outlineLevel="1">
      <c r="P8" s="1" t="str">
        <f>GA!E100</f>
        <v>Deal Year</v>
      </c>
      <c r="S8" s="89">
        <f>GA!L100</f>
        <v>0</v>
      </c>
      <c r="T8" s="89">
        <f>GA!M100</f>
        <v>1</v>
      </c>
      <c r="U8" s="89">
        <f>GA!N100</f>
        <v>1</v>
      </c>
      <c r="V8" s="89">
        <f>GA!O100</f>
        <v>1</v>
      </c>
      <c r="W8" s="89">
        <f>GA!P100</f>
        <v>1</v>
      </c>
      <c r="X8" s="89">
        <f>GA!Q100</f>
        <v>2</v>
      </c>
      <c r="Y8" s="89">
        <f>GA!R100</f>
        <v>2</v>
      </c>
      <c r="Z8" s="89">
        <f>GA!S100</f>
        <v>2</v>
      </c>
      <c r="AA8" s="89">
        <f>GA!T100</f>
        <v>2</v>
      </c>
      <c r="AB8" s="89">
        <f>GA!U100</f>
        <v>3</v>
      </c>
      <c r="AC8" s="89">
        <f>GA!V100</f>
        <v>3</v>
      </c>
      <c r="AD8" s="89">
        <f>GA!W100</f>
        <v>3</v>
      </c>
      <c r="AE8" s="89">
        <f>GA!X100</f>
        <v>3</v>
      </c>
      <c r="AF8" s="89">
        <f>GA!Y100</f>
        <v>4</v>
      </c>
      <c r="AG8" s="89">
        <f>GA!Z100</f>
        <v>4</v>
      </c>
      <c r="AH8" s="89">
        <f>GA!AA100</f>
        <v>4</v>
      </c>
      <c r="AI8" s="89">
        <f>GA!AB100</f>
        <v>4</v>
      </c>
      <c r="AJ8" s="89">
        <f>GA!AC100</f>
        <v>5</v>
      </c>
      <c r="AK8" s="89">
        <f>GA!AD100</f>
        <v>5</v>
      </c>
      <c r="AL8" s="89">
        <f>GA!AE100</f>
        <v>5</v>
      </c>
      <c r="AM8" s="89">
        <f>GA!AF100</f>
        <v>5</v>
      </c>
      <c r="AN8" s="89">
        <f>GA!AG100</f>
        <v>6</v>
      </c>
      <c r="AO8" s="89">
        <f>GA!AH100</f>
        <v>6</v>
      </c>
      <c r="AP8" s="89">
        <f>GA!AI100</f>
        <v>6</v>
      </c>
      <c r="AQ8" s="89">
        <f>GA!AJ100</f>
        <v>6</v>
      </c>
      <c r="AR8" s="89">
        <f>GA!AK100</f>
        <v>7</v>
      </c>
      <c r="AS8" s="89">
        <f>GA!AL100</f>
        <v>7</v>
      </c>
      <c r="AT8" s="89">
        <f>GA!AM100</f>
        <v>7</v>
      </c>
      <c r="AU8" s="89">
        <f>GA!AN100</f>
        <v>7</v>
      </c>
      <c r="AV8" s="89">
        <f>GA!AO100</f>
        <v>8</v>
      </c>
      <c r="AW8" s="89">
        <f>GA!AP100</f>
        <v>8</v>
      </c>
      <c r="AX8" s="89">
        <f>GA!AQ100</f>
        <v>8</v>
      </c>
      <c r="AY8" s="89">
        <f>GA!AR100</f>
        <v>8</v>
      </c>
      <c r="AZ8" s="89">
        <f>GA!AS100</f>
        <v>9</v>
      </c>
      <c r="BA8" s="89">
        <f>GA!AT100</f>
        <v>9</v>
      </c>
      <c r="BB8" s="89">
        <f>GA!AU100</f>
        <v>9</v>
      </c>
      <c r="BC8" s="89">
        <f>GA!AV100</f>
        <v>9</v>
      </c>
      <c r="BD8" s="89">
        <f>GA!AW100</f>
        <v>10</v>
      </c>
      <c r="BE8" s="89">
        <f>GA!AX100</f>
        <v>10</v>
      </c>
      <c r="BF8" s="89">
        <f>GA!AY100</f>
        <v>10</v>
      </c>
      <c r="BG8" s="89">
        <f>GA!AZ100</f>
        <v>10</v>
      </c>
    </row>
    <row r="9" spans="1:61" s="1" customFormat="1" outlineLevel="1">
      <c r="P9" s="1" t="str">
        <f>GA!E101</f>
        <v>Calendar Quarter</v>
      </c>
      <c r="S9" s="89">
        <f>GA!L101</f>
        <v>1</v>
      </c>
      <c r="T9" s="89">
        <f>GA!M101</f>
        <v>1</v>
      </c>
      <c r="U9" s="89">
        <f>GA!N101</f>
        <v>2</v>
      </c>
      <c r="V9" s="89">
        <f>GA!O101</f>
        <v>3</v>
      </c>
      <c r="W9" s="89">
        <f>GA!P101</f>
        <v>4</v>
      </c>
      <c r="X9" s="89">
        <f>GA!Q101</f>
        <v>1</v>
      </c>
      <c r="Y9" s="89">
        <f>GA!R101</f>
        <v>2</v>
      </c>
      <c r="Z9" s="89">
        <f>GA!S101</f>
        <v>3</v>
      </c>
      <c r="AA9" s="89">
        <f>GA!T101</f>
        <v>4</v>
      </c>
      <c r="AB9" s="89">
        <f>GA!U101</f>
        <v>1</v>
      </c>
      <c r="AC9" s="89">
        <f>GA!V101</f>
        <v>2</v>
      </c>
      <c r="AD9" s="89">
        <f>GA!W101</f>
        <v>3</v>
      </c>
      <c r="AE9" s="89">
        <f>GA!X101</f>
        <v>4</v>
      </c>
      <c r="AF9" s="89">
        <f>GA!Y101</f>
        <v>1</v>
      </c>
      <c r="AG9" s="89">
        <f>GA!Z101</f>
        <v>2</v>
      </c>
      <c r="AH9" s="89">
        <f>GA!AA101</f>
        <v>3</v>
      </c>
      <c r="AI9" s="89">
        <f>GA!AB101</f>
        <v>4</v>
      </c>
      <c r="AJ9" s="89">
        <f>GA!AC101</f>
        <v>1</v>
      </c>
      <c r="AK9" s="89">
        <f>GA!AD101</f>
        <v>2</v>
      </c>
      <c r="AL9" s="89">
        <f>GA!AE101</f>
        <v>3</v>
      </c>
      <c r="AM9" s="89">
        <f>GA!AF101</f>
        <v>4</v>
      </c>
      <c r="AN9" s="89">
        <f>GA!AG101</f>
        <v>1</v>
      </c>
      <c r="AO9" s="89">
        <f>GA!AH101</f>
        <v>2</v>
      </c>
      <c r="AP9" s="89">
        <f>GA!AI101</f>
        <v>3</v>
      </c>
      <c r="AQ9" s="89">
        <f>GA!AJ101</f>
        <v>4</v>
      </c>
      <c r="AR9" s="89">
        <f>GA!AK101</f>
        <v>1</v>
      </c>
      <c r="AS9" s="89">
        <f>GA!AL101</f>
        <v>2</v>
      </c>
      <c r="AT9" s="89">
        <f>GA!AM101</f>
        <v>3</v>
      </c>
      <c r="AU9" s="89">
        <f>GA!AN101</f>
        <v>4</v>
      </c>
      <c r="AV9" s="89">
        <f>GA!AO101</f>
        <v>1</v>
      </c>
      <c r="AW9" s="89">
        <f>GA!AP101</f>
        <v>2</v>
      </c>
      <c r="AX9" s="89">
        <f>GA!AQ101</f>
        <v>3</v>
      </c>
      <c r="AY9" s="89">
        <f>GA!AR101</f>
        <v>4</v>
      </c>
      <c r="AZ9" s="89">
        <f>GA!AS101</f>
        <v>1</v>
      </c>
      <c r="BA9" s="89">
        <f>GA!AT101</f>
        <v>2</v>
      </c>
      <c r="BB9" s="89">
        <f>GA!AU101</f>
        <v>3</v>
      </c>
      <c r="BC9" s="89">
        <f>GA!AV101</f>
        <v>4</v>
      </c>
      <c r="BD9" s="89">
        <f>GA!AW101</f>
        <v>1</v>
      </c>
      <c r="BE9" s="89">
        <f>GA!AX101</f>
        <v>2</v>
      </c>
      <c r="BF9" s="89">
        <f>GA!AY101</f>
        <v>3</v>
      </c>
      <c r="BG9" s="89">
        <f>GA!AZ101</f>
        <v>4</v>
      </c>
    </row>
    <row r="10" spans="1:61" s="1" customFormat="1" outlineLevel="1">
      <c r="P10" s="1" t="str">
        <f>GA!E102</f>
        <v>Calendar Year</v>
      </c>
      <c r="S10" s="89">
        <f>GA!L102</f>
        <v>2021</v>
      </c>
      <c r="T10" s="89">
        <f>GA!M102</f>
        <v>2021</v>
      </c>
      <c r="U10" s="89">
        <f>GA!N102</f>
        <v>2021</v>
      </c>
      <c r="V10" s="89">
        <f>GA!O102</f>
        <v>2021</v>
      </c>
      <c r="W10" s="89">
        <f>GA!P102</f>
        <v>2022</v>
      </c>
      <c r="X10" s="89">
        <f>GA!Q102</f>
        <v>2022</v>
      </c>
      <c r="Y10" s="89">
        <f>GA!R102</f>
        <v>2022</v>
      </c>
      <c r="Z10" s="89">
        <f>GA!S102</f>
        <v>2022</v>
      </c>
      <c r="AA10" s="89">
        <f>GA!T102</f>
        <v>2023</v>
      </c>
      <c r="AB10" s="89">
        <f>GA!U102</f>
        <v>2023</v>
      </c>
      <c r="AC10" s="89">
        <f>GA!V102</f>
        <v>2023</v>
      </c>
      <c r="AD10" s="89">
        <f>GA!W102</f>
        <v>2023</v>
      </c>
      <c r="AE10" s="89">
        <f>GA!X102</f>
        <v>2024</v>
      </c>
      <c r="AF10" s="89">
        <f>GA!Y102</f>
        <v>2024</v>
      </c>
      <c r="AG10" s="89">
        <f>GA!Z102</f>
        <v>2024</v>
      </c>
      <c r="AH10" s="89">
        <f>GA!AA102</f>
        <v>2024</v>
      </c>
      <c r="AI10" s="89">
        <f>GA!AB102</f>
        <v>2025</v>
      </c>
      <c r="AJ10" s="89">
        <f>GA!AC102</f>
        <v>2025</v>
      </c>
      <c r="AK10" s="89">
        <f>GA!AD102</f>
        <v>2025</v>
      </c>
      <c r="AL10" s="89">
        <f>GA!AE102</f>
        <v>2025</v>
      </c>
      <c r="AM10" s="89">
        <f>GA!AF102</f>
        <v>2026</v>
      </c>
      <c r="AN10" s="89">
        <f>GA!AG102</f>
        <v>2026</v>
      </c>
      <c r="AO10" s="89">
        <f>GA!AH102</f>
        <v>2026</v>
      </c>
      <c r="AP10" s="89">
        <f>GA!AI102</f>
        <v>2026</v>
      </c>
      <c r="AQ10" s="89">
        <f>GA!AJ102</f>
        <v>2027</v>
      </c>
      <c r="AR10" s="89">
        <f>GA!AK102</f>
        <v>2027</v>
      </c>
      <c r="AS10" s="89">
        <f>GA!AL102</f>
        <v>2027</v>
      </c>
      <c r="AT10" s="89">
        <f>GA!AM102</f>
        <v>2027</v>
      </c>
      <c r="AU10" s="89">
        <f>GA!AN102</f>
        <v>2028</v>
      </c>
      <c r="AV10" s="89">
        <f>GA!AO102</f>
        <v>2028</v>
      </c>
      <c r="AW10" s="89">
        <f>GA!AP102</f>
        <v>2028</v>
      </c>
      <c r="AX10" s="89">
        <f>GA!AQ102</f>
        <v>2028</v>
      </c>
      <c r="AY10" s="89">
        <f>GA!AR102</f>
        <v>2029</v>
      </c>
      <c r="AZ10" s="89">
        <f>GA!AS102</f>
        <v>2029</v>
      </c>
      <c r="BA10" s="89">
        <f>GA!AT102</f>
        <v>2029</v>
      </c>
      <c r="BB10" s="89">
        <f>GA!AU102</f>
        <v>2029</v>
      </c>
      <c r="BC10" s="89">
        <f>GA!AV102</f>
        <v>2030</v>
      </c>
      <c r="BD10" s="89">
        <f>GA!AW102</f>
        <v>2030</v>
      </c>
      <c r="BE10" s="89">
        <f>GA!AX102</f>
        <v>2030</v>
      </c>
      <c r="BF10" s="89">
        <f>GA!AY102</f>
        <v>2030</v>
      </c>
      <c r="BG10" s="89">
        <f>GA!AZ102</f>
        <v>2031</v>
      </c>
    </row>
    <row r="12" spans="1:61" s="90" customFormat="1">
      <c r="B12" s="91">
        <f ca="1">MAX(A$1:$B11)+1</f>
        <v>1</v>
      </c>
      <c r="C12" s="92" t="s">
        <v>400</v>
      </c>
    </row>
    <row r="14" spans="1:61">
      <c r="C14" t="s">
        <v>401</v>
      </c>
      <c r="K14" s="318">
        <f>GA!$F$145</f>
        <v>1.8697495154929022E-3</v>
      </c>
      <c r="S14" s="207">
        <v>1</v>
      </c>
      <c r="T14" s="319">
        <f>S14*(1+$K14)</f>
        <v>1.0018697495154929</v>
      </c>
      <c r="U14" s="319">
        <f t="shared" ref="U14:BG14" si="0">T14*(1+$K14)</f>
        <v>1.0037429949942365</v>
      </c>
      <c r="V14" s="319">
        <f t="shared" si="0"/>
        <v>1.0056197429728064</v>
      </c>
      <c r="W14" s="319">
        <f t="shared" si="0"/>
        <v>1.0074999999999998</v>
      </c>
      <c r="X14" s="319">
        <f t="shared" si="0"/>
        <v>1.0093837726368589</v>
      </c>
      <c r="Y14" s="319">
        <f t="shared" si="0"/>
        <v>1.0112710674566929</v>
      </c>
      <c r="Z14" s="319">
        <f t="shared" si="0"/>
        <v>1.0131618910451021</v>
      </c>
      <c r="AA14" s="319">
        <f t="shared" si="0"/>
        <v>1.0150562499999995</v>
      </c>
      <c r="AB14" s="319">
        <f t="shared" si="0"/>
        <v>1.0169541509316351</v>
      </c>
      <c r="AC14" s="319">
        <f t="shared" si="0"/>
        <v>1.0188556004626179</v>
      </c>
      <c r="AD14" s="319">
        <f t="shared" si="0"/>
        <v>1.0207606052279401</v>
      </c>
      <c r="AE14" s="319">
        <f t="shared" si="0"/>
        <v>1.0226691718749992</v>
      </c>
      <c r="AF14" s="319">
        <f t="shared" si="0"/>
        <v>1.024581307063622</v>
      </c>
      <c r="AG14" s="319">
        <f t="shared" si="0"/>
        <v>1.0264970174660872</v>
      </c>
      <c r="AH14" s="319">
        <f t="shared" si="0"/>
        <v>1.0284163097671493</v>
      </c>
      <c r="AI14" s="319">
        <f t="shared" si="0"/>
        <v>1.0303391906640613</v>
      </c>
      <c r="AJ14" s="319">
        <f t="shared" si="0"/>
        <v>1.0322656668665988</v>
      </c>
      <c r="AK14" s="319">
        <f t="shared" si="0"/>
        <v>1.0341957450970827</v>
      </c>
      <c r="AL14" s="319">
        <f t="shared" si="0"/>
        <v>1.0361294320904029</v>
      </c>
      <c r="AM14" s="319">
        <f t="shared" si="0"/>
        <v>1.0380667345940418</v>
      </c>
      <c r="AN14" s="319">
        <f t="shared" si="0"/>
        <v>1.0400076593680982</v>
      </c>
      <c r="AO14" s="319">
        <f t="shared" si="0"/>
        <v>1.0419522131853107</v>
      </c>
      <c r="AP14" s="319">
        <f t="shared" si="0"/>
        <v>1.0439004028310808</v>
      </c>
      <c r="AQ14" s="319">
        <f t="shared" si="0"/>
        <v>1.0458522351034971</v>
      </c>
      <c r="AR14" s="319">
        <f t="shared" si="0"/>
        <v>1.047807716813359</v>
      </c>
      <c r="AS14" s="319">
        <f t="shared" si="0"/>
        <v>1.0497668547842005</v>
      </c>
      <c r="AT14" s="319">
        <f t="shared" si="0"/>
        <v>1.0517296558523137</v>
      </c>
      <c r="AU14" s="319">
        <f t="shared" si="0"/>
        <v>1.0536961268667731</v>
      </c>
      <c r="AV14" s="319">
        <f t="shared" si="0"/>
        <v>1.0556662746894589</v>
      </c>
      <c r="AW14" s="319">
        <f t="shared" si="0"/>
        <v>1.0576401061950818</v>
      </c>
      <c r="AX14" s="319">
        <f t="shared" si="0"/>
        <v>1.0596176282712058</v>
      </c>
      <c r="AY14" s="319">
        <f t="shared" si="0"/>
        <v>1.0615988478182736</v>
      </c>
      <c r="AZ14" s="319">
        <f t="shared" si="0"/>
        <v>1.0635837717496297</v>
      </c>
      <c r="BA14" s="319">
        <f t="shared" si="0"/>
        <v>1.0655724069915447</v>
      </c>
      <c r="BB14" s="319">
        <f t="shared" si="0"/>
        <v>1.0675647604832397</v>
      </c>
      <c r="BC14" s="319">
        <f t="shared" si="0"/>
        <v>1.0695608391769105</v>
      </c>
      <c r="BD14" s="319">
        <f t="shared" si="0"/>
        <v>1.0715606500377517</v>
      </c>
      <c r="BE14" s="319">
        <f t="shared" si="0"/>
        <v>1.0735642000439811</v>
      </c>
      <c r="BF14" s="319">
        <f t="shared" si="0"/>
        <v>1.0755714961868639</v>
      </c>
      <c r="BG14" s="319">
        <f t="shared" si="0"/>
        <v>1.0775825454707373</v>
      </c>
    </row>
    <row r="15" spans="1:61">
      <c r="C15" t="s">
        <v>402</v>
      </c>
      <c r="K15" s="278" t="str">
        <f>GA!$G$143</f>
        <v>Quarterly</v>
      </c>
      <c r="S15" s="207">
        <v>1</v>
      </c>
      <c r="T15" s="319">
        <f>IF(K15="Annually",IF(T$9=1,T14,S15),T14)</f>
        <v>1.0018697495154929</v>
      </c>
      <c r="U15" s="319">
        <f t="shared" ref="U15:BG15" si="1">IF(L15="Annually",IF(U$9=1,U14,T15),U14)</f>
        <v>1.0037429949942365</v>
      </c>
      <c r="V15" s="319">
        <f t="shared" si="1"/>
        <v>1.0056197429728064</v>
      </c>
      <c r="W15" s="319">
        <f t="shared" si="1"/>
        <v>1.0074999999999998</v>
      </c>
      <c r="X15" s="319">
        <f t="shared" si="1"/>
        <v>1.0093837726368589</v>
      </c>
      <c r="Y15" s="319">
        <f t="shared" si="1"/>
        <v>1.0112710674566929</v>
      </c>
      <c r="Z15" s="319">
        <f t="shared" si="1"/>
        <v>1.0131618910451021</v>
      </c>
      <c r="AA15" s="319">
        <f t="shared" si="1"/>
        <v>1.0150562499999995</v>
      </c>
      <c r="AB15" s="319">
        <f t="shared" si="1"/>
        <v>1.0169541509316351</v>
      </c>
      <c r="AC15" s="319">
        <f t="shared" si="1"/>
        <v>1.0188556004626179</v>
      </c>
      <c r="AD15" s="319">
        <f t="shared" si="1"/>
        <v>1.0207606052279401</v>
      </c>
      <c r="AE15" s="319">
        <f t="shared" si="1"/>
        <v>1.0226691718749992</v>
      </c>
      <c r="AF15" s="319">
        <f t="shared" si="1"/>
        <v>1.024581307063622</v>
      </c>
      <c r="AG15" s="319">
        <f t="shared" si="1"/>
        <v>1.0264970174660872</v>
      </c>
      <c r="AH15" s="319">
        <f t="shared" si="1"/>
        <v>1.0284163097671493</v>
      </c>
      <c r="AI15" s="319">
        <f t="shared" si="1"/>
        <v>1.0303391906640613</v>
      </c>
      <c r="AJ15" s="319">
        <f t="shared" si="1"/>
        <v>1.0322656668665988</v>
      </c>
      <c r="AK15" s="319">
        <f t="shared" si="1"/>
        <v>1.0341957450970827</v>
      </c>
      <c r="AL15" s="319">
        <f t="shared" si="1"/>
        <v>1.0361294320904029</v>
      </c>
      <c r="AM15" s="319">
        <f t="shared" si="1"/>
        <v>1.0380667345940418</v>
      </c>
      <c r="AN15" s="319">
        <f t="shared" si="1"/>
        <v>1.0400076593680982</v>
      </c>
      <c r="AO15" s="319">
        <f t="shared" si="1"/>
        <v>1.0419522131853107</v>
      </c>
      <c r="AP15" s="319">
        <f t="shared" si="1"/>
        <v>1.0439004028310808</v>
      </c>
      <c r="AQ15" s="319">
        <f t="shared" si="1"/>
        <v>1.0458522351034971</v>
      </c>
      <c r="AR15" s="319">
        <f t="shared" si="1"/>
        <v>1.047807716813359</v>
      </c>
      <c r="AS15" s="319">
        <f t="shared" si="1"/>
        <v>1.0497668547842005</v>
      </c>
      <c r="AT15" s="319">
        <f t="shared" si="1"/>
        <v>1.0517296558523137</v>
      </c>
      <c r="AU15" s="319">
        <f t="shared" si="1"/>
        <v>1.0536961268667731</v>
      </c>
      <c r="AV15" s="319">
        <f t="shared" si="1"/>
        <v>1.0556662746894589</v>
      </c>
      <c r="AW15" s="319">
        <f t="shared" si="1"/>
        <v>1.0576401061950818</v>
      </c>
      <c r="AX15" s="319">
        <f t="shared" si="1"/>
        <v>1.0596176282712058</v>
      </c>
      <c r="AY15" s="319">
        <f t="shared" si="1"/>
        <v>1.0615988478182736</v>
      </c>
      <c r="AZ15" s="319">
        <f t="shared" si="1"/>
        <v>1.0635837717496297</v>
      </c>
      <c r="BA15" s="319">
        <f t="shared" si="1"/>
        <v>1.0655724069915447</v>
      </c>
      <c r="BB15" s="319">
        <f t="shared" si="1"/>
        <v>1.0675647604832397</v>
      </c>
      <c r="BC15" s="319">
        <f t="shared" si="1"/>
        <v>1.0695608391769105</v>
      </c>
      <c r="BD15" s="319">
        <f t="shared" si="1"/>
        <v>1.0715606500377517</v>
      </c>
      <c r="BE15" s="319">
        <f t="shared" si="1"/>
        <v>1.0735642000439811</v>
      </c>
      <c r="BF15" s="319">
        <f t="shared" si="1"/>
        <v>1.0755714961868639</v>
      </c>
      <c r="BG15" s="319">
        <f t="shared" si="1"/>
        <v>1.0775825454707373</v>
      </c>
    </row>
    <row r="17" spans="2:63" s="90" customFormat="1">
      <c r="B17" s="91">
        <f ca="1">MAX(A$1:$B16)+1</f>
        <v>2</v>
      </c>
      <c r="C17" s="92" t="s">
        <v>147</v>
      </c>
    </row>
    <row r="19" spans="2:63" ht="30">
      <c r="C19" s="96" t="s">
        <v>4</v>
      </c>
      <c r="D19" s="97" t="s">
        <v>148</v>
      </c>
      <c r="E19" s="95"/>
      <c r="F19" s="97" t="s">
        <v>149</v>
      </c>
      <c r="G19" s="95"/>
      <c r="H19" s="97" t="s">
        <v>150</v>
      </c>
      <c r="I19" s="95"/>
      <c r="J19" s="97" t="s">
        <v>272</v>
      </c>
      <c r="K19" s="97" t="s">
        <v>1711</v>
      </c>
      <c r="L19" s="95"/>
      <c r="M19" s="101" t="s">
        <v>151</v>
      </c>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104" t="s">
        <v>152</v>
      </c>
      <c r="BJ19" s="95"/>
      <c r="BK19" s="102"/>
    </row>
    <row r="20" spans="2:63">
      <c r="C20" s="98">
        <f>RR!C23</f>
        <v>1</v>
      </c>
      <c r="D20" s="98" t="str">
        <f>RR!E23</f>
        <v>1 - 1</v>
      </c>
      <c r="F20" s="93" t="str">
        <f>INDEX(RR!K:K,MATCH(D20,RR!E:E,0))</f>
        <v>backup</v>
      </c>
      <c r="H20" s="72" t="s">
        <v>147</v>
      </c>
      <c r="J20" s="1324">
        <f>INDEX(AA!E:E,MATCH($C20,AA!C:C,0))</f>
        <v>1</v>
      </c>
      <c r="K20" s="1324">
        <f>INDEX(AA!$T$13:$T$47,MATCH($C20,AA!$C$13:$C$47,0))</f>
        <v>1</v>
      </c>
      <c r="M20" s="1324">
        <f>INDEX(AA!AA:AA,MATCH($C20,AA!C:C,0))</f>
        <v>12</v>
      </c>
      <c r="T20" s="230">
        <f>(T$5&lt;=$M20)*$J20*(T$5&gt;=$K20)</f>
        <v>1</v>
      </c>
      <c r="U20" s="230">
        <f t="shared" ref="U20:BG22" si="2">(U$5&lt;=$M20)*$J20*(U$5&gt;=$K20)</f>
        <v>1</v>
      </c>
      <c r="V20" s="230">
        <f t="shared" si="2"/>
        <v>1</v>
      </c>
      <c r="W20" s="230">
        <f t="shared" si="2"/>
        <v>1</v>
      </c>
      <c r="X20" s="230">
        <f t="shared" si="2"/>
        <v>1</v>
      </c>
      <c r="Y20" s="230">
        <f t="shared" si="2"/>
        <v>1</v>
      </c>
      <c r="Z20" s="230">
        <f t="shared" si="2"/>
        <v>1</v>
      </c>
      <c r="AA20" s="230">
        <f t="shared" si="2"/>
        <v>1</v>
      </c>
      <c r="AB20" s="230">
        <f t="shared" si="2"/>
        <v>1</v>
      </c>
      <c r="AC20" s="230">
        <f t="shared" si="2"/>
        <v>1</v>
      </c>
      <c r="AD20" s="230">
        <f t="shared" si="2"/>
        <v>1</v>
      </c>
      <c r="AE20" s="230">
        <f t="shared" si="2"/>
        <v>1</v>
      </c>
      <c r="AF20" s="230">
        <f t="shared" si="2"/>
        <v>0</v>
      </c>
      <c r="AG20" s="230">
        <f t="shared" si="2"/>
        <v>0</v>
      </c>
      <c r="AH20" s="230">
        <f t="shared" si="2"/>
        <v>0</v>
      </c>
      <c r="AI20" s="230">
        <f t="shared" si="2"/>
        <v>0</v>
      </c>
      <c r="AJ20" s="230">
        <f t="shared" si="2"/>
        <v>0</v>
      </c>
      <c r="AK20" s="230">
        <f t="shared" si="2"/>
        <v>0</v>
      </c>
      <c r="AL20" s="230">
        <f t="shared" si="2"/>
        <v>0</v>
      </c>
      <c r="AM20" s="230">
        <f t="shared" si="2"/>
        <v>0</v>
      </c>
      <c r="AN20" s="230">
        <f t="shared" si="2"/>
        <v>0</v>
      </c>
      <c r="AO20" s="230">
        <f t="shared" si="2"/>
        <v>0</v>
      </c>
      <c r="AP20" s="230">
        <f t="shared" si="2"/>
        <v>0</v>
      </c>
      <c r="AQ20" s="230">
        <f t="shared" si="2"/>
        <v>0</v>
      </c>
      <c r="AR20" s="230">
        <f t="shared" si="2"/>
        <v>0</v>
      </c>
      <c r="AS20" s="230">
        <f t="shared" si="2"/>
        <v>0</v>
      </c>
      <c r="AT20" s="230">
        <f t="shared" si="2"/>
        <v>0</v>
      </c>
      <c r="AU20" s="230">
        <f t="shared" si="2"/>
        <v>0</v>
      </c>
      <c r="AV20" s="230">
        <f t="shared" si="2"/>
        <v>0</v>
      </c>
      <c r="AW20" s="230">
        <f t="shared" si="2"/>
        <v>0</v>
      </c>
      <c r="AX20" s="230">
        <f t="shared" si="2"/>
        <v>0</v>
      </c>
      <c r="AY20" s="230">
        <f t="shared" si="2"/>
        <v>0</v>
      </c>
      <c r="AZ20" s="230">
        <f t="shared" si="2"/>
        <v>0</v>
      </c>
      <c r="BA20" s="230">
        <f t="shared" si="2"/>
        <v>0</v>
      </c>
      <c r="BB20" s="230">
        <f t="shared" si="2"/>
        <v>0</v>
      </c>
      <c r="BC20" s="230">
        <f t="shared" si="2"/>
        <v>0</v>
      </c>
      <c r="BD20" s="230">
        <f t="shared" si="2"/>
        <v>0</v>
      </c>
      <c r="BE20" s="230">
        <f t="shared" si="2"/>
        <v>0</v>
      </c>
      <c r="BF20" s="230">
        <f t="shared" si="2"/>
        <v>0</v>
      </c>
      <c r="BG20" s="230">
        <f t="shared" si="2"/>
        <v>0</v>
      </c>
      <c r="BI20" s="105" t="s">
        <v>153</v>
      </c>
      <c r="BK20" s="103"/>
    </row>
    <row r="21" spans="2:63">
      <c r="C21" s="99">
        <f>RR!C24</f>
        <v>2</v>
      </c>
      <c r="D21" s="99" t="str">
        <f>RR!E24</f>
        <v>2 - 1</v>
      </c>
      <c r="F21" s="94" t="str">
        <f>INDEX(RR!K:K,MATCH(D21,RR!E:E,0))</f>
        <v>backup</v>
      </c>
      <c r="H21" s="73" t="s">
        <v>147</v>
      </c>
      <c r="J21" s="1325">
        <f>INDEX(AA!E:E,MATCH($C21,AA!C:C,0))</f>
        <v>1</v>
      </c>
      <c r="K21" s="1325">
        <f>INDEX(AA!$T$13:$T$47,MATCH($C21,AA!$C$13:$C$47,0))</f>
        <v>2</v>
      </c>
      <c r="M21" s="1325">
        <f>INDEX(AA!AA:AA,MATCH($C21,AA!C:C,0))</f>
        <v>12</v>
      </c>
      <c r="T21" s="230">
        <f t="shared" ref="T21:AI22" si="3">(T$5&lt;=$M21)*$J21*(T$5&gt;=$K21)</f>
        <v>0</v>
      </c>
      <c r="U21" s="230">
        <f t="shared" si="3"/>
        <v>1</v>
      </c>
      <c r="V21" s="230">
        <f t="shared" si="3"/>
        <v>1</v>
      </c>
      <c r="W21" s="230">
        <f t="shared" si="3"/>
        <v>1</v>
      </c>
      <c r="X21" s="230">
        <f t="shared" si="3"/>
        <v>1</v>
      </c>
      <c r="Y21" s="230">
        <f t="shared" si="3"/>
        <v>1</v>
      </c>
      <c r="Z21" s="230">
        <f t="shared" si="3"/>
        <v>1</v>
      </c>
      <c r="AA21" s="230">
        <f t="shared" si="3"/>
        <v>1</v>
      </c>
      <c r="AB21" s="230">
        <f t="shared" si="3"/>
        <v>1</v>
      </c>
      <c r="AC21" s="230">
        <f t="shared" si="3"/>
        <v>1</v>
      </c>
      <c r="AD21" s="230">
        <f t="shared" si="3"/>
        <v>1</v>
      </c>
      <c r="AE21" s="230">
        <f t="shared" si="3"/>
        <v>1</v>
      </c>
      <c r="AF21" s="230">
        <f t="shared" si="3"/>
        <v>0</v>
      </c>
      <c r="AG21" s="230">
        <f t="shared" si="3"/>
        <v>0</v>
      </c>
      <c r="AH21" s="230">
        <f t="shared" si="3"/>
        <v>0</v>
      </c>
      <c r="AI21" s="230">
        <f t="shared" si="3"/>
        <v>0</v>
      </c>
      <c r="AJ21" s="230">
        <f t="shared" si="2"/>
        <v>0</v>
      </c>
      <c r="AK21" s="230">
        <f t="shared" si="2"/>
        <v>0</v>
      </c>
      <c r="AL21" s="230">
        <f t="shared" si="2"/>
        <v>0</v>
      </c>
      <c r="AM21" s="230">
        <f t="shared" si="2"/>
        <v>0</v>
      </c>
      <c r="AN21" s="230">
        <f t="shared" si="2"/>
        <v>0</v>
      </c>
      <c r="AO21" s="230">
        <f t="shared" si="2"/>
        <v>0</v>
      </c>
      <c r="AP21" s="230">
        <f t="shared" si="2"/>
        <v>0</v>
      </c>
      <c r="AQ21" s="230">
        <f t="shared" si="2"/>
        <v>0</v>
      </c>
      <c r="AR21" s="230">
        <f t="shared" si="2"/>
        <v>0</v>
      </c>
      <c r="AS21" s="230">
        <f t="shared" si="2"/>
        <v>0</v>
      </c>
      <c r="AT21" s="230">
        <f t="shared" si="2"/>
        <v>0</v>
      </c>
      <c r="AU21" s="230">
        <f t="shared" si="2"/>
        <v>0</v>
      </c>
      <c r="AV21" s="230">
        <f t="shared" si="2"/>
        <v>0</v>
      </c>
      <c r="AW21" s="230">
        <f t="shared" si="2"/>
        <v>0</v>
      </c>
      <c r="AX21" s="230">
        <f t="shared" si="2"/>
        <v>0</v>
      </c>
      <c r="AY21" s="230">
        <f t="shared" si="2"/>
        <v>0</v>
      </c>
      <c r="AZ21" s="230">
        <f t="shared" si="2"/>
        <v>0</v>
      </c>
      <c r="BA21" s="230">
        <f t="shared" si="2"/>
        <v>0</v>
      </c>
      <c r="BB21" s="230">
        <f t="shared" si="2"/>
        <v>0</v>
      </c>
      <c r="BC21" s="230">
        <f t="shared" si="2"/>
        <v>0</v>
      </c>
      <c r="BD21" s="230">
        <f t="shared" si="2"/>
        <v>0</v>
      </c>
      <c r="BE21" s="230">
        <f t="shared" si="2"/>
        <v>0</v>
      </c>
      <c r="BF21" s="230">
        <f t="shared" si="2"/>
        <v>0</v>
      </c>
      <c r="BG21" s="230">
        <f t="shared" si="2"/>
        <v>0</v>
      </c>
      <c r="BI21" s="106" t="s">
        <v>153</v>
      </c>
      <c r="BK21" s="103"/>
    </row>
    <row r="22" spans="2:63">
      <c r="C22" s="99">
        <f>RR!C25</f>
        <v>3</v>
      </c>
      <c r="D22" s="99" t="str">
        <f>RR!E25</f>
        <v>3 - 1</v>
      </c>
      <c r="F22" s="94" t="str">
        <f>INDEX(RR!K:K,MATCH(D22,RR!E:E,0))</f>
        <v>backup</v>
      </c>
      <c r="H22" s="73" t="s">
        <v>147</v>
      </c>
      <c r="J22" s="1325">
        <f>INDEX(AA!E:E,MATCH($C22,AA!C:C,0))</f>
        <v>1</v>
      </c>
      <c r="K22" s="1325">
        <f>INDEX(AA!$T$13:$T$47,MATCH($C22,AA!$C$13:$C$47,0))</f>
        <v>3</v>
      </c>
      <c r="M22" s="1325">
        <f>INDEX(AA!AA:AA,MATCH($C22,AA!C:C,0))</f>
        <v>12</v>
      </c>
      <c r="T22" s="230">
        <f t="shared" si="3"/>
        <v>0</v>
      </c>
      <c r="U22" s="230">
        <f t="shared" si="2"/>
        <v>0</v>
      </c>
      <c r="V22" s="230">
        <f t="shared" si="2"/>
        <v>1</v>
      </c>
      <c r="W22" s="230">
        <f t="shared" si="2"/>
        <v>1</v>
      </c>
      <c r="X22" s="230">
        <f t="shared" si="2"/>
        <v>1</v>
      </c>
      <c r="Y22" s="230">
        <f t="shared" si="2"/>
        <v>1</v>
      </c>
      <c r="Z22" s="230">
        <f t="shared" si="2"/>
        <v>1</v>
      </c>
      <c r="AA22" s="230">
        <f t="shared" si="2"/>
        <v>1</v>
      </c>
      <c r="AB22" s="230">
        <f t="shared" si="2"/>
        <v>1</v>
      </c>
      <c r="AC22" s="230">
        <f t="shared" si="2"/>
        <v>1</v>
      </c>
      <c r="AD22" s="230">
        <f t="shared" si="2"/>
        <v>1</v>
      </c>
      <c r="AE22" s="230">
        <f t="shared" si="2"/>
        <v>1</v>
      </c>
      <c r="AF22" s="230">
        <f t="shared" si="2"/>
        <v>0</v>
      </c>
      <c r="AG22" s="230">
        <f t="shared" si="2"/>
        <v>0</v>
      </c>
      <c r="AH22" s="230">
        <f t="shared" si="2"/>
        <v>0</v>
      </c>
      <c r="AI22" s="230">
        <f t="shared" si="2"/>
        <v>0</v>
      </c>
      <c r="AJ22" s="230">
        <f t="shared" si="2"/>
        <v>0</v>
      </c>
      <c r="AK22" s="230">
        <f t="shared" si="2"/>
        <v>0</v>
      </c>
      <c r="AL22" s="230">
        <f t="shared" si="2"/>
        <v>0</v>
      </c>
      <c r="AM22" s="230">
        <f t="shared" si="2"/>
        <v>0</v>
      </c>
      <c r="AN22" s="230">
        <f t="shared" si="2"/>
        <v>0</v>
      </c>
      <c r="AO22" s="230">
        <f t="shared" si="2"/>
        <v>0</v>
      </c>
      <c r="AP22" s="230">
        <f t="shared" si="2"/>
        <v>0</v>
      </c>
      <c r="AQ22" s="230">
        <f t="shared" si="2"/>
        <v>0</v>
      </c>
      <c r="AR22" s="230">
        <f t="shared" si="2"/>
        <v>0</v>
      </c>
      <c r="AS22" s="230">
        <f t="shared" si="2"/>
        <v>0</v>
      </c>
      <c r="AT22" s="230">
        <f t="shared" si="2"/>
        <v>0</v>
      </c>
      <c r="AU22" s="230">
        <f t="shared" si="2"/>
        <v>0</v>
      </c>
      <c r="AV22" s="230">
        <f t="shared" si="2"/>
        <v>0</v>
      </c>
      <c r="AW22" s="230">
        <f t="shared" si="2"/>
        <v>0</v>
      </c>
      <c r="AX22" s="230">
        <f t="shared" si="2"/>
        <v>0</v>
      </c>
      <c r="AY22" s="230">
        <f t="shared" si="2"/>
        <v>0</v>
      </c>
      <c r="AZ22" s="230">
        <f t="shared" si="2"/>
        <v>0</v>
      </c>
      <c r="BA22" s="230">
        <f t="shared" si="2"/>
        <v>0</v>
      </c>
      <c r="BB22" s="230">
        <f t="shared" si="2"/>
        <v>0</v>
      </c>
      <c r="BC22" s="230">
        <f t="shared" si="2"/>
        <v>0</v>
      </c>
      <c r="BD22" s="230">
        <f t="shared" si="2"/>
        <v>0</v>
      </c>
      <c r="BE22" s="230">
        <f t="shared" si="2"/>
        <v>0</v>
      </c>
      <c r="BF22" s="230">
        <f t="shared" si="2"/>
        <v>0</v>
      </c>
      <c r="BG22" s="230">
        <f t="shared" si="2"/>
        <v>0</v>
      </c>
      <c r="BI22" s="106" t="s">
        <v>153</v>
      </c>
      <c r="BK22" s="103"/>
    </row>
    <row r="23" spans="2:63">
      <c r="C23" s="269"/>
      <c r="D23" s="269"/>
      <c r="F23" s="269"/>
      <c r="H23" s="269"/>
      <c r="J23" s="269"/>
      <c r="M23" s="269"/>
      <c r="BI23" s="269"/>
      <c r="BK23" s="269"/>
    </row>
    <row r="25" spans="2:63" s="90" customFormat="1">
      <c r="B25" s="91">
        <f ca="1">MAX(A$1:$B24)+1</f>
        <v>3</v>
      </c>
      <c r="C25" s="92" t="s">
        <v>154</v>
      </c>
    </row>
    <row r="27" spans="2:63">
      <c r="M27" s="226" t="s">
        <v>86</v>
      </c>
      <c r="N27" s="225"/>
    </row>
    <row r="28" spans="2:63" ht="30">
      <c r="C28" s="96" t="s">
        <v>4</v>
      </c>
      <c r="D28" s="97" t="s">
        <v>148</v>
      </c>
      <c r="E28" s="95"/>
      <c r="F28" s="97" t="s">
        <v>149</v>
      </c>
      <c r="G28" s="95"/>
      <c r="H28" s="97" t="s">
        <v>150</v>
      </c>
      <c r="I28" s="95"/>
      <c r="J28" s="97" t="s">
        <v>272</v>
      </c>
      <c r="K28" s="97" t="s">
        <v>273</v>
      </c>
      <c r="M28" s="171" t="s">
        <v>361</v>
      </c>
      <c r="N28" s="101" t="s">
        <v>11</v>
      </c>
      <c r="BI28" s="104" t="s">
        <v>152</v>
      </c>
      <c r="BJ28" s="95"/>
      <c r="BK28" s="102"/>
    </row>
    <row r="29" spans="2:63">
      <c r="C29" s="98">
        <f>RR!C23</f>
        <v>1</v>
      </c>
      <c r="D29" s="98" t="str">
        <f>RR!E23</f>
        <v>1 - 1</v>
      </c>
      <c r="F29" s="93" t="str">
        <f>INDEX(RR!K:K,MATCH(D29,RR!E:E,0))</f>
        <v>backup</v>
      </c>
      <c r="H29" s="72" t="s">
        <v>154</v>
      </c>
      <c r="J29" s="1324">
        <f>INDEX(AA!E:E,MATCH($C29,AA!C:C,0))</f>
        <v>1</v>
      </c>
      <c r="K29" s="1324">
        <f>INDEX(TA!$G:$G,MATCH($D29,TA!$D:$D,0))</f>
        <v>1</v>
      </c>
      <c r="M29" s="285">
        <f>INDEX(TA!$FL$15:$FL$17,MATCH($D29,TA!$D$15:$D$17,0))</f>
        <v>0</v>
      </c>
      <c r="N29" s="286">
        <f>INDEX(TA!$FE$15:$FE$17,MATCH($D29,TA!$D$15:$D$17,0))</f>
        <v>0</v>
      </c>
      <c r="T29" s="230">
        <f>$M29*$J29*$K29*IFERROR(MAX(MIN((T$4-$N29+1)/T$7,1),0),0)</f>
        <v>0</v>
      </c>
      <c r="U29" s="230">
        <f t="shared" ref="U29:BG30" si="4">$M29*$J29*$K29*IFERROR(MAX(MIN((U$4-$N29+1)/U$7,1),0),0)</f>
        <v>0</v>
      </c>
      <c r="V29" s="230">
        <f t="shared" si="4"/>
        <v>0</v>
      </c>
      <c r="W29" s="230">
        <f t="shared" si="4"/>
        <v>0</v>
      </c>
      <c r="X29" s="230">
        <f t="shared" si="4"/>
        <v>0</v>
      </c>
      <c r="Y29" s="230">
        <f t="shared" si="4"/>
        <v>0</v>
      </c>
      <c r="Z29" s="230">
        <f t="shared" si="4"/>
        <v>0</v>
      </c>
      <c r="AA29" s="230">
        <f t="shared" si="4"/>
        <v>0</v>
      </c>
      <c r="AB29" s="230">
        <f t="shared" si="4"/>
        <v>0</v>
      </c>
      <c r="AC29" s="230">
        <f t="shared" si="4"/>
        <v>0</v>
      </c>
      <c r="AD29" s="230">
        <f t="shared" si="4"/>
        <v>0</v>
      </c>
      <c r="AE29" s="230">
        <f t="shared" si="4"/>
        <v>0</v>
      </c>
      <c r="AF29" s="230">
        <f t="shared" si="4"/>
        <v>0</v>
      </c>
      <c r="AG29" s="230">
        <f t="shared" si="4"/>
        <v>0</v>
      </c>
      <c r="AH29" s="230">
        <f t="shared" si="4"/>
        <v>0</v>
      </c>
      <c r="AI29" s="230">
        <f t="shared" si="4"/>
        <v>0</v>
      </c>
      <c r="AJ29" s="230">
        <f t="shared" si="4"/>
        <v>0</v>
      </c>
      <c r="AK29" s="230">
        <f t="shared" si="4"/>
        <v>0</v>
      </c>
      <c r="AL29" s="230">
        <f t="shared" si="4"/>
        <v>0</v>
      </c>
      <c r="AM29" s="230">
        <f t="shared" si="4"/>
        <v>0</v>
      </c>
      <c r="AN29" s="230">
        <f t="shared" si="4"/>
        <v>0</v>
      </c>
      <c r="AO29" s="230">
        <f t="shared" si="4"/>
        <v>0</v>
      </c>
      <c r="AP29" s="230">
        <f t="shared" si="4"/>
        <v>0</v>
      </c>
      <c r="AQ29" s="230">
        <f t="shared" si="4"/>
        <v>0</v>
      </c>
      <c r="AR29" s="230">
        <f t="shared" si="4"/>
        <v>0</v>
      </c>
      <c r="AS29" s="230">
        <f t="shared" si="4"/>
        <v>0</v>
      </c>
      <c r="AT29" s="230">
        <f t="shared" si="4"/>
        <v>0</v>
      </c>
      <c r="AU29" s="230">
        <f t="shared" si="4"/>
        <v>0</v>
      </c>
      <c r="AV29" s="230">
        <f t="shared" si="4"/>
        <v>0</v>
      </c>
      <c r="AW29" s="230">
        <f t="shared" si="4"/>
        <v>0</v>
      </c>
      <c r="AX29" s="230">
        <f t="shared" si="4"/>
        <v>0</v>
      </c>
      <c r="AY29" s="230">
        <f t="shared" si="4"/>
        <v>0</v>
      </c>
      <c r="AZ29" s="230">
        <f t="shared" si="4"/>
        <v>0</v>
      </c>
      <c r="BA29" s="230">
        <f t="shared" si="4"/>
        <v>0</v>
      </c>
      <c r="BB29" s="230">
        <f t="shared" si="4"/>
        <v>0</v>
      </c>
      <c r="BC29" s="230">
        <f t="shared" si="4"/>
        <v>0</v>
      </c>
      <c r="BD29" s="230">
        <f t="shared" si="4"/>
        <v>0</v>
      </c>
      <c r="BE29" s="230">
        <f t="shared" si="4"/>
        <v>0</v>
      </c>
      <c r="BF29" s="230">
        <f t="shared" si="4"/>
        <v>0</v>
      </c>
      <c r="BG29" s="230">
        <f t="shared" si="4"/>
        <v>0</v>
      </c>
      <c r="BI29" s="105" t="s">
        <v>153</v>
      </c>
      <c r="BK29" s="103"/>
    </row>
    <row r="30" spans="2:63">
      <c r="C30" s="99">
        <f>RR!C24</f>
        <v>2</v>
      </c>
      <c r="D30" s="99" t="str">
        <f>RR!E24</f>
        <v>2 - 1</v>
      </c>
      <c r="F30" s="94" t="str">
        <f>INDEX(RR!K:K,MATCH(D30,RR!E:E,0))</f>
        <v>backup</v>
      </c>
      <c r="H30" s="73" t="s">
        <v>154</v>
      </c>
      <c r="J30" s="1325">
        <f>INDEX(AA!E:E,MATCH($C30,AA!C:C,0))</f>
        <v>1</v>
      </c>
      <c r="K30" s="1325">
        <f>INDEX(TA!$G:$G,MATCH($D30,TA!$D:$D,0))</f>
        <v>1</v>
      </c>
      <c r="M30" s="287">
        <f>INDEX(TA!$FL$15:$FL$17,MATCH($D30,TA!$D$15:$D$17,0))</f>
        <v>0</v>
      </c>
      <c r="N30" s="288">
        <f>INDEX(TA!$FE$15:$FE$17,MATCH($D30,TA!$D$15:$D$17,0))</f>
        <v>0</v>
      </c>
      <c r="T30" s="230">
        <f t="shared" ref="T30:AI30" si="5">$M30*$J30*$K30*IFERROR(MAX(MIN((T$4-$N30+1)/T$7,1),0),0)</f>
        <v>0</v>
      </c>
      <c r="U30" s="230">
        <f t="shared" si="5"/>
        <v>0</v>
      </c>
      <c r="V30" s="230">
        <f t="shared" si="5"/>
        <v>0</v>
      </c>
      <c r="W30" s="230">
        <f t="shared" si="5"/>
        <v>0</v>
      </c>
      <c r="X30" s="230">
        <f t="shared" si="5"/>
        <v>0</v>
      </c>
      <c r="Y30" s="230">
        <f t="shared" si="5"/>
        <v>0</v>
      </c>
      <c r="Z30" s="230">
        <f t="shared" si="5"/>
        <v>0</v>
      </c>
      <c r="AA30" s="230">
        <f t="shared" si="5"/>
        <v>0</v>
      </c>
      <c r="AB30" s="230">
        <f t="shared" si="5"/>
        <v>0</v>
      </c>
      <c r="AC30" s="230">
        <f t="shared" si="5"/>
        <v>0</v>
      </c>
      <c r="AD30" s="230">
        <f t="shared" si="5"/>
        <v>0</v>
      </c>
      <c r="AE30" s="230">
        <f t="shared" si="5"/>
        <v>0</v>
      </c>
      <c r="AF30" s="230">
        <f t="shared" si="5"/>
        <v>0</v>
      </c>
      <c r="AG30" s="230">
        <f t="shared" si="5"/>
        <v>0</v>
      </c>
      <c r="AH30" s="230">
        <f t="shared" si="5"/>
        <v>0</v>
      </c>
      <c r="AI30" s="230">
        <f t="shared" si="5"/>
        <v>0</v>
      </c>
      <c r="AJ30" s="230">
        <f t="shared" si="4"/>
        <v>0</v>
      </c>
      <c r="AK30" s="230">
        <f t="shared" si="4"/>
        <v>0</v>
      </c>
      <c r="AL30" s="230">
        <f t="shared" si="4"/>
        <v>0</v>
      </c>
      <c r="AM30" s="230">
        <f t="shared" si="4"/>
        <v>0</v>
      </c>
      <c r="AN30" s="230">
        <f t="shared" si="4"/>
        <v>0</v>
      </c>
      <c r="AO30" s="230">
        <f t="shared" si="4"/>
        <v>0</v>
      </c>
      <c r="AP30" s="230">
        <f t="shared" si="4"/>
        <v>0</v>
      </c>
      <c r="AQ30" s="230">
        <f t="shared" si="4"/>
        <v>0</v>
      </c>
      <c r="AR30" s="230">
        <f t="shared" si="4"/>
        <v>0</v>
      </c>
      <c r="AS30" s="230">
        <f t="shared" si="4"/>
        <v>0</v>
      </c>
      <c r="AT30" s="230">
        <f t="shared" si="4"/>
        <v>0</v>
      </c>
      <c r="AU30" s="230">
        <f t="shared" si="4"/>
        <v>0</v>
      </c>
      <c r="AV30" s="230">
        <f t="shared" si="4"/>
        <v>0</v>
      </c>
      <c r="AW30" s="230">
        <f t="shared" si="4"/>
        <v>0</v>
      </c>
      <c r="AX30" s="230">
        <f t="shared" si="4"/>
        <v>0</v>
      </c>
      <c r="AY30" s="230">
        <f t="shared" si="4"/>
        <v>0</v>
      </c>
      <c r="AZ30" s="230">
        <f t="shared" si="4"/>
        <v>0</v>
      </c>
      <c r="BA30" s="230">
        <f t="shared" si="4"/>
        <v>0</v>
      </c>
      <c r="BB30" s="230">
        <f t="shared" si="4"/>
        <v>0</v>
      </c>
      <c r="BC30" s="230">
        <f t="shared" si="4"/>
        <v>0</v>
      </c>
      <c r="BD30" s="230">
        <f t="shared" si="4"/>
        <v>0</v>
      </c>
      <c r="BE30" s="230">
        <f t="shared" si="4"/>
        <v>0</v>
      </c>
      <c r="BF30" s="230">
        <f t="shared" si="4"/>
        <v>0</v>
      </c>
      <c r="BG30" s="230">
        <f t="shared" si="4"/>
        <v>0</v>
      </c>
      <c r="BI30" s="106" t="s">
        <v>153</v>
      </c>
      <c r="BK30" s="103"/>
    </row>
    <row r="31" spans="2:63">
      <c r="C31" s="99">
        <f>RR!C25</f>
        <v>3</v>
      </c>
      <c r="D31" s="99" t="str">
        <f>RR!E25</f>
        <v>3 - 1</v>
      </c>
      <c r="F31" s="94" t="str">
        <f>INDEX(RR!K:K,MATCH(D31,RR!E:E,0))</f>
        <v>backup</v>
      </c>
      <c r="H31" s="73" t="s">
        <v>154</v>
      </c>
      <c r="J31" s="1325">
        <f>INDEX(AA!E:E,MATCH($C31,AA!C:C,0))</f>
        <v>1</v>
      </c>
      <c r="K31" s="1325">
        <f>INDEX(TA!$G:$G,MATCH($D31,TA!$D:$D,0))</f>
        <v>1</v>
      </c>
      <c r="M31" s="287">
        <f>INDEX(TA!$FL$15:$FL$17,MATCH($D31,TA!$D$15:$D$17,0))</f>
        <v>0</v>
      </c>
      <c r="N31" s="288">
        <f>INDEX(TA!$FE$15:$FE$17,MATCH($D31,TA!$D$15:$D$17,0))</f>
        <v>0</v>
      </c>
      <c r="T31" s="230">
        <f t="shared" ref="T31:AI31" si="6">$M31*$J31*$K31*IFERROR(MAX(MIN((T$4-$N31+1)/T$7,1),0),0)</f>
        <v>0</v>
      </c>
      <c r="U31" s="230">
        <f t="shared" si="6"/>
        <v>0</v>
      </c>
      <c r="V31" s="230">
        <f t="shared" si="6"/>
        <v>0</v>
      </c>
      <c r="W31" s="230">
        <f t="shared" si="6"/>
        <v>0</v>
      </c>
      <c r="X31" s="230">
        <f t="shared" si="6"/>
        <v>0</v>
      </c>
      <c r="Y31" s="230">
        <f t="shared" si="6"/>
        <v>0</v>
      </c>
      <c r="Z31" s="230">
        <f t="shared" si="6"/>
        <v>0</v>
      </c>
      <c r="AA31" s="230">
        <f t="shared" si="6"/>
        <v>0</v>
      </c>
      <c r="AB31" s="230">
        <f t="shared" si="6"/>
        <v>0</v>
      </c>
      <c r="AC31" s="230">
        <f t="shared" si="6"/>
        <v>0</v>
      </c>
      <c r="AD31" s="230">
        <f t="shared" si="6"/>
        <v>0</v>
      </c>
      <c r="AE31" s="230">
        <f t="shared" si="6"/>
        <v>0</v>
      </c>
      <c r="AF31" s="230">
        <f t="shared" si="6"/>
        <v>0</v>
      </c>
      <c r="AG31" s="230">
        <f t="shared" si="6"/>
        <v>0</v>
      </c>
      <c r="AH31" s="230">
        <f t="shared" si="6"/>
        <v>0</v>
      </c>
      <c r="AI31" s="230">
        <f t="shared" si="6"/>
        <v>0</v>
      </c>
      <c r="AJ31" s="230">
        <f t="shared" ref="AJ31:AY31" si="7">$M31*$J31*$K31*IFERROR(MAX(MIN((AJ$4-$N31+1)/AJ$7,1),0),0)</f>
        <v>0</v>
      </c>
      <c r="AK31" s="230">
        <f t="shared" si="7"/>
        <v>0</v>
      </c>
      <c r="AL31" s="230">
        <f t="shared" si="7"/>
        <v>0</v>
      </c>
      <c r="AM31" s="230">
        <f t="shared" si="7"/>
        <v>0</v>
      </c>
      <c r="AN31" s="230">
        <f t="shared" si="7"/>
        <v>0</v>
      </c>
      <c r="AO31" s="230">
        <f t="shared" si="7"/>
        <v>0</v>
      </c>
      <c r="AP31" s="230">
        <f t="shared" si="7"/>
        <v>0</v>
      </c>
      <c r="AQ31" s="230">
        <f t="shared" si="7"/>
        <v>0</v>
      </c>
      <c r="AR31" s="230">
        <f t="shared" si="7"/>
        <v>0</v>
      </c>
      <c r="AS31" s="230">
        <f t="shared" si="7"/>
        <v>0</v>
      </c>
      <c r="AT31" s="230">
        <f t="shared" si="7"/>
        <v>0</v>
      </c>
      <c r="AU31" s="230">
        <f t="shared" si="7"/>
        <v>0</v>
      </c>
      <c r="AV31" s="230">
        <f t="shared" si="7"/>
        <v>0</v>
      </c>
      <c r="AW31" s="230">
        <f t="shared" si="7"/>
        <v>0</v>
      </c>
      <c r="AX31" s="230">
        <f t="shared" si="7"/>
        <v>0</v>
      </c>
      <c r="AY31" s="230">
        <f t="shared" si="7"/>
        <v>0</v>
      </c>
      <c r="AZ31" s="230">
        <f t="shared" ref="AZ31:BG31" si="8">$M31*$J31*$K31*IFERROR(MAX(MIN((AZ$4-$N31+1)/AZ$7,1),0),0)</f>
        <v>0</v>
      </c>
      <c r="BA31" s="230">
        <f t="shared" si="8"/>
        <v>0</v>
      </c>
      <c r="BB31" s="230">
        <f t="shared" si="8"/>
        <v>0</v>
      </c>
      <c r="BC31" s="230">
        <f t="shared" si="8"/>
        <v>0</v>
      </c>
      <c r="BD31" s="230">
        <f t="shared" si="8"/>
        <v>0</v>
      </c>
      <c r="BE31" s="230">
        <f t="shared" si="8"/>
        <v>0</v>
      </c>
      <c r="BF31" s="230">
        <f t="shared" si="8"/>
        <v>0</v>
      </c>
      <c r="BG31" s="230">
        <f t="shared" si="8"/>
        <v>0</v>
      </c>
      <c r="BI31" s="106" t="s">
        <v>153</v>
      </c>
      <c r="BK31" s="103"/>
    </row>
    <row r="32" spans="2:63">
      <c r="C32" s="269"/>
      <c r="D32" s="269"/>
      <c r="F32" s="269"/>
      <c r="H32" s="269"/>
      <c r="J32" s="269"/>
      <c r="K32" s="269"/>
      <c r="M32" s="269"/>
      <c r="N32" s="269"/>
      <c r="BI32" s="269"/>
      <c r="BK32" s="269"/>
    </row>
    <row r="34" spans="2:63" s="90" customFormat="1">
      <c r="B34" s="91">
        <f ca="1">MAX(A$1:$B33)+1</f>
        <v>4</v>
      </c>
      <c r="C34" s="92" t="s">
        <v>296</v>
      </c>
    </row>
    <row r="36" spans="2:63">
      <c r="M36" s="226" t="s">
        <v>86</v>
      </c>
      <c r="N36" s="225"/>
    </row>
    <row r="37" spans="2:63" ht="30">
      <c r="C37" s="96" t="s">
        <v>4</v>
      </c>
      <c r="D37" s="97" t="s">
        <v>148</v>
      </c>
      <c r="E37" s="95"/>
      <c r="F37" s="97" t="s">
        <v>149</v>
      </c>
      <c r="G37" s="95"/>
      <c r="H37" s="97" t="s">
        <v>150</v>
      </c>
      <c r="I37" s="95"/>
      <c r="J37" s="97" t="s">
        <v>272</v>
      </c>
      <c r="K37" s="97" t="s">
        <v>273</v>
      </c>
      <c r="M37" s="171" t="s">
        <v>361</v>
      </c>
      <c r="N37" s="101" t="s">
        <v>319</v>
      </c>
      <c r="BI37" s="104" t="s">
        <v>152</v>
      </c>
      <c r="BJ37" s="95"/>
      <c r="BK37" s="102"/>
    </row>
    <row r="38" spans="2:63">
      <c r="C38" s="98">
        <f>RR!C23</f>
        <v>1</v>
      </c>
      <c r="D38" s="98" t="str">
        <f>RR!E23</f>
        <v>1 - 1</v>
      </c>
      <c r="F38" s="93" t="str">
        <f>INDEX(RR!K:K,MATCH(D38,RR!E:E,0))</f>
        <v>backup</v>
      </c>
      <c r="H38" s="72" t="s">
        <v>296</v>
      </c>
      <c r="J38" s="1324">
        <f>INDEX(AA!E:E,MATCH($C38,AA!C:C,0))</f>
        <v>1</v>
      </c>
      <c r="K38" s="1324">
        <f>INDEX(TA!$G:$G,MATCH($D38,TA!$D:$D,0))</f>
        <v>1</v>
      </c>
      <c r="M38" s="285">
        <f>INDEX(TA!$FL$15:$FL$17,MATCH($D38,TA!$D$15:$D$17,0))</f>
        <v>0</v>
      </c>
      <c r="N38" s="286">
        <f>INDEX(TA!$FS$15:$FS$17,MATCH($D38,TA!$D$15:$D$17,0))</f>
        <v>547</v>
      </c>
      <c r="T38" s="230">
        <f>$M38*$J38*$K38*IFERROR(MAX(MIN((T$4-$N38+1)/T$7,1),0),0)</f>
        <v>0</v>
      </c>
      <c r="U38" s="230">
        <f t="shared" ref="U38:BG39" si="9">$M38*$J38*$K38*IFERROR(MAX(MIN((U$4-$N38+1)/U$7,1),0),0)</f>
        <v>0</v>
      </c>
      <c r="V38" s="230">
        <f t="shared" si="9"/>
        <v>0</v>
      </c>
      <c r="W38" s="230">
        <f t="shared" si="9"/>
        <v>0</v>
      </c>
      <c r="X38" s="230">
        <f t="shared" si="9"/>
        <v>0</v>
      </c>
      <c r="Y38" s="230">
        <f t="shared" si="9"/>
        <v>0</v>
      </c>
      <c r="Z38" s="230">
        <f t="shared" si="9"/>
        <v>0</v>
      </c>
      <c r="AA38" s="230">
        <f t="shared" si="9"/>
        <v>0</v>
      </c>
      <c r="AB38" s="230">
        <f t="shared" si="9"/>
        <v>0</v>
      </c>
      <c r="AC38" s="230">
        <f t="shared" si="9"/>
        <v>0</v>
      </c>
      <c r="AD38" s="230">
        <f t="shared" si="9"/>
        <v>0</v>
      </c>
      <c r="AE38" s="230">
        <f t="shared" si="9"/>
        <v>0</v>
      </c>
      <c r="AF38" s="230">
        <f t="shared" si="9"/>
        <v>0</v>
      </c>
      <c r="AG38" s="230">
        <f t="shared" si="9"/>
        <v>0</v>
      </c>
      <c r="AH38" s="230">
        <f t="shared" si="9"/>
        <v>0</v>
      </c>
      <c r="AI38" s="230">
        <f t="shared" si="9"/>
        <v>0</v>
      </c>
      <c r="AJ38" s="230">
        <f t="shared" si="9"/>
        <v>0</v>
      </c>
      <c r="AK38" s="230">
        <f t="shared" si="9"/>
        <v>0</v>
      </c>
      <c r="AL38" s="230">
        <f t="shared" si="9"/>
        <v>0</v>
      </c>
      <c r="AM38" s="230">
        <f t="shared" si="9"/>
        <v>0</v>
      </c>
      <c r="AN38" s="230">
        <f t="shared" si="9"/>
        <v>0</v>
      </c>
      <c r="AO38" s="230">
        <f t="shared" si="9"/>
        <v>0</v>
      </c>
      <c r="AP38" s="230">
        <f t="shared" si="9"/>
        <v>0</v>
      </c>
      <c r="AQ38" s="230">
        <f t="shared" si="9"/>
        <v>0</v>
      </c>
      <c r="AR38" s="230">
        <f t="shared" si="9"/>
        <v>0</v>
      </c>
      <c r="AS38" s="230">
        <f t="shared" si="9"/>
        <v>0</v>
      </c>
      <c r="AT38" s="230">
        <f t="shared" si="9"/>
        <v>0</v>
      </c>
      <c r="AU38" s="230">
        <f t="shared" si="9"/>
        <v>0</v>
      </c>
      <c r="AV38" s="230">
        <f t="shared" si="9"/>
        <v>0</v>
      </c>
      <c r="AW38" s="230">
        <f t="shared" si="9"/>
        <v>0</v>
      </c>
      <c r="AX38" s="230">
        <f t="shared" si="9"/>
        <v>0</v>
      </c>
      <c r="AY38" s="230">
        <f t="shared" si="9"/>
        <v>0</v>
      </c>
      <c r="AZ38" s="230">
        <f t="shared" si="9"/>
        <v>0</v>
      </c>
      <c r="BA38" s="230">
        <f t="shared" si="9"/>
        <v>0</v>
      </c>
      <c r="BB38" s="230">
        <f t="shared" si="9"/>
        <v>0</v>
      </c>
      <c r="BC38" s="230">
        <f t="shared" si="9"/>
        <v>0</v>
      </c>
      <c r="BD38" s="230">
        <f t="shared" si="9"/>
        <v>0</v>
      </c>
      <c r="BE38" s="230">
        <f t="shared" si="9"/>
        <v>0</v>
      </c>
      <c r="BF38" s="230">
        <f t="shared" si="9"/>
        <v>0</v>
      </c>
      <c r="BG38" s="230">
        <f t="shared" si="9"/>
        <v>0</v>
      </c>
      <c r="BI38" s="105" t="s">
        <v>153</v>
      </c>
      <c r="BK38" s="103"/>
    </row>
    <row r="39" spans="2:63">
      <c r="C39" s="99">
        <f>RR!C24</f>
        <v>2</v>
      </c>
      <c r="D39" s="99" t="str">
        <f>RR!E24</f>
        <v>2 - 1</v>
      </c>
      <c r="F39" s="94" t="str">
        <f>INDEX(RR!K:K,MATCH(D39,RR!E:E,0))</f>
        <v>backup</v>
      </c>
      <c r="H39" s="73" t="s">
        <v>296</v>
      </c>
      <c r="J39" s="1325">
        <f>INDEX(AA!E:E,MATCH($C39,AA!C:C,0))</f>
        <v>1</v>
      </c>
      <c r="K39" s="1325">
        <f>INDEX(TA!$G:$G,MATCH($D39,TA!$D:$D,0))</f>
        <v>1</v>
      </c>
      <c r="M39" s="287">
        <f>INDEX(TA!$FL$15:$FL$17,MATCH($D39,TA!$D$15:$D$17,0))</f>
        <v>0</v>
      </c>
      <c r="N39" s="288">
        <f>INDEX(TA!$FS$15:$FS$17,MATCH($D39,TA!$D$15:$D$17,0))</f>
        <v>547</v>
      </c>
      <c r="T39" s="230">
        <f t="shared" ref="T39:AI39" si="10">$M39*$J39*$K39*IFERROR(MAX(MIN((T$4-$N39+1)/T$7,1),0),0)</f>
        <v>0</v>
      </c>
      <c r="U39" s="230">
        <f t="shared" si="10"/>
        <v>0</v>
      </c>
      <c r="V39" s="230">
        <f t="shared" si="10"/>
        <v>0</v>
      </c>
      <c r="W39" s="230">
        <f t="shared" si="10"/>
        <v>0</v>
      </c>
      <c r="X39" s="230">
        <f t="shared" si="10"/>
        <v>0</v>
      </c>
      <c r="Y39" s="230">
        <f t="shared" si="10"/>
        <v>0</v>
      </c>
      <c r="Z39" s="230">
        <f t="shared" si="10"/>
        <v>0</v>
      </c>
      <c r="AA39" s="230">
        <f t="shared" si="10"/>
        <v>0</v>
      </c>
      <c r="AB39" s="230">
        <f t="shared" si="10"/>
        <v>0</v>
      </c>
      <c r="AC39" s="230">
        <f t="shared" si="10"/>
        <v>0</v>
      </c>
      <c r="AD39" s="230">
        <f t="shared" si="10"/>
        <v>0</v>
      </c>
      <c r="AE39" s="230">
        <f t="shared" si="10"/>
        <v>0</v>
      </c>
      <c r="AF39" s="230">
        <f t="shared" si="10"/>
        <v>0</v>
      </c>
      <c r="AG39" s="230">
        <f t="shared" si="10"/>
        <v>0</v>
      </c>
      <c r="AH39" s="230">
        <f t="shared" si="10"/>
        <v>0</v>
      </c>
      <c r="AI39" s="230">
        <f t="shared" si="10"/>
        <v>0</v>
      </c>
      <c r="AJ39" s="230">
        <f t="shared" si="9"/>
        <v>0</v>
      </c>
      <c r="AK39" s="230">
        <f t="shared" si="9"/>
        <v>0</v>
      </c>
      <c r="AL39" s="230">
        <f t="shared" si="9"/>
        <v>0</v>
      </c>
      <c r="AM39" s="230">
        <f t="shared" si="9"/>
        <v>0</v>
      </c>
      <c r="AN39" s="230">
        <f t="shared" si="9"/>
        <v>0</v>
      </c>
      <c r="AO39" s="230">
        <f t="shared" si="9"/>
        <v>0</v>
      </c>
      <c r="AP39" s="230">
        <f t="shared" si="9"/>
        <v>0</v>
      </c>
      <c r="AQ39" s="230">
        <f t="shared" si="9"/>
        <v>0</v>
      </c>
      <c r="AR39" s="230">
        <f t="shared" si="9"/>
        <v>0</v>
      </c>
      <c r="AS39" s="230">
        <f t="shared" si="9"/>
        <v>0</v>
      </c>
      <c r="AT39" s="230">
        <f t="shared" si="9"/>
        <v>0</v>
      </c>
      <c r="AU39" s="230">
        <f t="shared" si="9"/>
        <v>0</v>
      </c>
      <c r="AV39" s="230">
        <f t="shared" si="9"/>
        <v>0</v>
      </c>
      <c r="AW39" s="230">
        <f t="shared" si="9"/>
        <v>0</v>
      </c>
      <c r="AX39" s="230">
        <f t="shared" si="9"/>
        <v>0</v>
      </c>
      <c r="AY39" s="230">
        <f t="shared" si="9"/>
        <v>0</v>
      </c>
      <c r="AZ39" s="230">
        <f t="shared" si="9"/>
        <v>0</v>
      </c>
      <c r="BA39" s="230">
        <f t="shared" si="9"/>
        <v>0</v>
      </c>
      <c r="BB39" s="230">
        <f t="shared" si="9"/>
        <v>0</v>
      </c>
      <c r="BC39" s="230">
        <f t="shared" si="9"/>
        <v>0</v>
      </c>
      <c r="BD39" s="230">
        <f t="shared" si="9"/>
        <v>0</v>
      </c>
      <c r="BE39" s="230">
        <f t="shared" si="9"/>
        <v>0</v>
      </c>
      <c r="BF39" s="230">
        <f t="shared" si="9"/>
        <v>0</v>
      </c>
      <c r="BG39" s="230">
        <f t="shared" si="9"/>
        <v>0</v>
      </c>
      <c r="BI39" s="106" t="s">
        <v>153</v>
      </c>
      <c r="BK39" s="103"/>
    </row>
    <row r="40" spans="2:63">
      <c r="C40" s="99">
        <f>RR!C25</f>
        <v>3</v>
      </c>
      <c r="D40" s="99" t="str">
        <f>RR!E25</f>
        <v>3 - 1</v>
      </c>
      <c r="F40" s="94" t="str">
        <f>INDEX(RR!K:K,MATCH(D40,RR!E:E,0))</f>
        <v>backup</v>
      </c>
      <c r="H40" s="73" t="s">
        <v>296</v>
      </c>
      <c r="J40" s="1325">
        <f>INDEX(AA!E:E,MATCH($C40,AA!C:C,0))</f>
        <v>1</v>
      </c>
      <c r="K40" s="1325">
        <f>INDEX(TA!$G:$G,MATCH($D40,TA!$D:$D,0))</f>
        <v>1</v>
      </c>
      <c r="M40" s="287">
        <f>INDEX(TA!$FL$15:$FL$17,MATCH($D40,TA!$D$15:$D$17,0))</f>
        <v>0</v>
      </c>
      <c r="N40" s="288">
        <f>INDEX(TA!$FS$15:$FS$17,MATCH($D40,TA!$D$15:$D$17,0))</f>
        <v>547</v>
      </c>
      <c r="T40" s="230">
        <f t="shared" ref="T40:AI40" si="11">$M40*$J40*$K40*IFERROR(MAX(MIN((T$4-$N40+1)/T$7,1),0),0)</f>
        <v>0</v>
      </c>
      <c r="U40" s="230">
        <f t="shared" si="11"/>
        <v>0</v>
      </c>
      <c r="V40" s="230">
        <f t="shared" si="11"/>
        <v>0</v>
      </c>
      <c r="W40" s="230">
        <f t="shared" si="11"/>
        <v>0</v>
      </c>
      <c r="X40" s="230">
        <f t="shared" si="11"/>
        <v>0</v>
      </c>
      <c r="Y40" s="230">
        <f t="shared" si="11"/>
        <v>0</v>
      </c>
      <c r="Z40" s="230">
        <f t="shared" si="11"/>
        <v>0</v>
      </c>
      <c r="AA40" s="230">
        <f t="shared" si="11"/>
        <v>0</v>
      </c>
      <c r="AB40" s="230">
        <f t="shared" si="11"/>
        <v>0</v>
      </c>
      <c r="AC40" s="230">
        <f t="shared" si="11"/>
        <v>0</v>
      </c>
      <c r="AD40" s="230">
        <f t="shared" si="11"/>
        <v>0</v>
      </c>
      <c r="AE40" s="230">
        <f t="shared" si="11"/>
        <v>0</v>
      </c>
      <c r="AF40" s="230">
        <f t="shared" si="11"/>
        <v>0</v>
      </c>
      <c r="AG40" s="230">
        <f t="shared" si="11"/>
        <v>0</v>
      </c>
      <c r="AH40" s="230">
        <f t="shared" si="11"/>
        <v>0</v>
      </c>
      <c r="AI40" s="230">
        <f t="shared" si="11"/>
        <v>0</v>
      </c>
      <c r="AJ40" s="230">
        <f t="shared" ref="AJ40:AY40" si="12">$M40*$J40*$K40*IFERROR(MAX(MIN((AJ$4-$N40+1)/AJ$7,1),0),0)</f>
        <v>0</v>
      </c>
      <c r="AK40" s="230">
        <f t="shared" si="12"/>
        <v>0</v>
      </c>
      <c r="AL40" s="230">
        <f t="shared" si="12"/>
        <v>0</v>
      </c>
      <c r="AM40" s="230">
        <f t="shared" si="12"/>
        <v>0</v>
      </c>
      <c r="AN40" s="230">
        <f t="shared" si="12"/>
        <v>0</v>
      </c>
      <c r="AO40" s="230">
        <f t="shared" si="12"/>
        <v>0</v>
      </c>
      <c r="AP40" s="230">
        <f t="shared" si="12"/>
        <v>0</v>
      </c>
      <c r="AQ40" s="230">
        <f t="shared" si="12"/>
        <v>0</v>
      </c>
      <c r="AR40" s="230">
        <f t="shared" si="12"/>
        <v>0</v>
      </c>
      <c r="AS40" s="230">
        <f t="shared" si="12"/>
        <v>0</v>
      </c>
      <c r="AT40" s="230">
        <f t="shared" si="12"/>
        <v>0</v>
      </c>
      <c r="AU40" s="230">
        <f t="shared" si="12"/>
        <v>0</v>
      </c>
      <c r="AV40" s="230">
        <f t="shared" si="12"/>
        <v>0</v>
      </c>
      <c r="AW40" s="230">
        <f t="shared" si="12"/>
        <v>0</v>
      </c>
      <c r="AX40" s="230">
        <f t="shared" si="12"/>
        <v>0</v>
      </c>
      <c r="AY40" s="230">
        <f t="shared" si="12"/>
        <v>0</v>
      </c>
      <c r="AZ40" s="230">
        <f t="shared" ref="AZ40:BG40" si="13">$M40*$J40*$K40*IFERROR(MAX(MIN((AZ$4-$N40+1)/AZ$7,1),0),0)</f>
        <v>0</v>
      </c>
      <c r="BA40" s="230">
        <f t="shared" si="13"/>
        <v>0</v>
      </c>
      <c r="BB40" s="230">
        <f t="shared" si="13"/>
        <v>0</v>
      </c>
      <c r="BC40" s="230">
        <f t="shared" si="13"/>
        <v>0</v>
      </c>
      <c r="BD40" s="230">
        <f t="shared" si="13"/>
        <v>0</v>
      </c>
      <c r="BE40" s="230">
        <f t="shared" si="13"/>
        <v>0</v>
      </c>
      <c r="BF40" s="230">
        <f t="shared" si="13"/>
        <v>0</v>
      </c>
      <c r="BG40" s="230">
        <f t="shared" si="13"/>
        <v>0</v>
      </c>
      <c r="BI40" s="106" t="s">
        <v>153</v>
      </c>
      <c r="BK40" s="103"/>
    </row>
    <row r="41" spans="2:63">
      <c r="C41" s="269"/>
      <c r="D41" s="269"/>
      <c r="F41" s="269"/>
      <c r="H41" s="269"/>
      <c r="J41" s="269"/>
      <c r="K41" s="269"/>
      <c r="M41" s="269"/>
      <c r="N41" s="269"/>
      <c r="BI41" s="269"/>
      <c r="BK41" s="269"/>
    </row>
    <row r="43" spans="2:63" s="90" customFormat="1">
      <c r="B43" s="91">
        <f ca="1">MAX(A$1:$B42)+1</f>
        <v>5</v>
      </c>
      <c r="C43" s="92" t="s">
        <v>299</v>
      </c>
    </row>
    <row r="45" spans="2:63">
      <c r="M45" s="226" t="s">
        <v>299</v>
      </c>
      <c r="N45" s="225"/>
    </row>
    <row r="46" spans="2:63" ht="30">
      <c r="C46" s="96" t="s">
        <v>4</v>
      </c>
      <c r="D46" s="97" t="s">
        <v>148</v>
      </c>
      <c r="E46" s="95"/>
      <c r="F46" s="97" t="s">
        <v>149</v>
      </c>
      <c r="G46" s="95"/>
      <c r="H46" s="97" t="s">
        <v>150</v>
      </c>
      <c r="I46" s="95"/>
      <c r="J46" s="97" t="s">
        <v>272</v>
      </c>
      <c r="K46" s="97" t="s">
        <v>273</v>
      </c>
      <c r="M46" s="171" t="s">
        <v>351</v>
      </c>
      <c r="N46" s="101" t="s">
        <v>352</v>
      </c>
      <c r="BI46" s="104" t="s">
        <v>152</v>
      </c>
      <c r="BJ46" s="95"/>
      <c r="BK46" s="300" t="s">
        <v>372</v>
      </c>
    </row>
    <row r="47" spans="2:63">
      <c r="C47" s="98">
        <f>RR!C23</f>
        <v>1</v>
      </c>
      <c r="D47" s="98" t="str">
        <f>RR!E23</f>
        <v>1 - 1</v>
      </c>
      <c r="F47" s="93" t="str">
        <f>INDEX(RR!K:K,MATCH(D47,RR!E:E,0))</f>
        <v>backup</v>
      </c>
      <c r="H47" s="72" t="s">
        <v>299</v>
      </c>
      <c r="J47" s="1324">
        <f>INDEX(AA!E:E,MATCH($C47,AA!C:C,0))</f>
        <v>1</v>
      </c>
      <c r="K47" s="1324">
        <f>INDEX(TA!$G:$G,MATCH($D47,TA!$D:$D,0))</f>
        <v>1</v>
      </c>
      <c r="M47" s="286">
        <f>INDEX(TA!$FY$15:$FY$17,MATCH($D47,TA!$D$15:$D$17,0))</f>
        <v>0</v>
      </c>
      <c r="N47" s="286">
        <f>INDEX(TA!$FZ$15:$FZ$17,MATCH($D47,TA!$D$15:$D$17,0))</f>
        <v>0</v>
      </c>
      <c r="T47" s="230">
        <f>$J47*$K47*IFERROR((MAX((MIN($N47,T$4)-MAX($M47,T$3)+1),0)/T$7),0)</f>
        <v>0</v>
      </c>
      <c r="U47" s="230">
        <f>$J47*$K47*IFERROR((MAX((MIN($N47,U$4)-MAX($M47,U$3)+1),0)/U$7),0)</f>
        <v>0</v>
      </c>
      <c r="V47" s="230">
        <f t="shared" ref="V47:BG48" si="14">$J47*$K47*IFERROR((MAX((MIN($N47,V$4)-MAX($M47,V$3)+1),0)/V$7),0)</f>
        <v>0</v>
      </c>
      <c r="W47" s="230">
        <f t="shared" si="14"/>
        <v>0</v>
      </c>
      <c r="X47" s="230">
        <f t="shared" si="14"/>
        <v>0</v>
      </c>
      <c r="Y47" s="230">
        <f t="shared" si="14"/>
        <v>0</v>
      </c>
      <c r="Z47" s="230">
        <f t="shared" si="14"/>
        <v>0</v>
      </c>
      <c r="AA47" s="230">
        <f t="shared" si="14"/>
        <v>0</v>
      </c>
      <c r="AB47" s="230">
        <f t="shared" si="14"/>
        <v>0</v>
      </c>
      <c r="AC47" s="230">
        <f t="shared" si="14"/>
        <v>0</v>
      </c>
      <c r="AD47" s="230">
        <f t="shared" si="14"/>
        <v>0</v>
      </c>
      <c r="AE47" s="230">
        <f t="shared" si="14"/>
        <v>0</v>
      </c>
      <c r="AF47" s="230">
        <f t="shared" si="14"/>
        <v>0</v>
      </c>
      <c r="AG47" s="230">
        <f t="shared" si="14"/>
        <v>0</v>
      </c>
      <c r="AH47" s="230">
        <f t="shared" si="14"/>
        <v>0</v>
      </c>
      <c r="AI47" s="230">
        <f t="shared" si="14"/>
        <v>0</v>
      </c>
      <c r="AJ47" s="230">
        <f t="shared" si="14"/>
        <v>0</v>
      </c>
      <c r="AK47" s="230">
        <f t="shared" si="14"/>
        <v>0</v>
      </c>
      <c r="AL47" s="230">
        <f t="shared" si="14"/>
        <v>0</v>
      </c>
      <c r="AM47" s="230">
        <f t="shared" si="14"/>
        <v>0</v>
      </c>
      <c r="AN47" s="230">
        <f t="shared" si="14"/>
        <v>0</v>
      </c>
      <c r="AO47" s="230">
        <f t="shared" si="14"/>
        <v>0</v>
      </c>
      <c r="AP47" s="230">
        <f t="shared" si="14"/>
        <v>0</v>
      </c>
      <c r="AQ47" s="230">
        <f t="shared" si="14"/>
        <v>0</v>
      </c>
      <c r="AR47" s="230">
        <f t="shared" si="14"/>
        <v>0</v>
      </c>
      <c r="AS47" s="230">
        <f t="shared" si="14"/>
        <v>0</v>
      </c>
      <c r="AT47" s="230">
        <f t="shared" si="14"/>
        <v>0</v>
      </c>
      <c r="AU47" s="230">
        <f t="shared" si="14"/>
        <v>0</v>
      </c>
      <c r="AV47" s="230">
        <f t="shared" si="14"/>
        <v>0</v>
      </c>
      <c r="AW47" s="230">
        <f t="shared" si="14"/>
        <v>0</v>
      </c>
      <c r="AX47" s="230">
        <f t="shared" si="14"/>
        <v>0</v>
      </c>
      <c r="AY47" s="230">
        <f t="shared" si="14"/>
        <v>0</v>
      </c>
      <c r="AZ47" s="230">
        <f t="shared" si="14"/>
        <v>0</v>
      </c>
      <c r="BA47" s="230">
        <f t="shared" si="14"/>
        <v>0</v>
      </c>
      <c r="BB47" s="230">
        <f t="shared" si="14"/>
        <v>0</v>
      </c>
      <c r="BC47" s="230">
        <f t="shared" si="14"/>
        <v>0</v>
      </c>
      <c r="BD47" s="230">
        <f t="shared" si="14"/>
        <v>0</v>
      </c>
      <c r="BE47" s="230">
        <f t="shared" si="14"/>
        <v>0</v>
      </c>
      <c r="BF47" s="230">
        <f t="shared" si="14"/>
        <v>0</v>
      </c>
      <c r="BG47" s="230">
        <f t="shared" si="14"/>
        <v>0</v>
      </c>
      <c r="BI47" s="105" t="s">
        <v>153</v>
      </c>
      <c r="BK47" s="303">
        <f>SUM(T47:BG47)</f>
        <v>0</v>
      </c>
    </row>
    <row r="48" spans="2:63">
      <c r="C48" s="99">
        <f>RR!C24</f>
        <v>2</v>
      </c>
      <c r="D48" s="99" t="str">
        <f>RR!E24</f>
        <v>2 - 1</v>
      </c>
      <c r="F48" s="94" t="str">
        <f>INDEX(RR!K:K,MATCH(D48,RR!E:E,0))</f>
        <v>backup</v>
      </c>
      <c r="H48" s="73" t="s">
        <v>299</v>
      </c>
      <c r="J48" s="1325">
        <f>INDEX(AA!E:E,MATCH($C48,AA!C:C,0))</f>
        <v>1</v>
      </c>
      <c r="K48" s="1325">
        <f>INDEX(TA!$G:$G,MATCH($D48,TA!$D:$D,0))</f>
        <v>1</v>
      </c>
      <c r="M48" s="288">
        <f>INDEX(TA!$FY$15:$FY$17,MATCH($D48,TA!$D$15:$D$17,0))</f>
        <v>0</v>
      </c>
      <c r="N48" s="288">
        <f>INDEX(TA!$FZ$15:$FZ$17,MATCH($D48,TA!$D$15:$D$17,0))</f>
        <v>0</v>
      </c>
      <c r="T48" s="230">
        <f t="shared" ref="T48:U48" si="15">$J48*$K48*IFERROR((MAX((MIN($N48,T$4)-MAX($M48,T$3)+1),0)/T$7),0)</f>
        <v>0</v>
      </c>
      <c r="U48" s="230">
        <f t="shared" si="15"/>
        <v>0</v>
      </c>
      <c r="V48" s="230">
        <f t="shared" si="14"/>
        <v>0</v>
      </c>
      <c r="W48" s="230">
        <f t="shared" si="14"/>
        <v>0</v>
      </c>
      <c r="X48" s="230">
        <f t="shared" si="14"/>
        <v>0</v>
      </c>
      <c r="Y48" s="230">
        <f t="shared" si="14"/>
        <v>0</v>
      </c>
      <c r="Z48" s="230">
        <f t="shared" si="14"/>
        <v>0</v>
      </c>
      <c r="AA48" s="230">
        <f t="shared" si="14"/>
        <v>0</v>
      </c>
      <c r="AB48" s="230">
        <f t="shared" si="14"/>
        <v>0</v>
      </c>
      <c r="AC48" s="230">
        <f t="shared" si="14"/>
        <v>0</v>
      </c>
      <c r="AD48" s="230">
        <f t="shared" si="14"/>
        <v>0</v>
      </c>
      <c r="AE48" s="230">
        <f t="shared" si="14"/>
        <v>0</v>
      </c>
      <c r="AF48" s="230">
        <f t="shared" si="14"/>
        <v>0</v>
      </c>
      <c r="AG48" s="230">
        <f t="shared" si="14"/>
        <v>0</v>
      </c>
      <c r="AH48" s="230">
        <f t="shared" si="14"/>
        <v>0</v>
      </c>
      <c r="AI48" s="230">
        <f t="shared" si="14"/>
        <v>0</v>
      </c>
      <c r="AJ48" s="230">
        <f t="shared" si="14"/>
        <v>0</v>
      </c>
      <c r="AK48" s="230">
        <f t="shared" si="14"/>
        <v>0</v>
      </c>
      <c r="AL48" s="230">
        <f t="shared" si="14"/>
        <v>0</v>
      </c>
      <c r="AM48" s="230">
        <f t="shared" si="14"/>
        <v>0</v>
      </c>
      <c r="AN48" s="230">
        <f t="shared" si="14"/>
        <v>0</v>
      </c>
      <c r="AO48" s="230">
        <f t="shared" si="14"/>
        <v>0</v>
      </c>
      <c r="AP48" s="230">
        <f t="shared" si="14"/>
        <v>0</v>
      </c>
      <c r="AQ48" s="230">
        <f t="shared" si="14"/>
        <v>0</v>
      </c>
      <c r="AR48" s="230">
        <f t="shared" si="14"/>
        <v>0</v>
      </c>
      <c r="AS48" s="230">
        <f t="shared" si="14"/>
        <v>0</v>
      </c>
      <c r="AT48" s="230">
        <f t="shared" si="14"/>
        <v>0</v>
      </c>
      <c r="AU48" s="230">
        <f t="shared" si="14"/>
        <v>0</v>
      </c>
      <c r="AV48" s="230">
        <f t="shared" si="14"/>
        <v>0</v>
      </c>
      <c r="AW48" s="230">
        <f t="shared" si="14"/>
        <v>0</v>
      </c>
      <c r="AX48" s="230">
        <f t="shared" si="14"/>
        <v>0</v>
      </c>
      <c r="AY48" s="230">
        <f t="shared" si="14"/>
        <v>0</v>
      </c>
      <c r="AZ48" s="230">
        <f t="shared" si="14"/>
        <v>0</v>
      </c>
      <c r="BA48" s="230">
        <f t="shared" si="14"/>
        <v>0</v>
      </c>
      <c r="BB48" s="230">
        <f t="shared" si="14"/>
        <v>0</v>
      </c>
      <c r="BC48" s="230">
        <f t="shared" si="14"/>
        <v>0</v>
      </c>
      <c r="BD48" s="230">
        <f t="shared" si="14"/>
        <v>0</v>
      </c>
      <c r="BE48" s="230">
        <f t="shared" si="14"/>
        <v>0</v>
      </c>
      <c r="BF48" s="230">
        <f t="shared" si="14"/>
        <v>0</v>
      </c>
      <c r="BG48" s="230">
        <f t="shared" si="14"/>
        <v>0</v>
      </c>
      <c r="BI48" s="106" t="s">
        <v>153</v>
      </c>
      <c r="BK48" s="304">
        <f t="shared" ref="BK48" si="16">SUM(T48:BG48)</f>
        <v>0</v>
      </c>
    </row>
    <row r="49" spans="2:63">
      <c r="C49" s="99">
        <f>RR!C25</f>
        <v>3</v>
      </c>
      <c r="D49" s="99" t="str">
        <f>RR!E25</f>
        <v>3 - 1</v>
      </c>
      <c r="F49" s="94" t="str">
        <f>INDEX(RR!K:K,MATCH(D49,RR!E:E,0))</f>
        <v>backup</v>
      </c>
      <c r="H49" s="73" t="s">
        <v>299</v>
      </c>
      <c r="J49" s="1325">
        <f>INDEX(AA!E:E,MATCH($C49,AA!C:C,0))</f>
        <v>1</v>
      </c>
      <c r="K49" s="1325">
        <f>INDEX(TA!$G:$G,MATCH($D49,TA!$D:$D,0))</f>
        <v>1</v>
      </c>
      <c r="M49" s="288">
        <f>INDEX(TA!$FY$15:$FY$17,MATCH($D49,TA!$D$15:$D$17,0))</f>
        <v>0</v>
      </c>
      <c r="N49" s="288">
        <f>INDEX(TA!$FZ$15:$FZ$17,MATCH($D49,TA!$D$15:$D$17,0))</f>
        <v>0</v>
      </c>
      <c r="T49" s="230">
        <f t="shared" ref="T49:AI49" si="17">$J49*$K49*IFERROR((MAX((MIN($N49,T$4)-MAX($M49,T$3)+1),0)/T$7),0)</f>
        <v>0</v>
      </c>
      <c r="U49" s="230">
        <f t="shared" si="17"/>
        <v>0</v>
      </c>
      <c r="V49" s="230">
        <f t="shared" si="17"/>
        <v>0</v>
      </c>
      <c r="W49" s="230">
        <f t="shared" si="17"/>
        <v>0</v>
      </c>
      <c r="X49" s="230">
        <f t="shared" si="17"/>
        <v>0</v>
      </c>
      <c r="Y49" s="230">
        <f t="shared" si="17"/>
        <v>0</v>
      </c>
      <c r="Z49" s="230">
        <f t="shared" si="17"/>
        <v>0</v>
      </c>
      <c r="AA49" s="230">
        <f t="shared" si="17"/>
        <v>0</v>
      </c>
      <c r="AB49" s="230">
        <f t="shared" si="17"/>
        <v>0</v>
      </c>
      <c r="AC49" s="230">
        <f t="shared" si="17"/>
        <v>0</v>
      </c>
      <c r="AD49" s="230">
        <f t="shared" si="17"/>
        <v>0</v>
      </c>
      <c r="AE49" s="230">
        <f t="shared" si="17"/>
        <v>0</v>
      </c>
      <c r="AF49" s="230">
        <f t="shared" si="17"/>
        <v>0</v>
      </c>
      <c r="AG49" s="230">
        <f t="shared" si="17"/>
        <v>0</v>
      </c>
      <c r="AH49" s="230">
        <f t="shared" si="17"/>
        <v>0</v>
      </c>
      <c r="AI49" s="230">
        <f t="shared" si="17"/>
        <v>0</v>
      </c>
      <c r="AJ49" s="230">
        <f t="shared" ref="AJ49:AY49" si="18">$J49*$K49*IFERROR((MAX((MIN($N49,AJ$4)-MAX($M49,AJ$3)+1),0)/AJ$7),0)</f>
        <v>0</v>
      </c>
      <c r="AK49" s="230">
        <f t="shared" si="18"/>
        <v>0</v>
      </c>
      <c r="AL49" s="230">
        <f t="shared" si="18"/>
        <v>0</v>
      </c>
      <c r="AM49" s="230">
        <f t="shared" si="18"/>
        <v>0</v>
      </c>
      <c r="AN49" s="230">
        <f t="shared" si="18"/>
        <v>0</v>
      </c>
      <c r="AO49" s="230">
        <f t="shared" si="18"/>
        <v>0</v>
      </c>
      <c r="AP49" s="230">
        <f t="shared" si="18"/>
        <v>0</v>
      </c>
      <c r="AQ49" s="230">
        <f t="shared" si="18"/>
        <v>0</v>
      </c>
      <c r="AR49" s="230">
        <f t="shared" si="18"/>
        <v>0</v>
      </c>
      <c r="AS49" s="230">
        <f t="shared" si="18"/>
        <v>0</v>
      </c>
      <c r="AT49" s="230">
        <f t="shared" si="18"/>
        <v>0</v>
      </c>
      <c r="AU49" s="230">
        <f t="shared" si="18"/>
        <v>0</v>
      </c>
      <c r="AV49" s="230">
        <f t="shared" si="18"/>
        <v>0</v>
      </c>
      <c r="AW49" s="230">
        <f t="shared" si="18"/>
        <v>0</v>
      </c>
      <c r="AX49" s="230">
        <f t="shared" si="18"/>
        <v>0</v>
      </c>
      <c r="AY49" s="230">
        <f t="shared" si="18"/>
        <v>0</v>
      </c>
      <c r="AZ49" s="230">
        <f t="shared" ref="AZ49:BG49" si="19">$J49*$K49*IFERROR((MAX((MIN($N49,AZ$4)-MAX($M49,AZ$3)+1),0)/AZ$7),0)</f>
        <v>0</v>
      </c>
      <c r="BA49" s="230">
        <f t="shared" si="19"/>
        <v>0</v>
      </c>
      <c r="BB49" s="230">
        <f t="shared" si="19"/>
        <v>0</v>
      </c>
      <c r="BC49" s="230">
        <f t="shared" si="19"/>
        <v>0</v>
      </c>
      <c r="BD49" s="230">
        <f t="shared" si="19"/>
        <v>0</v>
      </c>
      <c r="BE49" s="230">
        <f t="shared" si="19"/>
        <v>0</v>
      </c>
      <c r="BF49" s="230">
        <f t="shared" si="19"/>
        <v>0</v>
      </c>
      <c r="BG49" s="230">
        <f t="shared" si="19"/>
        <v>0</v>
      </c>
      <c r="BI49" s="106" t="s">
        <v>153</v>
      </c>
      <c r="BK49" s="304">
        <f t="shared" ref="BK49" si="20">SUM(T49:BG49)</f>
        <v>0</v>
      </c>
    </row>
    <row r="50" spans="2:63">
      <c r="C50" s="269"/>
      <c r="D50" s="269"/>
      <c r="F50" s="269"/>
      <c r="H50" s="269"/>
      <c r="J50" s="269"/>
      <c r="K50" s="269"/>
      <c r="M50" s="269"/>
      <c r="N50" s="269"/>
      <c r="BI50" s="269"/>
      <c r="BK50" s="269"/>
    </row>
    <row r="52" spans="2:63" s="90" customFormat="1">
      <c r="B52" s="91">
        <f ca="1">MAX(A$1:$B51)+1</f>
        <v>6</v>
      </c>
      <c r="C52" s="92" t="s">
        <v>300</v>
      </c>
    </row>
    <row r="54" spans="2:63">
      <c r="M54" s="226" t="s">
        <v>363</v>
      </c>
      <c r="N54" s="226"/>
      <c r="O54" s="226"/>
    </row>
    <row r="55" spans="2:63" ht="30">
      <c r="C55" s="96" t="s">
        <v>4</v>
      </c>
      <c r="D55" s="97" t="s">
        <v>148</v>
      </c>
      <c r="E55" s="95"/>
      <c r="F55" s="97" t="s">
        <v>149</v>
      </c>
      <c r="G55" s="95"/>
      <c r="H55" s="97" t="s">
        <v>150</v>
      </c>
      <c r="I55" s="95"/>
      <c r="J55" s="97" t="s">
        <v>272</v>
      </c>
      <c r="K55" s="97" t="s">
        <v>273</v>
      </c>
      <c r="M55" s="171" t="s">
        <v>11</v>
      </c>
      <c r="N55" s="171" t="s">
        <v>13</v>
      </c>
      <c r="O55" s="101" t="s">
        <v>361</v>
      </c>
      <c r="BI55" s="104" t="s">
        <v>152</v>
      </c>
      <c r="BJ55" s="95"/>
      <c r="BK55" s="102"/>
    </row>
    <row r="56" spans="2:63">
      <c r="C56" s="98">
        <f>RR!C23</f>
        <v>1</v>
      </c>
      <c r="D56" s="98" t="str">
        <f>RR!E23</f>
        <v>1 - 1</v>
      </c>
      <c r="F56" s="93" t="str">
        <f>INDEX(RR!K:K,MATCH(D56,RR!E:E,0))</f>
        <v>backup</v>
      </c>
      <c r="H56" s="72" t="s">
        <v>300</v>
      </c>
      <c r="J56" s="1324">
        <f>INDEX(AA!E:E,MATCH($C56,AA!C:C,0))</f>
        <v>1</v>
      </c>
      <c r="K56" s="1324">
        <f>INDEX(TA!$G:$G,MATCH($D56,TA!$D:$D,0))</f>
        <v>1</v>
      </c>
      <c r="M56" s="289">
        <f>INDEX(TA!$FE$15:$FE$17,MATCH($D56,TA!$D$15:$D$17,0))</f>
        <v>0</v>
      </c>
      <c r="N56" s="286">
        <f>INDEX(TA!$FF$15:$FF$17,MATCH($D56,TA!$D$15:$D$17,0))</f>
        <v>0</v>
      </c>
      <c r="O56" s="290">
        <f>INDEX(TA!$FL$15:$FL$17,MATCH($D56,TA!$D$15:$D$17,0))</f>
        <v>0</v>
      </c>
      <c r="T56" s="230">
        <f>($M56&lt;=T$4)*MAX(($N56-T$4)/365,0)*$J56*$K56</f>
        <v>0</v>
      </c>
      <c r="U56" s="230">
        <f t="shared" ref="U56:BG57" si="21">($M56&lt;=U$4)*MAX(($N56-U$4)/365,0)*$J56*$K56</f>
        <v>0</v>
      </c>
      <c r="V56" s="230">
        <f t="shared" si="21"/>
        <v>0</v>
      </c>
      <c r="W56" s="230">
        <f t="shared" si="21"/>
        <v>0</v>
      </c>
      <c r="X56" s="230">
        <f t="shared" si="21"/>
        <v>0</v>
      </c>
      <c r="Y56" s="230">
        <f t="shared" si="21"/>
        <v>0</v>
      </c>
      <c r="Z56" s="230">
        <f t="shared" si="21"/>
        <v>0</v>
      </c>
      <c r="AA56" s="230">
        <f t="shared" si="21"/>
        <v>0</v>
      </c>
      <c r="AB56" s="230">
        <f t="shared" si="21"/>
        <v>0</v>
      </c>
      <c r="AC56" s="230">
        <f t="shared" si="21"/>
        <v>0</v>
      </c>
      <c r="AD56" s="230">
        <f t="shared" si="21"/>
        <v>0</v>
      </c>
      <c r="AE56" s="230">
        <f t="shared" si="21"/>
        <v>0</v>
      </c>
      <c r="AF56" s="230">
        <f t="shared" si="21"/>
        <v>0</v>
      </c>
      <c r="AG56" s="230">
        <f t="shared" si="21"/>
        <v>0</v>
      </c>
      <c r="AH56" s="230">
        <f t="shared" si="21"/>
        <v>0</v>
      </c>
      <c r="AI56" s="230">
        <f t="shared" si="21"/>
        <v>0</v>
      </c>
      <c r="AJ56" s="230">
        <f t="shared" si="21"/>
        <v>0</v>
      </c>
      <c r="AK56" s="230">
        <f t="shared" si="21"/>
        <v>0</v>
      </c>
      <c r="AL56" s="230">
        <f t="shared" si="21"/>
        <v>0</v>
      </c>
      <c r="AM56" s="230">
        <f t="shared" si="21"/>
        <v>0</v>
      </c>
      <c r="AN56" s="230">
        <f t="shared" si="21"/>
        <v>0</v>
      </c>
      <c r="AO56" s="230">
        <f t="shared" si="21"/>
        <v>0</v>
      </c>
      <c r="AP56" s="230">
        <f t="shared" si="21"/>
        <v>0</v>
      </c>
      <c r="AQ56" s="230">
        <f t="shared" si="21"/>
        <v>0</v>
      </c>
      <c r="AR56" s="230">
        <f t="shared" si="21"/>
        <v>0</v>
      </c>
      <c r="AS56" s="230">
        <f t="shared" si="21"/>
        <v>0</v>
      </c>
      <c r="AT56" s="230">
        <f t="shared" si="21"/>
        <v>0</v>
      </c>
      <c r="AU56" s="230">
        <f t="shared" si="21"/>
        <v>0</v>
      </c>
      <c r="AV56" s="230">
        <f t="shared" si="21"/>
        <v>0</v>
      </c>
      <c r="AW56" s="230">
        <f t="shared" si="21"/>
        <v>0</v>
      </c>
      <c r="AX56" s="230">
        <f t="shared" si="21"/>
        <v>0</v>
      </c>
      <c r="AY56" s="230">
        <f t="shared" si="21"/>
        <v>0</v>
      </c>
      <c r="AZ56" s="230">
        <f t="shared" si="21"/>
        <v>0</v>
      </c>
      <c r="BA56" s="230">
        <f t="shared" si="21"/>
        <v>0</v>
      </c>
      <c r="BB56" s="230">
        <f t="shared" si="21"/>
        <v>0</v>
      </c>
      <c r="BC56" s="230">
        <f t="shared" si="21"/>
        <v>0</v>
      </c>
      <c r="BD56" s="230">
        <f t="shared" si="21"/>
        <v>0</v>
      </c>
      <c r="BE56" s="230">
        <f t="shared" si="21"/>
        <v>0</v>
      </c>
      <c r="BF56" s="230">
        <f t="shared" si="21"/>
        <v>0</v>
      </c>
      <c r="BG56" s="230">
        <f t="shared" si="21"/>
        <v>0</v>
      </c>
      <c r="BI56" s="105" t="s">
        <v>153</v>
      </c>
      <c r="BK56" s="103"/>
    </row>
    <row r="57" spans="2:63">
      <c r="C57" s="99">
        <f>RR!C24</f>
        <v>2</v>
      </c>
      <c r="D57" s="99" t="str">
        <f>RR!E24</f>
        <v>2 - 1</v>
      </c>
      <c r="F57" s="94" t="str">
        <f>INDEX(RR!K:K,MATCH(D57,RR!E:E,0))</f>
        <v>backup</v>
      </c>
      <c r="H57" s="73" t="s">
        <v>300</v>
      </c>
      <c r="J57" s="1325">
        <f>INDEX(AA!E:E,MATCH($C57,AA!C:C,0))</f>
        <v>1</v>
      </c>
      <c r="K57" s="1325">
        <f>INDEX(TA!$G:$G,MATCH($D57,TA!$D:$D,0))</f>
        <v>1</v>
      </c>
      <c r="M57" s="291">
        <f>INDEX(TA!$FE$15:$FE$17,MATCH($D57,TA!$D$15:$D$17,0))</f>
        <v>0</v>
      </c>
      <c r="N57" s="288">
        <f>INDEX(TA!$FF$15:$FF$17,MATCH($D57,TA!$D$15:$D$17,0))</f>
        <v>0</v>
      </c>
      <c r="O57" s="292">
        <f>INDEX(TA!$FL$15:$FL$17,MATCH($D57,TA!$D$15:$D$17,0))</f>
        <v>0</v>
      </c>
      <c r="T57" s="230">
        <f t="shared" ref="T57" si="22">($M57&lt;=T$4)*MAX(($N57-T$4)/365,0)*$J57*$K57</f>
        <v>0</v>
      </c>
      <c r="U57" s="230">
        <f t="shared" si="21"/>
        <v>0</v>
      </c>
      <c r="V57" s="230">
        <f t="shared" si="21"/>
        <v>0</v>
      </c>
      <c r="W57" s="230">
        <f t="shared" si="21"/>
        <v>0</v>
      </c>
      <c r="X57" s="230">
        <f t="shared" si="21"/>
        <v>0</v>
      </c>
      <c r="Y57" s="230">
        <f t="shared" si="21"/>
        <v>0</v>
      </c>
      <c r="Z57" s="230">
        <f t="shared" si="21"/>
        <v>0</v>
      </c>
      <c r="AA57" s="230">
        <f t="shared" si="21"/>
        <v>0</v>
      </c>
      <c r="AB57" s="230">
        <f t="shared" si="21"/>
        <v>0</v>
      </c>
      <c r="AC57" s="230">
        <f t="shared" si="21"/>
        <v>0</v>
      </c>
      <c r="AD57" s="230">
        <f t="shared" si="21"/>
        <v>0</v>
      </c>
      <c r="AE57" s="230">
        <f t="shared" si="21"/>
        <v>0</v>
      </c>
      <c r="AF57" s="230">
        <f t="shared" si="21"/>
        <v>0</v>
      </c>
      <c r="AG57" s="230">
        <f t="shared" si="21"/>
        <v>0</v>
      </c>
      <c r="AH57" s="230">
        <f t="shared" si="21"/>
        <v>0</v>
      </c>
      <c r="AI57" s="230">
        <f t="shared" si="21"/>
        <v>0</v>
      </c>
      <c r="AJ57" s="230">
        <f t="shared" si="21"/>
        <v>0</v>
      </c>
      <c r="AK57" s="230">
        <f t="shared" si="21"/>
        <v>0</v>
      </c>
      <c r="AL57" s="230">
        <f t="shared" si="21"/>
        <v>0</v>
      </c>
      <c r="AM57" s="230">
        <f t="shared" si="21"/>
        <v>0</v>
      </c>
      <c r="AN57" s="230">
        <f t="shared" si="21"/>
        <v>0</v>
      </c>
      <c r="AO57" s="230">
        <f t="shared" si="21"/>
        <v>0</v>
      </c>
      <c r="AP57" s="230">
        <f t="shared" si="21"/>
        <v>0</v>
      </c>
      <c r="AQ57" s="230">
        <f t="shared" si="21"/>
        <v>0</v>
      </c>
      <c r="AR57" s="230">
        <f t="shared" si="21"/>
        <v>0</v>
      </c>
      <c r="AS57" s="230">
        <f t="shared" si="21"/>
        <v>0</v>
      </c>
      <c r="AT57" s="230">
        <f t="shared" si="21"/>
        <v>0</v>
      </c>
      <c r="AU57" s="230">
        <f t="shared" si="21"/>
        <v>0</v>
      </c>
      <c r="AV57" s="230">
        <f t="shared" si="21"/>
        <v>0</v>
      </c>
      <c r="AW57" s="230">
        <f t="shared" si="21"/>
        <v>0</v>
      </c>
      <c r="AX57" s="230">
        <f t="shared" si="21"/>
        <v>0</v>
      </c>
      <c r="AY57" s="230">
        <f t="shared" si="21"/>
        <v>0</v>
      </c>
      <c r="AZ57" s="230">
        <f t="shared" si="21"/>
        <v>0</v>
      </c>
      <c r="BA57" s="230">
        <f t="shared" si="21"/>
        <v>0</v>
      </c>
      <c r="BB57" s="230">
        <f t="shared" si="21"/>
        <v>0</v>
      </c>
      <c r="BC57" s="230">
        <f t="shared" si="21"/>
        <v>0</v>
      </c>
      <c r="BD57" s="230">
        <f t="shared" si="21"/>
        <v>0</v>
      </c>
      <c r="BE57" s="230">
        <f t="shared" si="21"/>
        <v>0</v>
      </c>
      <c r="BF57" s="230">
        <f t="shared" si="21"/>
        <v>0</v>
      </c>
      <c r="BG57" s="230">
        <f t="shared" si="21"/>
        <v>0</v>
      </c>
      <c r="BI57" s="106" t="s">
        <v>153</v>
      </c>
      <c r="BK57" s="103"/>
    </row>
    <row r="58" spans="2:63">
      <c r="C58" s="99">
        <f>RR!C25</f>
        <v>3</v>
      </c>
      <c r="D58" s="99" t="str">
        <f>RR!E25</f>
        <v>3 - 1</v>
      </c>
      <c r="F58" s="94" t="str">
        <f>INDEX(RR!K:K,MATCH(D58,RR!E:E,0))</f>
        <v>backup</v>
      </c>
      <c r="H58" s="73" t="s">
        <v>300</v>
      </c>
      <c r="J58" s="1325">
        <f>INDEX(AA!E:E,MATCH($C58,AA!C:C,0))</f>
        <v>1</v>
      </c>
      <c r="K58" s="1325">
        <f>INDEX(TA!$G:$G,MATCH($D58,TA!$D:$D,0))</f>
        <v>1</v>
      </c>
      <c r="M58" s="291">
        <f>INDEX(TA!$FE$15:$FE$17,MATCH($D58,TA!$D$15:$D$17,0))</f>
        <v>0</v>
      </c>
      <c r="N58" s="288">
        <f>INDEX(TA!$FF$15:$FF$17,MATCH($D58,TA!$D$15:$D$17,0))</f>
        <v>0</v>
      </c>
      <c r="O58" s="292">
        <f>INDEX(TA!$FL$15:$FL$17,MATCH($D58,TA!$D$15:$D$17,0))</f>
        <v>0</v>
      </c>
      <c r="T58" s="230">
        <f t="shared" ref="T58:AI58" si="23">($M58&lt;=T$4)*MAX(($N58-T$4)/365,0)*$J58*$K58</f>
        <v>0</v>
      </c>
      <c r="U58" s="230">
        <f t="shared" si="23"/>
        <v>0</v>
      </c>
      <c r="V58" s="230">
        <f t="shared" si="23"/>
        <v>0</v>
      </c>
      <c r="W58" s="230">
        <f t="shared" si="23"/>
        <v>0</v>
      </c>
      <c r="X58" s="230">
        <f t="shared" si="23"/>
        <v>0</v>
      </c>
      <c r="Y58" s="230">
        <f t="shared" si="23"/>
        <v>0</v>
      </c>
      <c r="Z58" s="230">
        <f t="shared" si="23"/>
        <v>0</v>
      </c>
      <c r="AA58" s="230">
        <f t="shared" si="23"/>
        <v>0</v>
      </c>
      <c r="AB58" s="230">
        <f t="shared" si="23"/>
        <v>0</v>
      </c>
      <c r="AC58" s="230">
        <f t="shared" si="23"/>
        <v>0</v>
      </c>
      <c r="AD58" s="230">
        <f t="shared" si="23"/>
        <v>0</v>
      </c>
      <c r="AE58" s="230">
        <f t="shared" si="23"/>
        <v>0</v>
      </c>
      <c r="AF58" s="230">
        <f t="shared" si="23"/>
        <v>0</v>
      </c>
      <c r="AG58" s="230">
        <f t="shared" si="23"/>
        <v>0</v>
      </c>
      <c r="AH58" s="230">
        <f t="shared" si="23"/>
        <v>0</v>
      </c>
      <c r="AI58" s="230">
        <f t="shared" si="23"/>
        <v>0</v>
      </c>
      <c r="AJ58" s="230">
        <f t="shared" ref="AJ58:AY58" si="24">($M58&lt;=AJ$4)*MAX(($N58-AJ$4)/365,0)*$J58*$K58</f>
        <v>0</v>
      </c>
      <c r="AK58" s="230">
        <f t="shared" si="24"/>
        <v>0</v>
      </c>
      <c r="AL58" s="230">
        <f t="shared" si="24"/>
        <v>0</v>
      </c>
      <c r="AM58" s="230">
        <f t="shared" si="24"/>
        <v>0</v>
      </c>
      <c r="AN58" s="230">
        <f t="shared" si="24"/>
        <v>0</v>
      </c>
      <c r="AO58" s="230">
        <f t="shared" si="24"/>
        <v>0</v>
      </c>
      <c r="AP58" s="230">
        <f t="shared" si="24"/>
        <v>0</v>
      </c>
      <c r="AQ58" s="230">
        <f t="shared" si="24"/>
        <v>0</v>
      </c>
      <c r="AR58" s="230">
        <f t="shared" si="24"/>
        <v>0</v>
      </c>
      <c r="AS58" s="230">
        <f t="shared" si="24"/>
        <v>0</v>
      </c>
      <c r="AT58" s="230">
        <f t="shared" si="24"/>
        <v>0</v>
      </c>
      <c r="AU58" s="230">
        <f t="shared" si="24"/>
        <v>0</v>
      </c>
      <c r="AV58" s="230">
        <f t="shared" si="24"/>
        <v>0</v>
      </c>
      <c r="AW58" s="230">
        <f t="shared" si="24"/>
        <v>0</v>
      </c>
      <c r="AX58" s="230">
        <f t="shared" si="24"/>
        <v>0</v>
      </c>
      <c r="AY58" s="230">
        <f t="shared" si="24"/>
        <v>0</v>
      </c>
      <c r="AZ58" s="230">
        <f t="shared" ref="AZ58:BG58" si="25">($M58&lt;=AZ$4)*MAX(($N58-AZ$4)/365,0)*$J58*$K58</f>
        <v>0</v>
      </c>
      <c r="BA58" s="230">
        <f t="shared" si="25"/>
        <v>0</v>
      </c>
      <c r="BB58" s="230">
        <f t="shared" si="25"/>
        <v>0</v>
      </c>
      <c r="BC58" s="230">
        <f t="shared" si="25"/>
        <v>0</v>
      </c>
      <c r="BD58" s="230">
        <f t="shared" si="25"/>
        <v>0</v>
      </c>
      <c r="BE58" s="230">
        <f t="shared" si="25"/>
        <v>0</v>
      </c>
      <c r="BF58" s="230">
        <f t="shared" si="25"/>
        <v>0</v>
      </c>
      <c r="BG58" s="230">
        <f t="shared" si="25"/>
        <v>0</v>
      </c>
      <c r="BI58" s="106" t="s">
        <v>153</v>
      </c>
      <c r="BK58" s="103"/>
    </row>
    <row r="59" spans="2:63">
      <c r="C59" s="269"/>
      <c r="D59" s="269"/>
      <c r="F59" s="269"/>
      <c r="H59" s="269"/>
      <c r="J59" s="269"/>
      <c r="K59" s="269"/>
      <c r="M59" s="269"/>
      <c r="N59" s="269"/>
      <c r="O59" s="269"/>
      <c r="T59" s="230"/>
      <c r="U59" s="230"/>
      <c r="V59" s="230"/>
      <c r="W59" s="230"/>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I59" s="269"/>
      <c r="BK59" s="269"/>
    </row>
    <row r="60" spans="2:63">
      <c r="T60" s="230"/>
      <c r="U60" s="230"/>
      <c r="V60" s="230"/>
      <c r="W60" s="230"/>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row>
    <row r="61" spans="2:63" s="90" customFormat="1">
      <c r="B61" s="91">
        <f ca="1">MAX(A$1:$B60)+1</f>
        <v>7</v>
      </c>
      <c r="C61" s="92" t="s">
        <v>383</v>
      </c>
    </row>
    <row r="62" spans="2:63">
      <c r="T62" s="230"/>
      <c r="U62" s="230"/>
      <c r="V62" s="230"/>
      <c r="W62" s="230"/>
      <c r="X62" s="230"/>
      <c r="Y62" s="230"/>
      <c r="Z62" s="230"/>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row>
    <row r="63" spans="2:63">
      <c r="M63" s="226" t="s">
        <v>383</v>
      </c>
      <c r="N63" s="225"/>
      <c r="O63" s="225"/>
      <c r="T63" s="230"/>
      <c r="U63" s="230"/>
      <c r="V63" s="230"/>
      <c r="W63" s="230"/>
      <c r="X63" s="230"/>
      <c r="Y63" s="230"/>
      <c r="Z63" s="230"/>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row>
    <row r="64" spans="2:63" ht="30">
      <c r="C64" s="96" t="s">
        <v>4</v>
      </c>
      <c r="D64" s="97" t="s">
        <v>148</v>
      </c>
      <c r="E64" s="95"/>
      <c r="F64" s="97" t="s">
        <v>149</v>
      </c>
      <c r="G64" s="95"/>
      <c r="H64" s="97" t="s">
        <v>150</v>
      </c>
      <c r="I64" s="95"/>
      <c r="J64" s="97" t="s">
        <v>272</v>
      </c>
      <c r="K64" s="97" t="s">
        <v>273</v>
      </c>
      <c r="M64" s="96" t="s">
        <v>384</v>
      </c>
      <c r="N64" s="97" t="s">
        <v>385</v>
      </c>
      <c r="O64" s="97" t="s">
        <v>305</v>
      </c>
      <c r="T64" s="230"/>
      <c r="U64" s="230"/>
      <c r="V64" s="230"/>
      <c r="W64" s="230"/>
      <c r="X64" s="230"/>
      <c r="Y64" s="230"/>
      <c r="Z64" s="230"/>
      <c r="AA64" s="230"/>
      <c r="AB64" s="230"/>
      <c r="AC64" s="230"/>
      <c r="AD64" s="230"/>
      <c r="AE64" s="230"/>
      <c r="AF64" s="230"/>
      <c r="AG64" s="230"/>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I64" s="104" t="s">
        <v>152</v>
      </c>
      <c r="BJ64" s="95"/>
      <c r="BK64" s="102"/>
    </row>
    <row r="65" spans="2:63">
      <c r="C65" s="98">
        <f>RR!C23</f>
        <v>1</v>
      </c>
      <c r="D65" s="98" t="str">
        <f>RR!E23</f>
        <v>1 - 1</v>
      </c>
      <c r="F65" s="93" t="str">
        <f>INDEX(RR!K:K,MATCH(D65,RR!E:E,0))</f>
        <v>backup</v>
      </c>
      <c r="H65" s="72" t="s">
        <v>383</v>
      </c>
      <c r="J65" s="1324">
        <f>INDEX(AA!E:E,MATCH($C65,AA!C:C,0))</f>
        <v>1</v>
      </c>
      <c r="K65" s="1324">
        <f>INDEX(TA!$G:$G,MATCH($D65,TA!$D:$D,0))</f>
        <v>1</v>
      </c>
      <c r="M65" s="305">
        <f>INDEX(TA!$BN$15:$BN$17,MATCH($D65,TA!$D$15:$D$17,0))</f>
        <v>0</v>
      </c>
      <c r="N65" s="307">
        <f>INDEX(TA!$CA$15:$CA$17,MATCH($D65,TA!$D$15:$D$17,0))</f>
        <v>0</v>
      </c>
      <c r="O65" s="1324" t="str">
        <f>INDEX(TA!$U:$U,MATCH($D65,TA!$D:$D,0))</f>
        <v>FMCG-F</v>
      </c>
      <c r="T65" s="231">
        <f>$M65*(T$5&gt;=$N65)</f>
        <v>0</v>
      </c>
      <c r="U65" s="231">
        <f t="shared" ref="U65:BG66" si="26">$M65*(U$5&gt;=$N65)</f>
        <v>0</v>
      </c>
      <c r="V65" s="231">
        <f t="shared" si="26"/>
        <v>0</v>
      </c>
      <c r="W65" s="231">
        <f t="shared" si="26"/>
        <v>0</v>
      </c>
      <c r="X65" s="231">
        <f t="shared" si="26"/>
        <v>0</v>
      </c>
      <c r="Y65" s="231">
        <f t="shared" si="26"/>
        <v>0</v>
      </c>
      <c r="Z65" s="231">
        <f t="shared" si="26"/>
        <v>0</v>
      </c>
      <c r="AA65" s="231">
        <f t="shared" si="26"/>
        <v>0</v>
      </c>
      <c r="AB65" s="231">
        <f t="shared" si="26"/>
        <v>0</v>
      </c>
      <c r="AC65" s="231">
        <f t="shared" si="26"/>
        <v>0</v>
      </c>
      <c r="AD65" s="231">
        <f t="shared" si="26"/>
        <v>0</v>
      </c>
      <c r="AE65" s="231">
        <f t="shared" si="26"/>
        <v>0</v>
      </c>
      <c r="AF65" s="231">
        <f t="shared" si="26"/>
        <v>0</v>
      </c>
      <c r="AG65" s="231">
        <f t="shared" si="26"/>
        <v>0</v>
      </c>
      <c r="AH65" s="231">
        <f t="shared" si="26"/>
        <v>0</v>
      </c>
      <c r="AI65" s="231">
        <f t="shared" si="26"/>
        <v>0</v>
      </c>
      <c r="AJ65" s="231">
        <f t="shared" si="26"/>
        <v>0</v>
      </c>
      <c r="AK65" s="231">
        <f t="shared" si="26"/>
        <v>0</v>
      </c>
      <c r="AL65" s="231">
        <f t="shared" si="26"/>
        <v>0</v>
      </c>
      <c r="AM65" s="231">
        <f t="shared" si="26"/>
        <v>0</v>
      </c>
      <c r="AN65" s="231">
        <f t="shared" si="26"/>
        <v>0</v>
      </c>
      <c r="AO65" s="231">
        <f t="shared" si="26"/>
        <v>0</v>
      </c>
      <c r="AP65" s="231">
        <f t="shared" si="26"/>
        <v>0</v>
      </c>
      <c r="AQ65" s="231">
        <f t="shared" si="26"/>
        <v>0</v>
      </c>
      <c r="AR65" s="231">
        <f t="shared" si="26"/>
        <v>0</v>
      </c>
      <c r="AS65" s="231">
        <f t="shared" si="26"/>
        <v>0</v>
      </c>
      <c r="AT65" s="231">
        <f t="shared" si="26"/>
        <v>0</v>
      </c>
      <c r="AU65" s="231">
        <f t="shared" si="26"/>
        <v>0</v>
      </c>
      <c r="AV65" s="231">
        <f t="shared" si="26"/>
        <v>0</v>
      </c>
      <c r="AW65" s="231">
        <f t="shared" si="26"/>
        <v>0</v>
      </c>
      <c r="AX65" s="231">
        <f t="shared" si="26"/>
        <v>0</v>
      </c>
      <c r="AY65" s="231">
        <f t="shared" si="26"/>
        <v>0</v>
      </c>
      <c r="AZ65" s="231">
        <f t="shared" si="26"/>
        <v>0</v>
      </c>
      <c r="BA65" s="231">
        <f t="shared" si="26"/>
        <v>0</v>
      </c>
      <c r="BB65" s="231">
        <f t="shared" si="26"/>
        <v>0</v>
      </c>
      <c r="BC65" s="231">
        <f t="shared" si="26"/>
        <v>0</v>
      </c>
      <c r="BD65" s="231">
        <f t="shared" si="26"/>
        <v>0</v>
      </c>
      <c r="BE65" s="231">
        <f t="shared" si="26"/>
        <v>0</v>
      </c>
      <c r="BF65" s="231">
        <f t="shared" si="26"/>
        <v>0</v>
      </c>
      <c r="BG65" s="231">
        <f t="shared" si="26"/>
        <v>0</v>
      </c>
      <c r="BI65" s="105" t="s">
        <v>153</v>
      </c>
      <c r="BK65" s="103"/>
    </row>
    <row r="66" spans="2:63">
      <c r="C66" s="99">
        <f>RR!C24</f>
        <v>2</v>
      </c>
      <c r="D66" s="99" t="str">
        <f>RR!E24</f>
        <v>2 - 1</v>
      </c>
      <c r="F66" s="94" t="str">
        <f>INDEX(RR!K:K,MATCH(D66,RR!E:E,0))</f>
        <v>backup</v>
      </c>
      <c r="H66" s="73" t="s">
        <v>383</v>
      </c>
      <c r="J66" s="1325">
        <f>INDEX(AA!E:E,MATCH($C66,AA!C:C,0))</f>
        <v>1</v>
      </c>
      <c r="K66" s="1325">
        <f>INDEX(TA!$G:$G,MATCH($D66,TA!$D:$D,0))</f>
        <v>1</v>
      </c>
      <c r="M66" s="306">
        <f>INDEX(TA!$BN$15:$BN$17,MATCH($D66,TA!$D$15:$D$17,0))</f>
        <v>0</v>
      </c>
      <c r="N66" s="308">
        <f>INDEX(TA!$CA$15:$CA$17,MATCH($D66,TA!$D$15:$D$17,0))</f>
        <v>0</v>
      </c>
      <c r="O66" s="1325" t="str">
        <f>INDEX(TA!$U:$U,MATCH($D66,TA!$D:$D,0))</f>
        <v>FMCG-F</v>
      </c>
      <c r="T66" s="231">
        <f t="shared" ref="T66:AI66" si="27">$M66*(T$5&gt;=$N66)</f>
        <v>0</v>
      </c>
      <c r="U66" s="231">
        <f t="shared" si="27"/>
        <v>0</v>
      </c>
      <c r="V66" s="231">
        <f t="shared" si="27"/>
        <v>0</v>
      </c>
      <c r="W66" s="231">
        <f t="shared" si="27"/>
        <v>0</v>
      </c>
      <c r="X66" s="231">
        <f t="shared" si="27"/>
        <v>0</v>
      </c>
      <c r="Y66" s="231">
        <f t="shared" si="27"/>
        <v>0</v>
      </c>
      <c r="Z66" s="231">
        <f t="shared" si="27"/>
        <v>0</v>
      </c>
      <c r="AA66" s="231">
        <f t="shared" si="27"/>
        <v>0</v>
      </c>
      <c r="AB66" s="231">
        <f t="shared" si="27"/>
        <v>0</v>
      </c>
      <c r="AC66" s="231">
        <f t="shared" si="27"/>
        <v>0</v>
      </c>
      <c r="AD66" s="231">
        <f t="shared" si="27"/>
        <v>0</v>
      </c>
      <c r="AE66" s="231">
        <f t="shared" si="27"/>
        <v>0</v>
      </c>
      <c r="AF66" s="231">
        <f t="shared" si="27"/>
        <v>0</v>
      </c>
      <c r="AG66" s="231">
        <f t="shared" si="27"/>
        <v>0</v>
      </c>
      <c r="AH66" s="231">
        <f t="shared" si="27"/>
        <v>0</v>
      </c>
      <c r="AI66" s="231">
        <f t="shared" si="27"/>
        <v>0</v>
      </c>
      <c r="AJ66" s="231">
        <f t="shared" si="26"/>
        <v>0</v>
      </c>
      <c r="AK66" s="231">
        <f t="shared" si="26"/>
        <v>0</v>
      </c>
      <c r="AL66" s="231">
        <f t="shared" si="26"/>
        <v>0</v>
      </c>
      <c r="AM66" s="231">
        <f t="shared" si="26"/>
        <v>0</v>
      </c>
      <c r="AN66" s="231">
        <f t="shared" si="26"/>
        <v>0</v>
      </c>
      <c r="AO66" s="231">
        <f t="shared" si="26"/>
        <v>0</v>
      </c>
      <c r="AP66" s="231">
        <f t="shared" si="26"/>
        <v>0</v>
      </c>
      <c r="AQ66" s="231">
        <f t="shared" si="26"/>
        <v>0</v>
      </c>
      <c r="AR66" s="231">
        <f t="shared" si="26"/>
        <v>0</v>
      </c>
      <c r="AS66" s="231">
        <f t="shared" si="26"/>
        <v>0</v>
      </c>
      <c r="AT66" s="231">
        <f t="shared" si="26"/>
        <v>0</v>
      </c>
      <c r="AU66" s="231">
        <f t="shared" si="26"/>
        <v>0</v>
      </c>
      <c r="AV66" s="231">
        <f t="shared" si="26"/>
        <v>0</v>
      </c>
      <c r="AW66" s="231">
        <f t="shared" si="26"/>
        <v>0</v>
      </c>
      <c r="AX66" s="231">
        <f t="shared" si="26"/>
        <v>0</v>
      </c>
      <c r="AY66" s="231">
        <f t="shared" si="26"/>
        <v>0</v>
      </c>
      <c r="AZ66" s="231">
        <f t="shared" si="26"/>
        <v>0</v>
      </c>
      <c r="BA66" s="231">
        <f t="shared" si="26"/>
        <v>0</v>
      </c>
      <c r="BB66" s="231">
        <f t="shared" si="26"/>
        <v>0</v>
      </c>
      <c r="BC66" s="231">
        <f t="shared" si="26"/>
        <v>0</v>
      </c>
      <c r="BD66" s="231">
        <f t="shared" si="26"/>
        <v>0</v>
      </c>
      <c r="BE66" s="231">
        <f t="shared" si="26"/>
        <v>0</v>
      </c>
      <c r="BF66" s="231">
        <f t="shared" si="26"/>
        <v>0</v>
      </c>
      <c r="BG66" s="231">
        <f t="shared" si="26"/>
        <v>0</v>
      </c>
      <c r="BI66" s="106" t="s">
        <v>153</v>
      </c>
      <c r="BK66" s="103"/>
    </row>
    <row r="67" spans="2:63">
      <c r="C67" s="99">
        <f>RR!C25</f>
        <v>3</v>
      </c>
      <c r="D67" s="99" t="str">
        <f>RR!E25</f>
        <v>3 - 1</v>
      </c>
      <c r="F67" s="94" t="str">
        <f>INDEX(RR!K:K,MATCH(D67,RR!E:E,0))</f>
        <v>backup</v>
      </c>
      <c r="H67" s="73" t="s">
        <v>383</v>
      </c>
      <c r="J67" s="1325">
        <f>INDEX(AA!E:E,MATCH($C67,AA!C:C,0))</f>
        <v>1</v>
      </c>
      <c r="K67" s="1325">
        <f>INDEX(TA!$G:$G,MATCH($D67,TA!$D:$D,0))</f>
        <v>1</v>
      </c>
      <c r="M67" s="306">
        <f>INDEX(TA!$BN$15:$BN$17,MATCH($D67,TA!$D$15:$D$17,0))</f>
        <v>0</v>
      </c>
      <c r="N67" s="308">
        <f>INDEX(TA!$CA$15:$CA$17,MATCH($D67,TA!$D$15:$D$17,0))</f>
        <v>0</v>
      </c>
      <c r="O67" s="1325" t="str">
        <f>INDEX(TA!$U:$U,MATCH($D67,TA!$D:$D,0))</f>
        <v>FMCG-F</v>
      </c>
      <c r="T67" s="231">
        <f t="shared" ref="T67:AI67" si="28">$M67*(T$5&gt;=$N67)</f>
        <v>0</v>
      </c>
      <c r="U67" s="231">
        <f t="shared" si="28"/>
        <v>0</v>
      </c>
      <c r="V67" s="231">
        <f t="shared" si="28"/>
        <v>0</v>
      </c>
      <c r="W67" s="231">
        <f t="shared" si="28"/>
        <v>0</v>
      </c>
      <c r="X67" s="231">
        <f t="shared" si="28"/>
        <v>0</v>
      </c>
      <c r="Y67" s="231">
        <f t="shared" si="28"/>
        <v>0</v>
      </c>
      <c r="Z67" s="231">
        <f t="shared" si="28"/>
        <v>0</v>
      </c>
      <c r="AA67" s="231">
        <f t="shared" si="28"/>
        <v>0</v>
      </c>
      <c r="AB67" s="231">
        <f t="shared" si="28"/>
        <v>0</v>
      </c>
      <c r="AC67" s="231">
        <f t="shared" si="28"/>
        <v>0</v>
      </c>
      <c r="AD67" s="231">
        <f t="shared" si="28"/>
        <v>0</v>
      </c>
      <c r="AE67" s="231">
        <f t="shared" si="28"/>
        <v>0</v>
      </c>
      <c r="AF67" s="231">
        <f t="shared" si="28"/>
        <v>0</v>
      </c>
      <c r="AG67" s="231">
        <f t="shared" si="28"/>
        <v>0</v>
      </c>
      <c r="AH67" s="231">
        <f t="shared" si="28"/>
        <v>0</v>
      </c>
      <c r="AI67" s="231">
        <f t="shared" si="28"/>
        <v>0</v>
      </c>
      <c r="AJ67" s="231">
        <f t="shared" ref="AJ67:AY67" si="29">$M67*(AJ$5&gt;=$N67)</f>
        <v>0</v>
      </c>
      <c r="AK67" s="231">
        <f t="shared" si="29"/>
        <v>0</v>
      </c>
      <c r="AL67" s="231">
        <f t="shared" si="29"/>
        <v>0</v>
      </c>
      <c r="AM67" s="231">
        <f t="shared" si="29"/>
        <v>0</v>
      </c>
      <c r="AN67" s="231">
        <f t="shared" si="29"/>
        <v>0</v>
      </c>
      <c r="AO67" s="231">
        <f t="shared" si="29"/>
        <v>0</v>
      </c>
      <c r="AP67" s="231">
        <f t="shared" si="29"/>
        <v>0</v>
      </c>
      <c r="AQ67" s="231">
        <f t="shared" si="29"/>
        <v>0</v>
      </c>
      <c r="AR67" s="231">
        <f t="shared" si="29"/>
        <v>0</v>
      </c>
      <c r="AS67" s="231">
        <f t="shared" si="29"/>
        <v>0</v>
      </c>
      <c r="AT67" s="231">
        <f t="shared" si="29"/>
        <v>0</v>
      </c>
      <c r="AU67" s="231">
        <f t="shared" si="29"/>
        <v>0</v>
      </c>
      <c r="AV67" s="231">
        <f t="shared" si="29"/>
        <v>0</v>
      </c>
      <c r="AW67" s="231">
        <f t="shared" si="29"/>
        <v>0</v>
      </c>
      <c r="AX67" s="231">
        <f t="shared" si="29"/>
        <v>0</v>
      </c>
      <c r="AY67" s="231">
        <f t="shared" si="29"/>
        <v>0</v>
      </c>
      <c r="AZ67" s="231">
        <f t="shared" ref="AZ67:BG67" si="30">$M67*(AZ$5&gt;=$N67)</f>
        <v>0</v>
      </c>
      <c r="BA67" s="231">
        <f t="shared" si="30"/>
        <v>0</v>
      </c>
      <c r="BB67" s="231">
        <f t="shared" si="30"/>
        <v>0</v>
      </c>
      <c r="BC67" s="231">
        <f t="shared" si="30"/>
        <v>0</v>
      </c>
      <c r="BD67" s="231">
        <f t="shared" si="30"/>
        <v>0</v>
      </c>
      <c r="BE67" s="231">
        <f t="shared" si="30"/>
        <v>0</v>
      </c>
      <c r="BF67" s="231">
        <f t="shared" si="30"/>
        <v>0</v>
      </c>
      <c r="BG67" s="231">
        <f t="shared" si="30"/>
        <v>0</v>
      </c>
      <c r="BI67" s="106" t="s">
        <v>153</v>
      </c>
      <c r="BK67" s="103"/>
    </row>
    <row r="68" spans="2:63">
      <c r="C68" s="269"/>
      <c r="D68" s="269"/>
      <c r="F68" s="269"/>
      <c r="H68" s="269"/>
      <c r="J68" s="269"/>
      <c r="K68" s="269"/>
      <c r="M68" s="269"/>
      <c r="N68" s="269"/>
      <c r="O68" s="269"/>
      <c r="T68" s="230"/>
      <c r="U68" s="230"/>
      <c r="V68" s="230"/>
      <c r="W68" s="230"/>
      <c r="X68" s="230"/>
      <c r="Y68" s="230"/>
      <c r="Z68" s="230"/>
      <c r="AA68" s="230"/>
      <c r="AB68" s="230"/>
      <c r="AC68" s="230"/>
      <c r="AD68" s="230"/>
      <c r="AE68" s="230"/>
      <c r="AF68" s="230"/>
      <c r="AG68" s="230"/>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I68" s="269"/>
      <c r="BK68" s="269"/>
    </row>
    <row r="69" spans="2:63">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row>
    <row r="70" spans="2:63" s="90" customFormat="1">
      <c r="B70" s="91">
        <f ca="1">MAX(A$1:$B69)+1</f>
        <v>8</v>
      </c>
      <c r="C70" s="92" t="s">
        <v>302</v>
      </c>
    </row>
    <row r="71" spans="2:63">
      <c r="T71" s="230"/>
      <c r="U71" s="230"/>
      <c r="V71" s="230"/>
      <c r="W71" s="230"/>
      <c r="X71" s="230"/>
      <c r="Y71" s="230"/>
      <c r="Z71" s="230"/>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row>
    <row r="72" spans="2:63">
      <c r="M72" s="226" t="s">
        <v>303</v>
      </c>
      <c r="N72" s="225"/>
      <c r="T72" s="230"/>
      <c r="U72" s="230"/>
      <c r="V72" s="230"/>
      <c r="W72" s="230"/>
      <c r="X72" s="230"/>
      <c r="Y72" s="230"/>
      <c r="Z72" s="230"/>
      <c r="AA72" s="230"/>
      <c r="AB72" s="230"/>
      <c r="AC72" s="230"/>
      <c r="AD72" s="230"/>
      <c r="AE72" s="230"/>
      <c r="AF72" s="230"/>
      <c r="AG72" s="230"/>
      <c r="AH72" s="230"/>
      <c r="AI72" s="230"/>
      <c r="AJ72" s="230"/>
      <c r="AK72" s="230"/>
      <c r="AL72" s="230"/>
      <c r="AM72" s="230"/>
      <c r="AN72" s="230"/>
      <c r="AO72" s="230"/>
      <c r="AP72" s="230"/>
      <c r="AQ72" s="230"/>
      <c r="AR72" s="230"/>
      <c r="AS72" s="230"/>
      <c r="AT72" s="230"/>
      <c r="AU72" s="230"/>
      <c r="AV72" s="230"/>
      <c r="AW72" s="230"/>
      <c r="AX72" s="230"/>
      <c r="AY72" s="230"/>
      <c r="AZ72" s="230"/>
      <c r="BA72" s="230"/>
      <c r="BB72" s="230"/>
      <c r="BC72" s="230"/>
      <c r="BD72" s="230"/>
      <c r="BE72" s="230"/>
      <c r="BF72" s="230"/>
      <c r="BG72" s="230"/>
    </row>
    <row r="73" spans="2:63" ht="30">
      <c r="C73" s="96" t="s">
        <v>4</v>
      </c>
      <c r="D73" s="97" t="s">
        <v>148</v>
      </c>
      <c r="E73" s="95"/>
      <c r="F73" s="97" t="s">
        <v>149</v>
      </c>
      <c r="G73" s="95"/>
      <c r="H73" s="97" t="s">
        <v>150</v>
      </c>
      <c r="I73" s="95"/>
      <c r="J73" s="97" t="s">
        <v>272</v>
      </c>
      <c r="K73" s="97" t="s">
        <v>273</v>
      </c>
      <c r="M73" s="96" t="s">
        <v>304</v>
      </c>
      <c r="N73" s="97" t="s">
        <v>305</v>
      </c>
      <c r="T73" s="230"/>
      <c r="U73" s="230"/>
      <c r="V73" s="230"/>
      <c r="W73" s="230"/>
      <c r="X73" s="230"/>
      <c r="Y73" s="230"/>
      <c r="Z73" s="230"/>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I73" s="104" t="s">
        <v>152</v>
      </c>
      <c r="BJ73" s="95"/>
      <c r="BK73" s="102"/>
    </row>
    <row r="74" spans="2:63">
      <c r="C74" s="98">
        <f>RR!C23</f>
        <v>1</v>
      </c>
      <c r="D74" s="98" t="str">
        <f>RR!E23</f>
        <v>1 - 1</v>
      </c>
      <c r="F74" s="93" t="str">
        <f>INDEX(RR!K:K,MATCH(D74,RR!E:E,0))</f>
        <v>backup</v>
      </c>
      <c r="H74" s="72" t="s">
        <v>301</v>
      </c>
      <c r="J74" s="1324">
        <f>INDEX(AA!E:E,MATCH($C74,AA!C:C,0))</f>
        <v>1</v>
      </c>
      <c r="K74" s="1324">
        <f>INDEX(TA!$G:$G,MATCH($D74,TA!$D:$D,0))</f>
        <v>1</v>
      </c>
      <c r="M74" s="1324">
        <f>INDEX(TA!V:V,MATCH($D74,TA!D:D,0))</f>
        <v>1000</v>
      </c>
      <c r="N74" s="1324" t="str">
        <f>INDEX(TA!U:U,MATCH($D74,TA!D:D,0))</f>
        <v>FMCG-F</v>
      </c>
      <c r="T74" s="231">
        <f t="shared" ref="T74:BG74" si="31">T20*T29*($M74+T65)</f>
        <v>0</v>
      </c>
      <c r="U74" s="231">
        <f t="shared" si="31"/>
        <v>0</v>
      </c>
      <c r="V74" s="231">
        <f t="shared" si="31"/>
        <v>0</v>
      </c>
      <c r="W74" s="231">
        <f t="shared" si="31"/>
        <v>0</v>
      </c>
      <c r="X74" s="231">
        <f t="shared" si="31"/>
        <v>0</v>
      </c>
      <c r="Y74" s="231">
        <f t="shared" si="31"/>
        <v>0</v>
      </c>
      <c r="Z74" s="231">
        <f t="shared" si="31"/>
        <v>0</v>
      </c>
      <c r="AA74" s="231">
        <f t="shared" si="31"/>
        <v>0</v>
      </c>
      <c r="AB74" s="231">
        <f t="shared" si="31"/>
        <v>0</v>
      </c>
      <c r="AC74" s="231">
        <f t="shared" si="31"/>
        <v>0</v>
      </c>
      <c r="AD74" s="231">
        <f t="shared" si="31"/>
        <v>0</v>
      </c>
      <c r="AE74" s="231">
        <f t="shared" si="31"/>
        <v>0</v>
      </c>
      <c r="AF74" s="231">
        <f t="shared" si="31"/>
        <v>0</v>
      </c>
      <c r="AG74" s="231">
        <f t="shared" si="31"/>
        <v>0</v>
      </c>
      <c r="AH74" s="231">
        <f t="shared" si="31"/>
        <v>0</v>
      </c>
      <c r="AI74" s="231">
        <f t="shared" si="31"/>
        <v>0</v>
      </c>
      <c r="AJ74" s="231">
        <f t="shared" si="31"/>
        <v>0</v>
      </c>
      <c r="AK74" s="231">
        <f t="shared" si="31"/>
        <v>0</v>
      </c>
      <c r="AL74" s="231">
        <f t="shared" si="31"/>
        <v>0</v>
      </c>
      <c r="AM74" s="231">
        <f t="shared" si="31"/>
        <v>0</v>
      </c>
      <c r="AN74" s="231">
        <f t="shared" si="31"/>
        <v>0</v>
      </c>
      <c r="AO74" s="231">
        <f t="shared" si="31"/>
        <v>0</v>
      </c>
      <c r="AP74" s="231">
        <f t="shared" si="31"/>
        <v>0</v>
      </c>
      <c r="AQ74" s="231">
        <f t="shared" si="31"/>
        <v>0</v>
      </c>
      <c r="AR74" s="231">
        <f t="shared" si="31"/>
        <v>0</v>
      </c>
      <c r="AS74" s="231">
        <f t="shared" si="31"/>
        <v>0</v>
      </c>
      <c r="AT74" s="231">
        <f t="shared" si="31"/>
        <v>0</v>
      </c>
      <c r="AU74" s="231">
        <f t="shared" si="31"/>
        <v>0</v>
      </c>
      <c r="AV74" s="231">
        <f t="shared" si="31"/>
        <v>0</v>
      </c>
      <c r="AW74" s="231">
        <f t="shared" si="31"/>
        <v>0</v>
      </c>
      <c r="AX74" s="231">
        <f t="shared" si="31"/>
        <v>0</v>
      </c>
      <c r="AY74" s="231">
        <f t="shared" si="31"/>
        <v>0</v>
      </c>
      <c r="AZ74" s="231">
        <f t="shared" si="31"/>
        <v>0</v>
      </c>
      <c r="BA74" s="231">
        <f t="shared" si="31"/>
        <v>0</v>
      </c>
      <c r="BB74" s="231">
        <f t="shared" si="31"/>
        <v>0</v>
      </c>
      <c r="BC74" s="231">
        <f t="shared" si="31"/>
        <v>0</v>
      </c>
      <c r="BD74" s="231">
        <f t="shared" si="31"/>
        <v>0</v>
      </c>
      <c r="BE74" s="231">
        <f t="shared" si="31"/>
        <v>0</v>
      </c>
      <c r="BF74" s="231">
        <f t="shared" si="31"/>
        <v>0</v>
      </c>
      <c r="BG74" s="231">
        <f t="shared" si="31"/>
        <v>0</v>
      </c>
      <c r="BI74" s="105" t="s">
        <v>153</v>
      </c>
      <c r="BK74" s="103"/>
    </row>
    <row r="75" spans="2:63">
      <c r="C75" s="99">
        <f>RR!C24</f>
        <v>2</v>
      </c>
      <c r="D75" s="99" t="str">
        <f>RR!E24</f>
        <v>2 - 1</v>
      </c>
      <c r="F75" s="94" t="str">
        <f>INDEX(RR!K:K,MATCH(D75,RR!E:E,0))</f>
        <v>backup</v>
      </c>
      <c r="H75" s="73" t="s">
        <v>301</v>
      </c>
      <c r="J75" s="1325">
        <f>INDEX(AA!E:E,MATCH($C75,AA!C:C,0))</f>
        <v>1</v>
      </c>
      <c r="K75" s="1325">
        <f>INDEX(TA!$G:$G,MATCH($D75,TA!$D:$D,0))</f>
        <v>1</v>
      </c>
      <c r="M75" s="1325">
        <f>INDEX(TA!V:V,MATCH($D75,TA!D:D,0))</f>
        <v>1000</v>
      </c>
      <c r="N75" s="1325" t="str">
        <f>INDEX(TA!U:U,MATCH($D75,TA!D:D,0))</f>
        <v>FMCG-F</v>
      </c>
      <c r="T75" s="231">
        <f t="shared" ref="T75:BG75" si="32">T21*T30*($M75+T66)</f>
        <v>0</v>
      </c>
      <c r="U75" s="231">
        <f t="shared" si="32"/>
        <v>0</v>
      </c>
      <c r="V75" s="231">
        <f t="shared" si="32"/>
        <v>0</v>
      </c>
      <c r="W75" s="231">
        <f t="shared" si="32"/>
        <v>0</v>
      </c>
      <c r="X75" s="231">
        <f t="shared" si="32"/>
        <v>0</v>
      </c>
      <c r="Y75" s="231">
        <f t="shared" si="32"/>
        <v>0</v>
      </c>
      <c r="Z75" s="231">
        <f t="shared" si="32"/>
        <v>0</v>
      </c>
      <c r="AA75" s="231">
        <f t="shared" si="32"/>
        <v>0</v>
      </c>
      <c r="AB75" s="231">
        <f t="shared" si="32"/>
        <v>0</v>
      </c>
      <c r="AC75" s="231">
        <f t="shared" si="32"/>
        <v>0</v>
      </c>
      <c r="AD75" s="231">
        <f t="shared" si="32"/>
        <v>0</v>
      </c>
      <c r="AE75" s="231">
        <f t="shared" si="32"/>
        <v>0</v>
      </c>
      <c r="AF75" s="231">
        <f t="shared" si="32"/>
        <v>0</v>
      </c>
      <c r="AG75" s="231">
        <f t="shared" si="32"/>
        <v>0</v>
      </c>
      <c r="AH75" s="231">
        <f t="shared" si="32"/>
        <v>0</v>
      </c>
      <c r="AI75" s="231">
        <f t="shared" si="32"/>
        <v>0</v>
      </c>
      <c r="AJ75" s="231">
        <f t="shared" si="32"/>
        <v>0</v>
      </c>
      <c r="AK75" s="231">
        <f t="shared" si="32"/>
        <v>0</v>
      </c>
      <c r="AL75" s="231">
        <f t="shared" si="32"/>
        <v>0</v>
      </c>
      <c r="AM75" s="231">
        <f t="shared" si="32"/>
        <v>0</v>
      </c>
      <c r="AN75" s="231">
        <f t="shared" si="32"/>
        <v>0</v>
      </c>
      <c r="AO75" s="231">
        <f t="shared" si="32"/>
        <v>0</v>
      </c>
      <c r="AP75" s="231">
        <f t="shared" si="32"/>
        <v>0</v>
      </c>
      <c r="AQ75" s="231">
        <f t="shared" si="32"/>
        <v>0</v>
      </c>
      <c r="AR75" s="231">
        <f t="shared" si="32"/>
        <v>0</v>
      </c>
      <c r="AS75" s="231">
        <f t="shared" si="32"/>
        <v>0</v>
      </c>
      <c r="AT75" s="231">
        <f t="shared" si="32"/>
        <v>0</v>
      </c>
      <c r="AU75" s="231">
        <f t="shared" si="32"/>
        <v>0</v>
      </c>
      <c r="AV75" s="231">
        <f t="shared" si="32"/>
        <v>0</v>
      </c>
      <c r="AW75" s="231">
        <f t="shared" si="32"/>
        <v>0</v>
      </c>
      <c r="AX75" s="231">
        <f t="shared" si="32"/>
        <v>0</v>
      </c>
      <c r="AY75" s="231">
        <f t="shared" si="32"/>
        <v>0</v>
      </c>
      <c r="AZ75" s="231">
        <f t="shared" si="32"/>
        <v>0</v>
      </c>
      <c r="BA75" s="231">
        <f t="shared" si="32"/>
        <v>0</v>
      </c>
      <c r="BB75" s="231">
        <f t="shared" si="32"/>
        <v>0</v>
      </c>
      <c r="BC75" s="231">
        <f t="shared" si="32"/>
        <v>0</v>
      </c>
      <c r="BD75" s="231">
        <f t="shared" si="32"/>
        <v>0</v>
      </c>
      <c r="BE75" s="231">
        <f t="shared" si="32"/>
        <v>0</v>
      </c>
      <c r="BF75" s="231">
        <f t="shared" si="32"/>
        <v>0</v>
      </c>
      <c r="BG75" s="231">
        <f t="shared" si="32"/>
        <v>0</v>
      </c>
      <c r="BI75" s="106" t="s">
        <v>153</v>
      </c>
      <c r="BK75" s="103"/>
    </row>
    <row r="76" spans="2:63">
      <c r="C76" s="99">
        <f>RR!C25</f>
        <v>3</v>
      </c>
      <c r="D76" s="99" t="str">
        <f>RR!E25</f>
        <v>3 - 1</v>
      </c>
      <c r="F76" s="94" t="str">
        <f>INDEX(RR!K:K,MATCH(D76,RR!E:E,0))</f>
        <v>backup</v>
      </c>
      <c r="H76" s="73" t="s">
        <v>301</v>
      </c>
      <c r="J76" s="1325">
        <f>INDEX(AA!E:E,MATCH($C76,AA!C:C,0))</f>
        <v>1</v>
      </c>
      <c r="K76" s="1325">
        <f>INDEX(TA!$G:$G,MATCH($D76,TA!$D:$D,0))</f>
        <v>1</v>
      </c>
      <c r="M76" s="1325">
        <f>INDEX(TA!V:V,MATCH($D76,TA!D:D,0))</f>
        <v>1000</v>
      </c>
      <c r="N76" s="1325" t="str">
        <f>INDEX(TA!U:U,MATCH($D76,TA!D:D,0))</f>
        <v>FMCG-F</v>
      </c>
      <c r="T76" s="231">
        <f t="shared" ref="T76:BG76" si="33">T22*T31*($M76+T67)</f>
        <v>0</v>
      </c>
      <c r="U76" s="231">
        <f t="shared" si="33"/>
        <v>0</v>
      </c>
      <c r="V76" s="231">
        <f t="shared" si="33"/>
        <v>0</v>
      </c>
      <c r="W76" s="231">
        <f t="shared" si="33"/>
        <v>0</v>
      </c>
      <c r="X76" s="231">
        <f t="shared" si="33"/>
        <v>0</v>
      </c>
      <c r="Y76" s="231">
        <f t="shared" si="33"/>
        <v>0</v>
      </c>
      <c r="Z76" s="231">
        <f t="shared" si="33"/>
        <v>0</v>
      </c>
      <c r="AA76" s="231">
        <f t="shared" si="33"/>
        <v>0</v>
      </c>
      <c r="AB76" s="231">
        <f t="shared" si="33"/>
        <v>0</v>
      </c>
      <c r="AC76" s="231">
        <f t="shared" si="33"/>
        <v>0</v>
      </c>
      <c r="AD76" s="231">
        <f t="shared" si="33"/>
        <v>0</v>
      </c>
      <c r="AE76" s="231">
        <f t="shared" si="33"/>
        <v>0</v>
      </c>
      <c r="AF76" s="231">
        <f t="shared" si="33"/>
        <v>0</v>
      </c>
      <c r="AG76" s="231">
        <f t="shared" si="33"/>
        <v>0</v>
      </c>
      <c r="AH76" s="231">
        <f t="shared" si="33"/>
        <v>0</v>
      </c>
      <c r="AI76" s="231">
        <f t="shared" si="33"/>
        <v>0</v>
      </c>
      <c r="AJ76" s="231">
        <f t="shared" si="33"/>
        <v>0</v>
      </c>
      <c r="AK76" s="231">
        <f t="shared" si="33"/>
        <v>0</v>
      </c>
      <c r="AL76" s="231">
        <f t="shared" si="33"/>
        <v>0</v>
      </c>
      <c r="AM76" s="231">
        <f t="shared" si="33"/>
        <v>0</v>
      </c>
      <c r="AN76" s="231">
        <f t="shared" si="33"/>
        <v>0</v>
      </c>
      <c r="AO76" s="231">
        <f t="shared" si="33"/>
        <v>0</v>
      </c>
      <c r="AP76" s="231">
        <f t="shared" si="33"/>
        <v>0</v>
      </c>
      <c r="AQ76" s="231">
        <f t="shared" si="33"/>
        <v>0</v>
      </c>
      <c r="AR76" s="231">
        <f t="shared" si="33"/>
        <v>0</v>
      </c>
      <c r="AS76" s="231">
        <f t="shared" si="33"/>
        <v>0</v>
      </c>
      <c r="AT76" s="231">
        <f t="shared" si="33"/>
        <v>0</v>
      </c>
      <c r="AU76" s="231">
        <f t="shared" si="33"/>
        <v>0</v>
      </c>
      <c r="AV76" s="231">
        <f t="shared" si="33"/>
        <v>0</v>
      </c>
      <c r="AW76" s="231">
        <f t="shared" si="33"/>
        <v>0</v>
      </c>
      <c r="AX76" s="231">
        <f t="shared" si="33"/>
        <v>0</v>
      </c>
      <c r="AY76" s="231">
        <f t="shared" si="33"/>
        <v>0</v>
      </c>
      <c r="AZ76" s="231">
        <f t="shared" si="33"/>
        <v>0</v>
      </c>
      <c r="BA76" s="231">
        <f t="shared" si="33"/>
        <v>0</v>
      </c>
      <c r="BB76" s="231">
        <f t="shared" si="33"/>
        <v>0</v>
      </c>
      <c r="BC76" s="231">
        <f t="shared" si="33"/>
        <v>0</v>
      </c>
      <c r="BD76" s="231">
        <f t="shared" si="33"/>
        <v>0</v>
      </c>
      <c r="BE76" s="231">
        <f t="shared" si="33"/>
        <v>0</v>
      </c>
      <c r="BF76" s="231">
        <f t="shared" si="33"/>
        <v>0</v>
      </c>
      <c r="BG76" s="231">
        <f t="shared" si="33"/>
        <v>0</v>
      </c>
      <c r="BI76" s="106" t="s">
        <v>153</v>
      </c>
      <c r="BK76" s="103"/>
    </row>
    <row r="77" spans="2:63">
      <c r="C77" s="269"/>
      <c r="D77" s="269"/>
      <c r="F77" s="269"/>
      <c r="H77" s="269"/>
      <c r="J77" s="269"/>
      <c r="K77" s="269"/>
      <c r="M77" s="269"/>
      <c r="N77" s="269"/>
      <c r="BI77" s="269"/>
      <c r="BK77" s="269"/>
    </row>
    <row r="79" spans="2:63" s="90" customFormat="1">
      <c r="B79" s="91">
        <f ca="1">MAX(A$1:$B78)+1</f>
        <v>9</v>
      </c>
      <c r="C79" s="92" t="s">
        <v>1325</v>
      </c>
    </row>
    <row r="81" spans="2:63">
      <c r="M81" s="226" t="s">
        <v>365</v>
      </c>
      <c r="N81" s="312" t="s">
        <v>232</v>
      </c>
      <c r="O81" s="312"/>
    </row>
    <row r="82" spans="2:63" ht="30">
      <c r="C82" s="96" t="s">
        <v>4</v>
      </c>
      <c r="D82" s="97" t="s">
        <v>148</v>
      </c>
      <c r="E82" s="95"/>
      <c r="F82" s="97" t="s">
        <v>149</v>
      </c>
      <c r="G82" s="95"/>
      <c r="H82" s="97" t="s">
        <v>150</v>
      </c>
      <c r="J82" s="97" t="s">
        <v>272</v>
      </c>
      <c r="K82" s="97" t="s">
        <v>273</v>
      </c>
      <c r="M82" s="97" t="s">
        <v>229</v>
      </c>
      <c r="N82" s="171" t="s">
        <v>388</v>
      </c>
      <c r="O82" s="101" t="s">
        <v>389</v>
      </c>
      <c r="BI82" s="239" t="s">
        <v>152</v>
      </c>
      <c r="BJ82" s="95"/>
      <c r="BK82" s="102"/>
    </row>
    <row r="83" spans="2:63">
      <c r="C83" s="98">
        <f>RR!C23</f>
        <v>1</v>
      </c>
      <c r="D83" s="98" t="str">
        <f>RR!E23</f>
        <v>1 - 1</v>
      </c>
      <c r="F83" s="93" t="str">
        <f>INDEX(RR!K:K,MATCH(D83,RR!E:E,0))</f>
        <v>backup</v>
      </c>
      <c r="H83" s="72" t="s">
        <v>309</v>
      </c>
      <c r="J83" s="1324">
        <f>INDEX(AA!E:E,MATCH($C83,AA!C:C,0))</f>
        <v>1</v>
      </c>
      <c r="K83" s="1324">
        <f>INDEX(TA!$G:$G,MATCH($D83,TA!$D:$D,0))</f>
        <v>1</v>
      </c>
      <c r="M83" s="1324">
        <f>INDEX(TA!$BG$15:$BG$17,MATCH($D83,TA!$D$15:$D$17,0))</f>
        <v>100000</v>
      </c>
      <c r="N83" s="1324">
        <f>IF(INDEX(TA!$BP$15:$BP$17,MATCH($D83,TA!$D$15:$D$17,0))="lease-up",INDEX(TA!$BO$15:$BO$17,MATCH($D83,TA!$D$15:$D$17,0)),0)</f>
        <v>0</v>
      </c>
      <c r="O83" s="1324">
        <f>INDEX(TA!$CA$15:$CA$17,MATCH($D83,TA!$D$15:$D$17,0))</f>
        <v>0</v>
      </c>
      <c r="T83" s="231">
        <f t="shared" ref="T83:BG83" si="34">($M83+(T$5&gt;=$O83)*$N83)/4*T29*T$15</f>
        <v>0</v>
      </c>
      <c r="U83" s="231">
        <f t="shared" si="34"/>
        <v>0</v>
      </c>
      <c r="V83" s="231">
        <f t="shared" si="34"/>
        <v>0</v>
      </c>
      <c r="W83" s="231">
        <f t="shared" si="34"/>
        <v>0</v>
      </c>
      <c r="X83" s="231">
        <f t="shared" si="34"/>
        <v>0</v>
      </c>
      <c r="Y83" s="231">
        <f t="shared" si="34"/>
        <v>0</v>
      </c>
      <c r="Z83" s="231">
        <f t="shared" si="34"/>
        <v>0</v>
      </c>
      <c r="AA83" s="231">
        <f t="shared" si="34"/>
        <v>0</v>
      </c>
      <c r="AB83" s="231">
        <f t="shared" si="34"/>
        <v>0</v>
      </c>
      <c r="AC83" s="231">
        <f t="shared" si="34"/>
        <v>0</v>
      </c>
      <c r="AD83" s="231">
        <f t="shared" si="34"/>
        <v>0</v>
      </c>
      <c r="AE83" s="231">
        <f t="shared" si="34"/>
        <v>0</v>
      </c>
      <c r="AF83" s="231">
        <f t="shared" si="34"/>
        <v>0</v>
      </c>
      <c r="AG83" s="231">
        <f t="shared" si="34"/>
        <v>0</v>
      </c>
      <c r="AH83" s="231">
        <f t="shared" si="34"/>
        <v>0</v>
      </c>
      <c r="AI83" s="231">
        <f t="shared" si="34"/>
        <v>0</v>
      </c>
      <c r="AJ83" s="231">
        <f t="shared" si="34"/>
        <v>0</v>
      </c>
      <c r="AK83" s="231">
        <f t="shared" si="34"/>
        <v>0</v>
      </c>
      <c r="AL83" s="231">
        <f t="shared" si="34"/>
        <v>0</v>
      </c>
      <c r="AM83" s="231">
        <f t="shared" si="34"/>
        <v>0</v>
      </c>
      <c r="AN83" s="231">
        <f t="shared" si="34"/>
        <v>0</v>
      </c>
      <c r="AO83" s="231">
        <f t="shared" si="34"/>
        <v>0</v>
      </c>
      <c r="AP83" s="231">
        <f t="shared" si="34"/>
        <v>0</v>
      </c>
      <c r="AQ83" s="231">
        <f t="shared" si="34"/>
        <v>0</v>
      </c>
      <c r="AR83" s="231">
        <f t="shared" si="34"/>
        <v>0</v>
      </c>
      <c r="AS83" s="231">
        <f t="shared" si="34"/>
        <v>0</v>
      </c>
      <c r="AT83" s="231">
        <f t="shared" si="34"/>
        <v>0</v>
      </c>
      <c r="AU83" s="231">
        <f t="shared" si="34"/>
        <v>0</v>
      </c>
      <c r="AV83" s="231">
        <f t="shared" si="34"/>
        <v>0</v>
      </c>
      <c r="AW83" s="231">
        <f t="shared" si="34"/>
        <v>0</v>
      </c>
      <c r="AX83" s="231">
        <f t="shared" si="34"/>
        <v>0</v>
      </c>
      <c r="AY83" s="231">
        <f t="shared" si="34"/>
        <v>0</v>
      </c>
      <c r="AZ83" s="231">
        <f t="shared" si="34"/>
        <v>0</v>
      </c>
      <c r="BA83" s="231">
        <f t="shared" si="34"/>
        <v>0</v>
      </c>
      <c r="BB83" s="231">
        <f t="shared" si="34"/>
        <v>0</v>
      </c>
      <c r="BC83" s="231">
        <f t="shared" si="34"/>
        <v>0</v>
      </c>
      <c r="BD83" s="231">
        <f t="shared" si="34"/>
        <v>0</v>
      </c>
      <c r="BE83" s="231">
        <f t="shared" si="34"/>
        <v>0</v>
      </c>
      <c r="BF83" s="231">
        <f t="shared" si="34"/>
        <v>0</v>
      </c>
      <c r="BG83" s="231">
        <f t="shared" si="34"/>
        <v>0</v>
      </c>
      <c r="BI83" s="295">
        <f>SUM(T83:BG83)</f>
        <v>0</v>
      </c>
      <c r="BK83" s="103"/>
    </row>
    <row r="84" spans="2:63">
      <c r="C84" s="99">
        <f>RR!C24</f>
        <v>2</v>
      </c>
      <c r="D84" s="99" t="str">
        <f>RR!E24</f>
        <v>2 - 1</v>
      </c>
      <c r="F84" s="94" t="str">
        <f>INDEX(RR!K:K,MATCH(D84,RR!E:E,0))</f>
        <v>backup</v>
      </c>
      <c r="H84" s="73" t="s">
        <v>309</v>
      </c>
      <c r="J84" s="1325">
        <f>INDEX(AA!E:E,MATCH($C84,AA!C:C,0))</f>
        <v>1</v>
      </c>
      <c r="K84" s="1325">
        <f>INDEX(TA!$G:$G,MATCH($D84,TA!$D:$D,0))</f>
        <v>1</v>
      </c>
      <c r="M84" s="1325">
        <f>INDEX(TA!$BG$15:$BG$17,MATCH($D84,TA!$D$15:$D$17,0))</f>
        <v>100000</v>
      </c>
      <c r="N84" s="1325">
        <f>IF(INDEX(TA!$BP$15:$BP$17,MATCH($D84,TA!$D$15:$D$17,0))="lease-up",INDEX(TA!$BO$15:$BO$17,MATCH($D84,TA!$D$15:$D$17,0)),0)</f>
        <v>0</v>
      </c>
      <c r="O84" s="1325">
        <f>INDEX(TA!$CA$15:$CA$17,MATCH($D84,TA!$D$15:$D$17,0))</f>
        <v>0</v>
      </c>
      <c r="T84" s="231">
        <f t="shared" ref="T84:BG84" si="35">($M84+(T$5&gt;=$O84)*$N84)/4*T30*T$15</f>
        <v>0</v>
      </c>
      <c r="U84" s="231">
        <f t="shared" si="35"/>
        <v>0</v>
      </c>
      <c r="V84" s="231">
        <f t="shared" si="35"/>
        <v>0</v>
      </c>
      <c r="W84" s="231">
        <f t="shared" si="35"/>
        <v>0</v>
      </c>
      <c r="X84" s="231">
        <f t="shared" si="35"/>
        <v>0</v>
      </c>
      <c r="Y84" s="231">
        <f t="shared" si="35"/>
        <v>0</v>
      </c>
      <c r="Z84" s="231">
        <f t="shared" si="35"/>
        <v>0</v>
      </c>
      <c r="AA84" s="231">
        <f t="shared" si="35"/>
        <v>0</v>
      </c>
      <c r="AB84" s="231">
        <f t="shared" si="35"/>
        <v>0</v>
      </c>
      <c r="AC84" s="231">
        <f t="shared" si="35"/>
        <v>0</v>
      </c>
      <c r="AD84" s="231">
        <f t="shared" si="35"/>
        <v>0</v>
      </c>
      <c r="AE84" s="231">
        <f t="shared" si="35"/>
        <v>0</v>
      </c>
      <c r="AF84" s="231">
        <f t="shared" si="35"/>
        <v>0</v>
      </c>
      <c r="AG84" s="231">
        <f t="shared" si="35"/>
        <v>0</v>
      </c>
      <c r="AH84" s="231">
        <f t="shared" si="35"/>
        <v>0</v>
      </c>
      <c r="AI84" s="231">
        <f t="shared" si="35"/>
        <v>0</v>
      </c>
      <c r="AJ84" s="231">
        <f t="shared" si="35"/>
        <v>0</v>
      </c>
      <c r="AK84" s="231">
        <f t="shared" si="35"/>
        <v>0</v>
      </c>
      <c r="AL84" s="231">
        <f t="shared" si="35"/>
        <v>0</v>
      </c>
      <c r="AM84" s="231">
        <f t="shared" si="35"/>
        <v>0</v>
      </c>
      <c r="AN84" s="231">
        <f t="shared" si="35"/>
        <v>0</v>
      </c>
      <c r="AO84" s="231">
        <f t="shared" si="35"/>
        <v>0</v>
      </c>
      <c r="AP84" s="231">
        <f t="shared" si="35"/>
        <v>0</v>
      </c>
      <c r="AQ84" s="231">
        <f t="shared" si="35"/>
        <v>0</v>
      </c>
      <c r="AR84" s="231">
        <f t="shared" si="35"/>
        <v>0</v>
      </c>
      <c r="AS84" s="231">
        <f t="shared" si="35"/>
        <v>0</v>
      </c>
      <c r="AT84" s="231">
        <f t="shared" si="35"/>
        <v>0</v>
      </c>
      <c r="AU84" s="231">
        <f t="shared" si="35"/>
        <v>0</v>
      </c>
      <c r="AV84" s="231">
        <f t="shared" si="35"/>
        <v>0</v>
      </c>
      <c r="AW84" s="231">
        <f t="shared" si="35"/>
        <v>0</v>
      </c>
      <c r="AX84" s="231">
        <f t="shared" si="35"/>
        <v>0</v>
      </c>
      <c r="AY84" s="231">
        <f t="shared" si="35"/>
        <v>0</v>
      </c>
      <c r="AZ84" s="231">
        <f t="shared" si="35"/>
        <v>0</v>
      </c>
      <c r="BA84" s="231">
        <f t="shared" si="35"/>
        <v>0</v>
      </c>
      <c r="BB84" s="231">
        <f t="shared" si="35"/>
        <v>0</v>
      </c>
      <c r="BC84" s="231">
        <f t="shared" si="35"/>
        <v>0</v>
      </c>
      <c r="BD84" s="231">
        <f t="shared" si="35"/>
        <v>0</v>
      </c>
      <c r="BE84" s="231">
        <f t="shared" si="35"/>
        <v>0</v>
      </c>
      <c r="BF84" s="231">
        <f t="shared" si="35"/>
        <v>0</v>
      </c>
      <c r="BG84" s="231">
        <f t="shared" si="35"/>
        <v>0</v>
      </c>
      <c r="BI84" s="296">
        <f t="shared" ref="BI84" si="36">SUM(T84:BG84)</f>
        <v>0</v>
      </c>
      <c r="BK84" s="103"/>
    </row>
    <row r="85" spans="2:63">
      <c r="C85" s="99">
        <f>RR!C25</f>
        <v>3</v>
      </c>
      <c r="D85" s="99" t="str">
        <f>RR!E25</f>
        <v>3 - 1</v>
      </c>
      <c r="F85" s="94" t="str">
        <f>INDEX(RR!K:K,MATCH(D85,RR!E:E,0))</f>
        <v>backup</v>
      </c>
      <c r="H85" s="73" t="s">
        <v>309</v>
      </c>
      <c r="J85" s="1325">
        <f>INDEX(AA!E:E,MATCH($C85,AA!C:C,0))</f>
        <v>1</v>
      </c>
      <c r="K85" s="1325">
        <f>INDEX(TA!$G:$G,MATCH($D85,TA!$D:$D,0))</f>
        <v>1</v>
      </c>
      <c r="M85" s="1325">
        <f>INDEX(TA!$BG$15:$BG$17,MATCH($D85,TA!$D$15:$D$17,0))</f>
        <v>100000</v>
      </c>
      <c r="N85" s="1325">
        <f>IF(INDEX(TA!$BP$15:$BP$17,MATCH($D85,TA!$D$15:$D$17,0))="lease-up",INDEX(TA!$BO$15:$BO$17,MATCH($D85,TA!$D$15:$D$17,0)),0)</f>
        <v>0</v>
      </c>
      <c r="O85" s="1325">
        <f>INDEX(TA!$CA$15:$CA$17,MATCH($D85,TA!$D$15:$D$17,0))</f>
        <v>0</v>
      </c>
      <c r="T85" s="231">
        <f t="shared" ref="T85:BG85" si="37">($M85+(T$5&gt;=$O85)*$N85)/4*T31*T$15</f>
        <v>0</v>
      </c>
      <c r="U85" s="231">
        <f t="shared" si="37"/>
        <v>0</v>
      </c>
      <c r="V85" s="231">
        <f t="shared" si="37"/>
        <v>0</v>
      </c>
      <c r="W85" s="231">
        <f t="shared" si="37"/>
        <v>0</v>
      </c>
      <c r="X85" s="231">
        <f t="shared" si="37"/>
        <v>0</v>
      </c>
      <c r="Y85" s="231">
        <f t="shared" si="37"/>
        <v>0</v>
      </c>
      <c r="Z85" s="231">
        <f t="shared" si="37"/>
        <v>0</v>
      </c>
      <c r="AA85" s="231">
        <f t="shared" si="37"/>
        <v>0</v>
      </c>
      <c r="AB85" s="231">
        <f t="shared" si="37"/>
        <v>0</v>
      </c>
      <c r="AC85" s="231">
        <f t="shared" si="37"/>
        <v>0</v>
      </c>
      <c r="AD85" s="231">
        <f t="shared" si="37"/>
        <v>0</v>
      </c>
      <c r="AE85" s="231">
        <f t="shared" si="37"/>
        <v>0</v>
      </c>
      <c r="AF85" s="231">
        <f t="shared" si="37"/>
        <v>0</v>
      </c>
      <c r="AG85" s="231">
        <f t="shared" si="37"/>
        <v>0</v>
      </c>
      <c r="AH85" s="231">
        <f t="shared" si="37"/>
        <v>0</v>
      </c>
      <c r="AI85" s="231">
        <f t="shared" si="37"/>
        <v>0</v>
      </c>
      <c r="AJ85" s="231">
        <f t="shared" si="37"/>
        <v>0</v>
      </c>
      <c r="AK85" s="231">
        <f t="shared" si="37"/>
        <v>0</v>
      </c>
      <c r="AL85" s="231">
        <f t="shared" si="37"/>
        <v>0</v>
      </c>
      <c r="AM85" s="231">
        <f t="shared" si="37"/>
        <v>0</v>
      </c>
      <c r="AN85" s="231">
        <f t="shared" si="37"/>
        <v>0</v>
      </c>
      <c r="AO85" s="231">
        <f t="shared" si="37"/>
        <v>0</v>
      </c>
      <c r="AP85" s="231">
        <f t="shared" si="37"/>
        <v>0</v>
      </c>
      <c r="AQ85" s="231">
        <f t="shared" si="37"/>
        <v>0</v>
      </c>
      <c r="AR85" s="231">
        <f t="shared" si="37"/>
        <v>0</v>
      </c>
      <c r="AS85" s="231">
        <f t="shared" si="37"/>
        <v>0</v>
      </c>
      <c r="AT85" s="231">
        <f t="shared" si="37"/>
        <v>0</v>
      </c>
      <c r="AU85" s="231">
        <f t="shared" si="37"/>
        <v>0</v>
      </c>
      <c r="AV85" s="231">
        <f t="shared" si="37"/>
        <v>0</v>
      </c>
      <c r="AW85" s="231">
        <f t="shared" si="37"/>
        <v>0</v>
      </c>
      <c r="AX85" s="231">
        <f t="shared" si="37"/>
        <v>0</v>
      </c>
      <c r="AY85" s="231">
        <f t="shared" si="37"/>
        <v>0</v>
      </c>
      <c r="AZ85" s="231">
        <f t="shared" si="37"/>
        <v>0</v>
      </c>
      <c r="BA85" s="231">
        <f t="shared" si="37"/>
        <v>0</v>
      </c>
      <c r="BB85" s="231">
        <f t="shared" si="37"/>
        <v>0</v>
      </c>
      <c r="BC85" s="231">
        <f t="shared" si="37"/>
        <v>0</v>
      </c>
      <c r="BD85" s="231">
        <f t="shared" si="37"/>
        <v>0</v>
      </c>
      <c r="BE85" s="231">
        <f t="shared" si="37"/>
        <v>0</v>
      </c>
      <c r="BF85" s="231">
        <f t="shared" si="37"/>
        <v>0</v>
      </c>
      <c r="BG85" s="231">
        <f t="shared" si="37"/>
        <v>0</v>
      </c>
      <c r="BI85" s="296">
        <f t="shared" ref="BI85" si="38">SUM(T85:BG85)</f>
        <v>0</v>
      </c>
      <c r="BK85" s="103"/>
    </row>
    <row r="86" spans="2:63">
      <c r="C86" s="269"/>
      <c r="D86" s="269"/>
      <c r="F86" s="269"/>
      <c r="H86" s="269"/>
      <c r="J86" s="269"/>
      <c r="K86" s="269"/>
      <c r="M86" s="269"/>
      <c r="N86" s="269"/>
      <c r="O86" s="269"/>
      <c r="BI86" s="269"/>
      <c r="BK86" s="269"/>
    </row>
    <row r="88" spans="2:63" s="90" customFormat="1">
      <c r="B88" s="91">
        <f ca="1">MAX(A$1:$B87)+1</f>
        <v>10</v>
      </c>
      <c r="C88" s="92" t="s">
        <v>317</v>
      </c>
    </row>
    <row r="90" spans="2:63">
      <c r="M90" s="226" t="s">
        <v>365</v>
      </c>
      <c r="N90" s="226" t="s">
        <v>366</v>
      </c>
      <c r="O90" s="225"/>
    </row>
    <row r="91" spans="2:63" ht="30">
      <c r="C91" s="96" t="s">
        <v>4</v>
      </c>
      <c r="D91" s="97" t="s">
        <v>148</v>
      </c>
      <c r="E91" s="95"/>
      <c r="F91" s="97" t="s">
        <v>149</v>
      </c>
      <c r="G91" s="95"/>
      <c r="H91" s="97" t="s">
        <v>150</v>
      </c>
      <c r="J91" s="97" t="s">
        <v>272</v>
      </c>
      <c r="K91" s="97" t="s">
        <v>273</v>
      </c>
      <c r="M91" s="97" t="s">
        <v>229</v>
      </c>
      <c r="N91" s="101" t="s">
        <v>11</v>
      </c>
      <c r="O91" s="101" t="s">
        <v>151</v>
      </c>
      <c r="BI91" s="239" t="s">
        <v>152</v>
      </c>
      <c r="BK91" s="300" t="s">
        <v>320</v>
      </c>
    </row>
    <row r="92" spans="2:63">
      <c r="C92" s="98">
        <f>RR!C23</f>
        <v>1</v>
      </c>
      <c r="D92" s="98" t="str">
        <f>RR!E23</f>
        <v>1 - 1</v>
      </c>
      <c r="F92" s="93" t="str">
        <f>INDEX(RR!K:K,MATCH(D92,RR!E:E,0))</f>
        <v>backup</v>
      </c>
      <c r="H92" s="72" t="s">
        <v>318</v>
      </c>
      <c r="J92" s="1324">
        <f>INDEX(AA!E:E,MATCH($C92,AA!C:C,0))</f>
        <v>1</v>
      </c>
      <c r="K92" s="1324">
        <f>INDEX(TA!$G:$G,MATCH($D92,TA!$D:$D,0))</f>
        <v>1</v>
      </c>
      <c r="M92" s="1324">
        <f>INDEX(TA!$BG$15:$BG$17,MATCH($D92,TA!$D$15:$D$17,0))</f>
        <v>100000</v>
      </c>
      <c r="N92" s="286">
        <f>INDEX(TA!$FE$15:$FE$17,MATCH($D92,TA!$D$15:$D$17,0))</f>
        <v>0</v>
      </c>
      <c r="O92" s="1324">
        <f>INDEX(AA!$AA:$AA,MATCH($C92,AA!$C:$C,0))</f>
        <v>12</v>
      </c>
      <c r="T92" s="231">
        <f t="shared" ref="T92:BG92" si="39">-$M92/4*(T29-T38)*T$15</f>
        <v>0</v>
      </c>
      <c r="U92" s="231">
        <f t="shared" si="39"/>
        <v>0</v>
      </c>
      <c r="V92" s="231">
        <f t="shared" si="39"/>
        <v>0</v>
      </c>
      <c r="W92" s="231">
        <f t="shared" si="39"/>
        <v>0</v>
      </c>
      <c r="X92" s="231">
        <f t="shared" si="39"/>
        <v>0</v>
      </c>
      <c r="Y92" s="231">
        <f t="shared" si="39"/>
        <v>0</v>
      </c>
      <c r="Z92" s="231">
        <f t="shared" si="39"/>
        <v>0</v>
      </c>
      <c r="AA92" s="231">
        <f t="shared" si="39"/>
        <v>0</v>
      </c>
      <c r="AB92" s="231">
        <f t="shared" si="39"/>
        <v>0</v>
      </c>
      <c r="AC92" s="231">
        <f t="shared" si="39"/>
        <v>0</v>
      </c>
      <c r="AD92" s="231">
        <f t="shared" si="39"/>
        <v>0</v>
      </c>
      <c r="AE92" s="231">
        <f t="shared" si="39"/>
        <v>0</v>
      </c>
      <c r="AF92" s="231">
        <f t="shared" si="39"/>
        <v>0</v>
      </c>
      <c r="AG92" s="231">
        <f t="shared" si="39"/>
        <v>0</v>
      </c>
      <c r="AH92" s="231">
        <f t="shared" si="39"/>
        <v>0</v>
      </c>
      <c r="AI92" s="231">
        <f t="shared" si="39"/>
        <v>0</v>
      </c>
      <c r="AJ92" s="231">
        <f t="shared" si="39"/>
        <v>0</v>
      </c>
      <c r="AK92" s="231">
        <f t="shared" si="39"/>
        <v>0</v>
      </c>
      <c r="AL92" s="231">
        <f t="shared" si="39"/>
        <v>0</v>
      </c>
      <c r="AM92" s="231">
        <f t="shared" si="39"/>
        <v>0</v>
      </c>
      <c r="AN92" s="231">
        <f t="shared" si="39"/>
        <v>0</v>
      </c>
      <c r="AO92" s="231">
        <f t="shared" si="39"/>
        <v>0</v>
      </c>
      <c r="AP92" s="231">
        <f t="shared" si="39"/>
        <v>0</v>
      </c>
      <c r="AQ92" s="231">
        <f t="shared" si="39"/>
        <v>0</v>
      </c>
      <c r="AR92" s="231">
        <f t="shared" si="39"/>
        <v>0</v>
      </c>
      <c r="AS92" s="231">
        <f t="shared" si="39"/>
        <v>0</v>
      </c>
      <c r="AT92" s="231">
        <f t="shared" si="39"/>
        <v>0</v>
      </c>
      <c r="AU92" s="231">
        <f t="shared" si="39"/>
        <v>0</v>
      </c>
      <c r="AV92" s="231">
        <f t="shared" si="39"/>
        <v>0</v>
      </c>
      <c r="AW92" s="231">
        <f t="shared" si="39"/>
        <v>0</v>
      </c>
      <c r="AX92" s="231">
        <f t="shared" si="39"/>
        <v>0</v>
      </c>
      <c r="AY92" s="231">
        <f t="shared" si="39"/>
        <v>0</v>
      </c>
      <c r="AZ92" s="231">
        <f t="shared" si="39"/>
        <v>0</v>
      </c>
      <c r="BA92" s="231">
        <f t="shared" si="39"/>
        <v>0</v>
      </c>
      <c r="BB92" s="231">
        <f t="shared" si="39"/>
        <v>0</v>
      </c>
      <c r="BC92" s="231">
        <f t="shared" si="39"/>
        <v>0</v>
      </c>
      <c r="BD92" s="231">
        <f t="shared" si="39"/>
        <v>0</v>
      </c>
      <c r="BE92" s="231">
        <f t="shared" si="39"/>
        <v>0</v>
      </c>
      <c r="BF92" s="231">
        <f t="shared" si="39"/>
        <v>0</v>
      </c>
      <c r="BG92" s="231">
        <f t="shared" si="39"/>
        <v>0</v>
      </c>
      <c r="BI92" s="295">
        <f>SUM(T92:BG92)</f>
        <v>0</v>
      </c>
      <c r="BK92" s="302">
        <f t="shared" ref="BK92:BK94" si="40">SUMPRODUCT(--($T$5:$BG$5&gt;$O92),($T92:$BG92))*(SUMPRODUCT(--($T$5:$BG$5=$O92),($T$4:$BG$4))&gt;$N92)</f>
        <v>0</v>
      </c>
    </row>
    <row r="93" spans="2:63">
      <c r="C93" s="99">
        <f>RR!C24</f>
        <v>2</v>
      </c>
      <c r="D93" s="99" t="str">
        <f>RR!E24</f>
        <v>2 - 1</v>
      </c>
      <c r="F93" s="94" t="str">
        <f>INDEX(RR!K:K,MATCH(D93,RR!E:E,0))</f>
        <v>backup</v>
      </c>
      <c r="H93" s="73" t="s">
        <v>318</v>
      </c>
      <c r="J93" s="1325">
        <f>INDEX(AA!E:E,MATCH($C93,AA!C:C,0))</f>
        <v>1</v>
      </c>
      <c r="K93" s="1325">
        <f>INDEX(TA!$G:$G,MATCH($D93,TA!$D:$D,0))</f>
        <v>1</v>
      </c>
      <c r="M93" s="1325">
        <f>INDEX(TA!$BG$15:$BG$17,MATCH($D93,TA!$D$15:$D$17,0))</f>
        <v>100000</v>
      </c>
      <c r="N93" s="288">
        <f>INDEX(TA!$FE$15:$FE$17,MATCH($D93,TA!$D$15:$D$17,0))</f>
        <v>0</v>
      </c>
      <c r="O93" s="1325">
        <f>INDEX(AA!$AA:$AA,MATCH($C93,AA!$C:$C,0))</f>
        <v>12</v>
      </c>
      <c r="T93" s="231">
        <f t="shared" ref="T93:BG93" si="41">-$M93/4*(T30-T39)*T$15</f>
        <v>0</v>
      </c>
      <c r="U93" s="231">
        <f t="shared" si="41"/>
        <v>0</v>
      </c>
      <c r="V93" s="231">
        <f t="shared" si="41"/>
        <v>0</v>
      </c>
      <c r="W93" s="231">
        <f t="shared" si="41"/>
        <v>0</v>
      </c>
      <c r="X93" s="231">
        <f t="shared" si="41"/>
        <v>0</v>
      </c>
      <c r="Y93" s="231">
        <f t="shared" si="41"/>
        <v>0</v>
      </c>
      <c r="Z93" s="231">
        <f t="shared" si="41"/>
        <v>0</v>
      </c>
      <c r="AA93" s="231">
        <f t="shared" si="41"/>
        <v>0</v>
      </c>
      <c r="AB93" s="231">
        <f t="shared" si="41"/>
        <v>0</v>
      </c>
      <c r="AC93" s="231">
        <f t="shared" si="41"/>
        <v>0</v>
      </c>
      <c r="AD93" s="231">
        <f t="shared" si="41"/>
        <v>0</v>
      </c>
      <c r="AE93" s="231">
        <f t="shared" si="41"/>
        <v>0</v>
      </c>
      <c r="AF93" s="231">
        <f t="shared" si="41"/>
        <v>0</v>
      </c>
      <c r="AG93" s="231">
        <f t="shared" si="41"/>
        <v>0</v>
      </c>
      <c r="AH93" s="231">
        <f t="shared" si="41"/>
        <v>0</v>
      </c>
      <c r="AI93" s="231">
        <f t="shared" si="41"/>
        <v>0</v>
      </c>
      <c r="AJ93" s="231">
        <f t="shared" si="41"/>
        <v>0</v>
      </c>
      <c r="AK93" s="231">
        <f t="shared" si="41"/>
        <v>0</v>
      </c>
      <c r="AL93" s="231">
        <f t="shared" si="41"/>
        <v>0</v>
      </c>
      <c r="AM93" s="231">
        <f t="shared" si="41"/>
        <v>0</v>
      </c>
      <c r="AN93" s="231">
        <f t="shared" si="41"/>
        <v>0</v>
      </c>
      <c r="AO93" s="231">
        <f t="shared" si="41"/>
        <v>0</v>
      </c>
      <c r="AP93" s="231">
        <f t="shared" si="41"/>
        <v>0</v>
      </c>
      <c r="AQ93" s="231">
        <f t="shared" si="41"/>
        <v>0</v>
      </c>
      <c r="AR93" s="231">
        <f t="shared" si="41"/>
        <v>0</v>
      </c>
      <c r="AS93" s="231">
        <f t="shared" si="41"/>
        <v>0</v>
      </c>
      <c r="AT93" s="231">
        <f t="shared" si="41"/>
        <v>0</v>
      </c>
      <c r="AU93" s="231">
        <f t="shared" si="41"/>
        <v>0</v>
      </c>
      <c r="AV93" s="231">
        <f t="shared" si="41"/>
        <v>0</v>
      </c>
      <c r="AW93" s="231">
        <f t="shared" si="41"/>
        <v>0</v>
      </c>
      <c r="AX93" s="231">
        <f t="shared" si="41"/>
        <v>0</v>
      </c>
      <c r="AY93" s="231">
        <f t="shared" si="41"/>
        <v>0</v>
      </c>
      <c r="AZ93" s="231">
        <f t="shared" si="41"/>
        <v>0</v>
      </c>
      <c r="BA93" s="231">
        <f t="shared" si="41"/>
        <v>0</v>
      </c>
      <c r="BB93" s="231">
        <f t="shared" si="41"/>
        <v>0</v>
      </c>
      <c r="BC93" s="231">
        <f t="shared" si="41"/>
        <v>0</v>
      </c>
      <c r="BD93" s="231">
        <f t="shared" si="41"/>
        <v>0</v>
      </c>
      <c r="BE93" s="231">
        <f t="shared" si="41"/>
        <v>0</v>
      </c>
      <c r="BF93" s="231">
        <f t="shared" si="41"/>
        <v>0</v>
      </c>
      <c r="BG93" s="231">
        <f t="shared" si="41"/>
        <v>0</v>
      </c>
      <c r="BI93" s="296">
        <f t="shared" ref="BI93" si="42">SUM(T93:BG93)</f>
        <v>0</v>
      </c>
      <c r="BK93" s="301">
        <f t="shared" si="40"/>
        <v>0</v>
      </c>
    </row>
    <row r="94" spans="2:63">
      <c r="C94" s="99">
        <f>RR!C25</f>
        <v>3</v>
      </c>
      <c r="D94" s="99" t="str">
        <f>RR!E25</f>
        <v>3 - 1</v>
      </c>
      <c r="F94" s="94" t="str">
        <f>INDEX(RR!K:K,MATCH(D94,RR!E:E,0))</f>
        <v>backup</v>
      </c>
      <c r="H94" s="73" t="s">
        <v>318</v>
      </c>
      <c r="J94" s="1325">
        <f>INDEX(AA!E:E,MATCH($C94,AA!C:C,0))</f>
        <v>1</v>
      </c>
      <c r="K94" s="1325">
        <f>INDEX(TA!$G:$G,MATCH($D94,TA!$D:$D,0))</f>
        <v>1</v>
      </c>
      <c r="M94" s="1325">
        <f>INDEX(TA!$BG$15:$BG$17,MATCH($D94,TA!$D$15:$D$17,0))</f>
        <v>100000</v>
      </c>
      <c r="N94" s="288">
        <f>INDEX(TA!$FE$15:$FE$17,MATCH($D94,TA!$D$15:$D$17,0))</f>
        <v>0</v>
      </c>
      <c r="O94" s="1325">
        <f>INDEX(AA!$AA:$AA,MATCH($C94,AA!$C:$C,0))</f>
        <v>12</v>
      </c>
      <c r="T94" s="231">
        <f t="shared" ref="T94:BG94" si="43">-$M94/4*(T31-T40)*T$15</f>
        <v>0</v>
      </c>
      <c r="U94" s="231">
        <f t="shared" si="43"/>
        <v>0</v>
      </c>
      <c r="V94" s="231">
        <f t="shared" si="43"/>
        <v>0</v>
      </c>
      <c r="W94" s="231">
        <f t="shared" si="43"/>
        <v>0</v>
      </c>
      <c r="X94" s="231">
        <f t="shared" si="43"/>
        <v>0</v>
      </c>
      <c r="Y94" s="231">
        <f t="shared" si="43"/>
        <v>0</v>
      </c>
      <c r="Z94" s="231">
        <f t="shared" si="43"/>
        <v>0</v>
      </c>
      <c r="AA94" s="231">
        <f t="shared" si="43"/>
        <v>0</v>
      </c>
      <c r="AB94" s="231">
        <f t="shared" si="43"/>
        <v>0</v>
      </c>
      <c r="AC94" s="231">
        <f t="shared" si="43"/>
        <v>0</v>
      </c>
      <c r="AD94" s="231">
        <f t="shared" si="43"/>
        <v>0</v>
      </c>
      <c r="AE94" s="231">
        <f t="shared" si="43"/>
        <v>0</v>
      </c>
      <c r="AF94" s="231">
        <f t="shared" si="43"/>
        <v>0</v>
      </c>
      <c r="AG94" s="231">
        <f t="shared" si="43"/>
        <v>0</v>
      </c>
      <c r="AH94" s="231">
        <f t="shared" si="43"/>
        <v>0</v>
      </c>
      <c r="AI94" s="231">
        <f t="shared" si="43"/>
        <v>0</v>
      </c>
      <c r="AJ94" s="231">
        <f t="shared" si="43"/>
        <v>0</v>
      </c>
      <c r="AK94" s="231">
        <f t="shared" si="43"/>
        <v>0</v>
      </c>
      <c r="AL94" s="231">
        <f t="shared" si="43"/>
        <v>0</v>
      </c>
      <c r="AM94" s="231">
        <f t="shared" si="43"/>
        <v>0</v>
      </c>
      <c r="AN94" s="231">
        <f t="shared" si="43"/>
        <v>0</v>
      </c>
      <c r="AO94" s="231">
        <f t="shared" si="43"/>
        <v>0</v>
      </c>
      <c r="AP94" s="231">
        <f t="shared" si="43"/>
        <v>0</v>
      </c>
      <c r="AQ94" s="231">
        <f t="shared" si="43"/>
        <v>0</v>
      </c>
      <c r="AR94" s="231">
        <f t="shared" si="43"/>
        <v>0</v>
      </c>
      <c r="AS94" s="231">
        <f t="shared" si="43"/>
        <v>0</v>
      </c>
      <c r="AT94" s="231">
        <f t="shared" si="43"/>
        <v>0</v>
      </c>
      <c r="AU94" s="231">
        <f t="shared" si="43"/>
        <v>0</v>
      </c>
      <c r="AV94" s="231">
        <f t="shared" si="43"/>
        <v>0</v>
      </c>
      <c r="AW94" s="231">
        <f t="shared" si="43"/>
        <v>0</v>
      </c>
      <c r="AX94" s="231">
        <f t="shared" si="43"/>
        <v>0</v>
      </c>
      <c r="AY94" s="231">
        <f t="shared" si="43"/>
        <v>0</v>
      </c>
      <c r="AZ94" s="231">
        <f t="shared" si="43"/>
        <v>0</v>
      </c>
      <c r="BA94" s="231">
        <f t="shared" si="43"/>
        <v>0</v>
      </c>
      <c r="BB94" s="231">
        <f t="shared" si="43"/>
        <v>0</v>
      </c>
      <c r="BC94" s="231">
        <f t="shared" si="43"/>
        <v>0</v>
      </c>
      <c r="BD94" s="231">
        <f t="shared" si="43"/>
        <v>0</v>
      </c>
      <c r="BE94" s="231">
        <f t="shared" si="43"/>
        <v>0</v>
      </c>
      <c r="BF94" s="231">
        <f t="shared" si="43"/>
        <v>0</v>
      </c>
      <c r="BG94" s="231">
        <f t="shared" si="43"/>
        <v>0</v>
      </c>
      <c r="BI94" s="296">
        <f t="shared" ref="BI94" si="44">SUM(T94:BG94)</f>
        <v>0</v>
      </c>
      <c r="BK94" s="301">
        <f t="shared" si="40"/>
        <v>0</v>
      </c>
    </row>
    <row r="95" spans="2:63">
      <c r="C95" s="269"/>
      <c r="D95" s="269"/>
      <c r="F95" s="269"/>
      <c r="H95" s="269"/>
      <c r="J95" s="269"/>
      <c r="K95" s="269"/>
      <c r="M95" s="269"/>
      <c r="N95" s="269"/>
      <c r="O95" s="269"/>
      <c r="BI95" s="269"/>
      <c r="BK95" s="269"/>
    </row>
    <row r="97" spans="2:63" s="90" customFormat="1">
      <c r="B97" s="91">
        <f ca="1">MAX(A$1:$B96)+1</f>
        <v>11</v>
      </c>
      <c r="C97" s="92" t="s">
        <v>322</v>
      </c>
    </row>
    <row r="99" spans="2:63" ht="30">
      <c r="C99" s="96" t="s">
        <v>4</v>
      </c>
      <c r="D99" s="97" t="s">
        <v>148</v>
      </c>
      <c r="E99" s="95"/>
      <c r="F99" s="97" t="s">
        <v>149</v>
      </c>
      <c r="G99" s="95"/>
      <c r="H99" s="97" t="s">
        <v>150</v>
      </c>
      <c r="I99" s="95"/>
      <c r="J99" s="97" t="s">
        <v>272</v>
      </c>
      <c r="K99" s="97" t="s">
        <v>273</v>
      </c>
      <c r="M99" s="101" t="s">
        <v>323</v>
      </c>
      <c r="N99" s="101" t="s">
        <v>387</v>
      </c>
      <c r="O99" s="97" t="s">
        <v>392</v>
      </c>
      <c r="BI99" s="239" t="s">
        <v>152</v>
      </c>
      <c r="BK99" s="102"/>
    </row>
    <row r="100" spans="2:63">
      <c r="C100" s="98">
        <f>RR!C23</f>
        <v>1</v>
      </c>
      <c r="D100" s="98" t="str">
        <f>RR!E23</f>
        <v>1 - 1</v>
      </c>
      <c r="F100" s="93" t="str">
        <f>INDEX(RR!K:K,MATCH(D100,RR!E:E,0))</f>
        <v>backup</v>
      </c>
      <c r="H100" s="72" t="s">
        <v>321</v>
      </c>
      <c r="J100" s="1324">
        <f>INDEX(AA!E:E,MATCH($C100,AA!C:C,0))</f>
        <v>1</v>
      </c>
      <c r="K100" s="1324">
        <f>INDEX(TA!$G:$G,MATCH($D100,TA!$D:$D,0))</f>
        <v>1</v>
      </c>
      <c r="M100" s="1324">
        <f>INDEX(TA!$AX:$AX,MATCH($D100,TA!$D:$D,0))</f>
        <v>0</v>
      </c>
      <c r="N100" s="1324">
        <f>INDEX(TA!$CB:$CB,MATCH($D100,TA!$D:$D,0))</f>
        <v>0</v>
      </c>
      <c r="O100" s="307">
        <f>INDEX(TA!$CA$15:$CA$17,MATCH($D100,TA!$D$15:$D$17,0))</f>
        <v>0</v>
      </c>
      <c r="T100" s="231">
        <f t="shared" ref="T100:BG100" si="45">$M100/4*T29+$N100/4*(T$5&gt;=$O100)*T29</f>
        <v>0</v>
      </c>
      <c r="U100" s="231">
        <f t="shared" si="45"/>
        <v>0</v>
      </c>
      <c r="V100" s="231">
        <f t="shared" si="45"/>
        <v>0</v>
      </c>
      <c r="W100" s="231">
        <f t="shared" si="45"/>
        <v>0</v>
      </c>
      <c r="X100" s="231">
        <f t="shared" si="45"/>
        <v>0</v>
      </c>
      <c r="Y100" s="231">
        <f t="shared" si="45"/>
        <v>0</v>
      </c>
      <c r="Z100" s="231">
        <f t="shared" si="45"/>
        <v>0</v>
      </c>
      <c r="AA100" s="231">
        <f t="shared" si="45"/>
        <v>0</v>
      </c>
      <c r="AB100" s="231">
        <f t="shared" si="45"/>
        <v>0</v>
      </c>
      <c r="AC100" s="231">
        <f t="shared" si="45"/>
        <v>0</v>
      </c>
      <c r="AD100" s="231">
        <f t="shared" si="45"/>
        <v>0</v>
      </c>
      <c r="AE100" s="231">
        <f t="shared" si="45"/>
        <v>0</v>
      </c>
      <c r="AF100" s="231">
        <f t="shared" si="45"/>
        <v>0</v>
      </c>
      <c r="AG100" s="231">
        <f t="shared" si="45"/>
        <v>0</v>
      </c>
      <c r="AH100" s="231">
        <f t="shared" si="45"/>
        <v>0</v>
      </c>
      <c r="AI100" s="231">
        <f t="shared" si="45"/>
        <v>0</v>
      </c>
      <c r="AJ100" s="231">
        <f t="shared" si="45"/>
        <v>0</v>
      </c>
      <c r="AK100" s="231">
        <f t="shared" si="45"/>
        <v>0</v>
      </c>
      <c r="AL100" s="231">
        <f t="shared" si="45"/>
        <v>0</v>
      </c>
      <c r="AM100" s="231">
        <f t="shared" si="45"/>
        <v>0</v>
      </c>
      <c r="AN100" s="231">
        <f t="shared" si="45"/>
        <v>0</v>
      </c>
      <c r="AO100" s="231">
        <f t="shared" si="45"/>
        <v>0</v>
      </c>
      <c r="AP100" s="231">
        <f t="shared" si="45"/>
        <v>0</v>
      </c>
      <c r="AQ100" s="231">
        <f t="shared" si="45"/>
        <v>0</v>
      </c>
      <c r="AR100" s="231">
        <f t="shared" si="45"/>
        <v>0</v>
      </c>
      <c r="AS100" s="231">
        <f t="shared" si="45"/>
        <v>0</v>
      </c>
      <c r="AT100" s="231">
        <f t="shared" si="45"/>
        <v>0</v>
      </c>
      <c r="AU100" s="231">
        <f t="shared" si="45"/>
        <v>0</v>
      </c>
      <c r="AV100" s="231">
        <f t="shared" si="45"/>
        <v>0</v>
      </c>
      <c r="AW100" s="231">
        <f t="shared" si="45"/>
        <v>0</v>
      </c>
      <c r="AX100" s="231">
        <f t="shared" si="45"/>
        <v>0</v>
      </c>
      <c r="AY100" s="231">
        <f t="shared" si="45"/>
        <v>0</v>
      </c>
      <c r="AZ100" s="231">
        <f t="shared" si="45"/>
        <v>0</v>
      </c>
      <c r="BA100" s="231">
        <f t="shared" si="45"/>
        <v>0</v>
      </c>
      <c r="BB100" s="231">
        <f t="shared" si="45"/>
        <v>0</v>
      </c>
      <c r="BC100" s="231">
        <f t="shared" si="45"/>
        <v>0</v>
      </c>
      <c r="BD100" s="231">
        <f t="shared" si="45"/>
        <v>0</v>
      </c>
      <c r="BE100" s="231">
        <f t="shared" si="45"/>
        <v>0</v>
      </c>
      <c r="BF100" s="231">
        <f t="shared" si="45"/>
        <v>0</v>
      </c>
      <c r="BG100" s="231">
        <f t="shared" si="45"/>
        <v>0</v>
      </c>
      <c r="BI100" s="295">
        <f>SUM(T100:BG100)</f>
        <v>0</v>
      </c>
      <c r="BK100" s="103"/>
    </row>
    <row r="101" spans="2:63">
      <c r="C101" s="99">
        <f>RR!C24</f>
        <v>2</v>
      </c>
      <c r="D101" s="99" t="str">
        <f>RR!E24</f>
        <v>2 - 1</v>
      </c>
      <c r="F101" s="94" t="str">
        <f>INDEX(RR!K:K,MATCH(D101,RR!E:E,0))</f>
        <v>backup</v>
      </c>
      <c r="H101" s="73" t="s">
        <v>321</v>
      </c>
      <c r="J101" s="1325">
        <f>INDEX(AA!E:E,MATCH($C101,AA!C:C,0))</f>
        <v>1</v>
      </c>
      <c r="K101" s="1325">
        <f>INDEX(TA!$G:$G,MATCH($D101,TA!$D:$D,0))</f>
        <v>1</v>
      </c>
      <c r="M101" s="1325">
        <f>INDEX(TA!$AX:$AX,MATCH($D101,TA!$D:$D,0))</f>
        <v>0</v>
      </c>
      <c r="N101" s="1325">
        <f>INDEX(TA!$CB:$CB,MATCH($D101,TA!$D:$D,0))</f>
        <v>0</v>
      </c>
      <c r="O101" s="308">
        <f>INDEX(TA!$CA$15:$CA$17,MATCH($D101,TA!$D$15:$D$17,0))</f>
        <v>0</v>
      </c>
      <c r="T101" s="231">
        <f t="shared" ref="T101:BG101" si="46">$M101/4*T30+$N101/4*(T$5&gt;=$O101)*T30</f>
        <v>0</v>
      </c>
      <c r="U101" s="231">
        <f t="shared" si="46"/>
        <v>0</v>
      </c>
      <c r="V101" s="231">
        <f t="shared" si="46"/>
        <v>0</v>
      </c>
      <c r="W101" s="231">
        <f t="shared" si="46"/>
        <v>0</v>
      </c>
      <c r="X101" s="231">
        <f t="shared" si="46"/>
        <v>0</v>
      </c>
      <c r="Y101" s="231">
        <f t="shared" si="46"/>
        <v>0</v>
      </c>
      <c r="Z101" s="231">
        <f t="shared" si="46"/>
        <v>0</v>
      </c>
      <c r="AA101" s="231">
        <f t="shared" si="46"/>
        <v>0</v>
      </c>
      <c r="AB101" s="231">
        <f t="shared" si="46"/>
        <v>0</v>
      </c>
      <c r="AC101" s="231">
        <f t="shared" si="46"/>
        <v>0</v>
      </c>
      <c r="AD101" s="231">
        <f t="shared" si="46"/>
        <v>0</v>
      </c>
      <c r="AE101" s="231">
        <f t="shared" si="46"/>
        <v>0</v>
      </c>
      <c r="AF101" s="231">
        <f t="shared" si="46"/>
        <v>0</v>
      </c>
      <c r="AG101" s="231">
        <f t="shared" si="46"/>
        <v>0</v>
      </c>
      <c r="AH101" s="231">
        <f t="shared" si="46"/>
        <v>0</v>
      </c>
      <c r="AI101" s="231">
        <f t="shared" si="46"/>
        <v>0</v>
      </c>
      <c r="AJ101" s="231">
        <f t="shared" si="46"/>
        <v>0</v>
      </c>
      <c r="AK101" s="231">
        <f t="shared" si="46"/>
        <v>0</v>
      </c>
      <c r="AL101" s="231">
        <f t="shared" si="46"/>
        <v>0</v>
      </c>
      <c r="AM101" s="231">
        <f t="shared" si="46"/>
        <v>0</v>
      </c>
      <c r="AN101" s="231">
        <f t="shared" si="46"/>
        <v>0</v>
      </c>
      <c r="AO101" s="231">
        <f t="shared" si="46"/>
        <v>0</v>
      </c>
      <c r="AP101" s="231">
        <f t="shared" si="46"/>
        <v>0</v>
      </c>
      <c r="AQ101" s="231">
        <f t="shared" si="46"/>
        <v>0</v>
      </c>
      <c r="AR101" s="231">
        <f t="shared" si="46"/>
        <v>0</v>
      </c>
      <c r="AS101" s="231">
        <f t="shared" si="46"/>
        <v>0</v>
      </c>
      <c r="AT101" s="231">
        <f t="shared" si="46"/>
        <v>0</v>
      </c>
      <c r="AU101" s="231">
        <f t="shared" si="46"/>
        <v>0</v>
      </c>
      <c r="AV101" s="231">
        <f t="shared" si="46"/>
        <v>0</v>
      </c>
      <c r="AW101" s="231">
        <f t="shared" si="46"/>
        <v>0</v>
      </c>
      <c r="AX101" s="231">
        <f t="shared" si="46"/>
        <v>0</v>
      </c>
      <c r="AY101" s="231">
        <f t="shared" si="46"/>
        <v>0</v>
      </c>
      <c r="AZ101" s="231">
        <f t="shared" si="46"/>
        <v>0</v>
      </c>
      <c r="BA101" s="231">
        <f t="shared" si="46"/>
        <v>0</v>
      </c>
      <c r="BB101" s="231">
        <f t="shared" si="46"/>
        <v>0</v>
      </c>
      <c r="BC101" s="231">
        <f t="shared" si="46"/>
        <v>0</v>
      </c>
      <c r="BD101" s="231">
        <f t="shared" si="46"/>
        <v>0</v>
      </c>
      <c r="BE101" s="231">
        <f t="shared" si="46"/>
        <v>0</v>
      </c>
      <c r="BF101" s="231">
        <f t="shared" si="46"/>
        <v>0</v>
      </c>
      <c r="BG101" s="231">
        <f t="shared" si="46"/>
        <v>0</v>
      </c>
      <c r="BI101" s="296">
        <f t="shared" ref="BI101" si="47">SUM(T101:BG101)</f>
        <v>0</v>
      </c>
      <c r="BK101" s="103"/>
    </row>
    <row r="102" spans="2:63">
      <c r="C102" s="99">
        <f>RR!C25</f>
        <v>3</v>
      </c>
      <c r="D102" s="99" t="str">
        <f>RR!E25</f>
        <v>3 - 1</v>
      </c>
      <c r="F102" s="94" t="str">
        <f>INDEX(RR!K:K,MATCH(D102,RR!E:E,0))</f>
        <v>backup</v>
      </c>
      <c r="H102" s="73" t="s">
        <v>321</v>
      </c>
      <c r="J102" s="1325">
        <f>INDEX(AA!E:E,MATCH($C102,AA!C:C,0))</f>
        <v>1</v>
      </c>
      <c r="K102" s="1325">
        <f>INDEX(TA!$G:$G,MATCH($D102,TA!$D:$D,0))</f>
        <v>1</v>
      </c>
      <c r="M102" s="1325">
        <f>INDEX(TA!$AX:$AX,MATCH($D102,TA!$D:$D,0))</f>
        <v>0</v>
      </c>
      <c r="N102" s="1325">
        <f>INDEX(TA!$CB:$CB,MATCH($D102,TA!$D:$D,0))</f>
        <v>0</v>
      </c>
      <c r="O102" s="308">
        <f>INDEX(TA!$CA$15:$CA$17,MATCH($D102,TA!$D$15:$D$17,0))</f>
        <v>0</v>
      </c>
      <c r="T102" s="231">
        <f t="shared" ref="T102:BG102" si="48">$M102/4*T31+$N102/4*(T$5&gt;=$O102)*T31</f>
        <v>0</v>
      </c>
      <c r="U102" s="231">
        <f t="shared" si="48"/>
        <v>0</v>
      </c>
      <c r="V102" s="231">
        <f t="shared" si="48"/>
        <v>0</v>
      </c>
      <c r="W102" s="231">
        <f t="shared" si="48"/>
        <v>0</v>
      </c>
      <c r="X102" s="231">
        <f t="shared" si="48"/>
        <v>0</v>
      </c>
      <c r="Y102" s="231">
        <f t="shared" si="48"/>
        <v>0</v>
      </c>
      <c r="Z102" s="231">
        <f t="shared" si="48"/>
        <v>0</v>
      </c>
      <c r="AA102" s="231">
        <f t="shared" si="48"/>
        <v>0</v>
      </c>
      <c r="AB102" s="231">
        <f t="shared" si="48"/>
        <v>0</v>
      </c>
      <c r="AC102" s="231">
        <f t="shared" si="48"/>
        <v>0</v>
      </c>
      <c r="AD102" s="231">
        <f t="shared" si="48"/>
        <v>0</v>
      </c>
      <c r="AE102" s="231">
        <f t="shared" si="48"/>
        <v>0</v>
      </c>
      <c r="AF102" s="231">
        <f t="shared" si="48"/>
        <v>0</v>
      </c>
      <c r="AG102" s="231">
        <f t="shared" si="48"/>
        <v>0</v>
      </c>
      <c r="AH102" s="231">
        <f t="shared" si="48"/>
        <v>0</v>
      </c>
      <c r="AI102" s="231">
        <f t="shared" si="48"/>
        <v>0</v>
      </c>
      <c r="AJ102" s="231">
        <f t="shared" si="48"/>
        <v>0</v>
      </c>
      <c r="AK102" s="231">
        <f t="shared" si="48"/>
        <v>0</v>
      </c>
      <c r="AL102" s="231">
        <f t="shared" si="48"/>
        <v>0</v>
      </c>
      <c r="AM102" s="231">
        <f t="shared" si="48"/>
        <v>0</v>
      </c>
      <c r="AN102" s="231">
        <f t="shared" si="48"/>
        <v>0</v>
      </c>
      <c r="AO102" s="231">
        <f t="shared" si="48"/>
        <v>0</v>
      </c>
      <c r="AP102" s="231">
        <f t="shared" si="48"/>
        <v>0</v>
      </c>
      <c r="AQ102" s="231">
        <f t="shared" si="48"/>
        <v>0</v>
      </c>
      <c r="AR102" s="231">
        <f t="shared" si="48"/>
        <v>0</v>
      </c>
      <c r="AS102" s="231">
        <f t="shared" si="48"/>
        <v>0</v>
      </c>
      <c r="AT102" s="231">
        <f t="shared" si="48"/>
        <v>0</v>
      </c>
      <c r="AU102" s="231">
        <f t="shared" si="48"/>
        <v>0</v>
      </c>
      <c r="AV102" s="231">
        <f t="shared" si="48"/>
        <v>0</v>
      </c>
      <c r="AW102" s="231">
        <f t="shared" si="48"/>
        <v>0</v>
      </c>
      <c r="AX102" s="231">
        <f t="shared" si="48"/>
        <v>0</v>
      </c>
      <c r="AY102" s="231">
        <f t="shared" si="48"/>
        <v>0</v>
      </c>
      <c r="AZ102" s="231">
        <f t="shared" si="48"/>
        <v>0</v>
      </c>
      <c r="BA102" s="231">
        <f t="shared" si="48"/>
        <v>0</v>
      </c>
      <c r="BB102" s="231">
        <f t="shared" si="48"/>
        <v>0</v>
      </c>
      <c r="BC102" s="231">
        <f t="shared" si="48"/>
        <v>0</v>
      </c>
      <c r="BD102" s="231">
        <f t="shared" si="48"/>
        <v>0</v>
      </c>
      <c r="BE102" s="231">
        <f t="shared" si="48"/>
        <v>0</v>
      </c>
      <c r="BF102" s="231">
        <f t="shared" si="48"/>
        <v>0</v>
      </c>
      <c r="BG102" s="231">
        <f t="shared" si="48"/>
        <v>0</v>
      </c>
      <c r="BI102" s="296">
        <f t="shared" ref="BI102" si="49">SUM(T102:BG102)</f>
        <v>0</v>
      </c>
      <c r="BK102" s="103"/>
    </row>
    <row r="103" spans="2:63">
      <c r="C103" s="269"/>
      <c r="D103" s="269"/>
      <c r="F103" s="269"/>
      <c r="H103" s="269"/>
      <c r="J103" s="269"/>
      <c r="K103" s="269"/>
      <c r="M103" s="269"/>
      <c r="N103" s="269"/>
      <c r="O103" s="269"/>
      <c r="BI103" s="269"/>
      <c r="BK103" s="269"/>
    </row>
    <row r="105" spans="2:63" s="90" customFormat="1">
      <c r="B105" s="91">
        <f ca="1">MAX(A$1:$B104)+1</f>
        <v>12</v>
      </c>
      <c r="C105" s="92" t="s">
        <v>367</v>
      </c>
    </row>
    <row r="107" spans="2:63" ht="30">
      <c r="C107" s="96" t="s">
        <v>4</v>
      </c>
      <c r="D107" s="97" t="s">
        <v>148</v>
      </c>
      <c r="E107" s="95"/>
      <c r="F107" s="97" t="s">
        <v>149</v>
      </c>
      <c r="G107" s="95"/>
      <c r="H107" s="97" t="s">
        <v>150</v>
      </c>
      <c r="J107" s="97" t="s">
        <v>272</v>
      </c>
      <c r="K107" s="97" t="s">
        <v>273</v>
      </c>
      <c r="M107" s="101" t="s">
        <v>369</v>
      </c>
      <c r="BI107" s="239" t="s">
        <v>152</v>
      </c>
      <c r="BK107" s="102"/>
    </row>
    <row r="108" spans="2:63">
      <c r="C108" s="98">
        <f>RR!C23</f>
        <v>1</v>
      </c>
      <c r="D108" s="98" t="str">
        <f>RR!E23</f>
        <v>1 - 1</v>
      </c>
      <c r="F108" s="93" t="str">
        <f>INDEX(RR!K:K,MATCH(D108,RR!E:E,0))</f>
        <v>backup</v>
      </c>
      <c r="H108" s="72" t="s">
        <v>368</v>
      </c>
      <c r="J108" s="1324">
        <f>INDEX(AA!E:E,MATCH($C108,AA!C:C,0))</f>
        <v>1</v>
      </c>
      <c r="K108" s="1324">
        <f>INDEX(TA!$G:$G,MATCH($D108,TA!$D:$D,0))</f>
        <v>1</v>
      </c>
      <c r="M108" s="1324">
        <f>INDEX(TA!$GG$15:$GG$17,MATCH($D108,TA!$D$15:$D$17,0))</f>
        <v>0</v>
      </c>
      <c r="T108" s="231">
        <f t="shared" ref="T108:BG108" si="50">-IFERROR($M108*T47/$BK47,0)</f>
        <v>0</v>
      </c>
      <c r="U108" s="231">
        <f t="shared" si="50"/>
        <v>0</v>
      </c>
      <c r="V108" s="231">
        <f t="shared" si="50"/>
        <v>0</v>
      </c>
      <c r="W108" s="231">
        <f t="shared" si="50"/>
        <v>0</v>
      </c>
      <c r="X108" s="231">
        <f t="shared" si="50"/>
        <v>0</v>
      </c>
      <c r="Y108" s="231">
        <f t="shared" si="50"/>
        <v>0</v>
      </c>
      <c r="Z108" s="231">
        <f t="shared" si="50"/>
        <v>0</v>
      </c>
      <c r="AA108" s="231">
        <f t="shared" si="50"/>
        <v>0</v>
      </c>
      <c r="AB108" s="231">
        <f t="shared" si="50"/>
        <v>0</v>
      </c>
      <c r="AC108" s="231">
        <f t="shared" si="50"/>
        <v>0</v>
      </c>
      <c r="AD108" s="231">
        <f t="shared" si="50"/>
        <v>0</v>
      </c>
      <c r="AE108" s="231">
        <f t="shared" si="50"/>
        <v>0</v>
      </c>
      <c r="AF108" s="231">
        <f t="shared" si="50"/>
        <v>0</v>
      </c>
      <c r="AG108" s="231">
        <f t="shared" si="50"/>
        <v>0</v>
      </c>
      <c r="AH108" s="231">
        <f t="shared" si="50"/>
        <v>0</v>
      </c>
      <c r="AI108" s="231">
        <f t="shared" si="50"/>
        <v>0</v>
      </c>
      <c r="AJ108" s="231">
        <f t="shared" si="50"/>
        <v>0</v>
      </c>
      <c r="AK108" s="231">
        <f t="shared" si="50"/>
        <v>0</v>
      </c>
      <c r="AL108" s="231">
        <f t="shared" si="50"/>
        <v>0</v>
      </c>
      <c r="AM108" s="231">
        <f t="shared" si="50"/>
        <v>0</v>
      </c>
      <c r="AN108" s="231">
        <f t="shared" si="50"/>
        <v>0</v>
      </c>
      <c r="AO108" s="231">
        <f t="shared" si="50"/>
        <v>0</v>
      </c>
      <c r="AP108" s="231">
        <f t="shared" si="50"/>
        <v>0</v>
      </c>
      <c r="AQ108" s="231">
        <f t="shared" si="50"/>
        <v>0</v>
      </c>
      <c r="AR108" s="231">
        <f t="shared" si="50"/>
        <v>0</v>
      </c>
      <c r="AS108" s="231">
        <f t="shared" si="50"/>
        <v>0</v>
      </c>
      <c r="AT108" s="231">
        <f t="shared" si="50"/>
        <v>0</v>
      </c>
      <c r="AU108" s="231">
        <f t="shared" si="50"/>
        <v>0</v>
      </c>
      <c r="AV108" s="231">
        <f t="shared" si="50"/>
        <v>0</v>
      </c>
      <c r="AW108" s="231">
        <f t="shared" si="50"/>
        <v>0</v>
      </c>
      <c r="AX108" s="231">
        <f t="shared" si="50"/>
        <v>0</v>
      </c>
      <c r="AY108" s="231">
        <f t="shared" si="50"/>
        <v>0</v>
      </c>
      <c r="AZ108" s="231">
        <f t="shared" si="50"/>
        <v>0</v>
      </c>
      <c r="BA108" s="231">
        <f t="shared" si="50"/>
        <v>0</v>
      </c>
      <c r="BB108" s="231">
        <f t="shared" si="50"/>
        <v>0</v>
      </c>
      <c r="BC108" s="231">
        <f t="shared" si="50"/>
        <v>0</v>
      </c>
      <c r="BD108" s="231">
        <f t="shared" si="50"/>
        <v>0</v>
      </c>
      <c r="BE108" s="231">
        <f t="shared" si="50"/>
        <v>0</v>
      </c>
      <c r="BF108" s="231">
        <f t="shared" si="50"/>
        <v>0</v>
      </c>
      <c r="BG108" s="231">
        <f t="shared" si="50"/>
        <v>0</v>
      </c>
      <c r="BI108" s="295">
        <f>SUM(T108:BG108)</f>
        <v>0</v>
      </c>
      <c r="BK108" s="103"/>
    </row>
    <row r="109" spans="2:63">
      <c r="C109" s="99">
        <f>RR!C24</f>
        <v>2</v>
      </c>
      <c r="D109" s="99" t="str">
        <f>RR!E24</f>
        <v>2 - 1</v>
      </c>
      <c r="F109" s="94" t="str">
        <f>INDEX(RR!K:K,MATCH(D109,RR!E:E,0))</f>
        <v>backup</v>
      </c>
      <c r="H109" s="73" t="s">
        <v>368</v>
      </c>
      <c r="J109" s="1325">
        <f>INDEX(AA!E:E,MATCH($C109,AA!C:C,0))</f>
        <v>1</v>
      </c>
      <c r="K109" s="1325">
        <f>INDEX(TA!$G:$G,MATCH($D109,TA!$D:$D,0))</f>
        <v>1</v>
      </c>
      <c r="M109" s="1325">
        <f>INDEX(TA!$GG$15:$GG$17,MATCH($D109,TA!$D$15:$D$17,0))</f>
        <v>0</v>
      </c>
      <c r="T109" s="231">
        <f t="shared" ref="T109:BG109" si="51">-IFERROR($M109*T48/$BK48,0)</f>
        <v>0</v>
      </c>
      <c r="U109" s="231">
        <f t="shared" si="51"/>
        <v>0</v>
      </c>
      <c r="V109" s="231">
        <f t="shared" si="51"/>
        <v>0</v>
      </c>
      <c r="W109" s="231">
        <f t="shared" si="51"/>
        <v>0</v>
      </c>
      <c r="X109" s="231">
        <f t="shared" si="51"/>
        <v>0</v>
      </c>
      <c r="Y109" s="231">
        <f t="shared" si="51"/>
        <v>0</v>
      </c>
      <c r="Z109" s="231">
        <f t="shared" si="51"/>
        <v>0</v>
      </c>
      <c r="AA109" s="231">
        <f t="shared" si="51"/>
        <v>0</v>
      </c>
      <c r="AB109" s="231">
        <f t="shared" si="51"/>
        <v>0</v>
      </c>
      <c r="AC109" s="231">
        <f t="shared" si="51"/>
        <v>0</v>
      </c>
      <c r="AD109" s="231">
        <f t="shared" si="51"/>
        <v>0</v>
      </c>
      <c r="AE109" s="231">
        <f t="shared" si="51"/>
        <v>0</v>
      </c>
      <c r="AF109" s="231">
        <f t="shared" si="51"/>
        <v>0</v>
      </c>
      <c r="AG109" s="231">
        <f t="shared" si="51"/>
        <v>0</v>
      </c>
      <c r="AH109" s="231">
        <f t="shared" si="51"/>
        <v>0</v>
      </c>
      <c r="AI109" s="231">
        <f t="shared" si="51"/>
        <v>0</v>
      </c>
      <c r="AJ109" s="231">
        <f t="shared" si="51"/>
        <v>0</v>
      </c>
      <c r="AK109" s="231">
        <f t="shared" si="51"/>
        <v>0</v>
      </c>
      <c r="AL109" s="231">
        <f t="shared" si="51"/>
        <v>0</v>
      </c>
      <c r="AM109" s="231">
        <f t="shared" si="51"/>
        <v>0</v>
      </c>
      <c r="AN109" s="231">
        <f t="shared" si="51"/>
        <v>0</v>
      </c>
      <c r="AO109" s="231">
        <f t="shared" si="51"/>
        <v>0</v>
      </c>
      <c r="AP109" s="231">
        <f t="shared" si="51"/>
        <v>0</v>
      </c>
      <c r="AQ109" s="231">
        <f t="shared" si="51"/>
        <v>0</v>
      </c>
      <c r="AR109" s="231">
        <f t="shared" si="51"/>
        <v>0</v>
      </c>
      <c r="AS109" s="231">
        <f t="shared" si="51"/>
        <v>0</v>
      </c>
      <c r="AT109" s="231">
        <f t="shared" si="51"/>
        <v>0</v>
      </c>
      <c r="AU109" s="231">
        <f t="shared" si="51"/>
        <v>0</v>
      </c>
      <c r="AV109" s="231">
        <f t="shared" si="51"/>
        <v>0</v>
      </c>
      <c r="AW109" s="231">
        <f t="shared" si="51"/>
        <v>0</v>
      </c>
      <c r="AX109" s="231">
        <f t="shared" si="51"/>
        <v>0</v>
      </c>
      <c r="AY109" s="231">
        <f t="shared" si="51"/>
        <v>0</v>
      </c>
      <c r="AZ109" s="231">
        <f t="shared" si="51"/>
        <v>0</v>
      </c>
      <c r="BA109" s="231">
        <f t="shared" si="51"/>
        <v>0</v>
      </c>
      <c r="BB109" s="231">
        <f t="shared" si="51"/>
        <v>0</v>
      </c>
      <c r="BC109" s="231">
        <f t="shared" si="51"/>
        <v>0</v>
      </c>
      <c r="BD109" s="231">
        <f t="shared" si="51"/>
        <v>0</v>
      </c>
      <c r="BE109" s="231">
        <f t="shared" si="51"/>
        <v>0</v>
      </c>
      <c r="BF109" s="231">
        <f t="shared" si="51"/>
        <v>0</v>
      </c>
      <c r="BG109" s="231">
        <f t="shared" si="51"/>
        <v>0</v>
      </c>
      <c r="BI109" s="296">
        <f t="shared" ref="BI109" si="52">SUM(T109:BG109)</f>
        <v>0</v>
      </c>
      <c r="BK109" s="103"/>
    </row>
    <row r="110" spans="2:63">
      <c r="C110" s="99">
        <f>RR!C25</f>
        <v>3</v>
      </c>
      <c r="D110" s="99" t="str">
        <f>RR!E25</f>
        <v>3 - 1</v>
      </c>
      <c r="F110" s="94" t="str">
        <f>INDEX(RR!K:K,MATCH(D110,RR!E:E,0))</f>
        <v>backup</v>
      </c>
      <c r="H110" s="73" t="s">
        <v>368</v>
      </c>
      <c r="J110" s="1325">
        <f>INDEX(AA!E:E,MATCH($C110,AA!C:C,0))</f>
        <v>1</v>
      </c>
      <c r="K110" s="1325">
        <f>INDEX(TA!$G:$G,MATCH($D110,TA!$D:$D,0))</f>
        <v>1</v>
      </c>
      <c r="M110" s="1325">
        <f>INDEX(TA!$GG$15:$GG$17,MATCH($D110,TA!$D$15:$D$17,0))</f>
        <v>0</v>
      </c>
      <c r="T110" s="231">
        <f t="shared" ref="T110:BG110" si="53">-IFERROR($M110*T49/$BK49,0)</f>
        <v>0</v>
      </c>
      <c r="U110" s="231">
        <f t="shared" si="53"/>
        <v>0</v>
      </c>
      <c r="V110" s="231">
        <f t="shared" si="53"/>
        <v>0</v>
      </c>
      <c r="W110" s="231">
        <f t="shared" si="53"/>
        <v>0</v>
      </c>
      <c r="X110" s="231">
        <f t="shared" si="53"/>
        <v>0</v>
      </c>
      <c r="Y110" s="231">
        <f t="shared" si="53"/>
        <v>0</v>
      </c>
      <c r="Z110" s="231">
        <f t="shared" si="53"/>
        <v>0</v>
      </c>
      <c r="AA110" s="231">
        <f t="shared" si="53"/>
        <v>0</v>
      </c>
      <c r="AB110" s="231">
        <f t="shared" si="53"/>
        <v>0</v>
      </c>
      <c r="AC110" s="231">
        <f t="shared" si="53"/>
        <v>0</v>
      </c>
      <c r="AD110" s="231">
        <f t="shared" si="53"/>
        <v>0</v>
      </c>
      <c r="AE110" s="231">
        <f t="shared" si="53"/>
        <v>0</v>
      </c>
      <c r="AF110" s="231">
        <f t="shared" si="53"/>
        <v>0</v>
      </c>
      <c r="AG110" s="231">
        <f t="shared" si="53"/>
        <v>0</v>
      </c>
      <c r="AH110" s="231">
        <f t="shared" si="53"/>
        <v>0</v>
      </c>
      <c r="AI110" s="231">
        <f t="shared" si="53"/>
        <v>0</v>
      </c>
      <c r="AJ110" s="231">
        <f t="shared" si="53"/>
        <v>0</v>
      </c>
      <c r="AK110" s="231">
        <f t="shared" si="53"/>
        <v>0</v>
      </c>
      <c r="AL110" s="231">
        <f t="shared" si="53"/>
        <v>0</v>
      </c>
      <c r="AM110" s="231">
        <f t="shared" si="53"/>
        <v>0</v>
      </c>
      <c r="AN110" s="231">
        <f t="shared" si="53"/>
        <v>0</v>
      </c>
      <c r="AO110" s="231">
        <f t="shared" si="53"/>
        <v>0</v>
      </c>
      <c r="AP110" s="231">
        <f t="shared" si="53"/>
        <v>0</v>
      </c>
      <c r="AQ110" s="231">
        <f t="shared" si="53"/>
        <v>0</v>
      </c>
      <c r="AR110" s="231">
        <f t="shared" si="53"/>
        <v>0</v>
      </c>
      <c r="AS110" s="231">
        <f t="shared" si="53"/>
        <v>0</v>
      </c>
      <c r="AT110" s="231">
        <f t="shared" si="53"/>
        <v>0</v>
      </c>
      <c r="AU110" s="231">
        <f t="shared" si="53"/>
        <v>0</v>
      </c>
      <c r="AV110" s="231">
        <f t="shared" si="53"/>
        <v>0</v>
      </c>
      <c r="AW110" s="231">
        <f t="shared" si="53"/>
        <v>0</v>
      </c>
      <c r="AX110" s="231">
        <f t="shared" si="53"/>
        <v>0</v>
      </c>
      <c r="AY110" s="231">
        <f t="shared" si="53"/>
        <v>0</v>
      </c>
      <c r="AZ110" s="231">
        <f t="shared" si="53"/>
        <v>0</v>
      </c>
      <c r="BA110" s="231">
        <f t="shared" si="53"/>
        <v>0</v>
      </c>
      <c r="BB110" s="231">
        <f t="shared" si="53"/>
        <v>0</v>
      </c>
      <c r="BC110" s="231">
        <f t="shared" si="53"/>
        <v>0</v>
      </c>
      <c r="BD110" s="231">
        <f t="shared" si="53"/>
        <v>0</v>
      </c>
      <c r="BE110" s="231">
        <f t="shared" si="53"/>
        <v>0</v>
      </c>
      <c r="BF110" s="231">
        <f t="shared" si="53"/>
        <v>0</v>
      </c>
      <c r="BG110" s="231">
        <f t="shared" si="53"/>
        <v>0</v>
      </c>
      <c r="BI110" s="296">
        <f t="shared" ref="BI110" si="54">SUM(T110:BG110)</f>
        <v>0</v>
      </c>
      <c r="BK110" s="103"/>
    </row>
    <row r="111" spans="2:63">
      <c r="C111" s="269"/>
      <c r="D111" s="269"/>
      <c r="F111" s="269"/>
      <c r="H111" s="269"/>
      <c r="J111" s="269"/>
      <c r="K111" s="269"/>
      <c r="M111" s="269"/>
      <c r="BI111" s="269"/>
      <c r="BK111" s="269"/>
    </row>
    <row r="113" spans="2:63" s="90" customFormat="1">
      <c r="B113" s="91">
        <f ca="1">MAX(A$1:$B112)+1</f>
        <v>13</v>
      </c>
      <c r="C113" s="92" t="s">
        <v>394</v>
      </c>
    </row>
    <row r="115" spans="2:63" ht="30">
      <c r="C115" s="96" t="s">
        <v>4</v>
      </c>
      <c r="D115" s="97" t="s">
        <v>148</v>
      </c>
      <c r="E115" s="95"/>
      <c r="F115" s="97" t="s">
        <v>149</v>
      </c>
      <c r="G115" s="95"/>
      <c r="H115" s="97" t="s">
        <v>150</v>
      </c>
      <c r="J115" s="97" t="s">
        <v>272</v>
      </c>
      <c r="K115" s="97" t="s">
        <v>273</v>
      </c>
      <c r="M115" s="101" t="s">
        <v>369</v>
      </c>
      <c r="N115" s="97" t="s">
        <v>395</v>
      </c>
      <c r="O115" s="97" t="s">
        <v>1366</v>
      </c>
      <c r="BI115" s="239" t="s">
        <v>152</v>
      </c>
      <c r="BK115" s="102"/>
    </row>
    <row r="116" spans="2:63">
      <c r="C116" s="98">
        <f>RR!C23</f>
        <v>1</v>
      </c>
      <c r="D116" s="98" t="str">
        <f>RR!E23</f>
        <v>1 - 1</v>
      </c>
      <c r="F116" s="93" t="str">
        <f>INDEX(RR!K:K,MATCH(D116,RR!E:E,0))</f>
        <v>backup</v>
      </c>
      <c r="H116" s="72" t="s">
        <v>393</v>
      </c>
      <c r="J116" s="1324">
        <f>INDEX(AA!E:E,MATCH($C116,AA!C:C,0))</f>
        <v>1</v>
      </c>
      <c r="K116" s="1324">
        <f>INDEX(TA!$G:$G,MATCH($D116,TA!$D:$D,0))</f>
        <v>1</v>
      </c>
      <c r="M116" s="1324">
        <f>IF(INDEX(TA!$BP$15:$BP$17,MATCH($D116,TA!$D$15:$D$17,0))="lease-up",INDEX(TA!$BT$15:$BT$17,MATCH($D116,TA!$D$15:$D$17,0)),0)</f>
        <v>0</v>
      </c>
      <c r="N116" s="1324">
        <f>INDEX(TA!$BW$15:$BW$17,MATCH($D116,TA!$D$15:$D$17,0))</f>
        <v>0</v>
      </c>
      <c r="O116" s="1324">
        <f>INDEX(TA!$BZ$15:$BZ$17,MATCH($D116,TA!$D$15:$D$17,0))</f>
        <v>0</v>
      </c>
      <c r="T116" s="231">
        <f>-IFERROR($M116/$O116*(T$5&gt;$N116)*(T$5&lt;=$N116+$O116),0)</f>
        <v>0</v>
      </c>
      <c r="U116" s="231">
        <f t="shared" ref="U116:BG118" si="55">-IFERROR($M116/$O116*(U$5&gt;$N116)*(U$5&lt;=$N116+$O116),0)</f>
        <v>0</v>
      </c>
      <c r="V116" s="231">
        <f t="shared" si="55"/>
        <v>0</v>
      </c>
      <c r="W116" s="231">
        <f t="shared" si="55"/>
        <v>0</v>
      </c>
      <c r="X116" s="231">
        <f t="shared" si="55"/>
        <v>0</v>
      </c>
      <c r="Y116" s="231">
        <f t="shared" si="55"/>
        <v>0</v>
      </c>
      <c r="Z116" s="231">
        <f t="shared" si="55"/>
        <v>0</v>
      </c>
      <c r="AA116" s="231">
        <f t="shared" si="55"/>
        <v>0</v>
      </c>
      <c r="AB116" s="231">
        <f t="shared" si="55"/>
        <v>0</v>
      </c>
      <c r="AC116" s="231">
        <f t="shared" si="55"/>
        <v>0</v>
      </c>
      <c r="AD116" s="231">
        <f t="shared" si="55"/>
        <v>0</v>
      </c>
      <c r="AE116" s="231">
        <f t="shared" si="55"/>
        <v>0</v>
      </c>
      <c r="AF116" s="231">
        <f t="shared" si="55"/>
        <v>0</v>
      </c>
      <c r="AG116" s="231">
        <f t="shared" si="55"/>
        <v>0</v>
      </c>
      <c r="AH116" s="231">
        <f t="shared" si="55"/>
        <v>0</v>
      </c>
      <c r="AI116" s="231">
        <f t="shared" si="55"/>
        <v>0</v>
      </c>
      <c r="AJ116" s="231">
        <f t="shared" si="55"/>
        <v>0</v>
      </c>
      <c r="AK116" s="231">
        <f t="shared" si="55"/>
        <v>0</v>
      </c>
      <c r="AL116" s="231">
        <f t="shared" si="55"/>
        <v>0</v>
      </c>
      <c r="AM116" s="231">
        <f t="shared" si="55"/>
        <v>0</v>
      </c>
      <c r="AN116" s="231">
        <f t="shared" si="55"/>
        <v>0</v>
      </c>
      <c r="AO116" s="231">
        <f t="shared" si="55"/>
        <v>0</v>
      </c>
      <c r="AP116" s="231">
        <f t="shared" si="55"/>
        <v>0</v>
      </c>
      <c r="AQ116" s="231">
        <f t="shared" si="55"/>
        <v>0</v>
      </c>
      <c r="AR116" s="231">
        <f t="shared" si="55"/>
        <v>0</v>
      </c>
      <c r="AS116" s="231">
        <f t="shared" si="55"/>
        <v>0</v>
      </c>
      <c r="AT116" s="231">
        <f t="shared" si="55"/>
        <v>0</v>
      </c>
      <c r="AU116" s="231">
        <f t="shared" si="55"/>
        <v>0</v>
      </c>
      <c r="AV116" s="231">
        <f t="shared" si="55"/>
        <v>0</v>
      </c>
      <c r="AW116" s="231">
        <f t="shared" si="55"/>
        <v>0</v>
      </c>
      <c r="AX116" s="231">
        <f t="shared" si="55"/>
        <v>0</v>
      </c>
      <c r="AY116" s="231">
        <f t="shared" si="55"/>
        <v>0</v>
      </c>
      <c r="AZ116" s="231">
        <f t="shared" si="55"/>
        <v>0</v>
      </c>
      <c r="BA116" s="231">
        <f t="shared" si="55"/>
        <v>0</v>
      </c>
      <c r="BB116" s="231">
        <f t="shared" si="55"/>
        <v>0</v>
      </c>
      <c r="BC116" s="231">
        <f t="shared" si="55"/>
        <v>0</v>
      </c>
      <c r="BD116" s="231">
        <f t="shared" si="55"/>
        <v>0</v>
      </c>
      <c r="BE116" s="231">
        <f t="shared" si="55"/>
        <v>0</v>
      </c>
      <c r="BF116" s="231">
        <f t="shared" si="55"/>
        <v>0</v>
      </c>
      <c r="BG116" s="231">
        <f t="shared" si="55"/>
        <v>0</v>
      </c>
      <c r="BI116" s="295">
        <f>SUM(T116:BG116)</f>
        <v>0</v>
      </c>
      <c r="BK116" s="103"/>
    </row>
    <row r="117" spans="2:63">
      <c r="C117" s="99">
        <f>RR!C24</f>
        <v>2</v>
      </c>
      <c r="D117" s="99" t="str">
        <f>RR!E24</f>
        <v>2 - 1</v>
      </c>
      <c r="F117" s="94" t="str">
        <f>INDEX(RR!K:K,MATCH(D117,RR!E:E,0))</f>
        <v>backup</v>
      </c>
      <c r="H117" s="73" t="s">
        <v>393</v>
      </c>
      <c r="J117" s="1325">
        <f>INDEX(AA!E:E,MATCH($C117,AA!C:C,0))</f>
        <v>1</v>
      </c>
      <c r="K117" s="1325">
        <f>INDEX(TA!$G:$G,MATCH($D117,TA!$D:$D,0))</f>
        <v>1</v>
      </c>
      <c r="M117" s="1325">
        <f>IF(INDEX(TA!$BP$15:$BP$17,MATCH($D117,TA!$D$15:$D$17,0))="lease-up",INDEX(TA!$BT$15:$BT$17,MATCH($D117,TA!$D$15:$D$17,0)),0)</f>
        <v>0</v>
      </c>
      <c r="N117" s="1325">
        <f>INDEX(TA!$BW$15:$BW$17,MATCH($D117,TA!$D$15:$D$17,0))</f>
        <v>0</v>
      </c>
      <c r="O117" s="1325">
        <f>INDEX(TA!$BZ$15:$BZ$17,MATCH($D117,TA!$D$15:$D$17,0))</f>
        <v>0</v>
      </c>
      <c r="T117" s="231">
        <f t="shared" ref="T117:AI118" si="56">-IFERROR($M117/$O117*(T$5&gt;$N117)*(T$5&lt;=$N117+$O117),0)</f>
        <v>0</v>
      </c>
      <c r="U117" s="231">
        <f t="shared" si="56"/>
        <v>0</v>
      </c>
      <c r="V117" s="231">
        <f t="shared" si="56"/>
        <v>0</v>
      </c>
      <c r="W117" s="231">
        <f t="shared" si="56"/>
        <v>0</v>
      </c>
      <c r="X117" s="231">
        <f t="shared" si="56"/>
        <v>0</v>
      </c>
      <c r="Y117" s="231">
        <f t="shared" si="56"/>
        <v>0</v>
      </c>
      <c r="Z117" s="231">
        <f t="shared" si="56"/>
        <v>0</v>
      </c>
      <c r="AA117" s="231">
        <f t="shared" si="56"/>
        <v>0</v>
      </c>
      <c r="AB117" s="231">
        <f t="shared" si="56"/>
        <v>0</v>
      </c>
      <c r="AC117" s="231">
        <f t="shared" si="56"/>
        <v>0</v>
      </c>
      <c r="AD117" s="231">
        <f t="shared" si="56"/>
        <v>0</v>
      </c>
      <c r="AE117" s="231">
        <f t="shared" si="56"/>
        <v>0</v>
      </c>
      <c r="AF117" s="231">
        <f t="shared" si="56"/>
        <v>0</v>
      </c>
      <c r="AG117" s="231">
        <f t="shared" si="56"/>
        <v>0</v>
      </c>
      <c r="AH117" s="231">
        <f t="shared" si="56"/>
        <v>0</v>
      </c>
      <c r="AI117" s="231">
        <f t="shared" si="56"/>
        <v>0</v>
      </c>
      <c r="AJ117" s="231">
        <f t="shared" si="55"/>
        <v>0</v>
      </c>
      <c r="AK117" s="231">
        <f t="shared" si="55"/>
        <v>0</v>
      </c>
      <c r="AL117" s="231">
        <f t="shared" si="55"/>
        <v>0</v>
      </c>
      <c r="AM117" s="231">
        <f t="shared" si="55"/>
        <v>0</v>
      </c>
      <c r="AN117" s="231">
        <f t="shared" si="55"/>
        <v>0</v>
      </c>
      <c r="AO117" s="231">
        <f t="shared" si="55"/>
        <v>0</v>
      </c>
      <c r="AP117" s="231">
        <f t="shared" si="55"/>
        <v>0</v>
      </c>
      <c r="AQ117" s="231">
        <f t="shared" si="55"/>
        <v>0</v>
      </c>
      <c r="AR117" s="231">
        <f t="shared" si="55"/>
        <v>0</v>
      </c>
      <c r="AS117" s="231">
        <f t="shared" si="55"/>
        <v>0</v>
      </c>
      <c r="AT117" s="231">
        <f t="shared" si="55"/>
        <v>0</v>
      </c>
      <c r="AU117" s="231">
        <f t="shared" si="55"/>
        <v>0</v>
      </c>
      <c r="AV117" s="231">
        <f t="shared" si="55"/>
        <v>0</v>
      </c>
      <c r="AW117" s="231">
        <f t="shared" si="55"/>
        <v>0</v>
      </c>
      <c r="AX117" s="231">
        <f t="shared" si="55"/>
        <v>0</v>
      </c>
      <c r="AY117" s="231">
        <f t="shared" si="55"/>
        <v>0</v>
      </c>
      <c r="AZ117" s="231">
        <f t="shared" si="55"/>
        <v>0</v>
      </c>
      <c r="BA117" s="231">
        <f t="shared" si="55"/>
        <v>0</v>
      </c>
      <c r="BB117" s="231">
        <f t="shared" si="55"/>
        <v>0</v>
      </c>
      <c r="BC117" s="231">
        <f t="shared" si="55"/>
        <v>0</v>
      </c>
      <c r="BD117" s="231">
        <f t="shared" si="55"/>
        <v>0</v>
      </c>
      <c r="BE117" s="231">
        <f t="shared" si="55"/>
        <v>0</v>
      </c>
      <c r="BF117" s="231">
        <f t="shared" si="55"/>
        <v>0</v>
      </c>
      <c r="BG117" s="231">
        <f t="shared" si="55"/>
        <v>0</v>
      </c>
      <c r="BI117" s="296">
        <f t="shared" ref="BI117:BI118" si="57">SUM(T117:BG117)</f>
        <v>0</v>
      </c>
      <c r="BK117" s="103"/>
    </row>
    <row r="118" spans="2:63">
      <c r="C118" s="99">
        <f>RR!C25</f>
        <v>3</v>
      </c>
      <c r="D118" s="99" t="str">
        <f>RR!E25</f>
        <v>3 - 1</v>
      </c>
      <c r="F118" s="94" t="str">
        <f>INDEX(RR!K:K,MATCH(D118,RR!E:E,0))</f>
        <v>backup</v>
      </c>
      <c r="H118" s="73" t="s">
        <v>393</v>
      </c>
      <c r="J118" s="1325">
        <f>INDEX(AA!E:E,MATCH($C118,AA!C:C,0))</f>
        <v>1</v>
      </c>
      <c r="K118" s="1325">
        <f>INDEX(TA!$G:$G,MATCH($D118,TA!$D:$D,0))</f>
        <v>1</v>
      </c>
      <c r="M118" s="1325">
        <f>IF(INDEX(TA!$BP$15:$BP$17,MATCH($D118,TA!$D$15:$D$17,0))="lease-up",INDEX(TA!$BT$15:$BT$17,MATCH($D118,TA!$D$15:$D$17,0)),0)</f>
        <v>0</v>
      </c>
      <c r="N118" s="1325">
        <f>INDEX(TA!$BW$15:$BW$17,MATCH($D118,TA!$D$15:$D$17,0))</f>
        <v>0</v>
      </c>
      <c r="O118" s="1325">
        <f>INDEX(TA!$BZ$15:$BZ$17,MATCH($D118,TA!$D$15:$D$17,0))</f>
        <v>0</v>
      </c>
      <c r="T118" s="231">
        <f t="shared" si="56"/>
        <v>0</v>
      </c>
      <c r="U118" s="231">
        <f t="shared" si="55"/>
        <v>0</v>
      </c>
      <c r="V118" s="231">
        <f t="shared" si="55"/>
        <v>0</v>
      </c>
      <c r="W118" s="231">
        <f t="shared" si="55"/>
        <v>0</v>
      </c>
      <c r="X118" s="231">
        <f t="shared" si="55"/>
        <v>0</v>
      </c>
      <c r="Y118" s="231">
        <f t="shared" si="55"/>
        <v>0</v>
      </c>
      <c r="Z118" s="231">
        <f t="shared" si="55"/>
        <v>0</v>
      </c>
      <c r="AA118" s="231">
        <f t="shared" si="55"/>
        <v>0</v>
      </c>
      <c r="AB118" s="231">
        <f t="shared" si="55"/>
        <v>0</v>
      </c>
      <c r="AC118" s="231">
        <f t="shared" si="55"/>
        <v>0</v>
      </c>
      <c r="AD118" s="231">
        <f t="shared" si="55"/>
        <v>0</v>
      </c>
      <c r="AE118" s="231">
        <f t="shared" si="55"/>
        <v>0</v>
      </c>
      <c r="AF118" s="231">
        <f t="shared" si="55"/>
        <v>0</v>
      </c>
      <c r="AG118" s="231">
        <f t="shared" si="55"/>
        <v>0</v>
      </c>
      <c r="AH118" s="231">
        <f t="shared" si="55"/>
        <v>0</v>
      </c>
      <c r="AI118" s="231">
        <f t="shared" si="55"/>
        <v>0</v>
      </c>
      <c r="AJ118" s="231">
        <f t="shared" si="55"/>
        <v>0</v>
      </c>
      <c r="AK118" s="231">
        <f t="shared" si="55"/>
        <v>0</v>
      </c>
      <c r="AL118" s="231">
        <f t="shared" si="55"/>
        <v>0</v>
      </c>
      <c r="AM118" s="231">
        <f t="shared" si="55"/>
        <v>0</v>
      </c>
      <c r="AN118" s="231">
        <f t="shared" si="55"/>
        <v>0</v>
      </c>
      <c r="AO118" s="231">
        <f t="shared" si="55"/>
        <v>0</v>
      </c>
      <c r="AP118" s="231">
        <f t="shared" si="55"/>
        <v>0</v>
      </c>
      <c r="AQ118" s="231">
        <f t="shared" si="55"/>
        <v>0</v>
      </c>
      <c r="AR118" s="231">
        <f t="shared" si="55"/>
        <v>0</v>
      </c>
      <c r="AS118" s="231">
        <f t="shared" si="55"/>
        <v>0</v>
      </c>
      <c r="AT118" s="231">
        <f t="shared" si="55"/>
        <v>0</v>
      </c>
      <c r="AU118" s="231">
        <f t="shared" si="55"/>
        <v>0</v>
      </c>
      <c r="AV118" s="231">
        <f t="shared" si="55"/>
        <v>0</v>
      </c>
      <c r="AW118" s="231">
        <f t="shared" si="55"/>
        <v>0</v>
      </c>
      <c r="AX118" s="231">
        <f t="shared" si="55"/>
        <v>0</v>
      </c>
      <c r="AY118" s="231">
        <f t="shared" si="55"/>
        <v>0</v>
      </c>
      <c r="AZ118" s="231">
        <f t="shared" si="55"/>
        <v>0</v>
      </c>
      <c r="BA118" s="231">
        <f t="shared" si="55"/>
        <v>0</v>
      </c>
      <c r="BB118" s="231">
        <f t="shared" si="55"/>
        <v>0</v>
      </c>
      <c r="BC118" s="231">
        <f t="shared" si="55"/>
        <v>0</v>
      </c>
      <c r="BD118" s="231">
        <f t="shared" si="55"/>
        <v>0</v>
      </c>
      <c r="BE118" s="231">
        <f t="shared" si="55"/>
        <v>0</v>
      </c>
      <c r="BF118" s="231">
        <f t="shared" si="55"/>
        <v>0</v>
      </c>
      <c r="BG118" s="231">
        <f t="shared" si="55"/>
        <v>0</v>
      </c>
      <c r="BI118" s="296">
        <f t="shared" si="57"/>
        <v>0</v>
      </c>
      <c r="BK118" s="103"/>
    </row>
    <row r="119" spans="2:63">
      <c r="C119" s="269"/>
      <c r="D119" s="269"/>
      <c r="F119" s="269"/>
      <c r="H119" s="269"/>
      <c r="J119" s="269"/>
      <c r="K119" s="269"/>
      <c r="M119" s="269"/>
      <c r="N119" s="269"/>
      <c r="O119" s="269"/>
      <c r="BI119" s="269"/>
      <c r="BK119" s="269"/>
    </row>
    <row r="122" spans="2:63" s="90" customFormat="1">
      <c r="B122" s="91">
        <f ca="1">MAX(A$1:$B121)+1</f>
        <v>14</v>
      </c>
      <c r="C122" s="92" t="s">
        <v>373</v>
      </c>
    </row>
    <row r="124" spans="2:63">
      <c r="M124" s="226" t="s">
        <v>374</v>
      </c>
      <c r="N124" s="225"/>
    </row>
    <row r="125" spans="2:63" ht="30">
      <c r="C125" s="96" t="s">
        <v>4</v>
      </c>
      <c r="D125" s="97" t="s">
        <v>148</v>
      </c>
      <c r="E125" s="95"/>
      <c r="F125" s="97" t="s">
        <v>149</v>
      </c>
      <c r="G125" s="95"/>
      <c r="H125" s="97" t="s">
        <v>150</v>
      </c>
      <c r="J125" s="97" t="s">
        <v>272</v>
      </c>
      <c r="K125" s="97" t="s">
        <v>273</v>
      </c>
      <c r="M125" s="101" t="s">
        <v>375</v>
      </c>
      <c r="N125" s="101" t="s">
        <v>376</v>
      </c>
      <c r="BI125" s="239" t="s">
        <v>152</v>
      </c>
      <c r="BK125" s="102"/>
    </row>
    <row r="126" spans="2:63">
      <c r="C126" s="98">
        <f>RR!C23</f>
        <v>1</v>
      </c>
      <c r="D126" s="98" t="str">
        <f>RR!E23</f>
        <v>1 - 1</v>
      </c>
      <c r="F126" s="93" t="str">
        <f>INDEX(RR!K:K,MATCH(D126,RR!E:E,0))</f>
        <v>backup</v>
      </c>
      <c r="H126" s="72" t="s">
        <v>379</v>
      </c>
      <c r="J126" s="1324">
        <f>INDEX(AA!E:E,MATCH($C126,AA!C:C,0))</f>
        <v>1</v>
      </c>
      <c r="K126" s="1324">
        <f>INDEX(TA!$G:$G,MATCH($D126,TA!$D:$D,0))</f>
        <v>1</v>
      </c>
      <c r="M126" s="286">
        <f>INDEX(TA!$FE$15:$FE$17,MATCH($D126,TA!$D$15:$D$17,0))</f>
        <v>0</v>
      </c>
      <c r="N126" s="305">
        <f>INDEX(TA!$GH$15:$GH$17,MATCH($D126,TA!$D$15:$D$17,0))</f>
        <v>0</v>
      </c>
      <c r="T126" s="231">
        <f>-$N126*($M126&lt;=S$4)*($M126&gt;=S$3)</f>
        <v>0</v>
      </c>
      <c r="U126" s="231">
        <f t="shared" ref="U126:BG126" si="58">-$N126*($M126&lt;=T$4)*($M126&gt;=T$3)</f>
        <v>0</v>
      </c>
      <c r="V126" s="231">
        <f t="shared" si="58"/>
        <v>0</v>
      </c>
      <c r="W126" s="231">
        <f t="shared" si="58"/>
        <v>0</v>
      </c>
      <c r="X126" s="231">
        <f t="shared" si="58"/>
        <v>0</v>
      </c>
      <c r="Y126" s="231">
        <f t="shared" si="58"/>
        <v>0</v>
      </c>
      <c r="Z126" s="231">
        <f t="shared" si="58"/>
        <v>0</v>
      </c>
      <c r="AA126" s="231">
        <f t="shared" si="58"/>
        <v>0</v>
      </c>
      <c r="AB126" s="231">
        <f t="shared" si="58"/>
        <v>0</v>
      </c>
      <c r="AC126" s="231">
        <f t="shared" si="58"/>
        <v>0</v>
      </c>
      <c r="AD126" s="231">
        <f t="shared" si="58"/>
        <v>0</v>
      </c>
      <c r="AE126" s="231">
        <f t="shared" si="58"/>
        <v>0</v>
      </c>
      <c r="AF126" s="231">
        <f t="shared" si="58"/>
        <v>0</v>
      </c>
      <c r="AG126" s="231">
        <f t="shared" si="58"/>
        <v>0</v>
      </c>
      <c r="AH126" s="231">
        <f t="shared" si="58"/>
        <v>0</v>
      </c>
      <c r="AI126" s="231">
        <f t="shared" si="58"/>
        <v>0</v>
      </c>
      <c r="AJ126" s="231">
        <f t="shared" si="58"/>
        <v>0</v>
      </c>
      <c r="AK126" s="231">
        <f t="shared" si="58"/>
        <v>0</v>
      </c>
      <c r="AL126" s="231">
        <f t="shared" si="58"/>
        <v>0</v>
      </c>
      <c r="AM126" s="231">
        <f t="shared" si="58"/>
        <v>0</v>
      </c>
      <c r="AN126" s="231">
        <f t="shared" si="58"/>
        <v>0</v>
      </c>
      <c r="AO126" s="231">
        <f t="shared" si="58"/>
        <v>0</v>
      </c>
      <c r="AP126" s="231">
        <f t="shared" si="58"/>
        <v>0</v>
      </c>
      <c r="AQ126" s="231">
        <f t="shared" si="58"/>
        <v>0</v>
      </c>
      <c r="AR126" s="231">
        <f t="shared" si="58"/>
        <v>0</v>
      </c>
      <c r="AS126" s="231">
        <f t="shared" si="58"/>
        <v>0</v>
      </c>
      <c r="AT126" s="231">
        <f t="shared" si="58"/>
        <v>0</v>
      </c>
      <c r="AU126" s="231">
        <f t="shared" si="58"/>
        <v>0</v>
      </c>
      <c r="AV126" s="231">
        <f t="shared" si="58"/>
        <v>0</v>
      </c>
      <c r="AW126" s="231">
        <f t="shared" si="58"/>
        <v>0</v>
      </c>
      <c r="AX126" s="231">
        <f t="shared" si="58"/>
        <v>0</v>
      </c>
      <c r="AY126" s="231">
        <f t="shared" si="58"/>
        <v>0</v>
      </c>
      <c r="AZ126" s="231">
        <f t="shared" si="58"/>
        <v>0</v>
      </c>
      <c r="BA126" s="231">
        <f t="shared" si="58"/>
        <v>0</v>
      </c>
      <c r="BB126" s="231">
        <f t="shared" si="58"/>
        <v>0</v>
      </c>
      <c r="BC126" s="231">
        <f t="shared" si="58"/>
        <v>0</v>
      </c>
      <c r="BD126" s="231">
        <f t="shared" si="58"/>
        <v>0</v>
      </c>
      <c r="BE126" s="231">
        <f t="shared" si="58"/>
        <v>0</v>
      </c>
      <c r="BF126" s="231">
        <f t="shared" si="58"/>
        <v>0</v>
      </c>
      <c r="BG126" s="231">
        <f t="shared" si="58"/>
        <v>0</v>
      </c>
      <c r="BI126" s="295">
        <f>SUM(T126:BG126)</f>
        <v>0</v>
      </c>
      <c r="BK126" s="103"/>
    </row>
    <row r="127" spans="2:63">
      <c r="C127" s="99">
        <f>RR!C24</f>
        <v>2</v>
      </c>
      <c r="D127" s="99" t="str">
        <f>RR!E24</f>
        <v>2 - 1</v>
      </c>
      <c r="F127" s="94" t="str">
        <f>INDEX(RR!K:K,MATCH(D127,RR!E:E,0))</f>
        <v>backup</v>
      </c>
      <c r="H127" s="73" t="s">
        <v>379</v>
      </c>
      <c r="J127" s="1325">
        <f>INDEX(AA!E:E,MATCH($C127,AA!C:C,0))</f>
        <v>1</v>
      </c>
      <c r="K127" s="1325">
        <f>INDEX(TA!$G:$G,MATCH($D127,TA!$D:$D,0))</f>
        <v>1</v>
      </c>
      <c r="M127" s="288">
        <f>INDEX(TA!$FE$15:$FE$17,MATCH($D127,TA!$D$15:$D$17,0))</f>
        <v>0</v>
      </c>
      <c r="N127" s="306">
        <f>INDEX(TA!$GH$15:$GH$17,MATCH($D127,TA!$D$15:$D$17,0))</f>
        <v>0</v>
      </c>
      <c r="T127" s="231">
        <f t="shared" ref="T127:BG127" si="59">-$N127*($M127&lt;=S$4)*($M127&gt;=S$3)</f>
        <v>0</v>
      </c>
      <c r="U127" s="231">
        <f t="shared" si="59"/>
        <v>0</v>
      </c>
      <c r="V127" s="231">
        <f t="shared" si="59"/>
        <v>0</v>
      </c>
      <c r="W127" s="231">
        <f t="shared" si="59"/>
        <v>0</v>
      </c>
      <c r="X127" s="231">
        <f t="shared" si="59"/>
        <v>0</v>
      </c>
      <c r="Y127" s="231">
        <f t="shared" si="59"/>
        <v>0</v>
      </c>
      <c r="Z127" s="231">
        <f t="shared" si="59"/>
        <v>0</v>
      </c>
      <c r="AA127" s="231">
        <f t="shared" si="59"/>
        <v>0</v>
      </c>
      <c r="AB127" s="231">
        <f t="shared" si="59"/>
        <v>0</v>
      </c>
      <c r="AC127" s="231">
        <f t="shared" si="59"/>
        <v>0</v>
      </c>
      <c r="AD127" s="231">
        <f t="shared" si="59"/>
        <v>0</v>
      </c>
      <c r="AE127" s="231">
        <f t="shared" si="59"/>
        <v>0</v>
      </c>
      <c r="AF127" s="231">
        <f t="shared" si="59"/>
        <v>0</v>
      </c>
      <c r="AG127" s="231">
        <f t="shared" si="59"/>
        <v>0</v>
      </c>
      <c r="AH127" s="231">
        <f t="shared" si="59"/>
        <v>0</v>
      </c>
      <c r="AI127" s="231">
        <f t="shared" si="59"/>
        <v>0</v>
      </c>
      <c r="AJ127" s="231">
        <f t="shared" si="59"/>
        <v>0</v>
      </c>
      <c r="AK127" s="231">
        <f t="shared" si="59"/>
        <v>0</v>
      </c>
      <c r="AL127" s="231">
        <f t="shared" si="59"/>
        <v>0</v>
      </c>
      <c r="AM127" s="231">
        <f t="shared" si="59"/>
        <v>0</v>
      </c>
      <c r="AN127" s="231">
        <f t="shared" si="59"/>
        <v>0</v>
      </c>
      <c r="AO127" s="231">
        <f t="shared" si="59"/>
        <v>0</v>
      </c>
      <c r="AP127" s="231">
        <f t="shared" si="59"/>
        <v>0</v>
      </c>
      <c r="AQ127" s="231">
        <f t="shared" si="59"/>
        <v>0</v>
      </c>
      <c r="AR127" s="231">
        <f t="shared" si="59"/>
        <v>0</v>
      </c>
      <c r="AS127" s="231">
        <f t="shared" si="59"/>
        <v>0</v>
      </c>
      <c r="AT127" s="231">
        <f t="shared" si="59"/>
        <v>0</v>
      </c>
      <c r="AU127" s="231">
        <f t="shared" si="59"/>
        <v>0</v>
      </c>
      <c r="AV127" s="231">
        <f t="shared" si="59"/>
        <v>0</v>
      </c>
      <c r="AW127" s="231">
        <f t="shared" si="59"/>
        <v>0</v>
      </c>
      <c r="AX127" s="231">
        <f t="shared" si="59"/>
        <v>0</v>
      </c>
      <c r="AY127" s="231">
        <f t="shared" si="59"/>
        <v>0</v>
      </c>
      <c r="AZ127" s="231">
        <f t="shared" si="59"/>
        <v>0</v>
      </c>
      <c r="BA127" s="231">
        <f t="shared" si="59"/>
        <v>0</v>
      </c>
      <c r="BB127" s="231">
        <f t="shared" si="59"/>
        <v>0</v>
      </c>
      <c r="BC127" s="231">
        <f t="shared" si="59"/>
        <v>0</v>
      </c>
      <c r="BD127" s="231">
        <f t="shared" si="59"/>
        <v>0</v>
      </c>
      <c r="BE127" s="231">
        <f t="shared" si="59"/>
        <v>0</v>
      </c>
      <c r="BF127" s="231">
        <f t="shared" si="59"/>
        <v>0</v>
      </c>
      <c r="BG127" s="231">
        <f t="shared" si="59"/>
        <v>0</v>
      </c>
      <c r="BI127" s="296">
        <f t="shared" ref="BI127" si="60">SUM(T127:BG127)</f>
        <v>0</v>
      </c>
      <c r="BK127" s="103"/>
    </row>
    <row r="128" spans="2:63">
      <c r="C128" s="99">
        <f>RR!C25</f>
        <v>3</v>
      </c>
      <c r="D128" s="99" t="str">
        <f>RR!E25</f>
        <v>3 - 1</v>
      </c>
      <c r="F128" s="94" t="str">
        <f>INDEX(RR!K:K,MATCH(D128,RR!E:E,0))</f>
        <v>backup</v>
      </c>
      <c r="H128" s="73" t="s">
        <v>379</v>
      </c>
      <c r="J128" s="1325">
        <f>INDEX(AA!E:E,MATCH($C128,AA!C:C,0))</f>
        <v>1</v>
      </c>
      <c r="K128" s="1325">
        <f>INDEX(TA!$G:$G,MATCH($D128,TA!$D:$D,0))</f>
        <v>1</v>
      </c>
      <c r="M128" s="288">
        <f>INDEX(TA!$FE$15:$FE$17,MATCH($D128,TA!$D$15:$D$17,0))</f>
        <v>0</v>
      </c>
      <c r="N128" s="306">
        <f>INDEX(TA!$GH$15:$GH$17,MATCH($D128,TA!$D$15:$D$17,0))</f>
        <v>0</v>
      </c>
      <c r="T128" s="231">
        <f t="shared" ref="T128:AI128" si="61">-$N128*($M128&lt;=S$4)*($M128&gt;=S$3)</f>
        <v>0</v>
      </c>
      <c r="U128" s="231">
        <f t="shared" si="61"/>
        <v>0</v>
      </c>
      <c r="V128" s="231">
        <f t="shared" si="61"/>
        <v>0</v>
      </c>
      <c r="W128" s="231">
        <f t="shared" si="61"/>
        <v>0</v>
      </c>
      <c r="X128" s="231">
        <f t="shared" si="61"/>
        <v>0</v>
      </c>
      <c r="Y128" s="231">
        <f t="shared" si="61"/>
        <v>0</v>
      </c>
      <c r="Z128" s="231">
        <f t="shared" si="61"/>
        <v>0</v>
      </c>
      <c r="AA128" s="231">
        <f t="shared" si="61"/>
        <v>0</v>
      </c>
      <c r="AB128" s="231">
        <f t="shared" si="61"/>
        <v>0</v>
      </c>
      <c r="AC128" s="231">
        <f t="shared" si="61"/>
        <v>0</v>
      </c>
      <c r="AD128" s="231">
        <f t="shared" si="61"/>
        <v>0</v>
      </c>
      <c r="AE128" s="231">
        <f t="shared" si="61"/>
        <v>0</v>
      </c>
      <c r="AF128" s="231">
        <f t="shared" si="61"/>
        <v>0</v>
      </c>
      <c r="AG128" s="231">
        <f t="shared" si="61"/>
        <v>0</v>
      </c>
      <c r="AH128" s="231">
        <f t="shared" si="61"/>
        <v>0</v>
      </c>
      <c r="AI128" s="231">
        <f t="shared" si="61"/>
        <v>0</v>
      </c>
      <c r="AJ128" s="231">
        <f t="shared" ref="AJ128:AY128" si="62">-$N128*($M128&lt;=AI$4)*($M128&gt;=AI$3)</f>
        <v>0</v>
      </c>
      <c r="AK128" s="231">
        <f t="shared" si="62"/>
        <v>0</v>
      </c>
      <c r="AL128" s="231">
        <f t="shared" si="62"/>
        <v>0</v>
      </c>
      <c r="AM128" s="231">
        <f t="shared" si="62"/>
        <v>0</v>
      </c>
      <c r="AN128" s="231">
        <f t="shared" si="62"/>
        <v>0</v>
      </c>
      <c r="AO128" s="231">
        <f t="shared" si="62"/>
        <v>0</v>
      </c>
      <c r="AP128" s="231">
        <f t="shared" si="62"/>
        <v>0</v>
      </c>
      <c r="AQ128" s="231">
        <f t="shared" si="62"/>
        <v>0</v>
      </c>
      <c r="AR128" s="231">
        <f t="shared" si="62"/>
        <v>0</v>
      </c>
      <c r="AS128" s="231">
        <f t="shared" si="62"/>
        <v>0</v>
      </c>
      <c r="AT128" s="231">
        <f t="shared" si="62"/>
        <v>0</v>
      </c>
      <c r="AU128" s="231">
        <f t="shared" si="62"/>
        <v>0</v>
      </c>
      <c r="AV128" s="231">
        <f t="shared" si="62"/>
        <v>0</v>
      </c>
      <c r="AW128" s="231">
        <f t="shared" si="62"/>
        <v>0</v>
      </c>
      <c r="AX128" s="231">
        <f t="shared" si="62"/>
        <v>0</v>
      </c>
      <c r="AY128" s="231">
        <f t="shared" si="62"/>
        <v>0</v>
      </c>
      <c r="AZ128" s="231">
        <f t="shared" ref="AZ128:BG128" si="63">-$N128*($M128&lt;=AY$4)*($M128&gt;=AY$3)</f>
        <v>0</v>
      </c>
      <c r="BA128" s="231">
        <f t="shared" si="63"/>
        <v>0</v>
      </c>
      <c r="BB128" s="231">
        <f t="shared" si="63"/>
        <v>0</v>
      </c>
      <c r="BC128" s="231">
        <f t="shared" si="63"/>
        <v>0</v>
      </c>
      <c r="BD128" s="231">
        <f t="shared" si="63"/>
        <v>0</v>
      </c>
      <c r="BE128" s="231">
        <f t="shared" si="63"/>
        <v>0</v>
      </c>
      <c r="BF128" s="231">
        <f t="shared" si="63"/>
        <v>0</v>
      </c>
      <c r="BG128" s="231">
        <f t="shared" si="63"/>
        <v>0</v>
      </c>
      <c r="BI128" s="296">
        <f t="shared" ref="BI128" si="64">SUM(T128:BG128)</f>
        <v>0</v>
      </c>
      <c r="BK128" s="103"/>
    </row>
    <row r="129" spans="2:63">
      <c r="C129" s="269"/>
      <c r="D129" s="269"/>
      <c r="F129" s="269"/>
      <c r="H129" s="269"/>
      <c r="J129" s="269"/>
      <c r="K129" s="269"/>
      <c r="M129" s="269"/>
      <c r="N129" s="269"/>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c r="AP129" s="231"/>
      <c r="AQ129" s="231"/>
      <c r="AR129" s="231"/>
      <c r="AS129" s="231"/>
      <c r="AT129" s="231"/>
      <c r="AU129" s="231"/>
      <c r="AV129" s="231"/>
      <c r="AW129" s="231"/>
      <c r="AX129" s="231"/>
      <c r="AY129" s="231"/>
      <c r="AZ129" s="231"/>
      <c r="BA129" s="231"/>
      <c r="BB129" s="231"/>
      <c r="BC129" s="231"/>
      <c r="BD129" s="231"/>
      <c r="BE129" s="231"/>
      <c r="BF129" s="231"/>
      <c r="BG129" s="231"/>
      <c r="BI129" s="269"/>
      <c r="BK129" s="269"/>
    </row>
    <row r="130" spans="2:63">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c r="AP130" s="231"/>
      <c r="AQ130" s="231"/>
      <c r="AR130" s="231"/>
      <c r="AS130" s="231"/>
      <c r="AT130" s="231"/>
      <c r="AU130" s="231"/>
      <c r="AV130" s="231"/>
      <c r="AW130" s="231"/>
      <c r="AX130" s="231"/>
      <c r="AY130" s="231"/>
      <c r="AZ130" s="231"/>
      <c r="BA130" s="231"/>
      <c r="BB130" s="231"/>
      <c r="BC130" s="231"/>
      <c r="BD130" s="231"/>
      <c r="BE130" s="231"/>
      <c r="BF130" s="231"/>
      <c r="BG130" s="231"/>
    </row>
    <row r="131" spans="2:63" s="90" customFormat="1">
      <c r="B131" s="91">
        <f ca="1">MAX(A$1:$B130)+1</f>
        <v>15</v>
      </c>
      <c r="C131" s="92" t="s">
        <v>327</v>
      </c>
    </row>
    <row r="132" spans="2:63">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row>
    <row r="133" spans="2:63">
      <c r="F133" s="49" t="str">
        <f>H133</f>
        <v>FMCG-F</v>
      </c>
      <c r="H133" s="98" t="str">
        <f>GA!E76</f>
        <v>FMCG-F</v>
      </c>
      <c r="T133" s="231">
        <f t="shared" ref="T133:AC142" si="65">SUMIFS(T$74:T$76,$N$74:$N$76,$H133)</f>
        <v>0</v>
      </c>
      <c r="U133" s="231">
        <f t="shared" si="65"/>
        <v>0</v>
      </c>
      <c r="V133" s="231">
        <f t="shared" si="65"/>
        <v>0</v>
      </c>
      <c r="W133" s="231">
        <f t="shared" si="65"/>
        <v>0</v>
      </c>
      <c r="X133" s="231">
        <f t="shared" si="65"/>
        <v>0</v>
      </c>
      <c r="Y133" s="231">
        <f t="shared" si="65"/>
        <v>0</v>
      </c>
      <c r="Z133" s="231">
        <f t="shared" si="65"/>
        <v>0</v>
      </c>
      <c r="AA133" s="231">
        <f t="shared" si="65"/>
        <v>0</v>
      </c>
      <c r="AB133" s="231">
        <f t="shared" si="65"/>
        <v>0</v>
      </c>
      <c r="AC133" s="231">
        <f t="shared" si="65"/>
        <v>0</v>
      </c>
      <c r="AD133" s="231">
        <f t="shared" ref="AD133:AM142" si="66">SUMIFS(AD$74:AD$76,$N$74:$N$76,$H133)</f>
        <v>0</v>
      </c>
      <c r="AE133" s="231">
        <f t="shared" si="66"/>
        <v>0</v>
      </c>
      <c r="AF133" s="231">
        <f t="shared" si="66"/>
        <v>0</v>
      </c>
      <c r="AG133" s="231">
        <f t="shared" si="66"/>
        <v>0</v>
      </c>
      <c r="AH133" s="231">
        <f t="shared" si="66"/>
        <v>0</v>
      </c>
      <c r="AI133" s="231">
        <f t="shared" si="66"/>
        <v>0</v>
      </c>
      <c r="AJ133" s="231">
        <f t="shared" si="66"/>
        <v>0</v>
      </c>
      <c r="AK133" s="231">
        <f t="shared" si="66"/>
        <v>0</v>
      </c>
      <c r="AL133" s="231">
        <f t="shared" si="66"/>
        <v>0</v>
      </c>
      <c r="AM133" s="231">
        <f t="shared" si="66"/>
        <v>0</v>
      </c>
      <c r="AN133" s="231">
        <f t="shared" ref="AN133:AW142" si="67">SUMIFS(AN$74:AN$76,$N$74:$N$76,$H133)</f>
        <v>0</v>
      </c>
      <c r="AO133" s="231">
        <f t="shared" si="67"/>
        <v>0</v>
      </c>
      <c r="AP133" s="231">
        <f t="shared" si="67"/>
        <v>0</v>
      </c>
      <c r="AQ133" s="231">
        <f t="shared" si="67"/>
        <v>0</v>
      </c>
      <c r="AR133" s="231">
        <f t="shared" si="67"/>
        <v>0</v>
      </c>
      <c r="AS133" s="231">
        <f t="shared" si="67"/>
        <v>0</v>
      </c>
      <c r="AT133" s="231">
        <f t="shared" si="67"/>
        <v>0</v>
      </c>
      <c r="AU133" s="231">
        <f t="shared" si="67"/>
        <v>0</v>
      </c>
      <c r="AV133" s="231">
        <f t="shared" si="67"/>
        <v>0</v>
      </c>
      <c r="AW133" s="231">
        <f t="shared" si="67"/>
        <v>0</v>
      </c>
      <c r="AX133" s="231">
        <f t="shared" ref="AX133:BG142" si="68">SUMIFS(AX$74:AX$76,$N$74:$N$76,$H133)</f>
        <v>0</v>
      </c>
      <c r="AY133" s="231">
        <f t="shared" si="68"/>
        <v>0</v>
      </c>
      <c r="AZ133" s="231">
        <f t="shared" si="68"/>
        <v>0</v>
      </c>
      <c r="BA133" s="231">
        <f t="shared" si="68"/>
        <v>0</v>
      </c>
      <c r="BB133" s="231">
        <f t="shared" si="68"/>
        <v>0</v>
      </c>
      <c r="BC133" s="231">
        <f t="shared" si="68"/>
        <v>0</v>
      </c>
      <c r="BD133" s="231">
        <f t="shared" si="68"/>
        <v>0</v>
      </c>
      <c r="BE133" s="231">
        <f t="shared" si="68"/>
        <v>0</v>
      </c>
      <c r="BF133" s="231">
        <f t="shared" si="68"/>
        <v>0</v>
      </c>
      <c r="BG133" s="231">
        <f t="shared" si="68"/>
        <v>0</v>
      </c>
    </row>
    <row r="134" spans="2:63">
      <c r="F134" s="49" t="str">
        <f t="shared" ref="F134:F142" si="69">H134</f>
        <v>FMCG-N</v>
      </c>
      <c r="H134" s="99" t="str">
        <f>GA!E77</f>
        <v>FMCG-N</v>
      </c>
      <c r="T134" s="231">
        <f t="shared" si="65"/>
        <v>0</v>
      </c>
      <c r="U134" s="231">
        <f t="shared" si="65"/>
        <v>0</v>
      </c>
      <c r="V134" s="231">
        <f t="shared" si="65"/>
        <v>0</v>
      </c>
      <c r="W134" s="231">
        <f t="shared" si="65"/>
        <v>0</v>
      </c>
      <c r="X134" s="231">
        <f t="shared" si="65"/>
        <v>0</v>
      </c>
      <c r="Y134" s="231">
        <f t="shared" si="65"/>
        <v>0</v>
      </c>
      <c r="Z134" s="231">
        <f t="shared" si="65"/>
        <v>0</v>
      </c>
      <c r="AA134" s="231">
        <f t="shared" si="65"/>
        <v>0</v>
      </c>
      <c r="AB134" s="231">
        <f t="shared" si="65"/>
        <v>0</v>
      </c>
      <c r="AC134" s="231">
        <f t="shared" si="65"/>
        <v>0</v>
      </c>
      <c r="AD134" s="231">
        <f t="shared" si="66"/>
        <v>0</v>
      </c>
      <c r="AE134" s="231">
        <f t="shared" si="66"/>
        <v>0</v>
      </c>
      <c r="AF134" s="231">
        <f t="shared" si="66"/>
        <v>0</v>
      </c>
      <c r="AG134" s="231">
        <f t="shared" si="66"/>
        <v>0</v>
      </c>
      <c r="AH134" s="231">
        <f t="shared" si="66"/>
        <v>0</v>
      </c>
      <c r="AI134" s="231">
        <f t="shared" si="66"/>
        <v>0</v>
      </c>
      <c r="AJ134" s="231">
        <f t="shared" si="66"/>
        <v>0</v>
      </c>
      <c r="AK134" s="231">
        <f t="shared" si="66"/>
        <v>0</v>
      </c>
      <c r="AL134" s="231">
        <f t="shared" si="66"/>
        <v>0</v>
      </c>
      <c r="AM134" s="231">
        <f t="shared" si="66"/>
        <v>0</v>
      </c>
      <c r="AN134" s="231">
        <f t="shared" si="67"/>
        <v>0</v>
      </c>
      <c r="AO134" s="231">
        <f t="shared" si="67"/>
        <v>0</v>
      </c>
      <c r="AP134" s="231">
        <f t="shared" si="67"/>
        <v>0</v>
      </c>
      <c r="AQ134" s="231">
        <f t="shared" si="67"/>
        <v>0</v>
      </c>
      <c r="AR134" s="231">
        <f t="shared" si="67"/>
        <v>0</v>
      </c>
      <c r="AS134" s="231">
        <f t="shared" si="67"/>
        <v>0</v>
      </c>
      <c r="AT134" s="231">
        <f t="shared" si="67"/>
        <v>0</v>
      </c>
      <c r="AU134" s="231">
        <f t="shared" si="67"/>
        <v>0</v>
      </c>
      <c r="AV134" s="231">
        <f t="shared" si="67"/>
        <v>0</v>
      </c>
      <c r="AW134" s="231">
        <f t="shared" si="67"/>
        <v>0</v>
      </c>
      <c r="AX134" s="231">
        <f t="shared" si="68"/>
        <v>0</v>
      </c>
      <c r="AY134" s="231">
        <f t="shared" si="68"/>
        <v>0</v>
      </c>
      <c r="AZ134" s="231">
        <f t="shared" si="68"/>
        <v>0</v>
      </c>
      <c r="BA134" s="231">
        <f t="shared" si="68"/>
        <v>0</v>
      </c>
      <c r="BB134" s="231">
        <f t="shared" si="68"/>
        <v>0</v>
      </c>
      <c r="BC134" s="231">
        <f t="shared" si="68"/>
        <v>0</v>
      </c>
      <c r="BD134" s="231">
        <f t="shared" si="68"/>
        <v>0</v>
      </c>
      <c r="BE134" s="231">
        <f t="shared" si="68"/>
        <v>0</v>
      </c>
      <c r="BF134" s="231">
        <f t="shared" si="68"/>
        <v>0</v>
      </c>
      <c r="BG134" s="231">
        <f t="shared" si="68"/>
        <v>0</v>
      </c>
    </row>
    <row r="135" spans="2:63">
      <c r="F135" s="49" t="str">
        <f t="shared" si="69"/>
        <v>Non-food retail</v>
      </c>
      <c r="H135" s="99" t="str">
        <f>GA!E78</f>
        <v>Non-food retail</v>
      </c>
      <c r="T135" s="231">
        <f t="shared" si="65"/>
        <v>0</v>
      </c>
      <c r="U135" s="231">
        <f t="shared" si="65"/>
        <v>0</v>
      </c>
      <c r="V135" s="231">
        <f t="shared" si="65"/>
        <v>0</v>
      </c>
      <c r="W135" s="231">
        <f t="shared" si="65"/>
        <v>0</v>
      </c>
      <c r="X135" s="231">
        <f t="shared" si="65"/>
        <v>0</v>
      </c>
      <c r="Y135" s="231">
        <f t="shared" si="65"/>
        <v>0</v>
      </c>
      <c r="Z135" s="231">
        <f t="shared" si="65"/>
        <v>0</v>
      </c>
      <c r="AA135" s="231">
        <f t="shared" si="65"/>
        <v>0</v>
      </c>
      <c r="AB135" s="231">
        <f t="shared" si="65"/>
        <v>0</v>
      </c>
      <c r="AC135" s="231">
        <f t="shared" si="65"/>
        <v>0</v>
      </c>
      <c r="AD135" s="231">
        <f t="shared" si="66"/>
        <v>0</v>
      </c>
      <c r="AE135" s="231">
        <f t="shared" si="66"/>
        <v>0</v>
      </c>
      <c r="AF135" s="231">
        <f t="shared" si="66"/>
        <v>0</v>
      </c>
      <c r="AG135" s="231">
        <f t="shared" si="66"/>
        <v>0</v>
      </c>
      <c r="AH135" s="231">
        <f t="shared" si="66"/>
        <v>0</v>
      </c>
      <c r="AI135" s="231">
        <f t="shared" si="66"/>
        <v>0</v>
      </c>
      <c r="AJ135" s="231">
        <f t="shared" si="66"/>
        <v>0</v>
      </c>
      <c r="AK135" s="231">
        <f t="shared" si="66"/>
        <v>0</v>
      </c>
      <c r="AL135" s="231">
        <f t="shared" si="66"/>
        <v>0</v>
      </c>
      <c r="AM135" s="231">
        <f t="shared" si="66"/>
        <v>0</v>
      </c>
      <c r="AN135" s="231">
        <f t="shared" si="67"/>
        <v>0</v>
      </c>
      <c r="AO135" s="231">
        <f t="shared" si="67"/>
        <v>0</v>
      </c>
      <c r="AP135" s="231">
        <f t="shared" si="67"/>
        <v>0</v>
      </c>
      <c r="AQ135" s="231">
        <f t="shared" si="67"/>
        <v>0</v>
      </c>
      <c r="AR135" s="231">
        <f t="shared" si="67"/>
        <v>0</v>
      </c>
      <c r="AS135" s="231">
        <f t="shared" si="67"/>
        <v>0</v>
      </c>
      <c r="AT135" s="231">
        <f t="shared" si="67"/>
        <v>0</v>
      </c>
      <c r="AU135" s="231">
        <f t="shared" si="67"/>
        <v>0</v>
      </c>
      <c r="AV135" s="231">
        <f t="shared" si="67"/>
        <v>0</v>
      </c>
      <c r="AW135" s="231">
        <f t="shared" si="67"/>
        <v>0</v>
      </c>
      <c r="AX135" s="231">
        <f t="shared" si="68"/>
        <v>0</v>
      </c>
      <c r="AY135" s="231">
        <f t="shared" si="68"/>
        <v>0</v>
      </c>
      <c r="AZ135" s="231">
        <f t="shared" si="68"/>
        <v>0</v>
      </c>
      <c r="BA135" s="231">
        <f t="shared" si="68"/>
        <v>0</v>
      </c>
      <c r="BB135" s="231">
        <f t="shared" si="68"/>
        <v>0</v>
      </c>
      <c r="BC135" s="231">
        <f t="shared" si="68"/>
        <v>0</v>
      </c>
      <c r="BD135" s="231">
        <f t="shared" si="68"/>
        <v>0</v>
      </c>
      <c r="BE135" s="231">
        <f t="shared" si="68"/>
        <v>0</v>
      </c>
      <c r="BF135" s="231">
        <f t="shared" si="68"/>
        <v>0</v>
      </c>
      <c r="BG135" s="231">
        <f t="shared" si="68"/>
        <v>0</v>
      </c>
    </row>
    <row r="136" spans="2:63">
      <c r="F136" s="49" t="str">
        <f t="shared" si="69"/>
        <v>Gastronomy</v>
      </c>
      <c r="H136" s="99" t="str">
        <f>GA!E79</f>
        <v>Gastronomy</v>
      </c>
      <c r="T136" s="231">
        <f t="shared" si="65"/>
        <v>0</v>
      </c>
      <c r="U136" s="231">
        <f t="shared" si="65"/>
        <v>0</v>
      </c>
      <c r="V136" s="231">
        <f t="shared" si="65"/>
        <v>0</v>
      </c>
      <c r="W136" s="231">
        <f t="shared" si="65"/>
        <v>0</v>
      </c>
      <c r="X136" s="231">
        <f t="shared" si="65"/>
        <v>0</v>
      </c>
      <c r="Y136" s="231">
        <f t="shared" si="65"/>
        <v>0</v>
      </c>
      <c r="Z136" s="231">
        <f t="shared" si="65"/>
        <v>0</v>
      </c>
      <c r="AA136" s="231">
        <f t="shared" si="65"/>
        <v>0</v>
      </c>
      <c r="AB136" s="231">
        <f t="shared" si="65"/>
        <v>0</v>
      </c>
      <c r="AC136" s="231">
        <f t="shared" si="65"/>
        <v>0</v>
      </c>
      <c r="AD136" s="231">
        <f t="shared" si="66"/>
        <v>0</v>
      </c>
      <c r="AE136" s="231">
        <f t="shared" si="66"/>
        <v>0</v>
      </c>
      <c r="AF136" s="231">
        <f t="shared" si="66"/>
        <v>0</v>
      </c>
      <c r="AG136" s="231">
        <f t="shared" si="66"/>
        <v>0</v>
      </c>
      <c r="AH136" s="231">
        <f t="shared" si="66"/>
        <v>0</v>
      </c>
      <c r="AI136" s="231">
        <f t="shared" si="66"/>
        <v>0</v>
      </c>
      <c r="AJ136" s="231">
        <f t="shared" si="66"/>
        <v>0</v>
      </c>
      <c r="AK136" s="231">
        <f t="shared" si="66"/>
        <v>0</v>
      </c>
      <c r="AL136" s="231">
        <f t="shared" si="66"/>
        <v>0</v>
      </c>
      <c r="AM136" s="231">
        <f t="shared" si="66"/>
        <v>0</v>
      </c>
      <c r="AN136" s="231">
        <f t="shared" si="67"/>
        <v>0</v>
      </c>
      <c r="AO136" s="231">
        <f t="shared" si="67"/>
        <v>0</v>
      </c>
      <c r="AP136" s="231">
        <f t="shared" si="67"/>
        <v>0</v>
      </c>
      <c r="AQ136" s="231">
        <f t="shared" si="67"/>
        <v>0</v>
      </c>
      <c r="AR136" s="231">
        <f t="shared" si="67"/>
        <v>0</v>
      </c>
      <c r="AS136" s="231">
        <f t="shared" si="67"/>
        <v>0</v>
      </c>
      <c r="AT136" s="231">
        <f t="shared" si="67"/>
        <v>0</v>
      </c>
      <c r="AU136" s="231">
        <f t="shared" si="67"/>
        <v>0</v>
      </c>
      <c r="AV136" s="231">
        <f t="shared" si="67"/>
        <v>0</v>
      </c>
      <c r="AW136" s="231">
        <f t="shared" si="67"/>
        <v>0</v>
      </c>
      <c r="AX136" s="231">
        <f t="shared" si="68"/>
        <v>0</v>
      </c>
      <c r="AY136" s="231">
        <f t="shared" si="68"/>
        <v>0</v>
      </c>
      <c r="AZ136" s="231">
        <f t="shared" si="68"/>
        <v>0</v>
      </c>
      <c r="BA136" s="231">
        <f t="shared" si="68"/>
        <v>0</v>
      </c>
      <c r="BB136" s="231">
        <f t="shared" si="68"/>
        <v>0</v>
      </c>
      <c r="BC136" s="231">
        <f t="shared" si="68"/>
        <v>0</v>
      </c>
      <c r="BD136" s="231">
        <f t="shared" si="68"/>
        <v>0</v>
      </c>
      <c r="BE136" s="231">
        <f t="shared" si="68"/>
        <v>0</v>
      </c>
      <c r="BF136" s="231">
        <f t="shared" si="68"/>
        <v>0</v>
      </c>
      <c r="BG136" s="231">
        <f t="shared" si="68"/>
        <v>0</v>
      </c>
    </row>
    <row r="137" spans="2:63">
      <c r="F137" s="49" t="str">
        <f t="shared" si="69"/>
        <v>Bank</v>
      </c>
      <c r="H137" s="99" t="str">
        <f>GA!E80</f>
        <v>Bank</v>
      </c>
      <c r="T137" s="231">
        <f t="shared" si="65"/>
        <v>0</v>
      </c>
      <c r="U137" s="231">
        <f t="shared" si="65"/>
        <v>0</v>
      </c>
      <c r="V137" s="231">
        <f t="shared" si="65"/>
        <v>0</v>
      </c>
      <c r="W137" s="231">
        <f t="shared" si="65"/>
        <v>0</v>
      </c>
      <c r="X137" s="231">
        <f t="shared" si="65"/>
        <v>0</v>
      </c>
      <c r="Y137" s="231">
        <f t="shared" si="65"/>
        <v>0</v>
      </c>
      <c r="Z137" s="231">
        <f t="shared" si="65"/>
        <v>0</v>
      </c>
      <c r="AA137" s="231">
        <f t="shared" si="65"/>
        <v>0</v>
      </c>
      <c r="AB137" s="231">
        <f t="shared" si="65"/>
        <v>0</v>
      </c>
      <c r="AC137" s="231">
        <f t="shared" si="65"/>
        <v>0</v>
      </c>
      <c r="AD137" s="231">
        <f t="shared" si="66"/>
        <v>0</v>
      </c>
      <c r="AE137" s="231">
        <f t="shared" si="66"/>
        <v>0</v>
      </c>
      <c r="AF137" s="231">
        <f t="shared" si="66"/>
        <v>0</v>
      </c>
      <c r="AG137" s="231">
        <f t="shared" si="66"/>
        <v>0</v>
      </c>
      <c r="AH137" s="231">
        <f t="shared" si="66"/>
        <v>0</v>
      </c>
      <c r="AI137" s="231">
        <f t="shared" si="66"/>
        <v>0</v>
      </c>
      <c r="AJ137" s="231">
        <f t="shared" si="66"/>
        <v>0</v>
      </c>
      <c r="AK137" s="231">
        <f t="shared" si="66"/>
        <v>0</v>
      </c>
      <c r="AL137" s="231">
        <f t="shared" si="66"/>
        <v>0</v>
      </c>
      <c r="AM137" s="231">
        <f t="shared" si="66"/>
        <v>0</v>
      </c>
      <c r="AN137" s="231">
        <f t="shared" si="67"/>
        <v>0</v>
      </c>
      <c r="AO137" s="231">
        <f t="shared" si="67"/>
        <v>0</v>
      </c>
      <c r="AP137" s="231">
        <f t="shared" si="67"/>
        <v>0</v>
      </c>
      <c r="AQ137" s="231">
        <f t="shared" si="67"/>
        <v>0</v>
      </c>
      <c r="AR137" s="231">
        <f t="shared" si="67"/>
        <v>0</v>
      </c>
      <c r="AS137" s="231">
        <f t="shared" si="67"/>
        <v>0</v>
      </c>
      <c r="AT137" s="231">
        <f t="shared" si="67"/>
        <v>0</v>
      </c>
      <c r="AU137" s="231">
        <f t="shared" si="67"/>
        <v>0</v>
      </c>
      <c r="AV137" s="231">
        <f t="shared" si="67"/>
        <v>0</v>
      </c>
      <c r="AW137" s="231">
        <f t="shared" si="67"/>
        <v>0</v>
      </c>
      <c r="AX137" s="231">
        <f t="shared" si="68"/>
        <v>0</v>
      </c>
      <c r="AY137" s="231">
        <f t="shared" si="68"/>
        <v>0</v>
      </c>
      <c r="AZ137" s="231">
        <f t="shared" si="68"/>
        <v>0</v>
      </c>
      <c r="BA137" s="231">
        <f t="shared" si="68"/>
        <v>0</v>
      </c>
      <c r="BB137" s="231">
        <f t="shared" si="68"/>
        <v>0</v>
      </c>
      <c r="BC137" s="231">
        <f t="shared" si="68"/>
        <v>0</v>
      </c>
      <c r="BD137" s="231">
        <f t="shared" si="68"/>
        <v>0</v>
      </c>
      <c r="BE137" s="231">
        <f t="shared" si="68"/>
        <v>0</v>
      </c>
      <c r="BF137" s="231">
        <f t="shared" si="68"/>
        <v>0</v>
      </c>
      <c r="BG137" s="231">
        <f t="shared" si="68"/>
        <v>0</v>
      </c>
    </row>
    <row r="138" spans="2:63">
      <c r="F138" s="49" t="str">
        <f t="shared" si="69"/>
        <v>Storage</v>
      </c>
      <c r="H138" s="99" t="str">
        <f>GA!E81</f>
        <v>Storage</v>
      </c>
      <c r="T138" s="231">
        <f t="shared" si="65"/>
        <v>0</v>
      </c>
      <c r="U138" s="231">
        <f t="shared" si="65"/>
        <v>0</v>
      </c>
      <c r="V138" s="231">
        <f t="shared" si="65"/>
        <v>0</v>
      </c>
      <c r="W138" s="231">
        <f t="shared" si="65"/>
        <v>0</v>
      </c>
      <c r="X138" s="231">
        <f t="shared" si="65"/>
        <v>0</v>
      </c>
      <c r="Y138" s="231">
        <f t="shared" si="65"/>
        <v>0</v>
      </c>
      <c r="Z138" s="231">
        <f t="shared" si="65"/>
        <v>0</v>
      </c>
      <c r="AA138" s="231">
        <f t="shared" si="65"/>
        <v>0</v>
      </c>
      <c r="AB138" s="231">
        <f t="shared" si="65"/>
        <v>0</v>
      </c>
      <c r="AC138" s="231">
        <f t="shared" si="65"/>
        <v>0</v>
      </c>
      <c r="AD138" s="231">
        <f t="shared" si="66"/>
        <v>0</v>
      </c>
      <c r="AE138" s="231">
        <f t="shared" si="66"/>
        <v>0</v>
      </c>
      <c r="AF138" s="231">
        <f t="shared" si="66"/>
        <v>0</v>
      </c>
      <c r="AG138" s="231">
        <f t="shared" si="66"/>
        <v>0</v>
      </c>
      <c r="AH138" s="231">
        <f t="shared" si="66"/>
        <v>0</v>
      </c>
      <c r="AI138" s="231">
        <f t="shared" si="66"/>
        <v>0</v>
      </c>
      <c r="AJ138" s="231">
        <f t="shared" si="66"/>
        <v>0</v>
      </c>
      <c r="AK138" s="231">
        <f t="shared" si="66"/>
        <v>0</v>
      </c>
      <c r="AL138" s="231">
        <f t="shared" si="66"/>
        <v>0</v>
      </c>
      <c r="AM138" s="231">
        <f t="shared" si="66"/>
        <v>0</v>
      </c>
      <c r="AN138" s="231">
        <f t="shared" si="67"/>
        <v>0</v>
      </c>
      <c r="AO138" s="231">
        <f t="shared" si="67"/>
        <v>0</v>
      </c>
      <c r="AP138" s="231">
        <f t="shared" si="67"/>
        <v>0</v>
      </c>
      <c r="AQ138" s="231">
        <f t="shared" si="67"/>
        <v>0</v>
      </c>
      <c r="AR138" s="231">
        <f t="shared" si="67"/>
        <v>0</v>
      </c>
      <c r="AS138" s="231">
        <f t="shared" si="67"/>
        <v>0</v>
      </c>
      <c r="AT138" s="231">
        <f t="shared" si="67"/>
        <v>0</v>
      </c>
      <c r="AU138" s="231">
        <f t="shared" si="67"/>
        <v>0</v>
      </c>
      <c r="AV138" s="231">
        <f t="shared" si="67"/>
        <v>0</v>
      </c>
      <c r="AW138" s="231">
        <f t="shared" si="67"/>
        <v>0</v>
      </c>
      <c r="AX138" s="231">
        <f t="shared" si="68"/>
        <v>0</v>
      </c>
      <c r="AY138" s="231">
        <f t="shared" si="68"/>
        <v>0</v>
      </c>
      <c r="AZ138" s="231">
        <f t="shared" si="68"/>
        <v>0</v>
      </c>
      <c r="BA138" s="231">
        <f t="shared" si="68"/>
        <v>0</v>
      </c>
      <c r="BB138" s="231">
        <f t="shared" si="68"/>
        <v>0</v>
      </c>
      <c r="BC138" s="231">
        <f t="shared" si="68"/>
        <v>0</v>
      </c>
      <c r="BD138" s="231">
        <f t="shared" si="68"/>
        <v>0</v>
      </c>
      <c r="BE138" s="231">
        <f t="shared" si="68"/>
        <v>0</v>
      </c>
      <c r="BF138" s="231">
        <f t="shared" si="68"/>
        <v>0</v>
      </c>
      <c r="BG138" s="231">
        <f t="shared" si="68"/>
        <v>0</v>
      </c>
    </row>
    <row r="139" spans="2:63">
      <c r="F139" s="49" t="str">
        <f t="shared" si="69"/>
        <v>Parking</v>
      </c>
      <c r="H139" s="99" t="str">
        <f>GA!E82</f>
        <v>Parking</v>
      </c>
      <c r="T139" s="231">
        <f t="shared" si="65"/>
        <v>0</v>
      </c>
      <c r="U139" s="231">
        <f t="shared" si="65"/>
        <v>0</v>
      </c>
      <c r="V139" s="231">
        <f t="shared" si="65"/>
        <v>0</v>
      </c>
      <c r="W139" s="231">
        <f t="shared" si="65"/>
        <v>0</v>
      </c>
      <c r="X139" s="231">
        <f t="shared" si="65"/>
        <v>0</v>
      </c>
      <c r="Y139" s="231">
        <f t="shared" si="65"/>
        <v>0</v>
      </c>
      <c r="Z139" s="231">
        <f t="shared" si="65"/>
        <v>0</v>
      </c>
      <c r="AA139" s="231">
        <f t="shared" si="65"/>
        <v>0</v>
      </c>
      <c r="AB139" s="231">
        <f t="shared" si="65"/>
        <v>0</v>
      </c>
      <c r="AC139" s="231">
        <f t="shared" si="65"/>
        <v>0</v>
      </c>
      <c r="AD139" s="231">
        <f t="shared" si="66"/>
        <v>0</v>
      </c>
      <c r="AE139" s="231">
        <f t="shared" si="66"/>
        <v>0</v>
      </c>
      <c r="AF139" s="231">
        <f t="shared" si="66"/>
        <v>0</v>
      </c>
      <c r="AG139" s="231">
        <f t="shared" si="66"/>
        <v>0</v>
      </c>
      <c r="AH139" s="231">
        <f t="shared" si="66"/>
        <v>0</v>
      </c>
      <c r="AI139" s="231">
        <f t="shared" si="66"/>
        <v>0</v>
      </c>
      <c r="AJ139" s="231">
        <f t="shared" si="66"/>
        <v>0</v>
      </c>
      <c r="AK139" s="231">
        <f t="shared" si="66"/>
        <v>0</v>
      </c>
      <c r="AL139" s="231">
        <f t="shared" si="66"/>
        <v>0</v>
      </c>
      <c r="AM139" s="231">
        <f t="shared" si="66"/>
        <v>0</v>
      </c>
      <c r="AN139" s="231">
        <f t="shared" si="67"/>
        <v>0</v>
      </c>
      <c r="AO139" s="231">
        <f t="shared" si="67"/>
        <v>0</v>
      </c>
      <c r="AP139" s="231">
        <f t="shared" si="67"/>
        <v>0</v>
      </c>
      <c r="AQ139" s="231">
        <f t="shared" si="67"/>
        <v>0</v>
      </c>
      <c r="AR139" s="231">
        <f t="shared" si="67"/>
        <v>0</v>
      </c>
      <c r="AS139" s="231">
        <f t="shared" si="67"/>
        <v>0</v>
      </c>
      <c r="AT139" s="231">
        <f t="shared" si="67"/>
        <v>0</v>
      </c>
      <c r="AU139" s="231">
        <f t="shared" si="67"/>
        <v>0</v>
      </c>
      <c r="AV139" s="231">
        <f t="shared" si="67"/>
        <v>0</v>
      </c>
      <c r="AW139" s="231">
        <f t="shared" si="67"/>
        <v>0</v>
      </c>
      <c r="AX139" s="231">
        <f t="shared" si="68"/>
        <v>0</v>
      </c>
      <c r="AY139" s="231">
        <f t="shared" si="68"/>
        <v>0</v>
      </c>
      <c r="AZ139" s="231">
        <f t="shared" si="68"/>
        <v>0</v>
      </c>
      <c r="BA139" s="231">
        <f t="shared" si="68"/>
        <v>0</v>
      </c>
      <c r="BB139" s="231">
        <f t="shared" si="68"/>
        <v>0</v>
      </c>
      <c r="BC139" s="231">
        <f t="shared" si="68"/>
        <v>0</v>
      </c>
      <c r="BD139" s="231">
        <f t="shared" si="68"/>
        <v>0</v>
      </c>
      <c r="BE139" s="231">
        <f t="shared" si="68"/>
        <v>0</v>
      </c>
      <c r="BF139" s="231">
        <f t="shared" si="68"/>
        <v>0</v>
      </c>
      <c r="BG139" s="231">
        <f t="shared" si="68"/>
        <v>0</v>
      </c>
    </row>
    <row r="140" spans="2:63">
      <c r="F140" s="49" t="str">
        <f t="shared" si="69"/>
        <v>Residential</v>
      </c>
      <c r="H140" s="99" t="str">
        <f>GA!E83</f>
        <v>Residential</v>
      </c>
      <c r="T140" s="231">
        <f t="shared" si="65"/>
        <v>0</v>
      </c>
      <c r="U140" s="231">
        <f t="shared" si="65"/>
        <v>0</v>
      </c>
      <c r="V140" s="231">
        <f t="shared" si="65"/>
        <v>0</v>
      </c>
      <c r="W140" s="231">
        <f t="shared" si="65"/>
        <v>0</v>
      </c>
      <c r="X140" s="231">
        <f t="shared" si="65"/>
        <v>0</v>
      </c>
      <c r="Y140" s="231">
        <f t="shared" si="65"/>
        <v>0</v>
      </c>
      <c r="Z140" s="231">
        <f t="shared" si="65"/>
        <v>0</v>
      </c>
      <c r="AA140" s="231">
        <f t="shared" si="65"/>
        <v>0</v>
      </c>
      <c r="AB140" s="231">
        <f t="shared" si="65"/>
        <v>0</v>
      </c>
      <c r="AC140" s="231">
        <f t="shared" si="65"/>
        <v>0</v>
      </c>
      <c r="AD140" s="231">
        <f t="shared" si="66"/>
        <v>0</v>
      </c>
      <c r="AE140" s="231">
        <f t="shared" si="66"/>
        <v>0</v>
      </c>
      <c r="AF140" s="231">
        <f t="shared" si="66"/>
        <v>0</v>
      </c>
      <c r="AG140" s="231">
        <f t="shared" si="66"/>
        <v>0</v>
      </c>
      <c r="AH140" s="231">
        <f t="shared" si="66"/>
        <v>0</v>
      </c>
      <c r="AI140" s="231">
        <f t="shared" si="66"/>
        <v>0</v>
      </c>
      <c r="AJ140" s="231">
        <f t="shared" si="66"/>
        <v>0</v>
      </c>
      <c r="AK140" s="231">
        <f t="shared" si="66"/>
        <v>0</v>
      </c>
      <c r="AL140" s="231">
        <f t="shared" si="66"/>
        <v>0</v>
      </c>
      <c r="AM140" s="231">
        <f t="shared" si="66"/>
        <v>0</v>
      </c>
      <c r="AN140" s="231">
        <f t="shared" si="67"/>
        <v>0</v>
      </c>
      <c r="AO140" s="231">
        <f t="shared" si="67"/>
        <v>0</v>
      </c>
      <c r="AP140" s="231">
        <f t="shared" si="67"/>
        <v>0</v>
      </c>
      <c r="AQ140" s="231">
        <f t="shared" si="67"/>
        <v>0</v>
      </c>
      <c r="AR140" s="231">
        <f t="shared" si="67"/>
        <v>0</v>
      </c>
      <c r="AS140" s="231">
        <f t="shared" si="67"/>
        <v>0</v>
      </c>
      <c r="AT140" s="231">
        <f t="shared" si="67"/>
        <v>0</v>
      </c>
      <c r="AU140" s="231">
        <f t="shared" si="67"/>
        <v>0</v>
      </c>
      <c r="AV140" s="231">
        <f t="shared" si="67"/>
        <v>0</v>
      </c>
      <c r="AW140" s="231">
        <f t="shared" si="67"/>
        <v>0</v>
      </c>
      <c r="AX140" s="231">
        <f t="shared" si="68"/>
        <v>0</v>
      </c>
      <c r="AY140" s="231">
        <f t="shared" si="68"/>
        <v>0</v>
      </c>
      <c r="AZ140" s="231">
        <f t="shared" si="68"/>
        <v>0</v>
      </c>
      <c r="BA140" s="231">
        <f t="shared" si="68"/>
        <v>0</v>
      </c>
      <c r="BB140" s="231">
        <f t="shared" si="68"/>
        <v>0</v>
      </c>
      <c r="BC140" s="231">
        <f t="shared" si="68"/>
        <v>0</v>
      </c>
      <c r="BD140" s="231">
        <f t="shared" si="68"/>
        <v>0</v>
      </c>
      <c r="BE140" s="231">
        <f t="shared" si="68"/>
        <v>0</v>
      </c>
      <c r="BF140" s="231">
        <f t="shared" si="68"/>
        <v>0</v>
      </c>
      <c r="BG140" s="231">
        <f t="shared" si="68"/>
        <v>0</v>
      </c>
    </row>
    <row r="141" spans="2:63">
      <c r="F141" s="49" t="str">
        <f t="shared" si="69"/>
        <v>Office</v>
      </c>
      <c r="H141" s="99" t="str">
        <f>GA!E84</f>
        <v>Office</v>
      </c>
      <c r="T141" s="231">
        <f t="shared" si="65"/>
        <v>0</v>
      </c>
      <c r="U141" s="231">
        <f t="shared" si="65"/>
        <v>0</v>
      </c>
      <c r="V141" s="231">
        <f t="shared" si="65"/>
        <v>0</v>
      </c>
      <c r="W141" s="231">
        <f t="shared" si="65"/>
        <v>0</v>
      </c>
      <c r="X141" s="231">
        <f t="shared" si="65"/>
        <v>0</v>
      </c>
      <c r="Y141" s="231">
        <f t="shared" si="65"/>
        <v>0</v>
      </c>
      <c r="Z141" s="231">
        <f t="shared" si="65"/>
        <v>0</v>
      </c>
      <c r="AA141" s="231">
        <f t="shared" si="65"/>
        <v>0</v>
      </c>
      <c r="AB141" s="231">
        <f t="shared" si="65"/>
        <v>0</v>
      </c>
      <c r="AC141" s="231">
        <f t="shared" si="65"/>
        <v>0</v>
      </c>
      <c r="AD141" s="231">
        <f t="shared" si="66"/>
        <v>0</v>
      </c>
      <c r="AE141" s="231">
        <f t="shared" si="66"/>
        <v>0</v>
      </c>
      <c r="AF141" s="231">
        <f t="shared" si="66"/>
        <v>0</v>
      </c>
      <c r="AG141" s="231">
        <f t="shared" si="66"/>
        <v>0</v>
      </c>
      <c r="AH141" s="231">
        <f t="shared" si="66"/>
        <v>0</v>
      </c>
      <c r="AI141" s="231">
        <f t="shared" si="66"/>
        <v>0</v>
      </c>
      <c r="AJ141" s="231">
        <f t="shared" si="66"/>
        <v>0</v>
      </c>
      <c r="AK141" s="231">
        <f t="shared" si="66"/>
        <v>0</v>
      </c>
      <c r="AL141" s="231">
        <f t="shared" si="66"/>
        <v>0</v>
      </c>
      <c r="AM141" s="231">
        <f t="shared" si="66"/>
        <v>0</v>
      </c>
      <c r="AN141" s="231">
        <f t="shared" si="67"/>
        <v>0</v>
      </c>
      <c r="AO141" s="231">
        <f t="shared" si="67"/>
        <v>0</v>
      </c>
      <c r="AP141" s="231">
        <f t="shared" si="67"/>
        <v>0</v>
      </c>
      <c r="AQ141" s="231">
        <f t="shared" si="67"/>
        <v>0</v>
      </c>
      <c r="AR141" s="231">
        <f t="shared" si="67"/>
        <v>0</v>
      </c>
      <c r="AS141" s="231">
        <f t="shared" si="67"/>
        <v>0</v>
      </c>
      <c r="AT141" s="231">
        <f t="shared" si="67"/>
        <v>0</v>
      </c>
      <c r="AU141" s="231">
        <f t="shared" si="67"/>
        <v>0</v>
      </c>
      <c r="AV141" s="231">
        <f t="shared" si="67"/>
        <v>0</v>
      </c>
      <c r="AW141" s="231">
        <f t="shared" si="67"/>
        <v>0</v>
      </c>
      <c r="AX141" s="231">
        <f t="shared" si="68"/>
        <v>0</v>
      </c>
      <c r="AY141" s="231">
        <f t="shared" si="68"/>
        <v>0</v>
      </c>
      <c r="AZ141" s="231">
        <f t="shared" si="68"/>
        <v>0</v>
      </c>
      <c r="BA141" s="231">
        <f t="shared" si="68"/>
        <v>0</v>
      </c>
      <c r="BB141" s="231">
        <f t="shared" si="68"/>
        <v>0</v>
      </c>
      <c r="BC141" s="231">
        <f t="shared" si="68"/>
        <v>0</v>
      </c>
      <c r="BD141" s="231">
        <f t="shared" si="68"/>
        <v>0</v>
      </c>
      <c r="BE141" s="231">
        <f t="shared" si="68"/>
        <v>0</v>
      </c>
      <c r="BF141" s="231">
        <f t="shared" si="68"/>
        <v>0</v>
      </c>
      <c r="BG141" s="231">
        <f t="shared" si="68"/>
        <v>0</v>
      </c>
    </row>
    <row r="142" spans="2:63">
      <c r="F142" s="49" t="str">
        <f t="shared" si="69"/>
        <v>Other</v>
      </c>
      <c r="H142" s="99" t="str">
        <f>GA!E85</f>
        <v>Other</v>
      </c>
      <c r="T142" s="231">
        <f t="shared" si="65"/>
        <v>0</v>
      </c>
      <c r="U142" s="231">
        <f t="shared" si="65"/>
        <v>0</v>
      </c>
      <c r="V142" s="231">
        <f t="shared" si="65"/>
        <v>0</v>
      </c>
      <c r="W142" s="231">
        <f t="shared" si="65"/>
        <v>0</v>
      </c>
      <c r="X142" s="231">
        <f t="shared" si="65"/>
        <v>0</v>
      </c>
      <c r="Y142" s="231">
        <f t="shared" si="65"/>
        <v>0</v>
      </c>
      <c r="Z142" s="231">
        <f t="shared" si="65"/>
        <v>0</v>
      </c>
      <c r="AA142" s="231">
        <f t="shared" si="65"/>
        <v>0</v>
      </c>
      <c r="AB142" s="231">
        <f t="shared" si="65"/>
        <v>0</v>
      </c>
      <c r="AC142" s="231">
        <f t="shared" si="65"/>
        <v>0</v>
      </c>
      <c r="AD142" s="231">
        <f t="shared" si="66"/>
        <v>0</v>
      </c>
      <c r="AE142" s="231">
        <f t="shared" si="66"/>
        <v>0</v>
      </c>
      <c r="AF142" s="231">
        <f t="shared" si="66"/>
        <v>0</v>
      </c>
      <c r="AG142" s="231">
        <f t="shared" si="66"/>
        <v>0</v>
      </c>
      <c r="AH142" s="231">
        <f t="shared" si="66"/>
        <v>0</v>
      </c>
      <c r="AI142" s="231">
        <f t="shared" si="66"/>
        <v>0</v>
      </c>
      <c r="AJ142" s="231">
        <f t="shared" si="66"/>
        <v>0</v>
      </c>
      <c r="AK142" s="231">
        <f t="shared" si="66"/>
        <v>0</v>
      </c>
      <c r="AL142" s="231">
        <f t="shared" si="66"/>
        <v>0</v>
      </c>
      <c r="AM142" s="231">
        <f t="shared" si="66"/>
        <v>0</v>
      </c>
      <c r="AN142" s="231">
        <f t="shared" si="67"/>
        <v>0</v>
      </c>
      <c r="AO142" s="231">
        <f t="shared" si="67"/>
        <v>0</v>
      </c>
      <c r="AP142" s="231">
        <f t="shared" si="67"/>
        <v>0</v>
      </c>
      <c r="AQ142" s="231">
        <f t="shared" si="67"/>
        <v>0</v>
      </c>
      <c r="AR142" s="231">
        <f t="shared" si="67"/>
        <v>0</v>
      </c>
      <c r="AS142" s="231">
        <f t="shared" si="67"/>
        <v>0</v>
      </c>
      <c r="AT142" s="231">
        <f t="shared" si="67"/>
        <v>0</v>
      </c>
      <c r="AU142" s="231">
        <f t="shared" si="67"/>
        <v>0</v>
      </c>
      <c r="AV142" s="231">
        <f t="shared" si="67"/>
        <v>0</v>
      </c>
      <c r="AW142" s="231">
        <f t="shared" si="67"/>
        <v>0</v>
      </c>
      <c r="AX142" s="231">
        <f t="shared" si="68"/>
        <v>0</v>
      </c>
      <c r="AY142" s="231">
        <f t="shared" si="68"/>
        <v>0</v>
      </c>
      <c r="AZ142" s="231">
        <f t="shared" si="68"/>
        <v>0</v>
      </c>
      <c r="BA142" s="231">
        <f t="shared" si="68"/>
        <v>0</v>
      </c>
      <c r="BB142" s="231">
        <f t="shared" si="68"/>
        <v>0</v>
      </c>
      <c r="BC142" s="231">
        <f t="shared" si="68"/>
        <v>0</v>
      </c>
      <c r="BD142" s="231">
        <f t="shared" si="68"/>
        <v>0</v>
      </c>
      <c r="BE142" s="231">
        <f t="shared" si="68"/>
        <v>0</v>
      </c>
      <c r="BF142" s="231">
        <f t="shared" si="68"/>
        <v>0</v>
      </c>
      <c r="BG142" s="231">
        <f t="shared" si="68"/>
        <v>0</v>
      </c>
    </row>
    <row r="143" spans="2:63">
      <c r="F143" s="253" t="s">
        <v>328</v>
      </c>
      <c r="G143" s="253"/>
      <c r="H143" s="253"/>
      <c r="I143" s="268"/>
      <c r="J143" s="268"/>
      <c r="K143" s="268"/>
      <c r="L143" s="268"/>
      <c r="M143" s="268"/>
      <c r="N143" s="268"/>
      <c r="O143" s="268"/>
      <c r="P143" s="268"/>
      <c r="Q143" s="268"/>
      <c r="R143" s="268"/>
      <c r="S143" s="268"/>
      <c r="T143" s="254">
        <f>SUM(T133:T142)</f>
        <v>0</v>
      </c>
      <c r="U143" s="254">
        <f t="shared" ref="U143:BG143" si="70">SUM(U133:U142)</f>
        <v>0</v>
      </c>
      <c r="V143" s="254">
        <f t="shared" si="70"/>
        <v>0</v>
      </c>
      <c r="W143" s="254">
        <f t="shared" si="70"/>
        <v>0</v>
      </c>
      <c r="X143" s="254">
        <f t="shared" si="70"/>
        <v>0</v>
      </c>
      <c r="Y143" s="254">
        <f t="shared" si="70"/>
        <v>0</v>
      </c>
      <c r="Z143" s="254">
        <f t="shared" si="70"/>
        <v>0</v>
      </c>
      <c r="AA143" s="254">
        <f t="shared" si="70"/>
        <v>0</v>
      </c>
      <c r="AB143" s="254">
        <f t="shared" si="70"/>
        <v>0</v>
      </c>
      <c r="AC143" s="254">
        <f t="shared" si="70"/>
        <v>0</v>
      </c>
      <c r="AD143" s="254">
        <f t="shared" si="70"/>
        <v>0</v>
      </c>
      <c r="AE143" s="254">
        <f t="shared" si="70"/>
        <v>0</v>
      </c>
      <c r="AF143" s="254">
        <f t="shared" si="70"/>
        <v>0</v>
      </c>
      <c r="AG143" s="254">
        <f t="shared" si="70"/>
        <v>0</v>
      </c>
      <c r="AH143" s="254">
        <f t="shared" si="70"/>
        <v>0</v>
      </c>
      <c r="AI143" s="254">
        <f t="shared" si="70"/>
        <v>0</v>
      </c>
      <c r="AJ143" s="254">
        <f t="shared" si="70"/>
        <v>0</v>
      </c>
      <c r="AK143" s="254">
        <f t="shared" si="70"/>
        <v>0</v>
      </c>
      <c r="AL143" s="254">
        <f t="shared" si="70"/>
        <v>0</v>
      </c>
      <c r="AM143" s="254">
        <f t="shared" si="70"/>
        <v>0</v>
      </c>
      <c r="AN143" s="254">
        <f t="shared" si="70"/>
        <v>0</v>
      </c>
      <c r="AO143" s="254">
        <f t="shared" si="70"/>
        <v>0</v>
      </c>
      <c r="AP143" s="254">
        <f t="shared" si="70"/>
        <v>0</v>
      </c>
      <c r="AQ143" s="254">
        <f t="shared" si="70"/>
        <v>0</v>
      </c>
      <c r="AR143" s="254">
        <f t="shared" si="70"/>
        <v>0</v>
      </c>
      <c r="AS143" s="254">
        <f t="shared" si="70"/>
        <v>0</v>
      </c>
      <c r="AT143" s="254">
        <f t="shared" si="70"/>
        <v>0</v>
      </c>
      <c r="AU143" s="254">
        <f t="shared" si="70"/>
        <v>0</v>
      </c>
      <c r="AV143" s="254">
        <f t="shared" si="70"/>
        <v>0</v>
      </c>
      <c r="AW143" s="254">
        <f t="shared" si="70"/>
        <v>0</v>
      </c>
      <c r="AX143" s="254">
        <f t="shared" si="70"/>
        <v>0</v>
      </c>
      <c r="AY143" s="254">
        <f t="shared" si="70"/>
        <v>0</v>
      </c>
      <c r="AZ143" s="254">
        <f t="shared" si="70"/>
        <v>0</v>
      </c>
      <c r="BA143" s="254">
        <f t="shared" si="70"/>
        <v>0</v>
      </c>
      <c r="BB143" s="254">
        <f t="shared" si="70"/>
        <v>0</v>
      </c>
      <c r="BC143" s="254">
        <f t="shared" si="70"/>
        <v>0</v>
      </c>
      <c r="BD143" s="254">
        <f t="shared" si="70"/>
        <v>0</v>
      </c>
      <c r="BE143" s="254">
        <f t="shared" si="70"/>
        <v>0</v>
      </c>
      <c r="BF143" s="254">
        <f t="shared" si="70"/>
        <v>0</v>
      </c>
      <c r="BG143" s="254">
        <f t="shared" si="70"/>
        <v>0</v>
      </c>
    </row>
    <row r="144" spans="2:63">
      <c r="F144" s="255" t="s">
        <v>329</v>
      </c>
      <c r="J144" s="257" t="b">
        <f>COUNTIFS($T$144:$BG$144,"true")=COUNTA(T144:BG144)</f>
        <v>1</v>
      </c>
      <c r="T144" s="257" t="b">
        <f t="shared" ref="T144:BG144" si="71">ROUND(SUM(T$74:T$76),1)=ROUND(T143,1)</f>
        <v>1</v>
      </c>
      <c r="U144" s="257" t="b">
        <f t="shared" si="71"/>
        <v>1</v>
      </c>
      <c r="V144" s="257" t="b">
        <f t="shared" si="71"/>
        <v>1</v>
      </c>
      <c r="W144" s="257" t="b">
        <f t="shared" si="71"/>
        <v>1</v>
      </c>
      <c r="X144" s="257" t="b">
        <f t="shared" si="71"/>
        <v>1</v>
      </c>
      <c r="Y144" s="257" t="b">
        <f t="shared" si="71"/>
        <v>1</v>
      </c>
      <c r="Z144" s="257" t="b">
        <f t="shared" si="71"/>
        <v>1</v>
      </c>
      <c r="AA144" s="257" t="b">
        <f t="shared" si="71"/>
        <v>1</v>
      </c>
      <c r="AB144" s="257" t="b">
        <f t="shared" si="71"/>
        <v>1</v>
      </c>
      <c r="AC144" s="257" t="b">
        <f t="shared" si="71"/>
        <v>1</v>
      </c>
      <c r="AD144" s="257" t="b">
        <f t="shared" si="71"/>
        <v>1</v>
      </c>
      <c r="AE144" s="257" t="b">
        <f t="shared" si="71"/>
        <v>1</v>
      </c>
      <c r="AF144" s="257" t="b">
        <f t="shared" si="71"/>
        <v>1</v>
      </c>
      <c r="AG144" s="257" t="b">
        <f t="shared" si="71"/>
        <v>1</v>
      </c>
      <c r="AH144" s="257" t="b">
        <f t="shared" si="71"/>
        <v>1</v>
      </c>
      <c r="AI144" s="257" t="b">
        <f t="shared" si="71"/>
        <v>1</v>
      </c>
      <c r="AJ144" s="257" t="b">
        <f t="shared" si="71"/>
        <v>1</v>
      </c>
      <c r="AK144" s="257" t="b">
        <f t="shared" si="71"/>
        <v>1</v>
      </c>
      <c r="AL144" s="257" t="b">
        <f t="shared" si="71"/>
        <v>1</v>
      </c>
      <c r="AM144" s="257" t="b">
        <f t="shared" si="71"/>
        <v>1</v>
      </c>
      <c r="AN144" s="257" t="b">
        <f t="shared" si="71"/>
        <v>1</v>
      </c>
      <c r="AO144" s="257" t="b">
        <f t="shared" si="71"/>
        <v>1</v>
      </c>
      <c r="AP144" s="257" t="b">
        <f t="shared" si="71"/>
        <v>1</v>
      </c>
      <c r="AQ144" s="257" t="b">
        <f t="shared" si="71"/>
        <v>1</v>
      </c>
      <c r="AR144" s="257" t="b">
        <f t="shared" si="71"/>
        <v>1</v>
      </c>
      <c r="AS144" s="257" t="b">
        <f t="shared" si="71"/>
        <v>1</v>
      </c>
      <c r="AT144" s="257" t="b">
        <f t="shared" si="71"/>
        <v>1</v>
      </c>
      <c r="AU144" s="257" t="b">
        <f t="shared" si="71"/>
        <v>1</v>
      </c>
      <c r="AV144" s="257" t="b">
        <f t="shared" si="71"/>
        <v>1</v>
      </c>
      <c r="AW144" s="257" t="b">
        <f t="shared" si="71"/>
        <v>1</v>
      </c>
      <c r="AX144" s="257" t="b">
        <f t="shared" si="71"/>
        <v>1</v>
      </c>
      <c r="AY144" s="257" t="b">
        <f t="shared" si="71"/>
        <v>1</v>
      </c>
      <c r="AZ144" s="257" t="b">
        <f t="shared" si="71"/>
        <v>1</v>
      </c>
      <c r="BA144" s="257" t="b">
        <f t="shared" si="71"/>
        <v>1</v>
      </c>
      <c r="BB144" s="257" t="b">
        <f t="shared" si="71"/>
        <v>1</v>
      </c>
      <c r="BC144" s="257" t="b">
        <f t="shared" si="71"/>
        <v>1</v>
      </c>
      <c r="BD144" s="257" t="b">
        <f t="shared" si="71"/>
        <v>1</v>
      </c>
      <c r="BE144" s="257" t="b">
        <f t="shared" si="71"/>
        <v>1</v>
      </c>
      <c r="BF144" s="257" t="b">
        <f t="shared" si="71"/>
        <v>1</v>
      </c>
      <c r="BG144" s="257" t="b">
        <f t="shared" si="71"/>
        <v>1</v>
      </c>
    </row>
    <row r="146" spans="23: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row>
  </sheetData>
  <conditionalFormatting sqref="J144">
    <cfRule type="cellIs" dxfId="37" priority="3" operator="equal">
      <formula>FALSE</formula>
    </cfRule>
    <cfRule type="cellIs" dxfId="36" priority="4" operator="equal">
      <formula>TRUE</formula>
    </cfRule>
  </conditionalFormatting>
  <conditionalFormatting sqref="T144:BG144">
    <cfRule type="cellIs" dxfId="35" priority="1" operator="equal">
      <formula>FALSE</formula>
    </cfRule>
    <cfRule type="cellIs" dxfId="34" priority="2" operator="equal">
      <formula>TRUE</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tabColor theme="1"/>
  </sheetPr>
  <dimension ref="A1:BM25"/>
  <sheetViews>
    <sheetView workbookViewId="0">
      <selection activeCell="AK24" sqref="AK24"/>
    </sheetView>
  </sheetViews>
  <sheetFormatPr baseColWidth="10" defaultColWidth="8.7109375" defaultRowHeight="15" outlineLevelRow="1"/>
  <cols>
    <col min="1" max="1" width="2.7109375" customWidth="1"/>
    <col min="2" max="2" width="1.5703125" customWidth="1"/>
    <col min="3" max="3" width="10" customWidth="1"/>
    <col min="5" max="5" width="10.5703125" customWidth="1"/>
    <col min="6" max="6" width="2.42578125" customWidth="1"/>
    <col min="7" max="7" width="18.42578125" bestFit="1" customWidth="1"/>
    <col min="8" max="8" width="23.42578125" bestFit="1" customWidth="1"/>
    <col min="9" max="9" width="46.42578125" bestFit="1" customWidth="1"/>
    <col min="10" max="10" width="16.42578125" bestFit="1" customWidth="1"/>
    <col min="11" max="11" width="21.5703125" bestFit="1" customWidth="1"/>
    <col min="12" max="12" width="42.5703125" customWidth="1"/>
    <col min="13" max="13" width="11.5703125" bestFit="1" customWidth="1"/>
    <col min="14" max="14" width="23" bestFit="1" customWidth="1"/>
    <col min="15" max="15" width="8.7109375" bestFit="1" customWidth="1"/>
    <col min="16" max="16" width="11.28515625" bestFit="1" customWidth="1"/>
    <col min="17" max="17" width="16.42578125" bestFit="1" customWidth="1"/>
    <col min="18" max="18" width="18.28515625" bestFit="1" customWidth="1"/>
    <col min="19" max="19" width="9.5703125" bestFit="1" customWidth="1"/>
    <col min="20" max="20" width="11.42578125" bestFit="1" customWidth="1"/>
    <col min="21" max="22" width="11.42578125" customWidth="1"/>
    <col min="23" max="23" width="13.5703125" bestFit="1" customWidth="1"/>
    <col min="24" max="24" width="14.42578125" bestFit="1" customWidth="1"/>
    <col min="25" max="25" width="10.5703125" bestFit="1" customWidth="1"/>
    <col min="26" max="26" width="2.42578125" customWidth="1"/>
    <col min="28" max="28" width="22" bestFit="1" customWidth="1"/>
    <col min="29" max="29" width="31.5703125" bestFit="1" customWidth="1"/>
    <col min="30" max="30" width="16" bestFit="1" customWidth="1"/>
    <col min="31" max="31" width="21.5703125" bestFit="1" customWidth="1"/>
    <col min="32" max="32" width="43" customWidth="1"/>
    <col min="33" max="33" width="11.5703125" bestFit="1" customWidth="1"/>
    <col min="34" max="34" width="12.28515625" bestFit="1" customWidth="1"/>
    <col min="36" max="36" width="11.28515625" bestFit="1" customWidth="1"/>
    <col min="37" max="37" width="9.42578125" bestFit="1" customWidth="1"/>
    <col min="38" max="38" width="10.42578125" bestFit="1" customWidth="1"/>
    <col min="39" max="39" width="9.5703125" bestFit="1" customWidth="1"/>
    <col min="40" max="40" width="12.7109375" bestFit="1" customWidth="1"/>
    <col min="41" max="42" width="12.7109375" customWidth="1"/>
    <col min="43" max="43" width="13.5703125" bestFit="1" customWidth="1"/>
    <col min="44" max="44" width="14.42578125" bestFit="1" customWidth="1"/>
    <col min="45" max="45" width="13.5703125" bestFit="1" customWidth="1"/>
    <col min="46" max="46" width="2.28515625" customWidth="1"/>
    <col min="48" max="48" width="22" bestFit="1" customWidth="1"/>
    <col min="49" max="49" width="31.5703125" bestFit="1" customWidth="1"/>
    <col min="50" max="50" width="16.42578125" bestFit="1" customWidth="1"/>
    <col min="51" max="51" width="21.5703125" bestFit="1" customWidth="1"/>
    <col min="52" max="52" width="43" customWidth="1"/>
    <col min="53" max="53" width="11.5703125" bestFit="1" customWidth="1"/>
    <col min="54" max="54" width="12.28515625" bestFit="1" customWidth="1"/>
    <col min="56" max="56" width="11.28515625" bestFit="1" customWidth="1"/>
    <col min="57" max="57" width="9.42578125" bestFit="1" customWidth="1"/>
    <col min="58" max="58" width="10.42578125" bestFit="1" customWidth="1"/>
    <col min="59" max="59" width="9.5703125" bestFit="1" customWidth="1"/>
    <col min="60" max="60" width="12.7109375" bestFit="1" customWidth="1"/>
    <col min="61" max="62" width="12.7109375" customWidth="1"/>
    <col min="63" max="63" width="13.5703125" bestFit="1" customWidth="1"/>
    <col min="64" max="64" width="14.42578125" bestFit="1" customWidth="1"/>
    <col min="65" max="65" width="13.5703125" bestFit="1" customWidth="1"/>
  </cols>
  <sheetData>
    <row r="1" spans="1:43" s="1" customFormat="1">
      <c r="A1" s="1" t="str">
        <f ca="1">UPPER(MID(CELL("filename",A1),FIND("[",CELL("filename",A1))+1,FIND("]",CELL("filename",A1))-FIND("[",CELL("filename",A1))-5))</f>
        <v>VORLAGE.</v>
      </c>
    </row>
    <row r="2" spans="1:43" s="1" customFormat="1">
      <c r="A2" s="1" t="str">
        <f ca="1">UPPER(MID(CELL("filename",A2),FIND("]",CELL("filename",A2))+1,LEN(CELL("filename",A2))))</f>
        <v>RR</v>
      </c>
    </row>
    <row r="4" spans="1:43" s="2" customFormat="1">
      <c r="C4" s="3">
        <f>MAX($C$1:C3)+1</f>
        <v>1</v>
      </c>
      <c r="E4" s="4" t="s">
        <v>0</v>
      </c>
    </row>
    <row r="5" spans="1:43" outlineLevel="1">
      <c r="C5" s="60"/>
      <c r="E5" s="39"/>
    </row>
    <row r="6" spans="1:43" outlineLevel="1">
      <c r="C6" t="s">
        <v>1</v>
      </c>
      <c r="E6" s="5"/>
      <c r="F6" s="6"/>
      <c r="G6" s="6"/>
      <c r="H6" s="7"/>
      <c r="Q6" s="236" t="s">
        <v>306</v>
      </c>
      <c r="R6" s="236" t="s">
        <v>307</v>
      </c>
    </row>
    <row r="7" spans="1:43" outlineLevel="1">
      <c r="C7" t="s">
        <v>1184</v>
      </c>
      <c r="E7" s="5" t="s">
        <v>1624</v>
      </c>
      <c r="F7" s="6"/>
      <c r="G7" s="6"/>
      <c r="H7" s="7"/>
      <c r="I7" s="29"/>
      <c r="J7" s="29"/>
      <c r="K7" s="29"/>
      <c r="L7" s="29"/>
      <c r="N7" t="s">
        <v>3</v>
      </c>
      <c r="Q7" s="237" t="str">
        <f>GA!E61</f>
        <v>Discounter</v>
      </c>
      <c r="R7" s="237" t="str">
        <f>GA!E76</f>
        <v>FMCG-F</v>
      </c>
    </row>
    <row r="8" spans="1:43" outlineLevel="1">
      <c r="C8" t="s">
        <v>2</v>
      </c>
      <c r="E8" s="390"/>
      <c r="F8" s="6"/>
      <c r="G8" s="6"/>
      <c r="H8" s="7"/>
      <c r="I8" s="29"/>
      <c r="J8" s="29"/>
      <c r="K8" s="29"/>
      <c r="L8" s="29"/>
      <c r="Q8" s="237" t="str">
        <f>GA!E62</f>
        <v>Supermarket</v>
      </c>
      <c r="R8" s="237" t="str">
        <f>GA!E77</f>
        <v>FMCG-N</v>
      </c>
    </row>
    <row r="9" spans="1:43" outlineLevel="1">
      <c r="C9" t="s">
        <v>49</v>
      </c>
      <c r="E9" s="390"/>
      <c r="F9" s="6"/>
      <c r="G9" s="6"/>
      <c r="H9" s="7"/>
      <c r="I9" s="29"/>
      <c r="J9" s="29"/>
      <c r="K9" s="29"/>
      <c r="L9" s="29"/>
      <c r="Q9" s="237" t="str">
        <f>GA!E63</f>
        <v>Hypermarket</v>
      </c>
      <c r="R9" s="237" t="str">
        <f>GA!E78</f>
        <v>Non-food retail</v>
      </c>
    </row>
    <row r="10" spans="1:43" outlineLevel="1">
      <c r="Q10" s="237" t="str">
        <f>GA!E64</f>
        <v>Cash &amp; Carry</v>
      </c>
      <c r="R10" s="237" t="str">
        <f>GA!E79</f>
        <v>Gastronomy</v>
      </c>
    </row>
    <row r="11" spans="1:43" outlineLevel="1">
      <c r="Q11" s="237" t="str">
        <f>GA!E65</f>
        <v>DIY</v>
      </c>
      <c r="R11" s="237" t="str">
        <f>GA!E80</f>
        <v>Bank</v>
      </c>
    </row>
    <row r="12" spans="1:43" outlineLevel="1">
      <c r="Q12" s="237" t="str">
        <f>GA!E66</f>
        <v>Retail Park</v>
      </c>
      <c r="R12" s="237" t="str">
        <f>GA!E81</f>
        <v>Storage</v>
      </c>
    </row>
    <row r="13" spans="1:43" outlineLevel="1">
      <c r="Q13" s="237" t="str">
        <f>GA!E67</f>
        <v>Retail Warehose</v>
      </c>
      <c r="R13" s="237" t="str">
        <f>GA!E82</f>
        <v>Parking</v>
      </c>
    </row>
    <row r="14" spans="1:43" outlineLevel="1">
      <c r="Q14" s="237" t="str">
        <f>GA!E68</f>
        <v>Office</v>
      </c>
      <c r="R14" s="237" t="str">
        <f>GA!E83</f>
        <v>Residential</v>
      </c>
      <c r="AQ14" s="29"/>
    </row>
    <row r="15" spans="1:43" outlineLevel="1">
      <c r="Q15" s="237" t="str">
        <f>GA!E69</f>
        <v>Residential</v>
      </c>
      <c r="R15" s="237" t="str">
        <f>GA!E84</f>
        <v>Office</v>
      </c>
    </row>
    <row r="16" spans="1:43" outlineLevel="1">
      <c r="Q16" s="237" t="str">
        <f>GA!E70</f>
        <v>Parking</v>
      </c>
      <c r="R16" s="237" t="str">
        <f>GA!E85</f>
        <v>Other</v>
      </c>
    </row>
    <row r="17" spans="2:65" outlineLevel="1">
      <c r="Q17" s="237" t="str">
        <f>GA!E71</f>
        <v>Shopping Center</v>
      </c>
      <c r="R17" s="237">
        <f>GA!E86</f>
        <v>0</v>
      </c>
    </row>
    <row r="18" spans="2:65" outlineLevel="1">
      <c r="Q18" s="237" t="str">
        <f>GA!E72</f>
        <v>Other</v>
      </c>
      <c r="R18" s="237">
        <f>GA!E87</f>
        <v>0</v>
      </c>
    </row>
    <row r="19" spans="2:65" ht="15.75" outlineLevel="1" thickBot="1"/>
    <row r="20" spans="2:65" ht="15.75" thickBot="1">
      <c r="G20" s="10" t="s">
        <v>19</v>
      </c>
      <c r="H20" s="11"/>
      <c r="I20" s="13" t="s">
        <v>22</v>
      </c>
      <c r="J20" s="14"/>
      <c r="K20" s="14"/>
      <c r="L20" s="14"/>
      <c r="M20" s="11"/>
      <c r="N20" s="11"/>
      <c r="O20" s="11"/>
      <c r="P20" s="11"/>
      <c r="Q20" s="11"/>
      <c r="R20" s="11"/>
      <c r="S20" s="11"/>
      <c r="T20" s="11"/>
      <c r="U20" s="11"/>
      <c r="V20" s="11"/>
      <c r="W20" s="11"/>
      <c r="X20" s="11"/>
      <c r="Y20" s="12"/>
      <c r="AA20" s="10" t="str">
        <f>"Rent Roll provided by "&amp;E6</f>
        <v xml:space="preserve">Rent Roll provided by </v>
      </c>
      <c r="AB20" s="11"/>
      <c r="AC20" s="11"/>
      <c r="AD20" s="11"/>
      <c r="AE20" s="11"/>
      <c r="AF20" s="11"/>
      <c r="AG20" s="11"/>
      <c r="AH20" s="11"/>
      <c r="AI20" s="11"/>
      <c r="AJ20" s="11"/>
      <c r="AK20" s="11"/>
      <c r="AL20" s="11"/>
      <c r="AM20" s="11"/>
      <c r="AN20" s="11"/>
      <c r="AO20" s="11"/>
      <c r="AP20" s="11"/>
      <c r="AQ20" s="11"/>
      <c r="AR20" s="11"/>
      <c r="AS20" s="11"/>
      <c r="AU20" s="10" t="s">
        <v>51</v>
      </c>
      <c r="AV20" s="11"/>
      <c r="AW20" s="11"/>
      <c r="AX20" s="11"/>
      <c r="AY20" s="11"/>
      <c r="AZ20" s="11"/>
      <c r="BA20" s="11"/>
      <c r="BB20" s="11"/>
      <c r="BC20" s="11"/>
      <c r="BD20" s="11"/>
      <c r="BE20" s="11"/>
      <c r="BF20" s="11"/>
      <c r="BG20" s="11"/>
      <c r="BH20" s="11"/>
      <c r="BI20" s="11"/>
      <c r="BJ20" s="11"/>
      <c r="BK20" s="11"/>
      <c r="BL20" s="11"/>
      <c r="BM20" s="11"/>
    </row>
    <row r="22" spans="2:65" ht="45">
      <c r="C22" s="9" t="s">
        <v>53</v>
      </c>
      <c r="D22" s="9" t="s">
        <v>54</v>
      </c>
      <c r="E22" s="9" t="s">
        <v>5</v>
      </c>
      <c r="F22" s="1569" t="s">
        <v>1568</v>
      </c>
      <c r="G22" s="9" t="s">
        <v>4</v>
      </c>
      <c r="H22" s="9" t="s">
        <v>6</v>
      </c>
      <c r="I22" s="9" t="s">
        <v>7</v>
      </c>
      <c r="J22" s="9" t="s">
        <v>8</v>
      </c>
      <c r="K22" s="9" t="s">
        <v>9</v>
      </c>
      <c r="L22" s="9" t="s">
        <v>10</v>
      </c>
      <c r="M22" s="9" t="s">
        <v>11</v>
      </c>
      <c r="N22" s="9" t="s">
        <v>12</v>
      </c>
      <c r="O22" s="9" t="s">
        <v>13</v>
      </c>
      <c r="P22" s="9" t="s">
        <v>14</v>
      </c>
      <c r="Q22" s="9" t="s">
        <v>15</v>
      </c>
      <c r="R22" s="9" t="s">
        <v>16</v>
      </c>
      <c r="S22" s="9" t="s">
        <v>17</v>
      </c>
      <c r="T22" s="9" t="s">
        <v>18</v>
      </c>
      <c r="U22" s="9" t="s">
        <v>1224</v>
      </c>
      <c r="V22" s="9" t="s">
        <v>1271</v>
      </c>
      <c r="W22" s="9" t="s">
        <v>20</v>
      </c>
      <c r="X22" s="9" t="s">
        <v>50</v>
      </c>
      <c r="Y22" s="9" t="s">
        <v>21</v>
      </c>
      <c r="Z22" s="1597" t="s">
        <v>1569</v>
      </c>
      <c r="AA22" s="9" t="s">
        <v>4</v>
      </c>
      <c r="AB22" s="9" t="s">
        <v>6</v>
      </c>
      <c r="AC22" s="9" t="s">
        <v>7</v>
      </c>
      <c r="AD22" s="9" t="s">
        <v>8</v>
      </c>
      <c r="AE22" s="9" t="s">
        <v>9</v>
      </c>
      <c r="AF22" s="9" t="s">
        <v>10</v>
      </c>
      <c r="AG22" s="9" t="s">
        <v>11</v>
      </c>
      <c r="AH22" s="9" t="s">
        <v>12</v>
      </c>
      <c r="AI22" s="9" t="s">
        <v>13</v>
      </c>
      <c r="AJ22" s="9" t="s">
        <v>14</v>
      </c>
      <c r="AK22" s="9" t="s">
        <v>15</v>
      </c>
      <c r="AL22" s="9" t="s">
        <v>16</v>
      </c>
      <c r="AM22" s="9" t="s">
        <v>17</v>
      </c>
      <c r="AN22" s="9" t="s">
        <v>18</v>
      </c>
      <c r="AO22" s="9" t="s">
        <v>1224</v>
      </c>
      <c r="AP22" s="9" t="s">
        <v>1271</v>
      </c>
      <c r="AQ22" s="9" t="s">
        <v>20</v>
      </c>
      <c r="AR22" s="9" t="s">
        <v>50</v>
      </c>
      <c r="AS22" s="9" t="s">
        <v>21</v>
      </c>
      <c r="AT22" s="1597" t="s">
        <v>1570</v>
      </c>
      <c r="AU22" s="9" t="s">
        <v>4</v>
      </c>
      <c r="AV22" s="9" t="s">
        <v>6</v>
      </c>
      <c r="AW22" s="9" t="s">
        <v>7</v>
      </c>
      <c r="AX22" s="9" t="s">
        <v>8</v>
      </c>
      <c r="AY22" s="9" t="s">
        <v>9</v>
      </c>
      <c r="AZ22" s="9" t="s">
        <v>10</v>
      </c>
      <c r="BA22" s="9" t="s">
        <v>11</v>
      </c>
      <c r="BB22" s="9" t="s">
        <v>12</v>
      </c>
      <c r="BC22" s="9" t="s">
        <v>13</v>
      </c>
      <c r="BD22" s="9" t="s">
        <v>14</v>
      </c>
      <c r="BE22" s="9" t="s">
        <v>15</v>
      </c>
      <c r="BF22" s="9" t="s">
        <v>16</v>
      </c>
      <c r="BG22" s="9" t="s">
        <v>17</v>
      </c>
      <c r="BH22" s="9" t="s">
        <v>18</v>
      </c>
      <c r="BI22" s="9" t="s">
        <v>1224</v>
      </c>
      <c r="BJ22" s="9" t="s">
        <v>1271</v>
      </c>
      <c r="BK22" s="9" t="s">
        <v>20</v>
      </c>
      <c r="BL22" s="9" t="s">
        <v>50</v>
      </c>
      <c r="BM22" s="9" t="s">
        <v>21</v>
      </c>
    </row>
    <row r="23" spans="2:65">
      <c r="B23" s="257" t="b">
        <f>IF(K23="Vacant",P23&gt;0,AND(P23&gt;0,N23&gt;GA!$G$53))</f>
        <v>1</v>
      </c>
      <c r="C23" s="34">
        <f>G23</f>
        <v>1</v>
      </c>
      <c r="D23" s="34">
        <f>COUNTIF($C$23:C23,C23)</f>
        <v>1</v>
      </c>
      <c r="E23" s="34" t="str">
        <f>C23&amp;" - "&amp;D23</f>
        <v>1 - 1</v>
      </c>
      <c r="G23" s="30">
        <f t="shared" ref="G23:G25" si="0">IF(AU23="",AA23,AU23)</f>
        <v>1</v>
      </c>
      <c r="H23" s="30" t="str">
        <f t="shared" ref="H23:H25" si="1">IF(AV23="",AB23,AV23)</f>
        <v>backup</v>
      </c>
      <c r="I23" s="30" t="str">
        <f t="shared" ref="I23:I25" si="2">IF(AW23="",AC23,AW23)</f>
        <v>backup</v>
      </c>
      <c r="J23" s="30" t="str">
        <f t="shared" ref="J23:J25" si="3">IF(AX23="",AD23,AX23)</f>
        <v>FMCG-F</v>
      </c>
      <c r="K23" s="30" t="str">
        <f t="shared" ref="K23:K25" si="4">IF(AY23="",AE23,AY23)</f>
        <v>backup</v>
      </c>
      <c r="L23" s="30" t="str">
        <f t="shared" ref="L23:L25" si="5">IF(AZ23="",AF23,AZ23)</f>
        <v>backup</v>
      </c>
      <c r="M23" s="31">
        <f>IF(BA23="",ROUNDDOWN(AG23,0),ROUNDDOWN(BA23,0))</f>
        <v>43466</v>
      </c>
      <c r="N23" s="31">
        <f>IF(BB23="",ROUNDDOWN(AH23,0),ROUNDDOWN(BB23,0))</f>
        <v>50770</v>
      </c>
      <c r="O23" s="31">
        <f>IF(BC23="",ROUNDDOWN(AI23,0),ROUNDDOWN(BC23,0))</f>
        <v>50770</v>
      </c>
      <c r="P23" s="32">
        <f t="shared" ref="P23:P25" si="6">IF(BD23="",AJ23,BD23)</f>
        <v>1000</v>
      </c>
      <c r="Q23" s="32">
        <f t="shared" ref="Q23:Q25" si="7">IF(BE23="",AK23,BE23)</f>
        <v>100000</v>
      </c>
      <c r="R23" s="30">
        <f t="shared" ref="R23:R25" si="8">IF(BF23="",AL23,BF23)</f>
        <v>0</v>
      </c>
      <c r="S23" s="30" t="str">
        <f t="shared" ref="S23:S25" si="9">IF(BG23="",AM23,BG23)</f>
        <v>VATable</v>
      </c>
      <c r="T23" s="30">
        <f t="shared" ref="T23:T25" si="10">IF(BH23="",AN23,BH23)</f>
        <v>0</v>
      </c>
      <c r="U23" s="31">
        <f>IF(BI23="",ROUNDDOWN(AO23,0),ROUNDDOWN(BI23,0))</f>
        <v>0</v>
      </c>
      <c r="V23" s="31">
        <f>IF(BJ23="",ROUNDDOWN(AP23,0),ROUNDDOWN(BJ23,0))</f>
        <v>0</v>
      </c>
      <c r="W23" s="33">
        <f t="shared" ref="W23:W25" si="11">IF(BK23="",AQ23,BK23)</f>
        <v>0</v>
      </c>
      <c r="X23" s="30">
        <f t="shared" ref="X23:X25" si="12">IF(BL23="",AR23,BL23)</f>
        <v>0</v>
      </c>
      <c r="Y23" s="33">
        <f t="shared" ref="Y23:Y25" si="13">IF(BM23="",AS23,BM23)</f>
        <v>0</v>
      </c>
      <c r="Z23" s="28"/>
      <c r="AA23" s="20">
        <v>1</v>
      </c>
      <c r="AB23" s="20" t="s">
        <v>1603</v>
      </c>
      <c r="AC23" s="20" t="s">
        <v>1603</v>
      </c>
      <c r="AD23" s="20" t="s">
        <v>1180</v>
      </c>
      <c r="AE23" s="20" t="s">
        <v>1603</v>
      </c>
      <c r="AF23" s="20" t="s">
        <v>1603</v>
      </c>
      <c r="AG23" s="25">
        <v>43466</v>
      </c>
      <c r="AH23" s="25">
        <v>50770</v>
      </c>
      <c r="AI23" s="25">
        <v>50770</v>
      </c>
      <c r="AJ23" s="26">
        <v>1000</v>
      </c>
      <c r="AK23" s="26">
        <v>100000</v>
      </c>
      <c r="AL23" s="20"/>
      <c r="AM23" s="20" t="s">
        <v>1604</v>
      </c>
      <c r="AN23" s="20"/>
      <c r="AO23" s="25"/>
      <c r="AP23" s="25"/>
      <c r="AQ23" s="27"/>
      <c r="AR23" s="20"/>
      <c r="AS23" s="27"/>
      <c r="AU23" s="20"/>
      <c r="AV23" s="20"/>
      <c r="AW23" s="20"/>
      <c r="AX23" s="20"/>
      <c r="AY23" s="20"/>
      <c r="AZ23" s="20"/>
      <c r="BA23" s="25"/>
      <c r="BB23" s="25"/>
      <c r="BC23" s="20"/>
      <c r="BD23" s="26"/>
      <c r="BE23" s="26"/>
      <c r="BF23" s="20"/>
      <c r="BG23" s="20"/>
      <c r="BH23" s="20"/>
      <c r="BI23" s="20"/>
      <c r="BJ23" s="25"/>
      <c r="BK23" s="27"/>
      <c r="BL23" s="20"/>
      <c r="BM23" s="27"/>
    </row>
    <row r="24" spans="2:65">
      <c r="B24" s="257" t="b">
        <f>IF(K24="Vacant",P24&gt;0,AND(P24&gt;0,N24&gt;GA!$G$53))</f>
        <v>1</v>
      </c>
      <c r="C24" s="34">
        <f t="shared" ref="C24:C25" si="14">G24</f>
        <v>2</v>
      </c>
      <c r="D24" s="34">
        <f>COUNTIF($C$23:C24,C24)</f>
        <v>1</v>
      </c>
      <c r="E24" s="34" t="str">
        <f t="shared" ref="E24:E25" si="15">C24&amp;" - "&amp;D24</f>
        <v>2 - 1</v>
      </c>
      <c r="G24" s="30">
        <f t="shared" si="0"/>
        <v>2</v>
      </c>
      <c r="H24" s="30" t="str">
        <f t="shared" si="1"/>
        <v>backup</v>
      </c>
      <c r="I24" s="30" t="str">
        <f t="shared" si="2"/>
        <v>backup</v>
      </c>
      <c r="J24" s="30" t="str">
        <f t="shared" si="3"/>
        <v>FMCG-F</v>
      </c>
      <c r="K24" s="30" t="str">
        <f t="shared" si="4"/>
        <v>backup</v>
      </c>
      <c r="L24" s="30" t="str">
        <f t="shared" si="5"/>
        <v>backup</v>
      </c>
      <c r="M24" s="31">
        <f t="shared" ref="M24:M25" si="16">IF(BA24="",ROUNDDOWN(AG24,0),ROUNDDOWN(BA24,0))</f>
        <v>43466</v>
      </c>
      <c r="N24" s="31">
        <f t="shared" ref="N24:N25" si="17">IF(BB24="",ROUNDDOWN(AH24,0),ROUNDDOWN(BB24,0))</f>
        <v>50770</v>
      </c>
      <c r="O24" s="31">
        <f t="shared" ref="O24:O25" si="18">IF(BC24="",ROUNDDOWN(AI24,0),ROUNDDOWN(BC24,0))</f>
        <v>50770</v>
      </c>
      <c r="P24" s="32">
        <f t="shared" si="6"/>
        <v>1000</v>
      </c>
      <c r="Q24" s="32">
        <f t="shared" si="7"/>
        <v>100000</v>
      </c>
      <c r="R24" s="30">
        <f t="shared" si="8"/>
        <v>0</v>
      </c>
      <c r="S24" s="30" t="str">
        <f t="shared" si="9"/>
        <v>VATable</v>
      </c>
      <c r="T24" s="30">
        <f t="shared" si="10"/>
        <v>0</v>
      </c>
      <c r="U24" s="31">
        <f t="shared" ref="U24:U25" si="19">IF(BI24="",ROUNDDOWN(AO24,0),ROUNDDOWN(BI24,0))</f>
        <v>0</v>
      </c>
      <c r="V24" s="31">
        <f t="shared" ref="V24:V25" si="20">IF(BJ24="",ROUNDDOWN(AP24,0),ROUNDDOWN(BJ24,0))</f>
        <v>0</v>
      </c>
      <c r="W24" s="33">
        <f t="shared" si="11"/>
        <v>0</v>
      </c>
      <c r="X24" s="30">
        <f t="shared" si="12"/>
        <v>0</v>
      </c>
      <c r="Y24" s="33">
        <f t="shared" si="13"/>
        <v>0</v>
      </c>
      <c r="Z24" s="28"/>
      <c r="AA24" s="20">
        <v>2</v>
      </c>
      <c r="AB24" s="20" t="s">
        <v>1603</v>
      </c>
      <c r="AC24" s="20" t="s">
        <v>1603</v>
      </c>
      <c r="AD24" s="20" t="s">
        <v>1180</v>
      </c>
      <c r="AE24" s="20" t="s">
        <v>1603</v>
      </c>
      <c r="AF24" s="20" t="s">
        <v>1603</v>
      </c>
      <c r="AG24" s="25">
        <v>43466</v>
      </c>
      <c r="AH24" s="25">
        <v>50770</v>
      </c>
      <c r="AI24" s="25">
        <v>50770</v>
      </c>
      <c r="AJ24" s="26">
        <v>1000</v>
      </c>
      <c r="AK24" s="26">
        <v>100000</v>
      </c>
      <c r="AL24" s="20"/>
      <c r="AM24" s="20" t="s">
        <v>1604</v>
      </c>
      <c r="AN24" s="20"/>
      <c r="AO24" s="25"/>
      <c r="AP24" s="25"/>
      <c r="AQ24" s="27"/>
      <c r="AR24" s="20"/>
      <c r="AS24" s="27"/>
      <c r="AU24" s="20"/>
      <c r="AV24" s="20"/>
      <c r="AW24" s="20"/>
      <c r="AX24" s="20"/>
      <c r="AY24" s="20"/>
      <c r="AZ24" s="20"/>
      <c r="BA24" s="25"/>
      <c r="BB24" s="25"/>
      <c r="BC24" s="20"/>
      <c r="BD24" s="26"/>
      <c r="BE24" s="26"/>
      <c r="BF24" s="20"/>
      <c r="BG24" s="20"/>
      <c r="BH24" s="20"/>
      <c r="BI24" s="20"/>
      <c r="BJ24" s="25"/>
      <c r="BK24" s="27"/>
      <c r="BL24" s="20"/>
      <c r="BM24" s="27"/>
    </row>
    <row r="25" spans="2:65">
      <c r="B25" s="257" t="b">
        <f>IF(K25="Vacant",P25&gt;0,AND(P25&gt;0,N25&gt;GA!$G$53))</f>
        <v>1</v>
      </c>
      <c r="C25" s="34">
        <f t="shared" si="14"/>
        <v>3</v>
      </c>
      <c r="D25" s="34">
        <f>COUNTIF($C$23:C25,C25)</f>
        <v>1</v>
      </c>
      <c r="E25" s="34" t="str">
        <f t="shared" si="15"/>
        <v>3 - 1</v>
      </c>
      <c r="G25" s="30">
        <f t="shared" si="0"/>
        <v>3</v>
      </c>
      <c r="H25" s="30" t="str">
        <f t="shared" si="1"/>
        <v>backup</v>
      </c>
      <c r="I25" s="30" t="str">
        <f t="shared" si="2"/>
        <v>backup</v>
      </c>
      <c r="J25" s="30" t="str">
        <f t="shared" si="3"/>
        <v>FMCG-F</v>
      </c>
      <c r="K25" s="30" t="str">
        <f t="shared" si="4"/>
        <v>backup</v>
      </c>
      <c r="L25" s="30" t="str">
        <f t="shared" si="5"/>
        <v>backup</v>
      </c>
      <c r="M25" s="31">
        <f t="shared" si="16"/>
        <v>43466</v>
      </c>
      <c r="N25" s="31">
        <f t="shared" si="17"/>
        <v>50770</v>
      </c>
      <c r="O25" s="31">
        <f t="shared" si="18"/>
        <v>50770</v>
      </c>
      <c r="P25" s="32">
        <f t="shared" si="6"/>
        <v>1000</v>
      </c>
      <c r="Q25" s="32">
        <f t="shared" si="7"/>
        <v>100000</v>
      </c>
      <c r="R25" s="30">
        <f t="shared" si="8"/>
        <v>0</v>
      </c>
      <c r="S25" s="30" t="str">
        <f t="shared" si="9"/>
        <v>VATable</v>
      </c>
      <c r="T25" s="30">
        <f t="shared" si="10"/>
        <v>0</v>
      </c>
      <c r="U25" s="31">
        <f t="shared" si="19"/>
        <v>0</v>
      </c>
      <c r="V25" s="31">
        <f t="shared" si="20"/>
        <v>0</v>
      </c>
      <c r="W25" s="33">
        <f t="shared" si="11"/>
        <v>0</v>
      </c>
      <c r="X25" s="30">
        <f t="shared" si="12"/>
        <v>0</v>
      </c>
      <c r="Y25" s="33">
        <f t="shared" si="13"/>
        <v>0</v>
      </c>
      <c r="Z25" s="28"/>
      <c r="AA25" s="20">
        <v>3</v>
      </c>
      <c r="AB25" s="20" t="s">
        <v>1603</v>
      </c>
      <c r="AC25" s="20" t="s">
        <v>1603</v>
      </c>
      <c r="AD25" s="20" t="s">
        <v>1180</v>
      </c>
      <c r="AE25" s="20" t="s">
        <v>1603</v>
      </c>
      <c r="AF25" s="20" t="s">
        <v>1603</v>
      </c>
      <c r="AG25" s="25">
        <v>43466</v>
      </c>
      <c r="AH25" s="25">
        <v>50770</v>
      </c>
      <c r="AI25" s="25">
        <v>50770</v>
      </c>
      <c r="AJ25" s="26">
        <v>1000</v>
      </c>
      <c r="AK25" s="26">
        <v>100000</v>
      </c>
      <c r="AL25" s="20"/>
      <c r="AM25" s="20" t="s">
        <v>1604</v>
      </c>
      <c r="AN25" s="20"/>
      <c r="AO25" s="25"/>
      <c r="AP25" s="25"/>
      <c r="AQ25" s="27"/>
      <c r="AR25" s="20"/>
      <c r="AS25" s="27"/>
      <c r="AU25" s="20"/>
      <c r="AV25" s="20"/>
      <c r="AW25" s="20"/>
      <c r="AX25" s="20"/>
      <c r="AY25" s="20"/>
      <c r="AZ25" s="20"/>
      <c r="BA25" s="25"/>
      <c r="BB25" s="25"/>
      <c r="BC25" s="20"/>
      <c r="BD25" s="26"/>
      <c r="BE25" s="26"/>
      <c r="BF25" s="20"/>
      <c r="BG25" s="20"/>
      <c r="BH25" s="20"/>
      <c r="BI25" s="20"/>
      <c r="BJ25" s="25"/>
      <c r="BK25" s="27"/>
      <c r="BL25" s="20"/>
      <c r="BM25" s="27"/>
    </row>
  </sheetData>
  <conditionalFormatting sqref="B23:B25">
    <cfRule type="cellIs" dxfId="33" priority="1" operator="equal">
      <formula>FALSE</formula>
    </cfRule>
    <cfRule type="cellIs" dxfId="32" priority="2" operator="equal">
      <formula>TRUE</formula>
    </cfRule>
  </conditionalFormatting>
  <dataValidations count="2">
    <dataValidation type="list" allowBlank="1" showInputMessage="1" showErrorMessage="1" sqref="BG23:BG25 AM23:AM25" xr:uid="{00000000-0002-0000-0300-000000000000}">
      <formula1>"VATable,non-VATable"</formula1>
    </dataValidation>
    <dataValidation type="list" allowBlank="1" showInputMessage="1" showErrorMessage="1" sqref="AD23:AD25 AX23:AX25" xr:uid="{17A59F32-D758-4E5A-BB36-A8C0CBC52D45}">
      <formula1>$R$7:$R$16</formula1>
    </dataValidation>
  </dataValidations>
  <pageMargins left="0.7" right="0.7" top="0.75" bottom="0.75" header="0.3" footer="0.3"/>
  <pageSetup paperSize="9" scale="25"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53BD-79BC-44FD-87F5-6EA930477B73}">
  <sheetPr codeName="Sheet19">
    <tabColor rgb="FF7030A0"/>
  </sheetPr>
  <dimension ref="A1:FT60"/>
  <sheetViews>
    <sheetView workbookViewId="0">
      <selection activeCell="M9" sqref="M9"/>
    </sheetView>
  </sheetViews>
  <sheetFormatPr baseColWidth="10" defaultColWidth="8.7109375" defaultRowHeight="15"/>
  <cols>
    <col min="2" max="2" width="9.42578125" bestFit="1" customWidth="1"/>
    <col min="3" max="3" width="11.5703125" bestFit="1" customWidth="1"/>
    <col min="13" max="13" width="18.5703125" bestFit="1" customWidth="1"/>
    <col min="19" max="19" width="19.7109375" bestFit="1" customWidth="1"/>
  </cols>
  <sheetData>
    <row r="1" spans="1:176"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AQ1" s="58"/>
      <c r="AR1" s="58"/>
      <c r="AS1" s="58"/>
      <c r="AT1" s="58"/>
      <c r="AU1" s="58"/>
      <c r="AV1" s="58"/>
      <c r="CB1" s="58"/>
      <c r="CF1" s="58"/>
      <c r="CG1" s="58"/>
      <c r="CT1" s="58"/>
      <c r="DG1" s="58"/>
      <c r="DT1" s="58"/>
      <c r="DU1" s="58"/>
      <c r="DV1" s="58"/>
      <c r="DW1" s="58"/>
      <c r="DX1" s="58"/>
      <c r="EP1" s="58"/>
      <c r="EV1" s="58"/>
      <c r="FR1" s="58"/>
      <c r="FT1" s="58"/>
    </row>
    <row r="2" spans="1:176" s="35" customFormat="1">
      <c r="A2" s="1" t="s">
        <v>1251</v>
      </c>
      <c r="B2" s="1"/>
      <c r="D2" s="58"/>
      <c r="F2" s="58"/>
      <c r="G2" s="58"/>
      <c r="H2" s="58"/>
      <c r="I2" s="58"/>
      <c r="J2" s="58"/>
      <c r="K2" s="58"/>
      <c r="L2" s="58"/>
      <c r="M2" s="58"/>
      <c r="N2" s="58"/>
      <c r="O2" s="58"/>
      <c r="P2" s="58"/>
      <c r="Q2" s="58"/>
      <c r="R2" s="58"/>
      <c r="S2" s="58"/>
      <c r="T2" s="58"/>
      <c r="U2" s="58"/>
      <c r="V2" s="58"/>
      <c r="W2" s="58"/>
      <c r="X2" s="58"/>
      <c r="AQ2" s="58"/>
      <c r="AR2" s="58"/>
      <c r="AS2" s="58"/>
      <c r="AT2" s="58"/>
      <c r="AU2" s="58"/>
      <c r="AV2" s="58"/>
      <c r="CB2" s="58"/>
      <c r="CF2" s="58"/>
      <c r="CG2" s="58"/>
      <c r="CT2" s="58"/>
      <c r="DG2" s="58"/>
      <c r="DT2" s="58"/>
      <c r="DU2" s="58"/>
      <c r="DV2" s="58"/>
      <c r="DW2" s="58"/>
      <c r="DX2" s="58"/>
      <c r="EP2" s="58"/>
      <c r="EV2" s="58"/>
      <c r="FR2" s="58"/>
      <c r="FT2" s="58"/>
    </row>
    <row r="3" spans="1:176" s="35" customFormat="1" ht="17.25">
      <c r="D3" s="58"/>
      <c r="F3" s="58"/>
      <c r="G3" s="58"/>
      <c r="H3" s="58"/>
      <c r="I3" s="58"/>
      <c r="J3" s="58"/>
      <c r="K3" s="58"/>
      <c r="L3" s="58"/>
      <c r="M3" s="58"/>
      <c r="N3" s="58"/>
      <c r="O3" s="58"/>
      <c r="P3" s="58"/>
      <c r="Q3" s="58"/>
      <c r="R3" s="58"/>
      <c r="S3" s="58"/>
      <c r="T3" s="58"/>
      <c r="U3" s="58"/>
      <c r="V3" s="58"/>
      <c r="W3" s="58"/>
      <c r="X3" s="58"/>
      <c r="AA3" s="156"/>
      <c r="AB3" s="156"/>
      <c r="AC3" s="156"/>
      <c r="AQ3" s="58"/>
      <c r="AR3" s="58"/>
      <c r="AS3" s="58"/>
      <c r="AT3" s="58"/>
      <c r="AU3" s="58"/>
      <c r="AV3" s="58"/>
      <c r="CB3" s="58"/>
      <c r="CF3" s="58"/>
      <c r="CG3" s="58"/>
      <c r="CT3" s="58"/>
      <c r="DG3" s="58"/>
      <c r="DT3" s="58"/>
      <c r="DU3" s="58"/>
      <c r="DV3" s="58"/>
      <c r="DW3" s="58"/>
      <c r="DX3" s="58"/>
      <c r="EP3" s="58"/>
      <c r="EV3" s="58"/>
      <c r="FR3" s="58"/>
      <c r="FT3" s="58"/>
    </row>
    <row r="4" spans="1:176" s="35" customFormat="1">
      <c r="D4" s="58"/>
      <c r="F4" s="58"/>
      <c r="G4" s="58"/>
      <c r="H4" s="58"/>
      <c r="I4" s="58"/>
      <c r="J4" s="58"/>
      <c r="K4" s="58"/>
      <c r="L4" s="58"/>
      <c r="M4" s="58"/>
      <c r="N4" s="58"/>
      <c r="O4" s="58"/>
      <c r="P4" s="58"/>
      <c r="Q4" s="58"/>
      <c r="R4" s="58"/>
      <c r="S4" s="58"/>
      <c r="T4" s="58"/>
      <c r="U4" s="58"/>
      <c r="V4" s="58"/>
      <c r="W4" s="58"/>
      <c r="X4" s="58"/>
      <c r="AA4" s="157"/>
      <c r="AB4" s="157"/>
      <c r="AC4" s="157"/>
      <c r="AQ4" s="58"/>
      <c r="AR4" s="58"/>
      <c r="AS4" s="58"/>
      <c r="AT4" s="58"/>
      <c r="AU4" s="58"/>
      <c r="AV4" s="58"/>
      <c r="CB4" s="58"/>
      <c r="CF4" s="58"/>
      <c r="CG4" s="58"/>
      <c r="CT4" s="58"/>
      <c r="DG4" s="58"/>
      <c r="DT4" s="58"/>
      <c r="DU4" s="58"/>
      <c r="DV4" s="58"/>
      <c r="DW4" s="58"/>
      <c r="DX4" s="58"/>
      <c r="EP4" s="58"/>
      <c r="EV4" s="58"/>
      <c r="FR4" s="58"/>
      <c r="FT4" s="58"/>
    </row>
    <row r="6" spans="1:176" ht="30.75" customHeight="1">
      <c r="B6" s="1127" t="s">
        <v>1182</v>
      </c>
      <c r="C6" s="1128" t="s">
        <v>1183</v>
      </c>
      <c r="D6" s="1126"/>
      <c r="E6" s="1125"/>
      <c r="F6" s="1125"/>
      <c r="G6" s="1125"/>
      <c r="H6" s="1125"/>
    </row>
    <row r="8" spans="1:176" ht="18.75">
      <c r="M8" s="1136" t="str">
        <f>"The portfolio consists of " &amp; TEXT(S36,"#,##0") &amp;" assets, generates a NRI of € " &amp; TEXT(S39,"#,##0.0") &amp; "m p.a. at entry with a purchase price of € " &amp; TEXT(S46,"#,##0.0") &amp;"m."</f>
        <v>The portfolio consists of 3 assets, generates a NRI of € 0.3m p.a. at entry with a purchase price of € 5.0m.</v>
      </c>
    </row>
    <row r="9" spans="1:176" ht="18.75">
      <c r="M9" s="1136" t="str">
        <f>RR!E7 &amp; " has an entry WALT of " &amp; TEXT(OV!S42,"##.0") &amp; " years*, a FMCG share of " &amp; TEXT(C30/SUM(C30:C31),"##%") &amp; " and a West share of " &amp; TEXT(PD!C24/SUM(PD!C23:C24),"##%") &amp; "."</f>
        <v>TEST has an entry WALT of 17.8 years*, a FMCG share of 100% and a West share of 100%.</v>
      </c>
    </row>
    <row r="10" spans="1:176" ht="18.75">
      <c r="M10" s="1136"/>
    </row>
    <row r="12" spans="1:176">
      <c r="M12" s="1680" t="str">
        <f>"The portfolio consists of " &amp; TEXT(S36,"###") &amp;" Assets."</f>
        <v>The portfolio consists of 3 Assets.</v>
      </c>
    </row>
    <row r="13" spans="1:176">
      <c r="M13" s="1680" t="str">
        <f>"WALT of "&amp;TEXT(S42,"##.0")&amp;" years as of BP start"</f>
        <v>WALT of 17.8 years as of BP start</v>
      </c>
    </row>
    <row r="14" spans="1:176">
      <c r="M14" s="1680" t="str">
        <f>"NRI of c. €"&amp; TEXT(S39,"#,##0.00")&amp; "m at Entry"</f>
        <v>NRI of c. €0.30m at Entry</v>
      </c>
    </row>
    <row r="15" spans="1:176">
      <c r="M15" s="1680" t="str">
        <f>"OpEx leakage of approx. " &amp; TEXT(AVERAGE(DCF!V116:AD116),"##0.0%") &amp; " incl. PM and void costs"</f>
        <v>OpEx leakage of approx. 8.7% incl. PM and void costs</v>
      </c>
    </row>
    <row r="16" spans="1:176">
      <c r="M16" s="1680" t="str">
        <f>"Total lettable area of "&amp; TEXT(S37,"#,##0") &amp; " sqm"</f>
        <v>Total lettable area of 3,000 sqm</v>
      </c>
    </row>
    <row r="17" spans="2:13">
      <c r="M17" s="1680" t="str">
        <f>"In Place Occupancy of " &amp; TEXT(S38,"###%")</f>
        <v>In Place Occupancy of 100%</v>
      </c>
    </row>
    <row r="29" spans="2:13" ht="15.75" thickBot="1"/>
    <row r="30" spans="2:13">
      <c r="B30" s="1129" t="s">
        <v>1107</v>
      </c>
      <c r="C30" s="1130">
        <f>SUMIFS(TA!AJ15:AJ17,TA!U15:U17,GA!E76)+SUMIFS(TA!AJ15:AJ17,TA!U15:U17,GA!E77)</f>
        <v>300000</v>
      </c>
    </row>
    <row r="31" spans="2:13" ht="15.75" thickBot="1">
      <c r="B31" s="1131" t="s">
        <v>47</v>
      </c>
      <c r="C31" s="1132">
        <f>SUM(TA!AJ:AJ)-C30</f>
        <v>0</v>
      </c>
    </row>
    <row r="35" spans="12:25" ht="30.75" customHeight="1">
      <c r="L35" s="1133" t="s">
        <v>1196</v>
      </c>
      <c r="M35" s="1127"/>
      <c r="N35" s="1127"/>
      <c r="O35" s="1127"/>
      <c r="P35" s="1127"/>
      <c r="Q35" s="1127"/>
      <c r="R35" s="1134"/>
      <c r="S35" s="1133" t="str">
        <f>RR!E7</f>
        <v>TEST</v>
      </c>
      <c r="T35" s="1127"/>
      <c r="U35" s="1127"/>
      <c r="V35" s="1127"/>
      <c r="W35" s="1127"/>
      <c r="X35" s="1127"/>
      <c r="Y35" s="1127"/>
    </row>
    <row r="36" spans="12:25" ht="30.75" customHeight="1">
      <c r="L36" s="1135" t="s">
        <v>608</v>
      </c>
      <c r="M36" s="95"/>
      <c r="N36" s="95"/>
      <c r="O36" s="95"/>
      <c r="P36" s="95"/>
      <c r="Q36" s="95"/>
      <c r="R36" s="95"/>
      <c r="S36" s="1136">
        <f>AO!E22</f>
        <v>3</v>
      </c>
      <c r="T36" s="95"/>
      <c r="U36" s="95"/>
      <c r="V36" s="95"/>
      <c r="W36" s="95"/>
      <c r="X36" s="95"/>
      <c r="Y36" s="95"/>
    </row>
    <row r="37" spans="12:25" ht="30.75" customHeight="1">
      <c r="L37" s="1135" t="s">
        <v>1415</v>
      </c>
      <c r="M37" s="95"/>
      <c r="N37" s="95"/>
      <c r="O37" s="95"/>
      <c r="P37" s="95"/>
      <c r="Q37" s="95"/>
      <c r="R37" s="95"/>
      <c r="S37" s="1137">
        <f>AO!Q22</f>
        <v>3000</v>
      </c>
      <c r="T37" s="95"/>
      <c r="U37" s="95"/>
      <c r="V37" s="95"/>
      <c r="W37" s="95"/>
      <c r="X37" s="95"/>
      <c r="Y37" s="95"/>
    </row>
    <row r="38" spans="12:25" ht="30.75" customHeight="1">
      <c r="L38" s="1135" t="s">
        <v>1185</v>
      </c>
      <c r="M38" s="95"/>
      <c r="N38" s="95"/>
      <c r="O38" s="95"/>
      <c r="P38" s="95"/>
      <c r="Q38" s="95"/>
      <c r="R38" s="95"/>
      <c r="S38" s="1138">
        <f>AO!U22</f>
        <v>1</v>
      </c>
      <c r="T38" s="95"/>
      <c r="U38" s="95"/>
      <c r="V38" s="95"/>
      <c r="W38" s="95"/>
      <c r="X38" s="95"/>
      <c r="Y38" s="95"/>
    </row>
    <row r="39" spans="12:25" ht="30.75" customHeight="1">
      <c r="L39" s="1135" t="s">
        <v>1186</v>
      </c>
      <c r="M39" s="95"/>
      <c r="N39" s="95"/>
      <c r="O39" s="95"/>
      <c r="P39" s="95"/>
      <c r="Q39" s="95"/>
      <c r="R39" s="95"/>
      <c r="S39" s="1141">
        <f>AO!Y22/1000000</f>
        <v>0.3</v>
      </c>
      <c r="T39" s="95"/>
      <c r="U39" s="95"/>
      <c r="V39" s="95"/>
      <c r="W39" s="95"/>
      <c r="X39" s="95"/>
      <c r="Y39" s="95"/>
    </row>
    <row r="40" spans="12:25" ht="30.75" customHeight="1">
      <c r="L40" s="1135" t="s">
        <v>1187</v>
      </c>
      <c r="M40" s="95"/>
      <c r="N40" s="95"/>
      <c r="O40" s="95"/>
      <c r="P40" s="95"/>
      <c r="Q40" s="95"/>
      <c r="R40" s="95"/>
      <c r="S40" s="1138">
        <f>DCF!T116</f>
        <v>7.6160545287527415E-2</v>
      </c>
      <c r="T40" s="95"/>
      <c r="U40" s="95"/>
      <c r="V40" s="95"/>
      <c r="W40" s="95"/>
      <c r="X40" s="95"/>
      <c r="Y40" s="95"/>
    </row>
    <row r="41" spans="12:25" ht="30.75" customHeight="1">
      <c r="L41" s="1135" t="s">
        <v>1188</v>
      </c>
      <c r="M41" s="95"/>
      <c r="N41" s="95"/>
      <c r="O41" s="95"/>
      <c r="P41" s="95"/>
      <c r="Q41" s="95"/>
      <c r="R41" s="95"/>
      <c r="S41" s="1141">
        <f>AO!AI22/1000000</f>
        <v>0.27429999999999999</v>
      </c>
      <c r="T41" s="95"/>
      <c r="U41" s="95"/>
      <c r="V41" s="95"/>
      <c r="W41" s="95"/>
      <c r="X41" s="95"/>
      <c r="Y41" s="95"/>
    </row>
    <row r="42" spans="12:25" ht="30.75" customHeight="1">
      <c r="L42" s="1135" t="s">
        <v>1189</v>
      </c>
      <c r="M42" s="95"/>
      <c r="N42" s="95"/>
      <c r="O42" s="95"/>
      <c r="P42" s="95"/>
      <c r="Q42" s="95"/>
      <c r="R42" s="95"/>
      <c r="S42" s="1139">
        <f>ES!E15</f>
        <v>17.846575342465758</v>
      </c>
      <c r="T42" s="95"/>
      <c r="U42" s="95"/>
      <c r="V42" s="95"/>
      <c r="W42" s="95"/>
      <c r="X42" s="95"/>
      <c r="Y42" s="95"/>
    </row>
    <row r="43" spans="12:25" ht="30.75" customHeight="1">
      <c r="L43" s="1135" t="s">
        <v>1190</v>
      </c>
      <c r="M43" s="95"/>
      <c r="N43" s="95"/>
      <c r="O43" s="95"/>
      <c r="P43" s="95"/>
      <c r="Q43" s="95"/>
      <c r="R43" s="95"/>
      <c r="S43" s="1139">
        <f>(SUMPRODUCT(TA!AJ15:AJ17,TA!F15:F17,TA!GJ15:GJ17,--(TA!U15:U17=GA!$E$76))+SUMPRODUCT(TA!AJ15:AJ17,TA!F15:F17,TA!GJ15:GJ17,--(TA!U15:U17=GA!$E$77)))/(SUMIFS(TA!$AJ$15:$AJ$17,TA!$U$15:$U$17,GA!$E$76)+SUMIFS(TA!$AJ$15:$AJ$17,TA!$U$15:$U$17,GA!$E$77))</f>
        <v>17.846575342465758</v>
      </c>
      <c r="T43" s="95"/>
      <c r="U43" s="95"/>
      <c r="V43" s="95"/>
      <c r="W43" s="95"/>
      <c r="X43" s="95"/>
      <c r="Y43" s="95"/>
    </row>
    <row r="44" spans="12:25" ht="30.75" customHeight="1">
      <c r="L44" s="1135" t="s">
        <v>1191</v>
      </c>
      <c r="M44" s="95"/>
      <c r="N44" s="95"/>
      <c r="O44" s="95"/>
      <c r="P44" s="95"/>
      <c r="Q44" s="95"/>
      <c r="R44" s="95"/>
      <c r="S44" s="1138">
        <f>(AO!BW22/1000000)/S39</f>
        <v>1</v>
      </c>
      <c r="T44" s="95"/>
      <c r="U44" s="95"/>
      <c r="V44" s="95"/>
      <c r="W44" s="95"/>
      <c r="X44" s="95"/>
      <c r="Y44" s="95"/>
    </row>
    <row r="45" spans="12:25" ht="30.75" customHeight="1">
      <c r="L45" s="1133" t="s">
        <v>1197</v>
      </c>
      <c r="M45" s="1127"/>
      <c r="N45" s="1127"/>
      <c r="O45" s="1127"/>
      <c r="P45" s="1127"/>
      <c r="Q45" s="1127"/>
      <c r="R45" s="1134"/>
      <c r="S45" s="1140"/>
      <c r="T45" s="1127"/>
      <c r="U45" s="1127"/>
      <c r="V45" s="1127"/>
      <c r="W45" s="1127"/>
      <c r="X45" s="1127"/>
      <c r="Y45" s="1127"/>
    </row>
    <row r="46" spans="12:25" ht="30.75" customHeight="1">
      <c r="L46" s="1135" t="s">
        <v>1192</v>
      </c>
      <c r="M46" s="95"/>
      <c r="N46" s="95"/>
      <c r="O46" s="95"/>
      <c r="P46" s="95"/>
      <c r="Q46" s="95"/>
      <c r="R46" s="95"/>
      <c r="S46" s="1141">
        <f>PP/1000000</f>
        <v>5</v>
      </c>
      <c r="T46" s="95"/>
      <c r="U46" s="95"/>
      <c r="V46" s="95"/>
      <c r="W46" s="95"/>
      <c r="X46" s="95"/>
      <c r="Y46" s="95"/>
    </row>
    <row r="47" spans="12:25" ht="30.75" customHeight="1">
      <c r="L47" s="1135" t="s">
        <v>1193</v>
      </c>
      <c r="M47" s="95"/>
      <c r="N47" s="95"/>
      <c r="O47" s="95"/>
      <c r="P47" s="95"/>
      <c r="Q47" s="95"/>
      <c r="R47" s="95"/>
      <c r="S47" s="1141">
        <f>SUM(ES!T33:T36,ES!T38)/1000000</f>
        <v>5.7010500000000004</v>
      </c>
      <c r="T47" s="95"/>
      <c r="U47" s="95"/>
      <c r="V47" s="95"/>
      <c r="W47" s="95"/>
      <c r="X47" s="95"/>
      <c r="Y47" s="95"/>
    </row>
    <row r="48" spans="12:25" ht="30.75" customHeight="1">
      <c r="L48" s="1135" t="s">
        <v>1194</v>
      </c>
      <c r="M48" s="95"/>
      <c r="N48" s="95"/>
      <c r="O48" s="95"/>
      <c r="P48" s="95"/>
      <c r="Q48" s="95"/>
      <c r="R48" s="95"/>
      <c r="S48" s="1138">
        <f>S41/S47</f>
        <v>4.8113943922610744E-2</v>
      </c>
      <c r="T48" s="95"/>
      <c r="U48" s="95"/>
      <c r="V48" s="95"/>
      <c r="W48" s="95"/>
      <c r="X48" s="95"/>
      <c r="Y48" s="95"/>
    </row>
    <row r="49" spans="12:25" ht="30.75" customHeight="1">
      <c r="L49" s="1135" t="s">
        <v>1195</v>
      </c>
      <c r="M49" s="95"/>
      <c r="N49" s="95"/>
      <c r="O49" s="95"/>
      <c r="P49" s="95"/>
      <c r="Q49" s="95"/>
      <c r="R49" s="95"/>
      <c r="S49" s="1141">
        <f>AO!DJ22/1000000</f>
        <v>3.681609018749997</v>
      </c>
      <c r="T49" s="95"/>
      <c r="U49" s="95"/>
      <c r="V49" s="95"/>
      <c r="W49" s="95"/>
      <c r="X49" s="95"/>
      <c r="Y49" s="95"/>
    </row>
    <row r="50" spans="12:25" ht="30.75" customHeight="1">
      <c r="L50" s="1135"/>
      <c r="M50" s="95"/>
      <c r="N50" s="95"/>
      <c r="O50" s="95"/>
      <c r="P50" s="95"/>
      <c r="Q50" s="95"/>
      <c r="R50" s="95"/>
      <c r="S50" s="95"/>
      <c r="T50" s="95"/>
      <c r="U50" s="95"/>
      <c r="V50" s="95"/>
      <c r="W50" s="95"/>
      <c r="X50" s="95"/>
      <c r="Y50" s="95"/>
    </row>
    <row r="51" spans="12:25" ht="15" customHeight="1">
      <c r="L51" s="552" t="s">
        <v>1198</v>
      </c>
    </row>
    <row r="52" spans="12:25" ht="15" customHeight="1">
      <c r="L52" s="552"/>
    </row>
    <row r="53" spans="12:25" ht="15" customHeight="1"/>
    <row r="54" spans="12:25" ht="15" customHeight="1"/>
    <row r="55" spans="12:25" ht="15" customHeight="1"/>
    <row r="56" spans="12:25" ht="15" customHeight="1"/>
    <row r="57" spans="12:25" ht="15" customHeight="1"/>
    <row r="58" spans="12:25" ht="15" customHeight="1"/>
    <row r="59" spans="12:25" ht="15" customHeight="1"/>
    <row r="60" spans="12:25" ht="15" customHeight="1"/>
  </sheetData>
  <pageMargins left="0.7" right="0.7" top="0.75" bottom="0.75" header="0.3" footer="0.3"/>
  <pageSetup paperSize="9" scale="62"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76B8D-3407-419B-9300-9BC478A433F4}">
  <sheetPr codeName="Sheet20">
    <tabColor rgb="FF7030A0"/>
  </sheetPr>
  <dimension ref="A1:GB113"/>
  <sheetViews>
    <sheetView showGridLines="0" workbookViewId="0">
      <selection activeCell="O109" sqref="O109"/>
    </sheetView>
  </sheetViews>
  <sheetFormatPr baseColWidth="10" defaultColWidth="8.7109375" defaultRowHeight="15" outlineLevelRow="1" outlineLevelCol="1"/>
  <cols>
    <col min="2" max="3" width="5.42578125" customWidth="1"/>
    <col min="4" max="5" width="19.42578125" customWidth="1"/>
    <col min="6" max="6" width="12.7109375" customWidth="1" outlineLevel="1"/>
    <col min="9" max="9" width="9.7109375" bestFit="1" customWidth="1"/>
    <col min="10" max="10" width="10.42578125" customWidth="1"/>
    <col min="16" max="16" width="8.7109375" customWidth="1" outlineLevel="1"/>
    <col min="17" max="17" width="10" customWidth="1" outlineLevel="1"/>
    <col min="18" max="18" width="12.42578125" customWidth="1" outlineLevel="1"/>
    <col min="19" max="19" width="12.42578125" customWidth="1"/>
    <col min="20" max="20" width="11" customWidth="1" outlineLevel="1"/>
    <col min="21" max="21" width="12.42578125" customWidth="1"/>
    <col min="22" max="22" width="14.28515625" customWidth="1"/>
    <col min="23" max="23" width="8.7109375" customWidth="1" outlineLevel="1"/>
    <col min="24" max="24" width="11" customWidth="1" outlineLevel="1"/>
    <col min="25" max="25" width="10.42578125" customWidth="1" outlineLevel="1"/>
    <col min="26" max="26" width="8.7109375" customWidth="1" outlineLevel="1"/>
    <col min="29" max="29" width="10.140625" bestFit="1" customWidth="1"/>
  </cols>
  <sheetData>
    <row r="1" spans="1:184" s="35" customFormat="1">
      <c r="A1" s="1" t="str">
        <f ca="1">UPPER(MID(CELL("filename",A1),FIND("[",CELL("filename",A1))+1,FIND("]",CELL("filename",A1))-FIND("[",CELL("filename",A1))-5))</f>
        <v>VORLAGE.</v>
      </c>
      <c r="B1" s="1"/>
      <c r="C1" s="1"/>
      <c r="D1" s="58"/>
      <c r="E1" s="58"/>
      <c r="G1" s="58"/>
      <c r="H1" s="58"/>
      <c r="I1" s="58"/>
      <c r="J1" s="58"/>
      <c r="K1" s="58"/>
      <c r="L1" s="58"/>
      <c r="M1" s="58"/>
      <c r="N1" s="58"/>
      <c r="O1" s="58"/>
      <c r="P1" s="58"/>
      <c r="Q1" s="58"/>
      <c r="R1" s="58"/>
      <c r="S1" s="58"/>
      <c r="T1" s="58"/>
      <c r="U1" s="58"/>
      <c r="V1" s="58"/>
      <c r="W1" s="58"/>
      <c r="X1" s="58"/>
      <c r="Y1" s="58"/>
      <c r="Z1" s="58"/>
      <c r="AA1" s="58"/>
      <c r="AB1" s="58"/>
      <c r="AC1" s="58"/>
      <c r="AD1" s="58"/>
      <c r="AE1" s="58"/>
      <c r="AF1" s="58"/>
      <c r="AY1" s="58"/>
      <c r="AZ1" s="58"/>
      <c r="BA1" s="58"/>
      <c r="BB1" s="58"/>
      <c r="BC1" s="58"/>
      <c r="BD1" s="58"/>
      <c r="CJ1" s="58"/>
      <c r="CN1" s="58"/>
      <c r="CO1" s="58"/>
      <c r="DB1" s="58"/>
      <c r="DO1" s="58"/>
      <c r="EB1" s="58"/>
      <c r="EC1" s="58"/>
      <c r="ED1" s="58"/>
      <c r="EE1" s="58"/>
      <c r="EF1" s="58"/>
      <c r="EX1" s="58"/>
      <c r="FD1" s="58"/>
      <c r="FZ1" s="58"/>
      <c r="GB1" s="58"/>
    </row>
    <row r="2" spans="1:184" s="35" customFormat="1">
      <c r="A2" s="1" t="s">
        <v>1252</v>
      </c>
      <c r="B2" s="1"/>
      <c r="C2" s="1"/>
      <c r="D2" s="58"/>
      <c r="E2" s="58"/>
      <c r="G2" s="58"/>
      <c r="H2" s="58"/>
      <c r="I2" s="58"/>
      <c r="J2" s="58"/>
      <c r="K2" s="58"/>
      <c r="L2" s="58"/>
      <c r="M2" s="58"/>
      <c r="N2" s="58"/>
      <c r="O2" s="58"/>
      <c r="P2" s="58"/>
      <c r="Q2" s="58"/>
      <c r="R2" s="58"/>
      <c r="S2" s="58"/>
      <c r="T2" s="58"/>
      <c r="U2" s="58"/>
      <c r="V2" s="58"/>
      <c r="W2" s="58"/>
      <c r="X2" s="58"/>
      <c r="Y2" s="58"/>
      <c r="Z2" s="58"/>
      <c r="AA2" s="58"/>
      <c r="AB2" s="58"/>
      <c r="AC2" s="58"/>
      <c r="AD2" s="58"/>
      <c r="AE2" s="58"/>
      <c r="AF2" s="58"/>
      <c r="AY2" s="58"/>
      <c r="AZ2" s="58"/>
      <c r="BA2" s="58"/>
      <c r="BB2" s="58"/>
      <c r="BC2" s="58"/>
      <c r="BD2" s="58"/>
      <c r="CJ2" s="58"/>
      <c r="CN2" s="58"/>
      <c r="CO2" s="58"/>
      <c r="DB2" s="58"/>
      <c r="DO2" s="58"/>
      <c r="EB2" s="58"/>
      <c r="EC2" s="58"/>
      <c r="ED2" s="58"/>
      <c r="EE2" s="58"/>
      <c r="EF2" s="58"/>
      <c r="EX2" s="58"/>
      <c r="FD2" s="58"/>
      <c r="FZ2" s="58"/>
      <c r="GB2" s="58"/>
    </row>
    <row r="3" spans="1:184" s="35" customFormat="1" ht="17.25">
      <c r="D3" s="58"/>
      <c r="E3" s="58"/>
      <c r="G3" s="58"/>
      <c r="H3" s="58"/>
      <c r="I3" s="58"/>
      <c r="J3" s="58"/>
      <c r="K3" s="58"/>
      <c r="L3" s="58"/>
      <c r="M3" s="58"/>
      <c r="N3" s="58"/>
      <c r="O3" s="58"/>
      <c r="P3" s="58"/>
      <c r="Q3" s="58"/>
      <c r="R3" s="58"/>
      <c r="S3" s="58"/>
      <c r="T3" s="58"/>
      <c r="U3" s="58"/>
      <c r="V3" s="58"/>
      <c r="W3" s="58"/>
      <c r="X3" s="58"/>
      <c r="Y3" s="58"/>
      <c r="Z3" s="58"/>
      <c r="AA3" s="58"/>
      <c r="AB3" s="58"/>
      <c r="AC3" s="58"/>
      <c r="AD3" s="58"/>
      <c r="AE3" s="58"/>
      <c r="AF3" s="58"/>
      <c r="AI3" s="156"/>
      <c r="AJ3" s="156"/>
      <c r="AK3" s="156"/>
      <c r="AY3" s="58"/>
      <c r="AZ3" s="58"/>
      <c r="BA3" s="58"/>
      <c r="BB3" s="58"/>
      <c r="BC3" s="58"/>
      <c r="BD3" s="58"/>
      <c r="CJ3" s="58"/>
      <c r="CN3" s="58"/>
      <c r="CO3" s="58"/>
      <c r="DB3" s="58"/>
      <c r="DO3" s="58"/>
      <c r="EB3" s="58"/>
      <c r="EC3" s="58"/>
      <c r="ED3" s="58"/>
      <c r="EE3" s="58"/>
      <c r="EF3" s="58"/>
      <c r="EX3" s="58"/>
      <c r="FD3" s="58"/>
      <c r="FZ3" s="58"/>
      <c r="GB3" s="58"/>
    </row>
    <row r="4" spans="1:184" s="35" customFormat="1">
      <c r="D4" s="58"/>
      <c r="E4" s="58"/>
      <c r="G4" s="58"/>
      <c r="H4" s="58"/>
      <c r="I4" s="58"/>
      <c r="J4" s="58"/>
      <c r="K4" s="58"/>
      <c r="L4" s="58"/>
      <c r="M4" s="58"/>
      <c r="N4" s="58"/>
      <c r="O4" s="58"/>
      <c r="P4" s="58"/>
      <c r="Q4" s="58"/>
      <c r="R4" s="58"/>
      <c r="S4" s="58"/>
      <c r="T4" s="58"/>
      <c r="U4" s="58"/>
      <c r="V4" s="58"/>
      <c r="W4" s="58"/>
      <c r="X4" s="58"/>
      <c r="Y4" s="58"/>
      <c r="Z4" s="58"/>
      <c r="AA4" s="58"/>
      <c r="AB4" s="58"/>
      <c r="AC4" s="58"/>
      <c r="AD4" s="58"/>
      <c r="AE4" s="58"/>
      <c r="AF4" s="58"/>
      <c r="AI4" s="157"/>
      <c r="AJ4" s="157"/>
      <c r="AK4" s="157"/>
      <c r="AY4" s="58"/>
      <c r="AZ4" s="58"/>
      <c r="BA4" s="58"/>
      <c r="BB4" s="58"/>
      <c r="BC4" s="58"/>
      <c r="BD4" s="58"/>
      <c r="CJ4" s="58"/>
      <c r="CN4" s="58"/>
      <c r="CO4" s="58"/>
      <c r="DB4" s="58"/>
      <c r="DO4" s="58"/>
      <c r="EB4" s="58"/>
      <c r="EC4" s="58"/>
      <c r="ED4" s="58"/>
      <c r="EE4" s="58"/>
      <c r="EF4" s="58"/>
      <c r="EX4" s="58"/>
      <c r="FD4" s="58"/>
      <c r="FZ4" s="58"/>
      <c r="GB4" s="58"/>
    </row>
    <row r="6" spans="1:184">
      <c r="B6" s="1142"/>
      <c r="C6" s="1142"/>
      <c r="D6" s="1142"/>
      <c r="E6" s="1142"/>
      <c r="F6" s="1142"/>
      <c r="G6" s="1142"/>
      <c r="H6" s="1142"/>
      <c r="I6" s="1142"/>
      <c r="J6" s="1142"/>
      <c r="K6" s="1142"/>
      <c r="L6" s="1142"/>
      <c r="M6" s="1142"/>
      <c r="N6" s="1142"/>
      <c r="O6" s="1142"/>
      <c r="P6" s="1142"/>
      <c r="Q6" s="1142"/>
      <c r="R6" s="1142"/>
      <c r="S6" s="1142"/>
      <c r="T6" s="1142"/>
      <c r="U6" s="1142"/>
      <c r="V6" s="1142"/>
      <c r="W6" s="1142"/>
      <c r="X6" s="1142"/>
      <c r="Y6" s="1142"/>
      <c r="Z6" s="1142"/>
    </row>
    <row r="7" spans="1:184">
      <c r="B7" s="1142"/>
      <c r="C7" s="1142" t="s">
        <v>1051</v>
      </c>
      <c r="D7" s="1142"/>
      <c r="E7" s="1142"/>
      <c r="F7" s="1" t="s">
        <v>1199</v>
      </c>
      <c r="G7" s="89"/>
      <c r="H7" s="89"/>
      <c r="I7" s="89" t="s">
        <v>894</v>
      </c>
      <c r="J7" s="89" t="s">
        <v>1202</v>
      </c>
      <c r="K7" s="89"/>
      <c r="L7" s="89"/>
      <c r="M7" s="89" t="s">
        <v>1107</v>
      </c>
      <c r="N7" s="89" t="s">
        <v>1204</v>
      </c>
      <c r="O7" s="89" t="s">
        <v>1204</v>
      </c>
      <c r="P7" s="89"/>
      <c r="Q7" s="89" t="s">
        <v>87</v>
      </c>
      <c r="R7" s="89" t="s">
        <v>964</v>
      </c>
      <c r="S7" s="89"/>
      <c r="T7" s="89" t="s">
        <v>1760</v>
      </c>
      <c r="U7" s="89"/>
      <c r="V7" s="89" t="s">
        <v>1206</v>
      </c>
      <c r="W7" s="89" t="s">
        <v>1092</v>
      </c>
      <c r="X7" s="89" t="s">
        <v>1093</v>
      </c>
      <c r="Y7" s="89" t="s">
        <v>1009</v>
      </c>
      <c r="Z7" s="89" t="s">
        <v>1009</v>
      </c>
    </row>
    <row r="8" spans="1:184">
      <c r="B8" s="89" t="s">
        <v>37</v>
      </c>
      <c r="C8" s="89" t="s">
        <v>1089</v>
      </c>
      <c r="D8" s="89" t="s">
        <v>109</v>
      </c>
      <c r="E8" s="89" t="s">
        <v>1406</v>
      </c>
      <c r="F8" s="1" t="s">
        <v>1200</v>
      </c>
      <c r="G8" s="89" t="s">
        <v>303</v>
      </c>
      <c r="H8" s="89" t="s">
        <v>894</v>
      </c>
      <c r="I8" s="89" t="s">
        <v>1201</v>
      </c>
      <c r="J8" s="89" t="s">
        <v>1203</v>
      </c>
      <c r="K8" s="89" t="s">
        <v>435</v>
      </c>
      <c r="L8" s="89" t="s">
        <v>908</v>
      </c>
      <c r="M8" s="89" t="s">
        <v>1451</v>
      </c>
      <c r="N8" s="89" t="s">
        <v>149</v>
      </c>
      <c r="O8" s="89" t="s">
        <v>908</v>
      </c>
      <c r="P8" s="89" t="s">
        <v>368</v>
      </c>
      <c r="Q8" s="89" t="s">
        <v>1457</v>
      </c>
      <c r="R8" s="89" t="s">
        <v>1205</v>
      </c>
      <c r="S8" s="89" t="s">
        <v>497</v>
      </c>
      <c r="T8" s="89" t="s">
        <v>745</v>
      </c>
      <c r="U8" s="89" t="s">
        <v>442</v>
      </c>
      <c r="V8" s="89" t="s">
        <v>882</v>
      </c>
      <c r="W8" s="89" t="s">
        <v>745</v>
      </c>
      <c r="X8" s="89" t="s">
        <v>745</v>
      </c>
      <c r="Y8" s="89" t="s">
        <v>1094</v>
      </c>
      <c r="Z8" s="89" t="s">
        <v>1207</v>
      </c>
    </row>
    <row r="9" spans="1:184">
      <c r="B9" s="1434">
        <v>1</v>
      </c>
      <c r="C9" s="1434">
        <f>INDEX(IC!B:B,MATCH(B9,IC!AY:AY,0))</f>
        <v>3</v>
      </c>
      <c r="D9" s="261" t="str">
        <f>IFERROR(INDEX(AA!$AC:$AC,MATCH($C9,AA!$C:$C,0)),0)</f>
        <v>backup</v>
      </c>
      <c r="E9" s="1710" t="str">
        <f>INDEX(IC!G:G,MATCH(AL!C9,IC!B:B,0))</f>
        <v>LTS</v>
      </c>
      <c r="F9" s="261">
        <f>IFERROR(INDEX(AA!$AK:$AK,MATCH($C9,AA!$C:$C,0)),0)</f>
        <v>0</v>
      </c>
      <c r="G9" s="261">
        <f>IFERROR(INDEX(AO!$Q:$Q,MATCH($C9,AO!$C:$C,0)),0)</f>
        <v>1000</v>
      </c>
      <c r="H9" s="261">
        <f>IFERROR(INDEX(AO!$Q:$Q,MATCH($C9,AO!$C:$C,0))-INDEX(AO!$BE$18:$BE$20,MATCH($C9,AO!$C$18:$C$20,0)),0)</f>
        <v>1000</v>
      </c>
      <c r="I9" s="1557">
        <f t="shared" ref="I9:I10" si="0">IFERROR(H9/G9,0)</f>
        <v>1</v>
      </c>
      <c r="J9" s="261">
        <f>IFERROR(INDEX(AO!$Y:$Y,MATCH($C9,AO!$C:$C,0)),0)</f>
        <v>100000</v>
      </c>
      <c r="K9" s="261">
        <f>IFERROR(INDEX(AO!$AI:$AI,MATCH($C9,AO!$C:$C,0)),0)</f>
        <v>91700</v>
      </c>
      <c r="L9" s="1556">
        <f>IFERROR(INDEX(AO!$AP:$AP,MATCH($C9,AO!$C:$C,0)),0)</f>
        <v>17.846575342465755</v>
      </c>
      <c r="M9" s="1557">
        <f>IFERROR(SUMIFS(TA!$AJ$15:$AJ$17,TA!$U$15:$U$17,"*FMCG*",TA!$C$15:$C$17,$B9)/SUMIFS(TA!$AJ$15:$AJ$17,TA!$C$15:$C$17,$B9),0)</f>
        <v>1</v>
      </c>
      <c r="N9" s="261" t="str">
        <f>IFERROR(INDEX(AA!$AN:$AN,MATCH($C9,AA!$C:$C,0)),0)</f>
        <v>backup</v>
      </c>
      <c r="O9" s="1252">
        <f>DATEDIF(GA!$G$56,INDEX(RR!$N:$N,MATCH(AB9,RR!$E:$E,0)),"D")/365</f>
        <v>17.846575342465755</v>
      </c>
      <c r="P9" s="261">
        <f>IFERROR(INDEX(AO!$CV:$CV,MATCH($C9,AO!$C:$C,0)),0)</f>
        <v>0</v>
      </c>
      <c r="Q9" s="261">
        <f>IFERROR(INDEX(AO!$CZ:$CZ,MATCH($C9,AO!$C:$C,0)),0)</f>
        <v>0</v>
      </c>
      <c r="R9" s="1230">
        <f>IFERROR(INDEX(AO!$DC:$DC,MATCH($C9,AO!$C:$C,0)),0)</f>
        <v>0</v>
      </c>
      <c r="S9" s="1230">
        <f>INDEX(IC!AR:AR,MATCH(C9,IC!B:B,0))</f>
        <v>1635244.5571984914</v>
      </c>
      <c r="T9" s="1558">
        <f>INDEX(IC!AW:AW,MATCH(C9,IC!B:B,0))</f>
        <v>16.352445571984916</v>
      </c>
      <c r="U9" s="1230">
        <f>INDEX(IC!AS:AS,MATCH(C9,IC!B:B,0))</f>
        <v>1849150.8977256261</v>
      </c>
      <c r="V9" s="261">
        <f>IFERROR(INDEX(AA!$GA:$GA,MATCH($C9,AA!$C:$C,0)),0)</f>
        <v>1227203.0062499989</v>
      </c>
      <c r="W9" s="1558">
        <f>IFERROR(V9/INDEX(AO!$CI:$CI,MATCH($C9,AO!$C:$C,0)),0)</f>
        <v>12</v>
      </c>
      <c r="X9" s="1558">
        <f>IFERROR(V9/INDEX(AO!$CS:$CS,MATCH($C9,AO!$C:$C,0)),0)</f>
        <v>17.417561164372199</v>
      </c>
      <c r="Y9" s="1557">
        <f>IFERROR(INDEX(AO!$CN:$CN,MATCH($C9,AO!$C:$C,0))/V9,0)</f>
        <v>7.6346008134345902E-2</v>
      </c>
      <c r="Z9" s="261">
        <f>IFERROR(V9/INDEX(AO!$CA:$CA,MATCH($C9,AO!$C:$C,0)),0)</f>
        <v>1227.2030062499989</v>
      </c>
      <c r="AB9" t="str">
        <f>B9&amp; " - 1"</f>
        <v>1 - 1</v>
      </c>
      <c r="AC9" s="18"/>
    </row>
    <row r="10" spans="1:184">
      <c r="B10" s="1563">
        <v>2</v>
      </c>
      <c r="C10" s="1563">
        <f>INDEX(IC!B:B,MATCH(B10,IC!AY:AY,0))</f>
        <v>2</v>
      </c>
      <c r="D10" s="1257" t="str">
        <f>IFERROR(INDEX(AA!$AC:$AC,MATCH($C10,AA!$C:$C,0)),0)</f>
        <v>backup</v>
      </c>
      <c r="E10" s="1257" t="str">
        <f>INDEX(IC!G:G,MATCH(AL!C10,IC!B:B,0))</f>
        <v>PTS</v>
      </c>
      <c r="F10" s="1257">
        <f>IFERROR(INDEX(AA!$AK:$AK,MATCH($C10,AA!$C:$C,0)),0)</f>
        <v>0</v>
      </c>
      <c r="G10" s="1257">
        <f>IFERROR(INDEX(AO!$Q:$Q,MATCH($C10,AO!$C:$C,0)),0)</f>
        <v>1000</v>
      </c>
      <c r="H10" s="1257">
        <f>IFERROR(INDEX(AO!$Q:$Q,MATCH($C10,AO!$C:$C,0))-INDEX(AO!$BE$18:$BE$20,MATCH($C10,AO!$C$18:$C$20,0)),0)</f>
        <v>1000</v>
      </c>
      <c r="I10" s="1559">
        <f t="shared" si="0"/>
        <v>1</v>
      </c>
      <c r="J10" s="1257">
        <f>IFERROR(INDEX(AO!$Y:$Y,MATCH($C10,AO!$C:$C,0)),0)</f>
        <v>100000</v>
      </c>
      <c r="K10" s="1257">
        <f>IFERROR(INDEX(AO!$AI:$AI,MATCH($C10,AO!$C:$C,0)),0)</f>
        <v>90200</v>
      </c>
      <c r="L10" s="1560">
        <f>IFERROR(INDEX(AO!$AP:$AP,MATCH($C10,AO!$C:$C,0)),0)</f>
        <v>17.846575342465755</v>
      </c>
      <c r="M10" s="1559">
        <f>IFERROR(SUMIFS(TA!$AJ$15:$AJ$17,TA!$U$15:$U$17,"*FMCG*",TA!$C$15:$C$17,$B10)/SUMIFS(TA!$AJ$15:$AJ$17,TA!$C$15:$C$17,$B10),0)</f>
        <v>1</v>
      </c>
      <c r="N10" s="1257" t="str">
        <f>IFERROR(INDEX(AA!$AN:$AN,MATCH($C10,AA!$C:$C,0)),0)</f>
        <v>backup</v>
      </c>
      <c r="O10" s="1259">
        <f>DATEDIF(GA!$G$56,INDEX(RR!$N:$N,MATCH(AB10,RR!$E:$E,0)),"D")/365</f>
        <v>17.846575342465755</v>
      </c>
      <c r="P10" s="1257">
        <f>IFERROR(INDEX(AO!$CV:$CV,MATCH($C10,AO!$C:$C,0)),0)</f>
        <v>0</v>
      </c>
      <c r="Q10" s="1257">
        <f>IFERROR(INDEX(AO!$CZ:$CZ,MATCH($C10,AO!$C:$C,0)),0)</f>
        <v>0</v>
      </c>
      <c r="R10" s="1561">
        <f>IFERROR(INDEX(AO!$DC:$DC,MATCH($C10,AO!$C:$C,0)),0)</f>
        <v>0</v>
      </c>
      <c r="S10" s="1561">
        <f>INDEX(IC!AR:AR,MATCH(C10,IC!B:B,0))</f>
        <v>1662026.6877570669</v>
      </c>
      <c r="T10" s="1562">
        <f>INDEX(IC!AW:AW,MATCH(C10,IC!B:B,0))</f>
        <v>16.620266877570668</v>
      </c>
      <c r="U10" s="1561">
        <f>INDEX(IC!AS:AS,MATCH(C10,IC!B:B,0))</f>
        <v>1879436.3987825688</v>
      </c>
      <c r="V10" s="1257">
        <f>IFERROR(INDEX(AA!$GA:$GA,MATCH($C10,AA!$C:$C,0)),0)</f>
        <v>1227203.0062499989</v>
      </c>
      <c r="W10" s="1562">
        <f>IFERROR(V10/INDEX(AO!$CI:$CI,MATCH($C10,AO!$C:$C,0)),0)</f>
        <v>12</v>
      </c>
      <c r="X10" s="1562">
        <f>IFERROR(V10/INDEX(AO!$CS:$CS,MATCH($C10,AO!$C:$C,0)),0)</f>
        <v>17.852206426954236</v>
      </c>
      <c r="Y10" s="1559">
        <f>IFERROR(INDEX(AO!$CN:$CN,MATCH($C10,AO!$C:$C,0))/V10,0)</f>
        <v>7.5022209222810887E-2</v>
      </c>
      <c r="Z10" s="1257">
        <f>IFERROR(V10/INDEX(AO!$CA:$CA,MATCH($C10,AO!$C:$C,0)),0)</f>
        <v>1227.2030062499989</v>
      </c>
      <c r="AB10" t="str">
        <f t="shared" ref="AB10:AB73" si="1">B10&amp; " - 1"</f>
        <v>2 - 1</v>
      </c>
      <c r="AC10" s="18"/>
    </row>
    <row r="11" spans="1:184">
      <c r="B11" s="1434">
        <v>3</v>
      </c>
      <c r="C11" s="1434">
        <f>INDEX(IC!B:B,MATCH(B11,IC!AY:AY,0))</f>
        <v>1</v>
      </c>
      <c r="D11" s="261" t="str">
        <f>IFERROR(INDEX(AA!$AC:$AC,MATCH($C11,AA!$C:$C,0)),0)</f>
        <v>backup</v>
      </c>
      <c r="E11" s="261" t="str">
        <f>INDEX(IC!G:G,MATCH(AL!C11,IC!B:B,0))</f>
        <v>AVC1</v>
      </c>
      <c r="F11" s="261">
        <f>IFERROR(INDEX(AA!$AK:$AK,MATCH($C11,AA!$C:$C,0)),0)</f>
        <v>0</v>
      </c>
      <c r="G11" s="261">
        <f>IFERROR(INDEX(AO!$Q:$Q,MATCH($C11,AO!$C:$C,0)),0)</f>
        <v>1000</v>
      </c>
      <c r="H11" s="261">
        <f>IFERROR(INDEX(AO!$Q:$Q,MATCH($C11,AO!$C:$C,0))-INDEX(AO!$BE$18:$BE$20,MATCH($C11,AO!$C$18:$C$20,0)),0)</f>
        <v>0</v>
      </c>
      <c r="I11" s="1557">
        <f t="shared" ref="I11:I74" si="2">IFERROR(H11/G11,0)</f>
        <v>0</v>
      </c>
      <c r="J11" s="261">
        <f>IFERROR(INDEX(AO!$Y:$Y,MATCH($C11,AO!$C:$C,0)),0)</f>
        <v>100000</v>
      </c>
      <c r="K11" s="261">
        <f>IFERROR(INDEX(AO!$AI:$AI,MATCH($C11,AO!$C:$C,0)),0)</f>
        <v>92400</v>
      </c>
      <c r="L11" s="1556">
        <f>IFERROR(INDEX(AO!$AP:$AP,MATCH($C11,AO!$C:$C,0)),0)</f>
        <v>17.846575342465755</v>
      </c>
      <c r="M11" s="1557">
        <f>IFERROR(SUMIFS(TA!$AJ$15:$AJ$17,TA!$U$15:$U$17,"*FMCG*",TA!$C$15:$C$17,$B11)/SUMIFS(TA!$AJ$15:$AJ$17,TA!$C$15:$C$17,$B11),0)</f>
        <v>1</v>
      </c>
      <c r="N11" s="261" t="str">
        <f>IFERROR(INDEX(AA!$AN:$AN,MATCH($C11,AA!$C:$C,0)),0)</f>
        <v>backup</v>
      </c>
      <c r="O11" s="1252">
        <f>DATEDIF(GA!$G$56,INDEX(RR!$N:$N,MATCH(AB11,RR!$E:$E,0)),"D")/365</f>
        <v>17.846575342465755</v>
      </c>
      <c r="P11" s="261">
        <f>IFERROR(INDEX(AO!$CV:$CV,MATCH($C11,AO!$C:$C,0)),0)</f>
        <v>0</v>
      </c>
      <c r="Q11" s="261">
        <f>IFERROR(INDEX(AO!$CZ:$CZ,MATCH($C11,AO!$C:$C,0)),0)</f>
        <v>0</v>
      </c>
      <c r="R11" s="1230">
        <f>IFERROR(INDEX(AO!$DC:$DC,MATCH($C11,AO!$C:$C,0)),0)</f>
        <v>0</v>
      </c>
      <c r="S11" s="1230">
        <f>INDEX(IC!AR:AR,MATCH(C11,IC!B:B,0))</f>
        <v>1702728.7550444414</v>
      </c>
      <c r="T11" s="1558">
        <f>INDEX(IC!AW:AW,MATCH(C11,IC!B:B,0))</f>
        <v>17.027287550444413</v>
      </c>
      <c r="U11" s="1230">
        <f>INDEX(IC!AS:AS,MATCH(C11,IC!B:B,0))</f>
        <v>1925462.7034918049</v>
      </c>
      <c r="V11" s="261">
        <f>IFERROR(INDEX(AA!$GA:$GA,MATCH($C11,AA!$C:$C,0)),0)</f>
        <v>1227203.0062499989</v>
      </c>
      <c r="W11" s="1558">
        <f>IFERROR(V11/INDEX(AO!$CI:$CI,MATCH($C11,AO!$C:$C,0)),0)</f>
        <v>12</v>
      </c>
      <c r="X11" s="1558">
        <f>IFERROR(V11/INDEX(AO!$CS:$CS,MATCH($C11,AO!$C:$C,0)),0)</f>
        <v>17.32577950113355</v>
      </c>
      <c r="Y11" s="1557">
        <f>IFERROR(INDEX(AO!$CN:$CN,MATCH($C11,AO!$C:$C,0))/V11,0)</f>
        <v>7.6836700280858691E-2</v>
      </c>
      <c r="Z11" s="261">
        <f>IFERROR(V11/INDEX(AO!$CA:$CA,MATCH($C11,AO!$C:$C,0)),0)</f>
        <v>1227.2030062499989</v>
      </c>
      <c r="AB11" t="str">
        <f t="shared" si="1"/>
        <v>3 - 1</v>
      </c>
      <c r="AC11" s="18"/>
    </row>
    <row r="12" spans="1:184">
      <c r="B12" s="1563">
        <v>4</v>
      </c>
      <c r="C12" s="1563" t="e">
        <f>INDEX(IC!B:B,MATCH(B12,IC!AY:AY,0))</f>
        <v>#N/A</v>
      </c>
      <c r="D12" s="1257">
        <f>IFERROR(INDEX(AA!$AC:$AC,MATCH($C12,AA!$C:$C,0)),0)</f>
        <v>0</v>
      </c>
      <c r="E12" s="1257" t="e">
        <f>INDEX(IC!G:G,MATCH(AL!C12,IC!B:B,0))</f>
        <v>#N/A</v>
      </c>
      <c r="F12" s="1257">
        <f>IFERROR(INDEX(AA!$AK:$AK,MATCH($C12,AA!$C:$C,0)),0)</f>
        <v>0</v>
      </c>
      <c r="G12" s="1257">
        <f>IFERROR(INDEX(AO!$Q:$Q,MATCH($C12,AO!$C:$C,0)),0)</f>
        <v>0</v>
      </c>
      <c r="H12" s="1257">
        <f>IFERROR(INDEX(AO!$Q:$Q,MATCH($C12,AO!$C:$C,0))-INDEX(AO!$BE$18:$BE$20,MATCH($C12,AO!$C$18:$C$20,0)),0)</f>
        <v>0</v>
      </c>
      <c r="I12" s="1559">
        <f t="shared" si="2"/>
        <v>0</v>
      </c>
      <c r="J12" s="1257">
        <f>IFERROR(INDEX(AO!$Y:$Y,MATCH($C12,AO!$C:$C,0)),0)</f>
        <v>0</v>
      </c>
      <c r="K12" s="1257">
        <f>IFERROR(INDEX(AO!$AI:$AI,MATCH($C12,AO!$C:$C,0)),0)</f>
        <v>0</v>
      </c>
      <c r="L12" s="1560">
        <f>IFERROR(INDEX(AO!$AP:$AP,MATCH($C12,AO!$C:$C,0)),0)</f>
        <v>0</v>
      </c>
      <c r="M12" s="1559">
        <f>IFERROR(SUMIFS(TA!$AJ$15:$AJ$17,TA!$U$15:$U$17,"*FMCG*",TA!$C$15:$C$17,$B12)/SUMIFS(TA!$AJ$15:$AJ$17,TA!$C$15:$C$17,$B12),0)</f>
        <v>0</v>
      </c>
      <c r="N12" s="1257">
        <f>IFERROR(INDEX(AA!$AN:$AN,MATCH($C12,AA!$C:$C,0)),0)</f>
        <v>0</v>
      </c>
      <c r="O12" s="1259" t="e">
        <f>DATEDIF(GA!$G$56,INDEX(RR!$N:$N,MATCH(AB12,RR!$E:$E,0)),"D")/365</f>
        <v>#N/A</v>
      </c>
      <c r="P12" s="1257">
        <f>IFERROR(INDEX(AO!$CV:$CV,MATCH($C12,AO!$C:$C,0)),0)</f>
        <v>0</v>
      </c>
      <c r="Q12" s="1257">
        <f>IFERROR(INDEX(AO!$CZ:$CZ,MATCH($C12,AO!$C:$C,0)),0)</f>
        <v>0</v>
      </c>
      <c r="R12" s="1561">
        <f>IFERROR(INDEX(AO!$DC:$DC,MATCH($C12,AO!$C:$C,0)),0)</f>
        <v>0</v>
      </c>
      <c r="S12" s="1561" t="e">
        <f>INDEX(IC!AR:AR,MATCH(C12,IC!B:B,0))</f>
        <v>#N/A</v>
      </c>
      <c r="T12" s="1562" t="e">
        <f>INDEX(IC!AW:AW,MATCH(C12,IC!B:B,0))</f>
        <v>#N/A</v>
      </c>
      <c r="U12" s="1561" t="e">
        <f>INDEX(IC!AS:AS,MATCH(C12,IC!B:B,0))</f>
        <v>#N/A</v>
      </c>
      <c r="V12" s="1257">
        <f>IFERROR(INDEX(AA!$GA:$GA,MATCH($C12,AA!$C:$C,0)),0)</f>
        <v>0</v>
      </c>
      <c r="W12" s="1562">
        <f>IFERROR(V12/INDEX(AO!$CI:$CI,MATCH($C12,AO!$C:$C,0)),0)</f>
        <v>0</v>
      </c>
      <c r="X12" s="1562">
        <f>IFERROR(V12/INDEX(AO!$CS:$CS,MATCH($C12,AO!$C:$C,0)),0)</f>
        <v>0</v>
      </c>
      <c r="Y12" s="1559">
        <f>IFERROR(INDEX(AO!$CN:$CN,MATCH($C12,AO!$C:$C,0))/V12,0)</f>
        <v>0</v>
      </c>
      <c r="Z12" s="1257">
        <f>IFERROR(V12/INDEX(AO!$CA:$CA,MATCH($C12,AO!$C:$C,0)),0)</f>
        <v>0</v>
      </c>
      <c r="AB12" t="str">
        <f t="shared" si="1"/>
        <v>4 - 1</v>
      </c>
      <c r="AC12" s="18"/>
    </row>
    <row r="13" spans="1:184">
      <c r="B13" s="1434">
        <v>5</v>
      </c>
      <c r="C13" s="1434" t="e">
        <f>INDEX(IC!B:B,MATCH(B13,IC!AY:AY,0))</f>
        <v>#N/A</v>
      </c>
      <c r="D13" s="261">
        <f>IFERROR(INDEX(AA!$AC:$AC,MATCH($C13,AA!$C:$C,0)),0)</f>
        <v>0</v>
      </c>
      <c r="E13" s="261" t="e">
        <f>INDEX(IC!G:G,MATCH(AL!C13,IC!B:B,0))</f>
        <v>#N/A</v>
      </c>
      <c r="F13" s="261">
        <f>IFERROR(INDEX(AA!$AK:$AK,MATCH($C13,AA!$C:$C,0)),0)</f>
        <v>0</v>
      </c>
      <c r="G13" s="261">
        <f>IFERROR(INDEX(AO!$Q:$Q,MATCH($C13,AO!$C:$C,0)),0)</f>
        <v>0</v>
      </c>
      <c r="H13" s="261">
        <f>IFERROR(INDEX(AO!$Q:$Q,MATCH($C13,AO!$C:$C,0))-INDEX(AO!$BE$18:$BE$20,MATCH($C13,AO!$C$18:$C$20,0)),0)</f>
        <v>0</v>
      </c>
      <c r="I13" s="1557">
        <f t="shared" si="2"/>
        <v>0</v>
      </c>
      <c r="J13" s="261">
        <f>IFERROR(INDEX(AO!$Y:$Y,MATCH($C13,AO!$C:$C,0)),0)</f>
        <v>0</v>
      </c>
      <c r="K13" s="261">
        <f>IFERROR(INDEX(AO!$AI:$AI,MATCH($C13,AO!$C:$C,0)),0)</f>
        <v>0</v>
      </c>
      <c r="L13" s="1556">
        <f>IFERROR(INDEX(AO!$AP:$AP,MATCH($C13,AO!$C:$C,0)),0)</f>
        <v>0</v>
      </c>
      <c r="M13" s="1557">
        <f>IFERROR(SUMIFS(TA!$AJ$15:$AJ$17,TA!$U$15:$U$17,"*FMCG*",TA!$C$15:$C$17,$B13)/SUMIFS(TA!$AJ$15:$AJ$17,TA!$C$15:$C$17,$B13),0)</f>
        <v>0</v>
      </c>
      <c r="N13" s="261">
        <f>IFERROR(INDEX(AA!$AN:$AN,MATCH($C13,AA!$C:$C,0)),0)</f>
        <v>0</v>
      </c>
      <c r="O13" s="1252" t="e">
        <f>DATEDIF(GA!$G$56,INDEX(RR!$N:$N,MATCH(AB13,RR!$E:$E,0)),"D")/365</f>
        <v>#N/A</v>
      </c>
      <c r="P13" s="261">
        <f>IFERROR(INDEX(AO!$CV:$CV,MATCH($C13,AO!$C:$C,0)),0)</f>
        <v>0</v>
      </c>
      <c r="Q13" s="261">
        <f>IFERROR(INDEX(AO!$CZ:$CZ,MATCH($C13,AO!$C:$C,0)),0)</f>
        <v>0</v>
      </c>
      <c r="R13" s="1230">
        <f>IFERROR(INDEX(AO!$DC:$DC,MATCH($C13,AO!$C:$C,0)),0)</f>
        <v>0</v>
      </c>
      <c r="S13" s="1230" t="e">
        <f>INDEX(IC!AR:AR,MATCH(C13,IC!B:B,0))</f>
        <v>#N/A</v>
      </c>
      <c r="T13" s="1558" t="e">
        <f>INDEX(IC!AW:AW,MATCH(C13,IC!B:B,0))</f>
        <v>#N/A</v>
      </c>
      <c r="U13" s="1230" t="e">
        <f>INDEX(IC!AS:AS,MATCH(C13,IC!B:B,0))</f>
        <v>#N/A</v>
      </c>
      <c r="V13" s="261">
        <f>IFERROR(INDEX(AA!$GA:$GA,MATCH($C13,AA!$C:$C,0)),0)</f>
        <v>0</v>
      </c>
      <c r="W13" s="1558">
        <f>IFERROR(V13/INDEX(AO!$CI:$CI,MATCH($C13,AO!$C:$C,0)),0)</f>
        <v>0</v>
      </c>
      <c r="X13" s="1558">
        <f>IFERROR(V13/INDEX(AO!$CS:$CS,MATCH($C13,AO!$C:$C,0)),0)</f>
        <v>0</v>
      </c>
      <c r="Y13" s="1557">
        <f>IFERROR(INDEX(AO!$CN:$CN,MATCH($C13,AO!$C:$C,0))/V13,0)</f>
        <v>0</v>
      </c>
      <c r="Z13" s="261">
        <f>IFERROR(V13/INDEX(AO!$CA:$CA,MATCH($C13,AO!$C:$C,0)),0)</f>
        <v>0</v>
      </c>
      <c r="AB13" t="str">
        <f t="shared" si="1"/>
        <v>5 - 1</v>
      </c>
      <c r="AC13" s="18"/>
    </row>
    <row r="14" spans="1:184">
      <c r="B14" s="1563">
        <v>6</v>
      </c>
      <c r="C14" s="1563" t="e">
        <f>INDEX(IC!B:B,MATCH(B14,IC!AY:AY,0))</f>
        <v>#N/A</v>
      </c>
      <c r="D14" s="1257">
        <f>IFERROR(INDEX(AA!$AC:$AC,MATCH($C14,AA!$C:$C,0)),0)</f>
        <v>0</v>
      </c>
      <c r="E14" s="1257" t="e">
        <f>INDEX(IC!G:G,MATCH(AL!C14,IC!B:B,0))</f>
        <v>#N/A</v>
      </c>
      <c r="F14" s="1257">
        <f>IFERROR(INDEX(AA!$AK:$AK,MATCH($C14,AA!$C:$C,0)),0)</f>
        <v>0</v>
      </c>
      <c r="G14" s="1257">
        <f>IFERROR(INDEX(AO!$Q:$Q,MATCH($C14,AO!$C:$C,0)),0)</f>
        <v>0</v>
      </c>
      <c r="H14" s="1257">
        <f>IFERROR(INDEX(AO!$Q:$Q,MATCH($C14,AO!$C:$C,0))-INDEX(AO!$BE$18:$BE$20,MATCH($C14,AO!$C$18:$C$20,0)),0)</f>
        <v>0</v>
      </c>
      <c r="I14" s="1559">
        <f t="shared" si="2"/>
        <v>0</v>
      </c>
      <c r="J14" s="1257">
        <f>IFERROR(INDEX(AO!$Y:$Y,MATCH($C14,AO!$C:$C,0)),0)</f>
        <v>0</v>
      </c>
      <c r="K14" s="1257">
        <f>IFERROR(INDEX(AO!$AI:$AI,MATCH($C14,AO!$C:$C,0)),0)</f>
        <v>0</v>
      </c>
      <c r="L14" s="1560">
        <f>IFERROR(INDEX(AO!$AP:$AP,MATCH($C14,AO!$C:$C,0)),0)</f>
        <v>0</v>
      </c>
      <c r="M14" s="1559">
        <f>IFERROR(SUMIFS(TA!$AJ$15:$AJ$17,TA!$U$15:$U$17,"*FMCG*",TA!$C$15:$C$17,$B14)/SUMIFS(TA!$AJ$15:$AJ$17,TA!$C$15:$C$17,$B14),0)</f>
        <v>0</v>
      </c>
      <c r="N14" s="1257">
        <f>IFERROR(INDEX(AA!$AN:$AN,MATCH($C14,AA!$C:$C,0)),0)</f>
        <v>0</v>
      </c>
      <c r="O14" s="1259" t="e">
        <f>DATEDIF(GA!$G$56,INDEX(RR!$N:$N,MATCH(AB14,RR!$E:$E,0)),"D")/365</f>
        <v>#N/A</v>
      </c>
      <c r="P14" s="1257">
        <f>IFERROR(INDEX(AO!$CV:$CV,MATCH($C14,AO!$C:$C,0)),0)</f>
        <v>0</v>
      </c>
      <c r="Q14" s="1257">
        <f>IFERROR(INDEX(AO!$CZ:$CZ,MATCH($C14,AO!$C:$C,0)),0)</f>
        <v>0</v>
      </c>
      <c r="R14" s="1561">
        <f>IFERROR(INDEX(AO!$DC:$DC,MATCH($C14,AO!$C:$C,0)),0)</f>
        <v>0</v>
      </c>
      <c r="S14" s="1561" t="e">
        <f>INDEX(IC!AR:AR,MATCH(C14,IC!B:B,0))</f>
        <v>#N/A</v>
      </c>
      <c r="T14" s="1562" t="e">
        <f>INDEX(IC!AW:AW,MATCH(C14,IC!B:B,0))</f>
        <v>#N/A</v>
      </c>
      <c r="U14" s="1561" t="e">
        <f>INDEX(IC!AS:AS,MATCH(C14,IC!B:B,0))</f>
        <v>#N/A</v>
      </c>
      <c r="V14" s="1257">
        <f>IFERROR(INDEX(AA!$GA:$GA,MATCH($C14,AA!$C:$C,0)),0)</f>
        <v>0</v>
      </c>
      <c r="W14" s="1562">
        <f>IFERROR(V14/INDEX(AO!$CI:$CI,MATCH($C14,AO!$C:$C,0)),0)</f>
        <v>0</v>
      </c>
      <c r="X14" s="1562">
        <f>IFERROR(V14/INDEX(AO!$CS:$CS,MATCH($C14,AO!$C:$C,0)),0)</f>
        <v>0</v>
      </c>
      <c r="Y14" s="1559">
        <f>IFERROR(INDEX(AO!$CN:$CN,MATCH($C14,AO!$C:$C,0))/V14,0)</f>
        <v>0</v>
      </c>
      <c r="Z14" s="1257">
        <f>IFERROR(V14/INDEX(AO!$CA:$CA,MATCH($C14,AO!$C:$C,0)),0)</f>
        <v>0</v>
      </c>
      <c r="AB14" t="str">
        <f t="shared" si="1"/>
        <v>6 - 1</v>
      </c>
      <c r="AC14" s="18"/>
    </row>
    <row r="15" spans="1:184">
      <c r="B15" s="1434">
        <v>7</v>
      </c>
      <c r="C15" s="1434" t="e">
        <f>INDEX(IC!B:B,MATCH(B15,IC!AY:AY,0))</f>
        <v>#N/A</v>
      </c>
      <c r="D15" s="261">
        <f>IFERROR(INDEX(AA!$AC:$AC,MATCH($C15,AA!$C:$C,0)),0)</f>
        <v>0</v>
      </c>
      <c r="E15" s="261" t="e">
        <f>INDEX(IC!G:G,MATCH(AL!C15,IC!B:B,0))</f>
        <v>#N/A</v>
      </c>
      <c r="F15" s="261">
        <f>IFERROR(INDEX(AA!$AK:$AK,MATCH($C15,AA!$C:$C,0)),0)</f>
        <v>0</v>
      </c>
      <c r="G15" s="261">
        <f>IFERROR(INDEX(AO!$Q:$Q,MATCH($C15,AO!$C:$C,0)),0)</f>
        <v>0</v>
      </c>
      <c r="H15" s="261">
        <f>IFERROR(INDEX(AO!$Q:$Q,MATCH($C15,AO!$C:$C,0))-INDEX(AO!$BE$18:$BE$20,MATCH($C15,AO!$C$18:$C$20,0)),0)</f>
        <v>0</v>
      </c>
      <c r="I15" s="1557">
        <f t="shared" si="2"/>
        <v>0</v>
      </c>
      <c r="J15" s="261">
        <f>IFERROR(INDEX(AO!$Y:$Y,MATCH($C15,AO!$C:$C,0)),0)</f>
        <v>0</v>
      </c>
      <c r="K15" s="261">
        <f>IFERROR(INDEX(AO!$AI:$AI,MATCH($C15,AO!$C:$C,0)),0)</f>
        <v>0</v>
      </c>
      <c r="L15" s="1556">
        <f>IFERROR(INDEX(AO!$AP:$AP,MATCH($C15,AO!$C:$C,0)),0)</f>
        <v>0</v>
      </c>
      <c r="M15" s="1557">
        <f>IFERROR(SUMIFS(TA!$AJ$15:$AJ$17,TA!$U$15:$U$17,"*FMCG*",TA!$C$15:$C$17,$B15)/SUMIFS(TA!$AJ$15:$AJ$17,TA!$C$15:$C$17,$B15),0)</f>
        <v>0</v>
      </c>
      <c r="N15" s="261">
        <f>IFERROR(INDEX(AA!$AN:$AN,MATCH($C15,AA!$C:$C,0)),0)</f>
        <v>0</v>
      </c>
      <c r="O15" s="1252" t="e">
        <f>DATEDIF(GA!$G$56,INDEX(RR!$N:$N,MATCH(AB15,RR!$E:$E,0)),"D")/365</f>
        <v>#N/A</v>
      </c>
      <c r="P15" s="261">
        <f>IFERROR(INDEX(AO!$CV:$CV,MATCH($C15,AO!$C:$C,0)),0)</f>
        <v>0</v>
      </c>
      <c r="Q15" s="261">
        <f>IFERROR(INDEX(AO!$CZ:$CZ,MATCH($C15,AO!$C:$C,0)),0)</f>
        <v>0</v>
      </c>
      <c r="R15" s="1230">
        <f>IFERROR(INDEX(AO!$DC:$DC,MATCH($C15,AO!$C:$C,0)),0)</f>
        <v>0</v>
      </c>
      <c r="S15" s="1230" t="e">
        <f>INDEX(IC!AR:AR,MATCH(C15,IC!B:B,0))</f>
        <v>#N/A</v>
      </c>
      <c r="T15" s="1558" t="e">
        <f>INDEX(IC!AW:AW,MATCH(C15,IC!B:B,0))</f>
        <v>#N/A</v>
      </c>
      <c r="U15" s="1230" t="e">
        <f>INDEX(IC!AS:AS,MATCH(C15,IC!B:B,0))</f>
        <v>#N/A</v>
      </c>
      <c r="V15" s="261">
        <f>IFERROR(INDEX(AA!$GA:$GA,MATCH($C15,AA!$C:$C,0)),0)</f>
        <v>0</v>
      </c>
      <c r="W15" s="1558">
        <f>IFERROR(V15/INDEX(AO!$CI:$CI,MATCH($C15,AO!$C:$C,0)),0)</f>
        <v>0</v>
      </c>
      <c r="X15" s="1558">
        <f>IFERROR(V15/INDEX(AO!$CS:$CS,MATCH($C15,AO!$C:$C,0)),0)</f>
        <v>0</v>
      </c>
      <c r="Y15" s="1557">
        <f>IFERROR(INDEX(AO!$CN:$CN,MATCH($C15,AO!$C:$C,0))/V15,0)</f>
        <v>0</v>
      </c>
      <c r="Z15" s="261">
        <f>IFERROR(V15/INDEX(AO!$CA:$CA,MATCH($C15,AO!$C:$C,0)),0)</f>
        <v>0</v>
      </c>
      <c r="AB15" t="str">
        <f t="shared" si="1"/>
        <v>7 - 1</v>
      </c>
      <c r="AC15" s="18"/>
    </row>
    <row r="16" spans="1:184">
      <c r="B16" s="1563">
        <v>8</v>
      </c>
      <c r="C16" s="1563" t="e">
        <f>INDEX(IC!B:B,MATCH(B16,IC!AY:AY,0))</f>
        <v>#N/A</v>
      </c>
      <c r="D16" s="1257">
        <f>IFERROR(INDEX(AA!$AC:$AC,MATCH($C16,AA!$C:$C,0)),0)</f>
        <v>0</v>
      </c>
      <c r="E16" s="1257" t="e">
        <f>INDEX(IC!G:G,MATCH(AL!C16,IC!B:B,0))</f>
        <v>#N/A</v>
      </c>
      <c r="F16" s="1257">
        <f>IFERROR(INDEX(AA!$AK:$AK,MATCH($C16,AA!$C:$C,0)),0)</f>
        <v>0</v>
      </c>
      <c r="G16" s="1257">
        <f>IFERROR(INDEX(AO!$Q:$Q,MATCH($C16,AO!$C:$C,0)),0)</f>
        <v>0</v>
      </c>
      <c r="H16" s="1257">
        <f>IFERROR(INDEX(AO!$Q:$Q,MATCH($C16,AO!$C:$C,0))-INDEX(AO!$BE$18:$BE$20,MATCH($C16,AO!$C$18:$C$20,0)),0)</f>
        <v>0</v>
      </c>
      <c r="I16" s="1559">
        <f t="shared" si="2"/>
        <v>0</v>
      </c>
      <c r="J16" s="1257">
        <f>IFERROR(INDEX(AO!$Y:$Y,MATCH($C16,AO!$C:$C,0)),0)</f>
        <v>0</v>
      </c>
      <c r="K16" s="1257">
        <f>IFERROR(INDEX(AO!$AI:$AI,MATCH($C16,AO!$C:$C,0)),0)</f>
        <v>0</v>
      </c>
      <c r="L16" s="1560">
        <f>IFERROR(INDEX(AO!$AP:$AP,MATCH($C16,AO!$C:$C,0)),0)</f>
        <v>0</v>
      </c>
      <c r="M16" s="1559">
        <f>IFERROR(SUMIFS(TA!$AJ$15:$AJ$17,TA!$U$15:$U$17,"*FMCG*",TA!$C$15:$C$17,$B16)/SUMIFS(TA!$AJ$15:$AJ$17,TA!$C$15:$C$17,$B16),0)</f>
        <v>0</v>
      </c>
      <c r="N16" s="1257">
        <f>IFERROR(INDEX(AA!$AN:$AN,MATCH($C16,AA!$C:$C,0)),0)</f>
        <v>0</v>
      </c>
      <c r="O16" s="1259" t="e">
        <f>DATEDIF(GA!$G$56,INDEX(RR!$N:$N,MATCH(AB16,RR!$E:$E,0)),"D")/365</f>
        <v>#N/A</v>
      </c>
      <c r="P16" s="1257">
        <f>IFERROR(INDEX(AO!$CV:$CV,MATCH($C16,AO!$C:$C,0)),0)</f>
        <v>0</v>
      </c>
      <c r="Q16" s="1257">
        <f>IFERROR(INDEX(AO!$CZ:$CZ,MATCH($C16,AO!$C:$C,0)),0)</f>
        <v>0</v>
      </c>
      <c r="R16" s="1561">
        <f>IFERROR(INDEX(AO!$DC:$DC,MATCH($C16,AO!$C:$C,0)),0)</f>
        <v>0</v>
      </c>
      <c r="S16" s="1561" t="e">
        <f>INDEX(IC!AR:AR,MATCH(C16,IC!B:B,0))</f>
        <v>#N/A</v>
      </c>
      <c r="T16" s="1562" t="e">
        <f>INDEX(IC!AW:AW,MATCH(C16,IC!B:B,0))</f>
        <v>#N/A</v>
      </c>
      <c r="U16" s="1561" t="e">
        <f>INDEX(IC!AS:AS,MATCH(C16,IC!B:B,0))</f>
        <v>#N/A</v>
      </c>
      <c r="V16" s="1257">
        <f>IFERROR(INDEX(AA!$GA:$GA,MATCH($C16,AA!$C:$C,0)),0)</f>
        <v>0</v>
      </c>
      <c r="W16" s="1562">
        <f>IFERROR(V16/INDEX(AO!$CI:$CI,MATCH($C16,AO!$C:$C,0)),0)</f>
        <v>0</v>
      </c>
      <c r="X16" s="1562">
        <f>IFERROR(V16/INDEX(AO!$CS:$CS,MATCH($C16,AO!$C:$C,0)),0)</f>
        <v>0</v>
      </c>
      <c r="Y16" s="1559">
        <f>IFERROR(INDEX(AO!$CN:$CN,MATCH($C16,AO!$C:$C,0))/V16,0)</f>
        <v>0</v>
      </c>
      <c r="Z16" s="1257">
        <f>IFERROR(V16/INDEX(AO!$CA:$CA,MATCH($C16,AO!$C:$C,0)),0)</f>
        <v>0</v>
      </c>
      <c r="AB16" t="str">
        <f t="shared" si="1"/>
        <v>8 - 1</v>
      </c>
      <c r="AC16" s="18"/>
    </row>
    <row r="17" spans="2:29">
      <c r="B17" s="1434">
        <v>9</v>
      </c>
      <c r="C17" s="1434" t="e">
        <f>INDEX(IC!B:B,MATCH(B17,IC!AY:AY,0))</f>
        <v>#N/A</v>
      </c>
      <c r="D17" s="261">
        <f>IFERROR(INDEX(AA!$AC:$AC,MATCH($C17,AA!$C:$C,0)),0)</f>
        <v>0</v>
      </c>
      <c r="E17" s="261" t="e">
        <f>INDEX(IC!G:G,MATCH(AL!C17,IC!B:B,0))</f>
        <v>#N/A</v>
      </c>
      <c r="F17" s="261">
        <f>IFERROR(INDEX(AA!$AK:$AK,MATCH($C17,AA!$C:$C,0)),0)</f>
        <v>0</v>
      </c>
      <c r="G17" s="261">
        <f>IFERROR(INDEX(AO!$Q:$Q,MATCH($C17,AO!$C:$C,0)),0)</f>
        <v>0</v>
      </c>
      <c r="H17" s="261">
        <f>IFERROR(INDEX(AO!$Q:$Q,MATCH($C17,AO!$C:$C,0))-INDEX(AO!$BE$18:$BE$20,MATCH($C17,AO!$C$18:$C$20,0)),0)</f>
        <v>0</v>
      </c>
      <c r="I17" s="1557">
        <f t="shared" si="2"/>
        <v>0</v>
      </c>
      <c r="J17" s="261">
        <f>IFERROR(INDEX(AO!$Y:$Y,MATCH($C17,AO!$C:$C,0)),0)</f>
        <v>0</v>
      </c>
      <c r="K17" s="261">
        <f>IFERROR(INDEX(AO!$AI:$AI,MATCH($C17,AO!$C:$C,0)),0)</f>
        <v>0</v>
      </c>
      <c r="L17" s="1556">
        <f>IFERROR(INDEX(AO!$AP:$AP,MATCH($C17,AO!$C:$C,0)),0)</f>
        <v>0</v>
      </c>
      <c r="M17" s="1557">
        <f>IFERROR(SUMIFS(TA!$AJ$15:$AJ$17,TA!$U$15:$U$17,"*FMCG*",TA!$C$15:$C$17,$B17)/SUMIFS(TA!$AJ$15:$AJ$17,TA!$C$15:$C$17,$B17),0)</f>
        <v>0</v>
      </c>
      <c r="N17" s="261">
        <f>IFERROR(INDEX(AA!$AN:$AN,MATCH($C17,AA!$C:$C,0)),0)</f>
        <v>0</v>
      </c>
      <c r="O17" s="1252" t="e">
        <f>DATEDIF(GA!$G$56,INDEX(RR!$N:$N,MATCH(AB17,RR!$E:$E,0)),"D")/365</f>
        <v>#N/A</v>
      </c>
      <c r="P17" s="261">
        <f>IFERROR(INDEX(AO!$CV:$CV,MATCH($C17,AO!$C:$C,0)),0)</f>
        <v>0</v>
      </c>
      <c r="Q17" s="261">
        <f>IFERROR(INDEX(AO!$CZ:$CZ,MATCH($C17,AO!$C:$C,0)),0)</f>
        <v>0</v>
      </c>
      <c r="R17" s="1230">
        <f>IFERROR(INDEX(AO!$DC:$DC,MATCH($C17,AO!$C:$C,0)),0)</f>
        <v>0</v>
      </c>
      <c r="S17" s="1230" t="e">
        <f>INDEX(IC!AR:AR,MATCH(C17,IC!B:B,0))</f>
        <v>#N/A</v>
      </c>
      <c r="T17" s="1558" t="e">
        <f>INDEX(IC!AW:AW,MATCH(C17,IC!B:B,0))</f>
        <v>#N/A</v>
      </c>
      <c r="U17" s="1230" t="e">
        <f>INDEX(IC!AS:AS,MATCH(C17,IC!B:B,0))</f>
        <v>#N/A</v>
      </c>
      <c r="V17" s="261">
        <f>IFERROR(INDEX(AA!$GA:$GA,MATCH($C17,AA!$C:$C,0)),0)</f>
        <v>0</v>
      </c>
      <c r="W17" s="1558">
        <f>IFERROR(V17/INDEX(AO!$CI:$CI,MATCH($C17,AO!$C:$C,0)),0)</f>
        <v>0</v>
      </c>
      <c r="X17" s="1558">
        <f>IFERROR(V17/INDEX(AO!$CS:$CS,MATCH($C17,AO!$C:$C,0)),0)</f>
        <v>0</v>
      </c>
      <c r="Y17" s="1557">
        <f>IFERROR(INDEX(AO!$CN:$CN,MATCH($C17,AO!$C:$C,0))/V17,0)</f>
        <v>0</v>
      </c>
      <c r="Z17" s="261">
        <f>IFERROR(V17/INDEX(AO!$CA:$CA,MATCH($C17,AO!$C:$C,0)),0)</f>
        <v>0</v>
      </c>
      <c r="AB17" t="str">
        <f t="shared" si="1"/>
        <v>9 - 1</v>
      </c>
      <c r="AC17" s="18"/>
    </row>
    <row r="18" spans="2:29">
      <c r="B18" s="1563">
        <v>10</v>
      </c>
      <c r="C18" s="1563" t="e">
        <f>INDEX(IC!B:B,MATCH(B18,IC!AY:AY,0))</f>
        <v>#N/A</v>
      </c>
      <c r="D18" s="1257">
        <f>IFERROR(INDEX(AA!$AC:$AC,MATCH($C18,AA!$C:$C,0)),0)</f>
        <v>0</v>
      </c>
      <c r="E18" s="1257" t="e">
        <f>INDEX(IC!G:G,MATCH(AL!C18,IC!B:B,0))</f>
        <v>#N/A</v>
      </c>
      <c r="F18" s="1257">
        <f>IFERROR(INDEX(AA!$AK:$AK,MATCH($C18,AA!$C:$C,0)),0)</f>
        <v>0</v>
      </c>
      <c r="G18" s="1257">
        <f>IFERROR(INDEX(AO!$Q:$Q,MATCH($C18,AO!$C:$C,0)),0)</f>
        <v>0</v>
      </c>
      <c r="H18" s="1257">
        <f>IFERROR(INDEX(AO!$Q:$Q,MATCH($C18,AO!$C:$C,0))-INDEX(AO!$BE$18:$BE$20,MATCH($C18,AO!$C$18:$C$20,0)),0)</f>
        <v>0</v>
      </c>
      <c r="I18" s="1559">
        <f t="shared" si="2"/>
        <v>0</v>
      </c>
      <c r="J18" s="1257">
        <f>IFERROR(INDEX(AO!$Y:$Y,MATCH($C18,AO!$C:$C,0)),0)</f>
        <v>0</v>
      </c>
      <c r="K18" s="1257">
        <f>IFERROR(INDEX(AO!$AI:$AI,MATCH($C18,AO!$C:$C,0)),0)</f>
        <v>0</v>
      </c>
      <c r="L18" s="1560">
        <f>IFERROR(INDEX(AO!$AP:$AP,MATCH($C18,AO!$C:$C,0)),0)</f>
        <v>0</v>
      </c>
      <c r="M18" s="1559">
        <f>IFERROR(SUMIFS(TA!$AJ$15:$AJ$17,TA!$U$15:$U$17,"*FMCG*",TA!$C$15:$C$17,$B18)/SUMIFS(TA!$AJ$15:$AJ$17,TA!$C$15:$C$17,$B18),0)</f>
        <v>0</v>
      </c>
      <c r="N18" s="1257">
        <f>IFERROR(INDEX(AA!$AN:$AN,MATCH($C18,AA!$C:$C,0)),0)</f>
        <v>0</v>
      </c>
      <c r="O18" s="1259" t="e">
        <f>DATEDIF(GA!$G$56,INDEX(RR!$N:$N,MATCH(AB18,RR!$E:$E,0)),"D")/365</f>
        <v>#N/A</v>
      </c>
      <c r="P18" s="1257">
        <f>IFERROR(INDEX(AO!$CV:$CV,MATCH($C18,AO!$C:$C,0)),0)</f>
        <v>0</v>
      </c>
      <c r="Q18" s="1257">
        <f>IFERROR(INDEX(AO!$CZ:$CZ,MATCH($C18,AO!$C:$C,0)),0)</f>
        <v>0</v>
      </c>
      <c r="R18" s="1561">
        <f>IFERROR(INDEX(AO!$DC:$DC,MATCH($C18,AO!$C:$C,0)),0)</f>
        <v>0</v>
      </c>
      <c r="S18" s="1561" t="e">
        <f>INDEX(IC!AR:AR,MATCH(C18,IC!B:B,0))</f>
        <v>#N/A</v>
      </c>
      <c r="T18" s="1562" t="e">
        <f>INDEX(IC!AW:AW,MATCH(C18,IC!B:B,0))</f>
        <v>#N/A</v>
      </c>
      <c r="U18" s="1561" t="e">
        <f>INDEX(IC!AS:AS,MATCH(C18,IC!B:B,0))</f>
        <v>#N/A</v>
      </c>
      <c r="V18" s="1257">
        <f>IFERROR(INDEX(AA!$GA:$GA,MATCH($C18,AA!$C:$C,0)),0)</f>
        <v>0</v>
      </c>
      <c r="W18" s="1562">
        <f>IFERROR(V18/INDEX(AO!$CI:$CI,MATCH($C18,AO!$C:$C,0)),0)</f>
        <v>0</v>
      </c>
      <c r="X18" s="1562">
        <f>IFERROR(V18/INDEX(AO!$CS:$CS,MATCH($C18,AO!$C:$C,0)),0)</f>
        <v>0</v>
      </c>
      <c r="Y18" s="1559">
        <f>IFERROR(INDEX(AO!$CN:$CN,MATCH($C18,AO!$C:$C,0))/V18,0)</f>
        <v>0</v>
      </c>
      <c r="Z18" s="1257">
        <f>IFERROR(V18/INDEX(AO!$CA:$CA,MATCH($C18,AO!$C:$C,0)),0)</f>
        <v>0</v>
      </c>
      <c r="AB18" t="str">
        <f t="shared" si="1"/>
        <v>10 - 1</v>
      </c>
      <c r="AC18" s="18"/>
    </row>
    <row r="19" spans="2:29" outlineLevel="1">
      <c r="B19" s="1434">
        <v>11</v>
      </c>
      <c r="C19" s="1434" t="e">
        <f>INDEX(IC!B:B,MATCH(B19,IC!AY:AY,0))</f>
        <v>#N/A</v>
      </c>
      <c r="D19" s="261">
        <f>IFERROR(INDEX(AA!$AC:$AC,MATCH($C19,AA!$C:$C,0)),0)</f>
        <v>0</v>
      </c>
      <c r="E19" s="261" t="e">
        <f>INDEX(IC!G:G,MATCH(AL!C19,IC!B:B,0))</f>
        <v>#N/A</v>
      </c>
      <c r="F19" s="261">
        <f>IFERROR(INDEX(AA!$AK:$AK,MATCH($C19,AA!$C:$C,0)),0)</f>
        <v>0</v>
      </c>
      <c r="G19" s="261">
        <f>IFERROR(INDEX(AO!$Q:$Q,MATCH($C19,AO!$C:$C,0)),0)</f>
        <v>0</v>
      </c>
      <c r="H19" s="261">
        <f>IFERROR(INDEX(AO!$Q:$Q,MATCH($C19,AO!$C:$C,0))-INDEX(AO!$BE$18:$BE$20,MATCH($C19,AO!$C$18:$C$20,0)),0)</f>
        <v>0</v>
      </c>
      <c r="I19" s="1557">
        <f t="shared" si="2"/>
        <v>0</v>
      </c>
      <c r="J19" s="261">
        <f>IFERROR(INDEX(AO!$Y:$Y,MATCH($C19,AO!$C:$C,0)),0)</f>
        <v>0</v>
      </c>
      <c r="K19" s="261">
        <f>IFERROR(INDEX(AO!$AI:$AI,MATCH($C19,AO!$C:$C,0)),0)</f>
        <v>0</v>
      </c>
      <c r="L19" s="1556">
        <f>IFERROR(INDEX(AO!$AP:$AP,MATCH($C19,AO!$C:$C,0)),0)</f>
        <v>0</v>
      </c>
      <c r="M19" s="1557">
        <f>IFERROR(SUMIFS(TA!$AJ$15:$AJ$17,TA!$U$15:$U$17,"*FMCG*",TA!$C$15:$C$17,$B19)/SUMIFS(TA!$AJ$15:$AJ$17,TA!$C$15:$C$17,$B19),0)</f>
        <v>0</v>
      </c>
      <c r="N19" s="261">
        <f>IFERROR(INDEX(AA!$AN:$AN,MATCH($C19,AA!$C:$C,0)),0)</f>
        <v>0</v>
      </c>
      <c r="O19" s="1252" t="e">
        <f>DATEDIF(GA!$G$56,INDEX(RR!$N:$N,MATCH(AB19,RR!$E:$E,0)),"D")/365</f>
        <v>#N/A</v>
      </c>
      <c r="P19" s="261">
        <f>IFERROR(INDEX(AO!$CV:$CV,MATCH($C19,AO!$C:$C,0)),0)</f>
        <v>0</v>
      </c>
      <c r="Q19" s="261">
        <f>IFERROR(INDEX(AO!$CZ:$CZ,MATCH($C19,AO!$C:$C,0)),0)</f>
        <v>0</v>
      </c>
      <c r="R19" s="1230">
        <f>IFERROR(INDEX(AO!$DC:$DC,MATCH($C19,AO!$C:$C,0)),0)</f>
        <v>0</v>
      </c>
      <c r="S19" s="1230" t="e">
        <f>INDEX(IC!AR:AR,MATCH(C19,IC!B:B,0))</f>
        <v>#N/A</v>
      </c>
      <c r="T19" s="1558" t="e">
        <f>INDEX(IC!AW:AW,MATCH(C19,IC!B:B,0))</f>
        <v>#N/A</v>
      </c>
      <c r="U19" s="1230" t="e">
        <f>INDEX(IC!AS:AS,MATCH(C19,IC!B:B,0))</f>
        <v>#N/A</v>
      </c>
      <c r="V19" s="261">
        <f>IFERROR(INDEX(AA!$GA:$GA,MATCH($C19,AA!$C:$C,0)),0)</f>
        <v>0</v>
      </c>
      <c r="W19" s="1558">
        <f>IFERROR(V19/INDEX(AO!$CI:$CI,MATCH($C19,AO!$C:$C,0)),0)</f>
        <v>0</v>
      </c>
      <c r="X19" s="1558">
        <f>IFERROR(V19/INDEX(AO!$CS:$CS,MATCH($C19,AO!$C:$C,0)),0)</f>
        <v>0</v>
      </c>
      <c r="Y19" s="1557">
        <f>IFERROR(INDEX(AO!$CN:$CN,MATCH($C19,AO!$C:$C,0))/V19,0)</f>
        <v>0</v>
      </c>
      <c r="Z19" s="261">
        <f>IFERROR(V19/INDEX(AO!$CA:$CA,MATCH($C19,AO!$C:$C,0)),0)</f>
        <v>0</v>
      </c>
      <c r="AB19" t="str">
        <f t="shared" si="1"/>
        <v>11 - 1</v>
      </c>
      <c r="AC19" s="18"/>
    </row>
    <row r="20" spans="2:29" outlineLevel="1">
      <c r="B20" s="1563">
        <v>12</v>
      </c>
      <c r="C20" s="1563" t="e">
        <f>INDEX(IC!B:B,MATCH(B20,IC!AY:AY,0))</f>
        <v>#N/A</v>
      </c>
      <c r="D20" s="1257">
        <f>IFERROR(INDEX(AA!$AC:$AC,MATCH($C20,AA!$C:$C,0)),0)</f>
        <v>0</v>
      </c>
      <c r="E20" s="1257" t="e">
        <f>INDEX(IC!G:G,MATCH(AL!C20,IC!B:B,0))</f>
        <v>#N/A</v>
      </c>
      <c r="F20" s="1257">
        <f>IFERROR(INDEX(AA!$AK:$AK,MATCH($C20,AA!$C:$C,0)),0)</f>
        <v>0</v>
      </c>
      <c r="G20" s="1257">
        <f>IFERROR(INDEX(AO!$Q:$Q,MATCH($C20,AO!$C:$C,0)),0)</f>
        <v>0</v>
      </c>
      <c r="H20" s="1257">
        <f>IFERROR(INDEX(AO!$Q:$Q,MATCH($C20,AO!$C:$C,0))-INDEX(AO!$BE$18:$BE$20,MATCH($C20,AO!$C$18:$C$20,0)),0)</f>
        <v>0</v>
      </c>
      <c r="I20" s="1559">
        <f t="shared" si="2"/>
        <v>0</v>
      </c>
      <c r="J20" s="1257">
        <f>IFERROR(INDEX(AO!$Y:$Y,MATCH($C20,AO!$C:$C,0)),0)</f>
        <v>0</v>
      </c>
      <c r="K20" s="1257">
        <f>IFERROR(INDEX(AO!$AI:$AI,MATCH($C20,AO!$C:$C,0)),0)</f>
        <v>0</v>
      </c>
      <c r="L20" s="1560">
        <f>IFERROR(INDEX(AO!$AP:$AP,MATCH($C20,AO!$C:$C,0)),0)</f>
        <v>0</v>
      </c>
      <c r="M20" s="1559">
        <f>IFERROR(SUMIFS(TA!$AJ$15:$AJ$17,TA!$U$15:$U$17,"*FMCG*",TA!$C$15:$C$17,$B20)/SUMIFS(TA!$AJ$15:$AJ$17,TA!$C$15:$C$17,$B20),0)</f>
        <v>0</v>
      </c>
      <c r="N20" s="1257">
        <f>IFERROR(INDEX(AA!$AN:$AN,MATCH($C20,AA!$C:$C,0)),0)</f>
        <v>0</v>
      </c>
      <c r="O20" s="1259" t="e">
        <f>DATEDIF(GA!$G$56,INDEX(RR!$N:$N,MATCH(AB20,RR!$E:$E,0)),"D")/365</f>
        <v>#N/A</v>
      </c>
      <c r="P20" s="1257">
        <f>IFERROR(INDEX(AO!$CV:$CV,MATCH($C20,AO!$C:$C,0)),0)</f>
        <v>0</v>
      </c>
      <c r="Q20" s="1257">
        <f>IFERROR(INDEX(AO!$CZ:$CZ,MATCH($C20,AO!$C:$C,0)),0)</f>
        <v>0</v>
      </c>
      <c r="R20" s="1561">
        <f>IFERROR(INDEX(AO!$DC:$DC,MATCH($C20,AO!$C:$C,0)),0)</f>
        <v>0</v>
      </c>
      <c r="S20" s="1561" t="e">
        <f>INDEX(IC!AR:AR,MATCH(C20,IC!B:B,0))</f>
        <v>#N/A</v>
      </c>
      <c r="T20" s="1562" t="e">
        <f>INDEX(IC!AW:AW,MATCH(C20,IC!B:B,0))</f>
        <v>#N/A</v>
      </c>
      <c r="U20" s="1561" t="e">
        <f>INDEX(IC!AS:AS,MATCH(C20,IC!B:B,0))</f>
        <v>#N/A</v>
      </c>
      <c r="V20" s="1257">
        <f>IFERROR(INDEX(AA!$GA:$GA,MATCH($C20,AA!$C:$C,0)),0)</f>
        <v>0</v>
      </c>
      <c r="W20" s="1562">
        <f>IFERROR(V20/INDEX(AO!$CI:$CI,MATCH($C20,AO!$C:$C,0)),0)</f>
        <v>0</v>
      </c>
      <c r="X20" s="1562">
        <f>IFERROR(V20/INDEX(AO!$CS:$CS,MATCH($C20,AO!$C:$C,0)),0)</f>
        <v>0</v>
      </c>
      <c r="Y20" s="1559">
        <f>IFERROR(INDEX(AO!$CN:$CN,MATCH($C20,AO!$C:$C,0))/V20,0)</f>
        <v>0</v>
      </c>
      <c r="Z20" s="1257">
        <f>IFERROR(V20/INDEX(AO!$CA:$CA,MATCH($C20,AO!$C:$C,0)),0)</f>
        <v>0</v>
      </c>
      <c r="AB20" t="str">
        <f t="shared" si="1"/>
        <v>12 - 1</v>
      </c>
      <c r="AC20" s="18"/>
    </row>
    <row r="21" spans="2:29" outlineLevel="1">
      <c r="B21" s="1434">
        <v>13</v>
      </c>
      <c r="C21" s="1434" t="e">
        <f>INDEX(IC!B:B,MATCH(B21,IC!AY:AY,0))</f>
        <v>#N/A</v>
      </c>
      <c r="D21" s="261">
        <f>IFERROR(INDEX(AA!$AC:$AC,MATCH($C21,AA!$C:$C,0)),0)</f>
        <v>0</v>
      </c>
      <c r="E21" s="261" t="e">
        <f>INDEX(IC!G:G,MATCH(AL!C21,IC!B:B,0))</f>
        <v>#N/A</v>
      </c>
      <c r="F21" s="261">
        <f>IFERROR(INDEX(AA!$AK:$AK,MATCH($C21,AA!$C:$C,0)),0)</f>
        <v>0</v>
      </c>
      <c r="G21" s="261">
        <f>IFERROR(INDEX(AO!$Q:$Q,MATCH($C21,AO!$C:$C,0)),0)</f>
        <v>0</v>
      </c>
      <c r="H21" s="261">
        <f>IFERROR(INDEX(AO!$Q:$Q,MATCH($C21,AO!$C:$C,0))-INDEX(AO!$BE$18:$BE$20,MATCH($C21,AO!$C$18:$C$20,0)),0)</f>
        <v>0</v>
      </c>
      <c r="I21" s="1557">
        <f t="shared" si="2"/>
        <v>0</v>
      </c>
      <c r="J21" s="261">
        <f>IFERROR(INDEX(AO!$Y:$Y,MATCH($C21,AO!$C:$C,0)),0)</f>
        <v>0</v>
      </c>
      <c r="K21" s="261">
        <f>IFERROR(INDEX(AO!$AI:$AI,MATCH($C21,AO!$C:$C,0)),0)</f>
        <v>0</v>
      </c>
      <c r="L21" s="1556">
        <f>IFERROR(INDEX(AO!$AP:$AP,MATCH($C21,AO!$C:$C,0)),0)</f>
        <v>0</v>
      </c>
      <c r="M21" s="1557">
        <f>IFERROR(SUMIFS(TA!$AJ$15:$AJ$17,TA!$U$15:$U$17,"*FMCG*",TA!$C$15:$C$17,$B21)/SUMIFS(TA!$AJ$15:$AJ$17,TA!$C$15:$C$17,$B21),0)</f>
        <v>0</v>
      </c>
      <c r="N21" s="261">
        <f>IFERROR(INDEX(AA!$AN:$AN,MATCH($C21,AA!$C:$C,0)),0)</f>
        <v>0</v>
      </c>
      <c r="O21" s="1252" t="e">
        <f>DATEDIF(GA!$G$56,INDEX(RR!$N:$N,MATCH(AB21,RR!$E:$E,0)),"D")/365</f>
        <v>#N/A</v>
      </c>
      <c r="P21" s="261">
        <f>IFERROR(INDEX(AO!$CV:$CV,MATCH($C21,AO!$C:$C,0)),0)</f>
        <v>0</v>
      </c>
      <c r="Q21" s="261">
        <f>IFERROR(INDEX(AO!$CZ:$CZ,MATCH($C21,AO!$C:$C,0)),0)</f>
        <v>0</v>
      </c>
      <c r="R21" s="1230">
        <f>IFERROR(INDEX(AO!$DC:$DC,MATCH($C21,AO!$C:$C,0)),0)</f>
        <v>0</v>
      </c>
      <c r="S21" s="1230" t="e">
        <f>INDEX(IC!AR:AR,MATCH(C21,IC!B:B,0))</f>
        <v>#N/A</v>
      </c>
      <c r="T21" s="1558" t="e">
        <f>INDEX(IC!AW:AW,MATCH(C21,IC!B:B,0))</f>
        <v>#N/A</v>
      </c>
      <c r="U21" s="1230" t="e">
        <f>INDEX(IC!AS:AS,MATCH(C21,IC!B:B,0))</f>
        <v>#N/A</v>
      </c>
      <c r="V21" s="261">
        <f>IFERROR(INDEX(AA!$GA:$GA,MATCH($C21,AA!$C:$C,0)),0)</f>
        <v>0</v>
      </c>
      <c r="W21" s="1558">
        <f>IFERROR(V21/INDEX(AO!$CI:$CI,MATCH($C21,AO!$C:$C,0)),0)</f>
        <v>0</v>
      </c>
      <c r="X21" s="1558">
        <f>IFERROR(V21/INDEX(AO!$CS:$CS,MATCH($C21,AO!$C:$C,0)),0)</f>
        <v>0</v>
      </c>
      <c r="Y21" s="1557">
        <f>IFERROR(INDEX(AO!$CN:$CN,MATCH($C21,AO!$C:$C,0))/V21,0)</f>
        <v>0</v>
      </c>
      <c r="Z21" s="261">
        <f>IFERROR(V21/INDEX(AO!$CA:$CA,MATCH($C21,AO!$C:$C,0)),0)</f>
        <v>0</v>
      </c>
      <c r="AB21" t="str">
        <f t="shared" si="1"/>
        <v>13 - 1</v>
      </c>
      <c r="AC21" s="18"/>
    </row>
    <row r="22" spans="2:29" outlineLevel="1">
      <c r="B22" s="1563">
        <v>14</v>
      </c>
      <c r="C22" s="1563" t="e">
        <f>INDEX(IC!B:B,MATCH(B22,IC!AY:AY,0))</f>
        <v>#N/A</v>
      </c>
      <c r="D22" s="1257">
        <f>IFERROR(INDEX(AA!$AC:$AC,MATCH($C22,AA!$C:$C,0)),0)</f>
        <v>0</v>
      </c>
      <c r="E22" s="1257" t="e">
        <f>INDEX(IC!G:G,MATCH(AL!C22,IC!B:B,0))</f>
        <v>#N/A</v>
      </c>
      <c r="F22" s="1257">
        <f>IFERROR(INDEX(AA!$AK:$AK,MATCH($C22,AA!$C:$C,0)),0)</f>
        <v>0</v>
      </c>
      <c r="G22" s="1257">
        <f>IFERROR(INDEX(AO!$Q:$Q,MATCH($C22,AO!$C:$C,0)),0)</f>
        <v>0</v>
      </c>
      <c r="H22" s="1257">
        <f>IFERROR(INDEX(AO!$Q:$Q,MATCH($C22,AO!$C:$C,0))-INDEX(AO!$BE$18:$BE$20,MATCH($C22,AO!$C$18:$C$20,0)),0)</f>
        <v>0</v>
      </c>
      <c r="I22" s="1559">
        <f t="shared" si="2"/>
        <v>0</v>
      </c>
      <c r="J22" s="1257">
        <f>IFERROR(INDEX(AO!$Y:$Y,MATCH($C22,AO!$C:$C,0)),0)</f>
        <v>0</v>
      </c>
      <c r="K22" s="1257">
        <f>IFERROR(INDEX(AO!$AI:$AI,MATCH($C22,AO!$C:$C,0)),0)</f>
        <v>0</v>
      </c>
      <c r="L22" s="1560">
        <f>IFERROR(INDEX(AO!$AP:$AP,MATCH($C22,AO!$C:$C,0)),0)</f>
        <v>0</v>
      </c>
      <c r="M22" s="1559">
        <f>IFERROR(SUMIFS(TA!$AJ$15:$AJ$17,TA!$U$15:$U$17,"*FMCG*",TA!$C$15:$C$17,$B22)/SUMIFS(TA!$AJ$15:$AJ$17,TA!$C$15:$C$17,$B22),0)</f>
        <v>0</v>
      </c>
      <c r="N22" s="1257">
        <f>IFERROR(INDEX(AA!$AN:$AN,MATCH($C22,AA!$C:$C,0)),0)</f>
        <v>0</v>
      </c>
      <c r="O22" s="1259" t="e">
        <f>DATEDIF(GA!$G$56,INDEX(RR!$N:$N,MATCH(AB22,RR!$E:$E,0)),"D")/365</f>
        <v>#N/A</v>
      </c>
      <c r="P22" s="1257">
        <f>IFERROR(INDEX(AO!$CV:$CV,MATCH($C22,AO!$C:$C,0)),0)</f>
        <v>0</v>
      </c>
      <c r="Q22" s="1257">
        <f>IFERROR(INDEX(AO!$CZ:$CZ,MATCH($C22,AO!$C:$C,0)),0)</f>
        <v>0</v>
      </c>
      <c r="R22" s="1561">
        <f>IFERROR(INDEX(AO!$DC:$DC,MATCH($C22,AO!$C:$C,0)),0)</f>
        <v>0</v>
      </c>
      <c r="S22" s="1561" t="e">
        <f>INDEX(IC!AR:AR,MATCH(C22,IC!B:B,0))</f>
        <v>#N/A</v>
      </c>
      <c r="T22" s="1562" t="e">
        <f>INDEX(IC!AW:AW,MATCH(C22,IC!B:B,0))</f>
        <v>#N/A</v>
      </c>
      <c r="U22" s="1561" t="e">
        <f>INDEX(IC!AS:AS,MATCH(C22,IC!B:B,0))</f>
        <v>#N/A</v>
      </c>
      <c r="V22" s="1257">
        <f>IFERROR(INDEX(AA!$GA:$GA,MATCH($C22,AA!$C:$C,0)),0)</f>
        <v>0</v>
      </c>
      <c r="W22" s="1562">
        <f>IFERROR(V22/INDEX(AO!$CI:$CI,MATCH($C22,AO!$C:$C,0)),0)</f>
        <v>0</v>
      </c>
      <c r="X22" s="1562">
        <f>IFERROR(V22/INDEX(AO!$CS:$CS,MATCH($C22,AO!$C:$C,0)),0)</f>
        <v>0</v>
      </c>
      <c r="Y22" s="1559">
        <f>IFERROR(INDEX(AO!$CN:$CN,MATCH($C22,AO!$C:$C,0))/V22,0)</f>
        <v>0</v>
      </c>
      <c r="Z22" s="1257">
        <f>IFERROR(V22/INDEX(AO!$CA:$CA,MATCH($C22,AO!$C:$C,0)),0)</f>
        <v>0</v>
      </c>
      <c r="AB22" t="str">
        <f t="shared" si="1"/>
        <v>14 - 1</v>
      </c>
    </row>
    <row r="23" spans="2:29" outlineLevel="1">
      <c r="B23" s="1434">
        <v>15</v>
      </c>
      <c r="C23" s="1434" t="e">
        <f>INDEX(IC!B:B,MATCH(B23,IC!AY:AY,0))</f>
        <v>#N/A</v>
      </c>
      <c r="D23" s="261">
        <f>IFERROR(INDEX(AA!$AC:$AC,MATCH($C23,AA!$C:$C,0)),0)</f>
        <v>0</v>
      </c>
      <c r="E23" s="261" t="e">
        <f>INDEX(IC!G:G,MATCH(AL!C23,IC!B:B,0))</f>
        <v>#N/A</v>
      </c>
      <c r="F23" s="261">
        <f>IFERROR(INDEX(AA!$AK:$AK,MATCH($C23,AA!$C:$C,0)),0)</f>
        <v>0</v>
      </c>
      <c r="G23" s="261">
        <f>IFERROR(INDEX(AO!$Q:$Q,MATCH($C23,AO!$C:$C,0)),0)</f>
        <v>0</v>
      </c>
      <c r="H23" s="261">
        <f>IFERROR(INDEX(AO!$Q:$Q,MATCH($C23,AO!$C:$C,0))-INDEX(AO!$BE$18:$BE$20,MATCH($C23,AO!$C$18:$C$20,0)),0)</f>
        <v>0</v>
      </c>
      <c r="I23" s="1557">
        <f t="shared" si="2"/>
        <v>0</v>
      </c>
      <c r="J23" s="261">
        <f>IFERROR(INDEX(AO!$Y:$Y,MATCH($C23,AO!$C:$C,0)),0)</f>
        <v>0</v>
      </c>
      <c r="K23" s="261">
        <f>IFERROR(INDEX(AO!$AI:$AI,MATCH($C23,AO!$C:$C,0)),0)</f>
        <v>0</v>
      </c>
      <c r="L23" s="1556">
        <f>IFERROR(INDEX(AO!$AP:$AP,MATCH($C23,AO!$C:$C,0)),0)</f>
        <v>0</v>
      </c>
      <c r="M23" s="1557">
        <f>IFERROR(SUMIFS(TA!$AJ$15:$AJ$17,TA!$U$15:$U$17,"*FMCG*",TA!$C$15:$C$17,$B23)/SUMIFS(TA!$AJ$15:$AJ$17,TA!$C$15:$C$17,$B23),0)</f>
        <v>0</v>
      </c>
      <c r="N23" s="261">
        <f>IFERROR(INDEX(AA!$AN:$AN,MATCH($C23,AA!$C:$C,0)),0)</f>
        <v>0</v>
      </c>
      <c r="O23" s="1252" t="e">
        <f>DATEDIF(GA!$G$56,INDEX(RR!$N:$N,MATCH(AB23,RR!$E:$E,0)),"D")/365</f>
        <v>#N/A</v>
      </c>
      <c r="P23" s="261">
        <f>IFERROR(INDEX(AO!$CV:$CV,MATCH($C23,AO!$C:$C,0)),0)</f>
        <v>0</v>
      </c>
      <c r="Q23" s="261">
        <f>IFERROR(INDEX(AO!$CZ:$CZ,MATCH($C23,AO!$C:$C,0)),0)</f>
        <v>0</v>
      </c>
      <c r="R23" s="1230">
        <f>IFERROR(INDEX(AO!$DC:$DC,MATCH($C23,AO!$C:$C,0)),0)</f>
        <v>0</v>
      </c>
      <c r="S23" s="1230" t="e">
        <f>INDEX(IC!AR:AR,MATCH(C23,IC!B:B,0))</f>
        <v>#N/A</v>
      </c>
      <c r="T23" s="1558" t="e">
        <f>INDEX(IC!AW:AW,MATCH(C23,IC!B:B,0))</f>
        <v>#N/A</v>
      </c>
      <c r="U23" s="1230" t="e">
        <f>INDEX(IC!AS:AS,MATCH(C23,IC!B:B,0))</f>
        <v>#N/A</v>
      </c>
      <c r="V23" s="261">
        <f>IFERROR(INDEX(AA!$GA:$GA,MATCH($C23,AA!$C:$C,0)),0)</f>
        <v>0</v>
      </c>
      <c r="W23" s="1558">
        <f>IFERROR(V23/INDEX(AO!$CI:$CI,MATCH($C23,AO!$C:$C,0)),0)</f>
        <v>0</v>
      </c>
      <c r="X23" s="1558">
        <f>IFERROR(V23/INDEX(AO!$CS:$CS,MATCH($C23,AO!$C:$C,0)),0)</f>
        <v>0</v>
      </c>
      <c r="Y23" s="1557">
        <f>IFERROR(INDEX(AO!$CN:$CN,MATCH($C23,AO!$C:$C,0))/V23,0)</f>
        <v>0</v>
      </c>
      <c r="Z23" s="261">
        <f>IFERROR(V23/INDEX(AO!$CA:$CA,MATCH($C23,AO!$C:$C,0)),0)</f>
        <v>0</v>
      </c>
      <c r="AB23" t="str">
        <f t="shared" si="1"/>
        <v>15 - 1</v>
      </c>
    </row>
    <row r="24" spans="2:29" outlineLevel="1">
      <c r="B24" s="1563">
        <v>16</v>
      </c>
      <c r="C24" s="1563" t="e">
        <f>INDEX(IC!B:B,MATCH(B24,IC!AY:AY,0))</f>
        <v>#N/A</v>
      </c>
      <c r="D24" s="1257">
        <f>IFERROR(INDEX(AA!$AC:$AC,MATCH($C24,AA!$C:$C,0)),0)</f>
        <v>0</v>
      </c>
      <c r="E24" s="1257" t="e">
        <f>INDEX(IC!G:G,MATCH(AL!C24,IC!B:B,0))</f>
        <v>#N/A</v>
      </c>
      <c r="F24" s="1257">
        <f>IFERROR(INDEX(AA!$AK:$AK,MATCH($C24,AA!$C:$C,0)),0)</f>
        <v>0</v>
      </c>
      <c r="G24" s="1257">
        <f>IFERROR(INDEX(AO!$Q:$Q,MATCH($C24,AO!$C:$C,0)),0)</f>
        <v>0</v>
      </c>
      <c r="H24" s="1257">
        <f>IFERROR(INDEX(AO!$Q:$Q,MATCH($C24,AO!$C:$C,0))-INDEX(AO!$BE$18:$BE$20,MATCH($C24,AO!$C$18:$C$20,0)),0)</f>
        <v>0</v>
      </c>
      <c r="I24" s="1559">
        <f t="shared" si="2"/>
        <v>0</v>
      </c>
      <c r="J24" s="1257">
        <f>IFERROR(INDEX(AO!$Y:$Y,MATCH($C24,AO!$C:$C,0)),0)</f>
        <v>0</v>
      </c>
      <c r="K24" s="1257">
        <f>IFERROR(INDEX(AO!$AI:$AI,MATCH($C24,AO!$C:$C,0)),0)</f>
        <v>0</v>
      </c>
      <c r="L24" s="1560">
        <f>IFERROR(INDEX(AO!$AP:$AP,MATCH($C24,AO!$C:$C,0)),0)</f>
        <v>0</v>
      </c>
      <c r="M24" s="1559">
        <f>IFERROR(SUMIFS(TA!$AJ$15:$AJ$17,TA!$U$15:$U$17,"*FMCG*",TA!$C$15:$C$17,$B24)/SUMIFS(TA!$AJ$15:$AJ$17,TA!$C$15:$C$17,$B24),0)</f>
        <v>0</v>
      </c>
      <c r="N24" s="1257">
        <f>IFERROR(INDEX(AA!$AN:$AN,MATCH($C24,AA!$C:$C,0)),0)</f>
        <v>0</v>
      </c>
      <c r="O24" s="1259" t="e">
        <f>DATEDIF(GA!$G$56,INDEX(RR!$N:$N,MATCH(AB24,RR!$E:$E,0)),"D")/365</f>
        <v>#N/A</v>
      </c>
      <c r="P24" s="1257">
        <f>IFERROR(INDEX(AO!$CV:$CV,MATCH($C24,AO!$C:$C,0)),0)</f>
        <v>0</v>
      </c>
      <c r="Q24" s="1257">
        <f>IFERROR(INDEX(AO!$CZ:$CZ,MATCH($C24,AO!$C:$C,0)),0)</f>
        <v>0</v>
      </c>
      <c r="R24" s="1561">
        <f>IFERROR(INDEX(AO!$DC:$DC,MATCH($C24,AO!$C:$C,0)),0)</f>
        <v>0</v>
      </c>
      <c r="S24" s="1561" t="e">
        <f>INDEX(IC!AR:AR,MATCH(C24,IC!B:B,0))</f>
        <v>#N/A</v>
      </c>
      <c r="T24" s="1562" t="e">
        <f>INDEX(IC!AW:AW,MATCH(C24,IC!B:B,0))</f>
        <v>#N/A</v>
      </c>
      <c r="U24" s="1561" t="e">
        <f>INDEX(IC!AS:AS,MATCH(C24,IC!B:B,0))</f>
        <v>#N/A</v>
      </c>
      <c r="V24" s="1257">
        <f>IFERROR(INDEX(AA!$GA:$GA,MATCH($C24,AA!$C:$C,0)),0)</f>
        <v>0</v>
      </c>
      <c r="W24" s="1562">
        <f>IFERROR(V24/INDEX(AO!$CI:$CI,MATCH($C24,AO!$C:$C,0)),0)</f>
        <v>0</v>
      </c>
      <c r="X24" s="1562">
        <f>IFERROR(V24/INDEX(AO!$CS:$CS,MATCH($C24,AO!$C:$C,0)),0)</f>
        <v>0</v>
      </c>
      <c r="Y24" s="1559">
        <f>IFERROR(INDEX(AO!$CN:$CN,MATCH($C24,AO!$C:$C,0))/V24,0)</f>
        <v>0</v>
      </c>
      <c r="Z24" s="1257">
        <f>IFERROR(V24/INDEX(AO!$CA:$CA,MATCH($C24,AO!$C:$C,0)),0)</f>
        <v>0</v>
      </c>
      <c r="AB24" t="str">
        <f t="shared" si="1"/>
        <v>16 - 1</v>
      </c>
    </row>
    <row r="25" spans="2:29" outlineLevel="1">
      <c r="B25" s="1434">
        <v>17</v>
      </c>
      <c r="C25" s="1434" t="e">
        <f>INDEX(IC!B:B,MATCH(B25,IC!AY:AY,0))</f>
        <v>#N/A</v>
      </c>
      <c r="D25" s="261">
        <f>IFERROR(INDEX(AA!$AC:$AC,MATCH($C25,AA!$C:$C,0)),0)</f>
        <v>0</v>
      </c>
      <c r="E25" s="261" t="e">
        <f>INDEX(IC!G:G,MATCH(AL!C25,IC!B:B,0))</f>
        <v>#N/A</v>
      </c>
      <c r="F25" s="261">
        <f>IFERROR(INDEX(AA!$AK:$AK,MATCH($C25,AA!$C:$C,0)),0)</f>
        <v>0</v>
      </c>
      <c r="G25" s="261">
        <f>IFERROR(INDEX(AO!$Q:$Q,MATCH($C25,AO!$C:$C,0)),0)</f>
        <v>0</v>
      </c>
      <c r="H25" s="261">
        <f>IFERROR(INDEX(AO!$Q:$Q,MATCH($C25,AO!$C:$C,0))-INDEX(AO!$BE$18:$BE$20,MATCH($C25,AO!$C$18:$C$20,0)),0)</f>
        <v>0</v>
      </c>
      <c r="I25" s="1557">
        <f t="shared" si="2"/>
        <v>0</v>
      </c>
      <c r="J25" s="261">
        <f>IFERROR(INDEX(AO!$Y:$Y,MATCH($C25,AO!$C:$C,0)),0)</f>
        <v>0</v>
      </c>
      <c r="K25" s="261">
        <f>IFERROR(INDEX(AO!$AI:$AI,MATCH($C25,AO!$C:$C,0)),0)</f>
        <v>0</v>
      </c>
      <c r="L25" s="1556">
        <f>IFERROR(INDEX(AO!$AP:$AP,MATCH($C25,AO!$C:$C,0)),0)</f>
        <v>0</v>
      </c>
      <c r="M25" s="1557">
        <f>IFERROR(SUMIFS(TA!$AJ$15:$AJ$17,TA!$U$15:$U$17,"*FMCG*",TA!$C$15:$C$17,$B25)/SUMIFS(TA!$AJ$15:$AJ$17,TA!$C$15:$C$17,$B25),0)</f>
        <v>0</v>
      </c>
      <c r="N25" s="261">
        <f>IFERROR(INDEX(AA!$AN:$AN,MATCH($C25,AA!$C:$C,0)),0)</f>
        <v>0</v>
      </c>
      <c r="O25" s="1252" t="e">
        <f>DATEDIF(GA!$G$56,INDEX(RR!$N:$N,MATCH(AB25,RR!$E:$E,0)),"D")/365</f>
        <v>#N/A</v>
      </c>
      <c r="P25" s="261">
        <f>IFERROR(INDEX(AO!$CV:$CV,MATCH($C25,AO!$C:$C,0)),0)</f>
        <v>0</v>
      </c>
      <c r="Q25" s="261">
        <f>IFERROR(INDEX(AO!$CZ:$CZ,MATCH($C25,AO!$C:$C,0)),0)</f>
        <v>0</v>
      </c>
      <c r="R25" s="1230">
        <f>IFERROR(INDEX(AO!$DC:$DC,MATCH($C25,AO!$C:$C,0)),0)</f>
        <v>0</v>
      </c>
      <c r="S25" s="1230" t="e">
        <f>INDEX(IC!AR:AR,MATCH(C25,IC!B:B,0))</f>
        <v>#N/A</v>
      </c>
      <c r="T25" s="1558" t="e">
        <f>INDEX(IC!AW:AW,MATCH(C25,IC!B:B,0))</f>
        <v>#N/A</v>
      </c>
      <c r="U25" s="1230" t="e">
        <f>INDEX(IC!AS:AS,MATCH(C25,IC!B:B,0))</f>
        <v>#N/A</v>
      </c>
      <c r="V25" s="261">
        <f>IFERROR(INDEX(AA!$GA:$GA,MATCH($C25,AA!$C:$C,0)),0)</f>
        <v>0</v>
      </c>
      <c r="W25" s="1558">
        <f>IFERROR(V25/INDEX(AO!$CI:$CI,MATCH($C25,AO!$C:$C,0)),0)</f>
        <v>0</v>
      </c>
      <c r="X25" s="1558">
        <f>IFERROR(V25/INDEX(AO!$CS:$CS,MATCH($C25,AO!$C:$C,0)),0)</f>
        <v>0</v>
      </c>
      <c r="Y25" s="1557">
        <f>IFERROR(INDEX(AO!$CN:$CN,MATCH($C25,AO!$C:$C,0))/V25,0)</f>
        <v>0</v>
      </c>
      <c r="Z25" s="261">
        <f>IFERROR(V25/INDEX(AO!$CA:$CA,MATCH($C25,AO!$C:$C,0)),0)</f>
        <v>0</v>
      </c>
      <c r="AB25" t="str">
        <f t="shared" si="1"/>
        <v>17 - 1</v>
      </c>
    </row>
    <row r="26" spans="2:29" outlineLevel="1">
      <c r="B26" s="1563">
        <v>18</v>
      </c>
      <c r="C26" s="1563" t="e">
        <f>INDEX(IC!B:B,MATCH(B26,IC!AY:AY,0))</f>
        <v>#N/A</v>
      </c>
      <c r="D26" s="1257">
        <f>IFERROR(INDEX(AA!$AC:$AC,MATCH($C26,AA!$C:$C,0)),0)</f>
        <v>0</v>
      </c>
      <c r="E26" s="1257" t="e">
        <f>INDEX(IC!G:G,MATCH(AL!C26,IC!B:B,0))</f>
        <v>#N/A</v>
      </c>
      <c r="F26" s="1257">
        <f>IFERROR(INDEX(AA!$AK:$AK,MATCH($C26,AA!$C:$C,0)),0)</f>
        <v>0</v>
      </c>
      <c r="G26" s="1257">
        <f>IFERROR(INDEX(AO!$Q:$Q,MATCH($C26,AO!$C:$C,0)),0)</f>
        <v>0</v>
      </c>
      <c r="H26" s="1257">
        <f>IFERROR(INDEX(AO!$Q:$Q,MATCH($C26,AO!$C:$C,0))-INDEX(AO!$BE$18:$BE$20,MATCH($C26,AO!$C$18:$C$20,0)),0)</f>
        <v>0</v>
      </c>
      <c r="I26" s="1559">
        <f t="shared" si="2"/>
        <v>0</v>
      </c>
      <c r="J26" s="1257">
        <f>IFERROR(INDEX(AO!$Y:$Y,MATCH($C26,AO!$C:$C,0)),0)</f>
        <v>0</v>
      </c>
      <c r="K26" s="1257">
        <f>IFERROR(INDEX(AO!$AI:$AI,MATCH($C26,AO!$C:$C,0)),0)</f>
        <v>0</v>
      </c>
      <c r="L26" s="1560">
        <f>IFERROR(INDEX(AO!$AP:$AP,MATCH($C26,AO!$C:$C,0)),0)</f>
        <v>0</v>
      </c>
      <c r="M26" s="1559">
        <f>IFERROR(SUMIFS(TA!$AJ$15:$AJ$17,TA!$U$15:$U$17,"*FMCG*",TA!$C$15:$C$17,$B26)/SUMIFS(TA!$AJ$15:$AJ$17,TA!$C$15:$C$17,$B26),0)</f>
        <v>0</v>
      </c>
      <c r="N26" s="1257">
        <f>IFERROR(INDEX(AA!$AN:$AN,MATCH($C26,AA!$C:$C,0)),0)</f>
        <v>0</v>
      </c>
      <c r="O26" s="1259" t="e">
        <f>DATEDIF(GA!$G$56,INDEX(RR!$N:$N,MATCH(AB26,RR!$E:$E,0)),"D")/365</f>
        <v>#N/A</v>
      </c>
      <c r="P26" s="1257">
        <f>IFERROR(INDEX(AO!$CV:$CV,MATCH($C26,AO!$C:$C,0)),0)</f>
        <v>0</v>
      </c>
      <c r="Q26" s="1257">
        <f>IFERROR(INDEX(AO!$CZ:$CZ,MATCH($C26,AO!$C:$C,0)),0)</f>
        <v>0</v>
      </c>
      <c r="R26" s="1561">
        <f>IFERROR(INDEX(AO!$DC:$DC,MATCH($C26,AO!$C:$C,0)),0)</f>
        <v>0</v>
      </c>
      <c r="S26" s="1561" t="e">
        <f>INDEX(IC!AR:AR,MATCH(C26,IC!B:B,0))</f>
        <v>#N/A</v>
      </c>
      <c r="T26" s="1562" t="e">
        <f>INDEX(IC!AW:AW,MATCH(C26,IC!B:B,0))</f>
        <v>#N/A</v>
      </c>
      <c r="U26" s="1561" t="e">
        <f>INDEX(IC!AS:AS,MATCH(C26,IC!B:B,0))</f>
        <v>#N/A</v>
      </c>
      <c r="V26" s="1257">
        <f>IFERROR(INDEX(AA!$GA:$GA,MATCH($C26,AA!$C:$C,0)),0)</f>
        <v>0</v>
      </c>
      <c r="W26" s="1562">
        <f>IFERROR(V26/INDEX(AO!$CI:$CI,MATCH($C26,AO!$C:$C,0)),0)</f>
        <v>0</v>
      </c>
      <c r="X26" s="1562">
        <f>IFERROR(V26/INDEX(AO!$CS:$CS,MATCH($C26,AO!$C:$C,0)),0)</f>
        <v>0</v>
      </c>
      <c r="Y26" s="1559">
        <f>IFERROR(INDEX(AO!$CN:$CN,MATCH($C26,AO!$C:$C,0))/V26,0)</f>
        <v>0</v>
      </c>
      <c r="Z26" s="1257">
        <f>IFERROR(V26/INDEX(AO!$CA:$CA,MATCH($C26,AO!$C:$C,0)),0)</f>
        <v>0</v>
      </c>
      <c r="AB26" t="str">
        <f t="shared" si="1"/>
        <v>18 - 1</v>
      </c>
    </row>
    <row r="27" spans="2:29" outlineLevel="1">
      <c r="B27" s="1434">
        <v>19</v>
      </c>
      <c r="C27" s="1434" t="e">
        <f>INDEX(IC!B:B,MATCH(B27,IC!AY:AY,0))</f>
        <v>#N/A</v>
      </c>
      <c r="D27" s="261">
        <f>IFERROR(INDEX(AA!$AC:$AC,MATCH($C27,AA!$C:$C,0)),0)</f>
        <v>0</v>
      </c>
      <c r="E27" s="261" t="e">
        <f>INDEX(IC!G:G,MATCH(AL!C27,IC!B:B,0))</f>
        <v>#N/A</v>
      </c>
      <c r="F27" s="261">
        <f>IFERROR(INDEX(AA!$AK:$AK,MATCH($C27,AA!$C:$C,0)),0)</f>
        <v>0</v>
      </c>
      <c r="G27" s="261">
        <f>IFERROR(INDEX(AO!$Q:$Q,MATCH($C27,AO!$C:$C,0)),0)</f>
        <v>0</v>
      </c>
      <c r="H27" s="261">
        <f>IFERROR(INDEX(AO!$Q:$Q,MATCH($C27,AO!$C:$C,0))-INDEX(AO!$BE$18:$BE$20,MATCH($C27,AO!$C$18:$C$20,0)),0)</f>
        <v>0</v>
      </c>
      <c r="I27" s="1557">
        <f t="shared" si="2"/>
        <v>0</v>
      </c>
      <c r="J27" s="261">
        <f>IFERROR(INDEX(AO!$Y:$Y,MATCH($C27,AO!$C:$C,0)),0)</f>
        <v>0</v>
      </c>
      <c r="K27" s="261">
        <f>IFERROR(INDEX(AO!$AI:$AI,MATCH($C27,AO!$C:$C,0)),0)</f>
        <v>0</v>
      </c>
      <c r="L27" s="1556">
        <f>IFERROR(INDEX(AO!$AP:$AP,MATCH($C27,AO!$C:$C,0)),0)</f>
        <v>0</v>
      </c>
      <c r="M27" s="1557">
        <f>IFERROR(SUMIFS(TA!$AJ$15:$AJ$17,TA!$U$15:$U$17,"*FMCG*",TA!$C$15:$C$17,$B27)/SUMIFS(TA!$AJ$15:$AJ$17,TA!$C$15:$C$17,$B27),0)</f>
        <v>0</v>
      </c>
      <c r="N27" s="261">
        <f>IFERROR(INDEX(AA!$AN:$AN,MATCH($C27,AA!$C:$C,0)),0)</f>
        <v>0</v>
      </c>
      <c r="O27" s="1252" t="e">
        <f>DATEDIF(GA!$G$56,INDEX(RR!$N:$N,MATCH(AB27,RR!$E:$E,0)),"D")/365</f>
        <v>#N/A</v>
      </c>
      <c r="P27" s="261">
        <f>IFERROR(INDEX(AO!$CV:$CV,MATCH($C27,AO!$C:$C,0)),0)</f>
        <v>0</v>
      </c>
      <c r="Q27" s="261">
        <f>IFERROR(INDEX(AO!$CZ:$CZ,MATCH($C27,AO!$C:$C,0)),0)</f>
        <v>0</v>
      </c>
      <c r="R27" s="1230">
        <f>IFERROR(INDEX(AO!$DC:$DC,MATCH($C27,AO!$C:$C,0)),0)</f>
        <v>0</v>
      </c>
      <c r="S27" s="1230" t="e">
        <f>INDEX(IC!AR:AR,MATCH(C27,IC!B:B,0))</f>
        <v>#N/A</v>
      </c>
      <c r="T27" s="1558" t="e">
        <f>INDEX(IC!AW:AW,MATCH(C27,IC!B:B,0))</f>
        <v>#N/A</v>
      </c>
      <c r="U27" s="1230" t="e">
        <f>INDEX(IC!AS:AS,MATCH(C27,IC!B:B,0))</f>
        <v>#N/A</v>
      </c>
      <c r="V27" s="261">
        <f>IFERROR(INDEX(AA!$GA:$GA,MATCH($C27,AA!$C:$C,0)),0)</f>
        <v>0</v>
      </c>
      <c r="W27" s="1558">
        <f>IFERROR(V27/INDEX(AO!$CI:$CI,MATCH($C27,AO!$C:$C,0)),0)</f>
        <v>0</v>
      </c>
      <c r="X27" s="1558">
        <f>IFERROR(V27/INDEX(AO!$CS:$CS,MATCH($C27,AO!$C:$C,0)),0)</f>
        <v>0</v>
      </c>
      <c r="Y27" s="1557">
        <f>IFERROR(INDEX(AO!$CN:$CN,MATCH($C27,AO!$C:$C,0))/V27,0)</f>
        <v>0</v>
      </c>
      <c r="Z27" s="261">
        <f>IFERROR(V27/INDEX(AO!$CA:$CA,MATCH($C27,AO!$C:$C,0)),0)</f>
        <v>0</v>
      </c>
      <c r="AB27" t="str">
        <f t="shared" si="1"/>
        <v>19 - 1</v>
      </c>
    </row>
    <row r="28" spans="2:29" outlineLevel="1">
      <c r="B28" s="1563">
        <v>20</v>
      </c>
      <c r="C28" s="1563" t="e">
        <f>INDEX(IC!B:B,MATCH(B28,IC!AY:AY,0))</f>
        <v>#N/A</v>
      </c>
      <c r="D28" s="1257">
        <f>IFERROR(INDEX(AA!$AC:$AC,MATCH($C28,AA!$C:$C,0)),0)</f>
        <v>0</v>
      </c>
      <c r="E28" s="1257" t="e">
        <f>INDEX(IC!G:G,MATCH(AL!C28,IC!B:B,0))</f>
        <v>#N/A</v>
      </c>
      <c r="F28" s="1257">
        <f>IFERROR(INDEX(AA!$AK:$AK,MATCH($C28,AA!$C:$C,0)),0)</f>
        <v>0</v>
      </c>
      <c r="G28" s="1257">
        <f>IFERROR(INDEX(AO!$Q:$Q,MATCH($C28,AO!$C:$C,0)),0)</f>
        <v>0</v>
      </c>
      <c r="H28" s="1257">
        <f>IFERROR(INDEX(AO!$Q:$Q,MATCH($C28,AO!$C:$C,0))-INDEX(AO!$BE$18:$BE$20,MATCH($C28,AO!$C$18:$C$20,0)),0)</f>
        <v>0</v>
      </c>
      <c r="I28" s="1559">
        <f t="shared" si="2"/>
        <v>0</v>
      </c>
      <c r="J28" s="1257">
        <f>IFERROR(INDEX(AO!$Y:$Y,MATCH($C28,AO!$C:$C,0)),0)</f>
        <v>0</v>
      </c>
      <c r="K28" s="1257">
        <f>IFERROR(INDEX(AO!$AI:$AI,MATCH($C28,AO!$C:$C,0)),0)</f>
        <v>0</v>
      </c>
      <c r="L28" s="1560">
        <f>IFERROR(INDEX(AO!$AP:$AP,MATCH($C28,AO!$C:$C,0)),0)</f>
        <v>0</v>
      </c>
      <c r="M28" s="1559">
        <f>IFERROR(SUMIFS(TA!$AJ$15:$AJ$17,TA!$U$15:$U$17,"*FMCG*",TA!$C$15:$C$17,$B28)/SUMIFS(TA!$AJ$15:$AJ$17,TA!$C$15:$C$17,$B28),0)</f>
        <v>0</v>
      </c>
      <c r="N28" s="1257">
        <f>IFERROR(INDEX(AA!$AN:$AN,MATCH($C28,AA!$C:$C,0)),0)</f>
        <v>0</v>
      </c>
      <c r="O28" s="1259" t="e">
        <f>DATEDIF(GA!$G$56,INDEX(RR!$N:$N,MATCH(AB28,RR!$E:$E,0)),"D")/365</f>
        <v>#N/A</v>
      </c>
      <c r="P28" s="1257">
        <f>IFERROR(INDEX(AO!$CV:$CV,MATCH($C28,AO!$C:$C,0)),0)</f>
        <v>0</v>
      </c>
      <c r="Q28" s="1257">
        <f>IFERROR(INDEX(AO!$CZ:$CZ,MATCH($C28,AO!$C:$C,0)),0)</f>
        <v>0</v>
      </c>
      <c r="R28" s="1561">
        <f>IFERROR(INDEX(AO!$DC:$DC,MATCH($C28,AO!$C:$C,0)),0)</f>
        <v>0</v>
      </c>
      <c r="S28" s="1561" t="e">
        <f>INDEX(IC!AR:AR,MATCH(C28,IC!B:B,0))</f>
        <v>#N/A</v>
      </c>
      <c r="T28" s="1562" t="e">
        <f>INDEX(IC!AW:AW,MATCH(C28,IC!B:B,0))</f>
        <v>#N/A</v>
      </c>
      <c r="U28" s="1561" t="e">
        <f>INDEX(IC!AS:AS,MATCH(C28,IC!B:B,0))</f>
        <v>#N/A</v>
      </c>
      <c r="V28" s="1257">
        <f>IFERROR(INDEX(AA!$GA:$GA,MATCH($C28,AA!$C:$C,0)),0)</f>
        <v>0</v>
      </c>
      <c r="W28" s="1562">
        <f>IFERROR(V28/INDEX(AO!$CI:$CI,MATCH($C28,AO!$C:$C,0)),0)</f>
        <v>0</v>
      </c>
      <c r="X28" s="1562">
        <f>IFERROR(V28/INDEX(AO!$CS:$CS,MATCH($C28,AO!$C:$C,0)),0)</f>
        <v>0</v>
      </c>
      <c r="Y28" s="1559">
        <f>IFERROR(INDEX(AO!$CN:$CN,MATCH($C28,AO!$C:$C,0))/V28,0)</f>
        <v>0</v>
      </c>
      <c r="Z28" s="1257">
        <f>IFERROR(V28/INDEX(AO!$CA:$CA,MATCH($C28,AO!$C:$C,0)),0)</f>
        <v>0</v>
      </c>
      <c r="AB28" t="str">
        <f t="shared" si="1"/>
        <v>20 - 1</v>
      </c>
    </row>
    <row r="29" spans="2:29" outlineLevel="1">
      <c r="B29" s="1434">
        <v>21</v>
      </c>
      <c r="C29" s="1434" t="e">
        <f>INDEX(IC!B:B,MATCH(B29,IC!AY:AY,0))</f>
        <v>#N/A</v>
      </c>
      <c r="D29" s="261">
        <f>IFERROR(INDEX(AA!$AC:$AC,MATCH($C29,AA!$C:$C,0)),0)</f>
        <v>0</v>
      </c>
      <c r="E29" s="261" t="e">
        <f>INDEX(IC!G:G,MATCH(AL!C29,IC!B:B,0))</f>
        <v>#N/A</v>
      </c>
      <c r="F29" s="261">
        <f>IFERROR(INDEX(AA!$AK:$AK,MATCH($C29,AA!$C:$C,0)),0)</f>
        <v>0</v>
      </c>
      <c r="G29" s="261">
        <f>IFERROR(INDEX(AO!$Q:$Q,MATCH($C29,AO!$C:$C,0)),0)</f>
        <v>0</v>
      </c>
      <c r="H29" s="261">
        <f>IFERROR(INDEX(AO!$Q:$Q,MATCH($C29,AO!$C:$C,0))-INDEX(AO!$BE$18:$BE$20,MATCH($C29,AO!$C$18:$C$20,0)),0)</f>
        <v>0</v>
      </c>
      <c r="I29" s="1557">
        <f t="shared" si="2"/>
        <v>0</v>
      </c>
      <c r="J29" s="261">
        <f>IFERROR(INDEX(AO!$Y:$Y,MATCH($C29,AO!$C:$C,0)),0)</f>
        <v>0</v>
      </c>
      <c r="K29" s="261">
        <f>IFERROR(INDEX(AO!$AI:$AI,MATCH($C29,AO!$C:$C,0)),0)</f>
        <v>0</v>
      </c>
      <c r="L29" s="1556">
        <f>IFERROR(INDEX(AO!$AP:$AP,MATCH($C29,AO!$C:$C,0)),0)</f>
        <v>0</v>
      </c>
      <c r="M29" s="1557">
        <f>IFERROR(SUMIFS(TA!$AJ$15:$AJ$17,TA!$U$15:$U$17,"*FMCG*",TA!$C$15:$C$17,$B29)/SUMIFS(TA!$AJ$15:$AJ$17,TA!$C$15:$C$17,$B29),0)</f>
        <v>0</v>
      </c>
      <c r="N29" s="261">
        <f>IFERROR(INDEX(AA!$AN:$AN,MATCH($C29,AA!$C:$C,0)),0)</f>
        <v>0</v>
      </c>
      <c r="O29" s="1252" t="e">
        <f>DATEDIF(GA!$G$56,INDEX(RR!$N:$N,MATCH(AB29,RR!$E:$E,0)),"D")/365</f>
        <v>#N/A</v>
      </c>
      <c r="P29" s="261">
        <f>IFERROR(INDEX(AO!$CV:$CV,MATCH($C29,AO!$C:$C,0)),0)</f>
        <v>0</v>
      </c>
      <c r="Q29" s="261">
        <f>IFERROR(INDEX(AO!$CZ:$CZ,MATCH($C29,AO!$C:$C,0)),0)</f>
        <v>0</v>
      </c>
      <c r="R29" s="1230">
        <f>IFERROR(INDEX(AO!$DC:$DC,MATCH($C29,AO!$C:$C,0)),0)</f>
        <v>0</v>
      </c>
      <c r="S29" s="1230" t="e">
        <f>INDEX(IC!AR:AR,MATCH(C29,IC!B:B,0))</f>
        <v>#N/A</v>
      </c>
      <c r="T29" s="1558" t="e">
        <f>INDEX(IC!AW:AW,MATCH(C29,IC!B:B,0))</f>
        <v>#N/A</v>
      </c>
      <c r="U29" s="1230" t="e">
        <f>INDEX(IC!AS:AS,MATCH(C29,IC!B:B,0))</f>
        <v>#N/A</v>
      </c>
      <c r="V29" s="261">
        <f>IFERROR(INDEX(AA!$GA:$GA,MATCH($C29,AA!$C:$C,0)),0)</f>
        <v>0</v>
      </c>
      <c r="W29" s="1558">
        <f>IFERROR(V29/INDEX(AO!$CI:$CI,MATCH($C29,AO!$C:$C,0)),0)</f>
        <v>0</v>
      </c>
      <c r="X29" s="1558">
        <f>IFERROR(V29/INDEX(AO!$CS:$CS,MATCH($C29,AO!$C:$C,0)),0)</f>
        <v>0</v>
      </c>
      <c r="Y29" s="1557">
        <f>IFERROR(INDEX(AO!$CN:$CN,MATCH($C29,AO!$C:$C,0))/V29,0)</f>
        <v>0</v>
      </c>
      <c r="Z29" s="261">
        <f>IFERROR(V29/INDEX(AO!$CA:$CA,MATCH($C29,AO!$C:$C,0)),0)</f>
        <v>0</v>
      </c>
      <c r="AB29" t="str">
        <f t="shared" si="1"/>
        <v>21 - 1</v>
      </c>
    </row>
    <row r="30" spans="2:29" outlineLevel="1">
      <c r="B30" s="1563">
        <v>22</v>
      </c>
      <c r="C30" s="1563" t="e">
        <f>INDEX(IC!B:B,MATCH(B30,IC!AY:AY,0))</f>
        <v>#N/A</v>
      </c>
      <c r="D30" s="1257">
        <f>IFERROR(INDEX(AA!$AC:$AC,MATCH($C30,AA!$C:$C,0)),0)</f>
        <v>0</v>
      </c>
      <c r="E30" s="1257" t="e">
        <f>INDEX(IC!G:G,MATCH(AL!C30,IC!B:B,0))</f>
        <v>#N/A</v>
      </c>
      <c r="F30" s="1257">
        <f>IFERROR(INDEX(AA!$AK:$AK,MATCH($C30,AA!$C:$C,0)),0)</f>
        <v>0</v>
      </c>
      <c r="G30" s="1257">
        <f>IFERROR(INDEX(AO!$Q:$Q,MATCH($C30,AO!$C:$C,0)),0)</f>
        <v>0</v>
      </c>
      <c r="H30" s="1257">
        <f>IFERROR(INDEX(AO!$Q:$Q,MATCH($C30,AO!$C:$C,0))-INDEX(AO!$BE$18:$BE$20,MATCH($C30,AO!$C$18:$C$20,0)),0)</f>
        <v>0</v>
      </c>
      <c r="I30" s="1559">
        <f t="shared" si="2"/>
        <v>0</v>
      </c>
      <c r="J30" s="1257">
        <f>IFERROR(INDEX(AO!$Y:$Y,MATCH($C30,AO!$C:$C,0)),0)</f>
        <v>0</v>
      </c>
      <c r="K30" s="1257">
        <f>IFERROR(INDEX(AO!$AI:$AI,MATCH($C30,AO!$C:$C,0)),0)</f>
        <v>0</v>
      </c>
      <c r="L30" s="1560">
        <f>IFERROR(INDEX(AO!$AP:$AP,MATCH($C30,AO!$C:$C,0)),0)</f>
        <v>0</v>
      </c>
      <c r="M30" s="1559">
        <f>IFERROR(SUMIFS(TA!$AJ$15:$AJ$17,TA!$U$15:$U$17,"*FMCG*",TA!$C$15:$C$17,$B30)/SUMIFS(TA!$AJ$15:$AJ$17,TA!$C$15:$C$17,$B30),0)</f>
        <v>0</v>
      </c>
      <c r="N30" s="1257">
        <f>IFERROR(INDEX(AA!$AN:$AN,MATCH($C30,AA!$C:$C,0)),0)</f>
        <v>0</v>
      </c>
      <c r="O30" s="1259" t="e">
        <f>DATEDIF(GA!$G$56,INDEX(RR!$N:$N,MATCH(AB30,RR!$E:$E,0)),"D")/365</f>
        <v>#N/A</v>
      </c>
      <c r="P30" s="1257">
        <f>IFERROR(INDEX(AO!$CV:$CV,MATCH($C30,AO!$C:$C,0)),0)</f>
        <v>0</v>
      </c>
      <c r="Q30" s="1257">
        <f>IFERROR(INDEX(AO!$CZ:$CZ,MATCH($C30,AO!$C:$C,0)),0)</f>
        <v>0</v>
      </c>
      <c r="R30" s="1561">
        <f>IFERROR(INDEX(AO!$DC:$DC,MATCH($C30,AO!$C:$C,0)),0)</f>
        <v>0</v>
      </c>
      <c r="S30" s="1561" t="e">
        <f>INDEX(IC!AR:AR,MATCH(C30,IC!B:B,0))</f>
        <v>#N/A</v>
      </c>
      <c r="T30" s="1562" t="e">
        <f>INDEX(IC!AW:AW,MATCH(C30,IC!B:B,0))</f>
        <v>#N/A</v>
      </c>
      <c r="U30" s="1561" t="e">
        <f>INDEX(IC!AS:AS,MATCH(C30,IC!B:B,0))</f>
        <v>#N/A</v>
      </c>
      <c r="V30" s="1257">
        <f>IFERROR(INDEX(AA!$GA:$GA,MATCH($C30,AA!$C:$C,0)),0)</f>
        <v>0</v>
      </c>
      <c r="W30" s="1562">
        <f>IFERROR(V30/INDEX(AO!$CI:$CI,MATCH($C30,AO!$C:$C,0)),0)</f>
        <v>0</v>
      </c>
      <c r="X30" s="1562">
        <f>IFERROR(V30/INDEX(AO!$CS:$CS,MATCH($C30,AO!$C:$C,0)),0)</f>
        <v>0</v>
      </c>
      <c r="Y30" s="1559">
        <f>IFERROR(INDEX(AO!$CN:$CN,MATCH($C30,AO!$C:$C,0))/V30,0)</f>
        <v>0</v>
      </c>
      <c r="Z30" s="1257">
        <f>IFERROR(V30/INDEX(AO!$CA:$CA,MATCH($C30,AO!$C:$C,0)),0)</f>
        <v>0</v>
      </c>
      <c r="AB30" t="str">
        <f t="shared" si="1"/>
        <v>22 - 1</v>
      </c>
    </row>
    <row r="31" spans="2:29" outlineLevel="1">
      <c r="B31" s="1434">
        <v>23</v>
      </c>
      <c r="C31" s="1434" t="e">
        <f>INDEX(IC!B:B,MATCH(B31,IC!AY:AY,0))</f>
        <v>#N/A</v>
      </c>
      <c r="D31" s="261">
        <f>IFERROR(INDEX(AA!$AC:$AC,MATCH($C31,AA!$C:$C,0)),0)</f>
        <v>0</v>
      </c>
      <c r="E31" s="261" t="e">
        <f>INDEX(IC!G:G,MATCH(AL!C31,IC!B:B,0))</f>
        <v>#N/A</v>
      </c>
      <c r="F31" s="261">
        <f>IFERROR(INDEX(AA!$AK:$AK,MATCH($C31,AA!$C:$C,0)),0)</f>
        <v>0</v>
      </c>
      <c r="G31" s="261">
        <f>IFERROR(INDEX(AO!$Q:$Q,MATCH($C31,AO!$C:$C,0)),0)</f>
        <v>0</v>
      </c>
      <c r="H31" s="261">
        <f>IFERROR(INDEX(AO!$Q:$Q,MATCH($C31,AO!$C:$C,0))-INDEX(AO!$BE$18:$BE$20,MATCH($C31,AO!$C$18:$C$20,0)),0)</f>
        <v>0</v>
      </c>
      <c r="I31" s="1557">
        <f t="shared" si="2"/>
        <v>0</v>
      </c>
      <c r="J31" s="261">
        <f>IFERROR(INDEX(AO!$Y:$Y,MATCH($C31,AO!$C:$C,0)),0)</f>
        <v>0</v>
      </c>
      <c r="K31" s="261">
        <f>IFERROR(INDEX(AO!$AI:$AI,MATCH($C31,AO!$C:$C,0)),0)</f>
        <v>0</v>
      </c>
      <c r="L31" s="1556">
        <f>IFERROR(INDEX(AO!$AP:$AP,MATCH($C31,AO!$C:$C,0)),0)</f>
        <v>0</v>
      </c>
      <c r="M31" s="1557">
        <f>IFERROR(SUMIFS(TA!$AJ$15:$AJ$17,TA!$U$15:$U$17,"*FMCG*",TA!$C$15:$C$17,$B31)/SUMIFS(TA!$AJ$15:$AJ$17,TA!$C$15:$C$17,$B31),0)</f>
        <v>0</v>
      </c>
      <c r="N31" s="261">
        <f>IFERROR(INDEX(AA!$AN:$AN,MATCH($C31,AA!$C:$C,0)),0)</f>
        <v>0</v>
      </c>
      <c r="O31" s="1252" t="e">
        <f>DATEDIF(GA!$G$56,INDEX(RR!$N:$N,MATCH(AB31,RR!$E:$E,0)),"D")/365</f>
        <v>#N/A</v>
      </c>
      <c r="P31" s="261">
        <f>IFERROR(INDEX(AO!$CV:$CV,MATCH($C31,AO!$C:$C,0)),0)</f>
        <v>0</v>
      </c>
      <c r="Q31" s="261">
        <f>IFERROR(INDEX(AO!$CZ:$CZ,MATCH($C31,AO!$C:$C,0)),0)</f>
        <v>0</v>
      </c>
      <c r="R31" s="1230">
        <f>IFERROR(INDEX(AO!$DC:$DC,MATCH($C31,AO!$C:$C,0)),0)</f>
        <v>0</v>
      </c>
      <c r="S31" s="1230" t="e">
        <f>INDEX(IC!AR:AR,MATCH(C31,IC!B:B,0))</f>
        <v>#N/A</v>
      </c>
      <c r="T31" s="1558" t="e">
        <f>INDEX(IC!AW:AW,MATCH(C31,IC!B:B,0))</f>
        <v>#N/A</v>
      </c>
      <c r="U31" s="1230" t="e">
        <f>INDEX(IC!AS:AS,MATCH(C31,IC!B:B,0))</f>
        <v>#N/A</v>
      </c>
      <c r="V31" s="261">
        <f>IFERROR(INDEX(AA!$GA:$GA,MATCH($C31,AA!$C:$C,0)),0)</f>
        <v>0</v>
      </c>
      <c r="W31" s="1558">
        <f>IFERROR(V31/INDEX(AO!$CI:$CI,MATCH($C31,AO!$C:$C,0)),0)</f>
        <v>0</v>
      </c>
      <c r="X31" s="1558">
        <f>IFERROR(V31/INDEX(AO!$CS:$CS,MATCH($C31,AO!$C:$C,0)),0)</f>
        <v>0</v>
      </c>
      <c r="Y31" s="1557">
        <f>IFERROR(INDEX(AO!$CN:$CN,MATCH($C31,AO!$C:$C,0))/V31,0)</f>
        <v>0</v>
      </c>
      <c r="Z31" s="261">
        <f>IFERROR(V31/INDEX(AO!$CA:$CA,MATCH($C31,AO!$C:$C,0)),0)</f>
        <v>0</v>
      </c>
      <c r="AB31" t="str">
        <f t="shared" si="1"/>
        <v>23 - 1</v>
      </c>
    </row>
    <row r="32" spans="2:29" outlineLevel="1">
      <c r="B32" s="1563">
        <v>24</v>
      </c>
      <c r="C32" s="1563" t="e">
        <f>INDEX(IC!B:B,MATCH(B32,IC!AY:AY,0))</f>
        <v>#N/A</v>
      </c>
      <c r="D32" s="1257">
        <f>IFERROR(INDEX(AA!$AC:$AC,MATCH($C32,AA!$C:$C,0)),0)</f>
        <v>0</v>
      </c>
      <c r="E32" s="1257" t="e">
        <f>INDEX(IC!G:G,MATCH(AL!C32,IC!B:B,0))</f>
        <v>#N/A</v>
      </c>
      <c r="F32" s="1257">
        <f>IFERROR(INDEX(AA!$AK:$AK,MATCH($C32,AA!$C:$C,0)),0)</f>
        <v>0</v>
      </c>
      <c r="G32" s="1257">
        <f>IFERROR(INDEX(AO!$Q:$Q,MATCH($C32,AO!$C:$C,0)),0)</f>
        <v>0</v>
      </c>
      <c r="H32" s="1257">
        <f>IFERROR(INDEX(AO!$Q:$Q,MATCH($C32,AO!$C:$C,0))-INDEX(AO!$BE$18:$BE$20,MATCH($C32,AO!$C$18:$C$20,0)),0)</f>
        <v>0</v>
      </c>
      <c r="I32" s="1559">
        <f t="shared" si="2"/>
        <v>0</v>
      </c>
      <c r="J32" s="1257">
        <f>IFERROR(INDEX(AO!$Y:$Y,MATCH($C32,AO!$C:$C,0)),0)</f>
        <v>0</v>
      </c>
      <c r="K32" s="1257">
        <f>IFERROR(INDEX(AO!$AI:$AI,MATCH($C32,AO!$C:$C,0)),0)</f>
        <v>0</v>
      </c>
      <c r="L32" s="1560">
        <f>IFERROR(INDEX(AO!$AP:$AP,MATCH($C32,AO!$C:$C,0)),0)</f>
        <v>0</v>
      </c>
      <c r="M32" s="1559">
        <f>IFERROR(SUMIFS(TA!$AJ$15:$AJ$17,TA!$U$15:$U$17,"*FMCG*",TA!$C$15:$C$17,$B32)/SUMIFS(TA!$AJ$15:$AJ$17,TA!$C$15:$C$17,$B32),0)</f>
        <v>0</v>
      </c>
      <c r="N32" s="1257">
        <f>IFERROR(INDEX(AA!$AN:$AN,MATCH($C32,AA!$C:$C,0)),0)</f>
        <v>0</v>
      </c>
      <c r="O32" s="1259" t="e">
        <f>DATEDIF(GA!$G$56,INDEX(RR!$N:$N,MATCH(AB32,RR!$E:$E,0)),"D")/365</f>
        <v>#N/A</v>
      </c>
      <c r="P32" s="1257">
        <f>IFERROR(INDEX(AO!$CV:$CV,MATCH($C32,AO!$C:$C,0)),0)</f>
        <v>0</v>
      </c>
      <c r="Q32" s="1257">
        <f>IFERROR(INDEX(AO!$CZ:$CZ,MATCH($C32,AO!$C:$C,0)),0)</f>
        <v>0</v>
      </c>
      <c r="R32" s="1561">
        <f>IFERROR(INDEX(AO!$DC:$DC,MATCH($C32,AO!$C:$C,0)),0)</f>
        <v>0</v>
      </c>
      <c r="S32" s="1561" t="e">
        <f>INDEX(IC!AR:AR,MATCH(C32,IC!B:B,0))</f>
        <v>#N/A</v>
      </c>
      <c r="T32" s="1562" t="e">
        <f>INDEX(IC!AW:AW,MATCH(C32,IC!B:B,0))</f>
        <v>#N/A</v>
      </c>
      <c r="U32" s="1561" t="e">
        <f>INDEX(IC!AS:AS,MATCH(C32,IC!B:B,0))</f>
        <v>#N/A</v>
      </c>
      <c r="V32" s="1257">
        <f>IFERROR(INDEX(AA!$GA:$GA,MATCH($C32,AA!$C:$C,0)),0)</f>
        <v>0</v>
      </c>
      <c r="W32" s="1562">
        <f>IFERROR(V32/INDEX(AO!$CI:$CI,MATCH($C32,AO!$C:$C,0)),0)</f>
        <v>0</v>
      </c>
      <c r="X32" s="1562">
        <f>IFERROR(V32/INDEX(AO!$CS:$CS,MATCH($C32,AO!$C:$C,0)),0)</f>
        <v>0</v>
      </c>
      <c r="Y32" s="1559">
        <f>IFERROR(INDEX(AO!$CN:$CN,MATCH($C32,AO!$C:$C,0))/V32,0)</f>
        <v>0</v>
      </c>
      <c r="Z32" s="1257">
        <f>IFERROR(V32/INDEX(AO!$CA:$CA,MATCH($C32,AO!$C:$C,0)),0)</f>
        <v>0</v>
      </c>
      <c r="AB32" t="str">
        <f t="shared" si="1"/>
        <v>24 - 1</v>
      </c>
    </row>
    <row r="33" spans="2:28" outlineLevel="1">
      <c r="B33" s="1434">
        <v>25</v>
      </c>
      <c r="C33" s="1434" t="e">
        <f>INDEX(IC!B:B,MATCH(B33,IC!AY:AY,0))</f>
        <v>#N/A</v>
      </c>
      <c r="D33" s="261">
        <f>IFERROR(INDEX(AA!$AC:$AC,MATCH($C33,AA!$C:$C,0)),0)</f>
        <v>0</v>
      </c>
      <c r="E33" s="261" t="e">
        <f>INDEX(IC!G:G,MATCH(AL!C33,IC!B:B,0))</f>
        <v>#N/A</v>
      </c>
      <c r="F33" s="261">
        <f>IFERROR(INDEX(AA!$AK:$AK,MATCH($C33,AA!$C:$C,0)),0)</f>
        <v>0</v>
      </c>
      <c r="G33" s="261">
        <f>IFERROR(INDEX(AO!$Q:$Q,MATCH($C33,AO!$C:$C,0)),0)</f>
        <v>0</v>
      </c>
      <c r="H33" s="261">
        <f>IFERROR(INDEX(AO!$Q:$Q,MATCH($C33,AO!$C:$C,0))-INDEX(AO!$BE$18:$BE$20,MATCH($C33,AO!$C$18:$C$20,0)),0)</f>
        <v>0</v>
      </c>
      <c r="I33" s="1557">
        <f t="shared" si="2"/>
        <v>0</v>
      </c>
      <c r="J33" s="261">
        <f>IFERROR(INDEX(AO!$Y:$Y,MATCH($C33,AO!$C:$C,0)),0)</f>
        <v>0</v>
      </c>
      <c r="K33" s="261">
        <f>IFERROR(INDEX(AO!$AI:$AI,MATCH($C33,AO!$C:$C,0)),0)</f>
        <v>0</v>
      </c>
      <c r="L33" s="1556">
        <f>IFERROR(INDEX(AO!$AP:$AP,MATCH($C33,AO!$C:$C,0)),0)</f>
        <v>0</v>
      </c>
      <c r="M33" s="1557">
        <f>IFERROR(SUMIFS(TA!$AJ$15:$AJ$17,TA!$U$15:$U$17,"*FMCG*",TA!$C$15:$C$17,$B33)/SUMIFS(TA!$AJ$15:$AJ$17,TA!$C$15:$C$17,$B33),0)</f>
        <v>0</v>
      </c>
      <c r="N33" s="261">
        <f>IFERROR(INDEX(AA!$AN:$AN,MATCH($C33,AA!$C:$C,0)),0)</f>
        <v>0</v>
      </c>
      <c r="O33" s="1252" t="e">
        <f>DATEDIF(GA!$G$56,INDEX(RR!$N:$N,MATCH(AB33,RR!$E:$E,0)),"D")/365</f>
        <v>#N/A</v>
      </c>
      <c r="P33" s="261">
        <f>IFERROR(INDEX(AO!$CV:$CV,MATCH($C33,AO!$C:$C,0)),0)</f>
        <v>0</v>
      </c>
      <c r="Q33" s="261">
        <f>IFERROR(INDEX(AO!$CZ:$CZ,MATCH($C33,AO!$C:$C,0)),0)</f>
        <v>0</v>
      </c>
      <c r="R33" s="1230">
        <f>IFERROR(INDEX(AO!$DC:$DC,MATCH($C33,AO!$C:$C,0)),0)</f>
        <v>0</v>
      </c>
      <c r="S33" s="1230" t="e">
        <f>INDEX(IC!AR:AR,MATCH(C33,IC!B:B,0))</f>
        <v>#N/A</v>
      </c>
      <c r="T33" s="1558" t="e">
        <f>INDEX(IC!AW:AW,MATCH(C33,IC!B:B,0))</f>
        <v>#N/A</v>
      </c>
      <c r="U33" s="1230" t="e">
        <f>INDEX(IC!AS:AS,MATCH(C33,IC!B:B,0))</f>
        <v>#N/A</v>
      </c>
      <c r="V33" s="261">
        <f>IFERROR(INDEX(AA!$GA:$GA,MATCH($C33,AA!$C:$C,0)),0)</f>
        <v>0</v>
      </c>
      <c r="W33" s="1558">
        <f>IFERROR(V33/INDEX(AO!$CI:$CI,MATCH($C33,AO!$C:$C,0)),0)</f>
        <v>0</v>
      </c>
      <c r="X33" s="1558">
        <f>IFERROR(V33/INDEX(AO!$CS:$CS,MATCH($C33,AO!$C:$C,0)),0)</f>
        <v>0</v>
      </c>
      <c r="Y33" s="1557">
        <f>IFERROR(INDEX(AO!$CN:$CN,MATCH($C33,AO!$C:$C,0))/V33,0)</f>
        <v>0</v>
      </c>
      <c r="Z33" s="261">
        <f>IFERROR(V33/INDEX(AO!$CA:$CA,MATCH($C33,AO!$C:$C,0)),0)</f>
        <v>0</v>
      </c>
      <c r="AB33" t="str">
        <f t="shared" si="1"/>
        <v>25 - 1</v>
      </c>
    </row>
    <row r="34" spans="2:28" outlineLevel="1">
      <c r="B34" s="1563">
        <v>26</v>
      </c>
      <c r="C34" s="1563" t="e">
        <f>INDEX(IC!B:B,MATCH(B34,IC!AY:AY,0))</f>
        <v>#N/A</v>
      </c>
      <c r="D34" s="1257">
        <f>IFERROR(INDEX(AA!$AC:$AC,MATCH($C34,AA!$C:$C,0)),0)</f>
        <v>0</v>
      </c>
      <c r="E34" s="1257" t="e">
        <f>INDEX(IC!G:G,MATCH(AL!C34,IC!B:B,0))</f>
        <v>#N/A</v>
      </c>
      <c r="F34" s="1257">
        <f>IFERROR(INDEX(AA!$AK:$AK,MATCH($C34,AA!$C:$C,0)),0)</f>
        <v>0</v>
      </c>
      <c r="G34" s="1257">
        <f>IFERROR(INDEX(AO!$Q:$Q,MATCH($C34,AO!$C:$C,0)),0)</f>
        <v>0</v>
      </c>
      <c r="H34" s="1257">
        <f>IFERROR(INDEX(AO!$Q:$Q,MATCH($C34,AO!$C:$C,0))-INDEX(AO!$BE$18:$BE$20,MATCH($C34,AO!$C$18:$C$20,0)),0)</f>
        <v>0</v>
      </c>
      <c r="I34" s="1559">
        <f t="shared" si="2"/>
        <v>0</v>
      </c>
      <c r="J34" s="1257">
        <f>IFERROR(INDEX(AO!$Y:$Y,MATCH($C34,AO!$C:$C,0)),0)</f>
        <v>0</v>
      </c>
      <c r="K34" s="1257">
        <f>IFERROR(INDEX(AO!$AI:$AI,MATCH($C34,AO!$C:$C,0)),0)</f>
        <v>0</v>
      </c>
      <c r="L34" s="1560">
        <f>IFERROR(INDEX(AO!$AP:$AP,MATCH($C34,AO!$C:$C,0)),0)</f>
        <v>0</v>
      </c>
      <c r="M34" s="1559">
        <f>IFERROR(SUMIFS(TA!$AJ$15:$AJ$17,TA!$U$15:$U$17,"*FMCG*",TA!$C$15:$C$17,$B34)/SUMIFS(TA!$AJ$15:$AJ$17,TA!$C$15:$C$17,$B34),0)</f>
        <v>0</v>
      </c>
      <c r="N34" s="1257">
        <f>IFERROR(INDEX(AA!$AN:$AN,MATCH($C34,AA!$C:$C,0)),0)</f>
        <v>0</v>
      </c>
      <c r="O34" s="1259" t="e">
        <f>DATEDIF(GA!$G$56,INDEX(RR!$N:$N,MATCH(AB34,RR!$E:$E,0)),"D")/365</f>
        <v>#N/A</v>
      </c>
      <c r="P34" s="1257">
        <f>IFERROR(INDEX(AO!$CV:$CV,MATCH($C34,AO!$C:$C,0)),0)</f>
        <v>0</v>
      </c>
      <c r="Q34" s="1257">
        <f>IFERROR(INDEX(AO!$CZ:$CZ,MATCH($C34,AO!$C:$C,0)),0)</f>
        <v>0</v>
      </c>
      <c r="R34" s="1561">
        <f>IFERROR(INDEX(AO!$DC:$DC,MATCH($C34,AO!$C:$C,0)),0)</f>
        <v>0</v>
      </c>
      <c r="S34" s="1561" t="e">
        <f>INDEX(IC!AR:AR,MATCH(C34,IC!B:B,0))</f>
        <v>#N/A</v>
      </c>
      <c r="T34" s="1562" t="e">
        <f>INDEX(IC!AW:AW,MATCH(C34,IC!B:B,0))</f>
        <v>#N/A</v>
      </c>
      <c r="U34" s="1561" t="e">
        <f>INDEX(IC!AS:AS,MATCH(C34,IC!B:B,0))</f>
        <v>#N/A</v>
      </c>
      <c r="V34" s="1257">
        <f>IFERROR(INDEX(AA!$GA:$GA,MATCH($C34,AA!$C:$C,0)),0)</f>
        <v>0</v>
      </c>
      <c r="W34" s="1562">
        <f>IFERROR(V34/INDEX(AO!$CI:$CI,MATCH($C34,AO!$C:$C,0)),0)</f>
        <v>0</v>
      </c>
      <c r="X34" s="1562">
        <f>IFERROR(V34/INDEX(AO!$CS:$CS,MATCH($C34,AO!$C:$C,0)),0)</f>
        <v>0</v>
      </c>
      <c r="Y34" s="1559">
        <f>IFERROR(INDEX(AO!$CN:$CN,MATCH($C34,AO!$C:$C,0))/V34,0)</f>
        <v>0</v>
      </c>
      <c r="Z34" s="1257">
        <f>IFERROR(V34/INDEX(AO!$CA:$CA,MATCH($C34,AO!$C:$C,0)),0)</f>
        <v>0</v>
      </c>
      <c r="AB34" t="str">
        <f t="shared" si="1"/>
        <v>26 - 1</v>
      </c>
    </row>
    <row r="35" spans="2:28" outlineLevel="1">
      <c r="B35" s="1434">
        <v>27</v>
      </c>
      <c r="C35" s="1434" t="e">
        <f>INDEX(IC!B:B,MATCH(B35,IC!AY:AY,0))</f>
        <v>#N/A</v>
      </c>
      <c r="D35" s="261">
        <f>IFERROR(INDEX(AA!$AC:$AC,MATCH($C35,AA!$C:$C,0)),0)</f>
        <v>0</v>
      </c>
      <c r="E35" s="261" t="e">
        <f>INDEX(IC!G:G,MATCH(AL!C35,IC!B:B,0))</f>
        <v>#N/A</v>
      </c>
      <c r="F35" s="261">
        <f>IFERROR(INDEX(AA!$AK:$AK,MATCH($C35,AA!$C:$C,0)),0)</f>
        <v>0</v>
      </c>
      <c r="G35" s="261">
        <f>IFERROR(INDEX(AO!$Q:$Q,MATCH($C35,AO!$C:$C,0)),0)</f>
        <v>0</v>
      </c>
      <c r="H35" s="261">
        <f>IFERROR(INDEX(AO!$Q:$Q,MATCH($C35,AO!$C:$C,0))-INDEX(AO!$BE$18:$BE$20,MATCH($C35,AO!$C$18:$C$20,0)),0)</f>
        <v>0</v>
      </c>
      <c r="I35" s="1557">
        <f t="shared" si="2"/>
        <v>0</v>
      </c>
      <c r="J35" s="261">
        <f>IFERROR(INDEX(AO!$Y:$Y,MATCH($C35,AO!$C:$C,0)),0)</f>
        <v>0</v>
      </c>
      <c r="K35" s="261">
        <f>IFERROR(INDEX(AO!$AI:$AI,MATCH($C35,AO!$C:$C,0)),0)</f>
        <v>0</v>
      </c>
      <c r="L35" s="1556">
        <f>IFERROR(INDEX(AO!$AP:$AP,MATCH($C35,AO!$C:$C,0)),0)</f>
        <v>0</v>
      </c>
      <c r="M35" s="1557">
        <f>IFERROR(SUMIFS(TA!$AJ$15:$AJ$17,TA!$U$15:$U$17,"*FMCG*",TA!$C$15:$C$17,$B35)/SUMIFS(TA!$AJ$15:$AJ$17,TA!$C$15:$C$17,$B35),0)</f>
        <v>0</v>
      </c>
      <c r="N35" s="261">
        <f>IFERROR(INDEX(AA!$AN:$AN,MATCH($C35,AA!$C:$C,0)),0)</f>
        <v>0</v>
      </c>
      <c r="O35" s="1252" t="e">
        <f>DATEDIF(GA!$G$56,INDEX(RR!$N:$N,MATCH(AB35,RR!$E:$E,0)),"D")/365</f>
        <v>#N/A</v>
      </c>
      <c r="P35" s="261">
        <f>IFERROR(INDEX(AO!$CV:$CV,MATCH($C35,AO!$C:$C,0)),0)</f>
        <v>0</v>
      </c>
      <c r="Q35" s="261">
        <f>IFERROR(INDEX(AO!$CZ:$CZ,MATCH($C35,AO!$C:$C,0)),0)</f>
        <v>0</v>
      </c>
      <c r="R35" s="1230">
        <f>IFERROR(INDEX(AO!$DC:$DC,MATCH($C35,AO!$C:$C,0)),0)</f>
        <v>0</v>
      </c>
      <c r="S35" s="1230" t="e">
        <f>INDEX(IC!AR:AR,MATCH(C35,IC!B:B,0))</f>
        <v>#N/A</v>
      </c>
      <c r="T35" s="1558" t="e">
        <f>INDEX(IC!AW:AW,MATCH(C35,IC!B:B,0))</f>
        <v>#N/A</v>
      </c>
      <c r="U35" s="1230" t="e">
        <f>INDEX(IC!AS:AS,MATCH(C35,IC!B:B,0))</f>
        <v>#N/A</v>
      </c>
      <c r="V35" s="261">
        <f>IFERROR(INDEX(AA!$GA:$GA,MATCH($C35,AA!$C:$C,0)),0)</f>
        <v>0</v>
      </c>
      <c r="W35" s="1558">
        <f>IFERROR(V35/INDEX(AO!$CI:$CI,MATCH($C35,AO!$C:$C,0)),0)</f>
        <v>0</v>
      </c>
      <c r="X35" s="1558">
        <f>IFERROR(V35/INDEX(AO!$CS:$CS,MATCH($C35,AO!$C:$C,0)),0)</f>
        <v>0</v>
      </c>
      <c r="Y35" s="1557">
        <f>IFERROR(INDEX(AO!$CN:$CN,MATCH($C35,AO!$C:$C,0))/V35,0)</f>
        <v>0</v>
      </c>
      <c r="Z35" s="261">
        <f>IFERROR(V35/INDEX(AO!$CA:$CA,MATCH($C35,AO!$C:$C,0)),0)</f>
        <v>0</v>
      </c>
      <c r="AB35" t="str">
        <f t="shared" si="1"/>
        <v>27 - 1</v>
      </c>
    </row>
    <row r="36" spans="2:28" outlineLevel="1">
      <c r="B36" s="1563">
        <v>28</v>
      </c>
      <c r="C36" s="1563" t="e">
        <f>INDEX(IC!B:B,MATCH(B36,IC!AY:AY,0))</f>
        <v>#N/A</v>
      </c>
      <c r="D36" s="1257">
        <f>IFERROR(INDEX(AA!$AC:$AC,MATCH($C36,AA!$C:$C,0)),0)</f>
        <v>0</v>
      </c>
      <c r="E36" s="1257" t="e">
        <f>INDEX(IC!G:G,MATCH(AL!C36,IC!B:B,0))</f>
        <v>#N/A</v>
      </c>
      <c r="F36" s="1257">
        <f>IFERROR(INDEX(AA!$AK:$AK,MATCH($C36,AA!$C:$C,0)),0)</f>
        <v>0</v>
      </c>
      <c r="G36" s="1257">
        <f>IFERROR(INDEX(AO!$Q:$Q,MATCH($C36,AO!$C:$C,0)),0)</f>
        <v>0</v>
      </c>
      <c r="H36" s="1257">
        <f>IFERROR(INDEX(AO!$Q:$Q,MATCH($C36,AO!$C:$C,0))-INDEX(AO!$BE$18:$BE$20,MATCH($C36,AO!$C$18:$C$20,0)),0)</f>
        <v>0</v>
      </c>
      <c r="I36" s="1559">
        <f t="shared" si="2"/>
        <v>0</v>
      </c>
      <c r="J36" s="1257">
        <f>IFERROR(INDEX(AO!$Y:$Y,MATCH($C36,AO!$C:$C,0)),0)</f>
        <v>0</v>
      </c>
      <c r="K36" s="1257">
        <f>IFERROR(INDEX(AO!$AI:$AI,MATCH($C36,AO!$C:$C,0)),0)</f>
        <v>0</v>
      </c>
      <c r="L36" s="1560">
        <f>IFERROR(INDEX(AO!$AP:$AP,MATCH($C36,AO!$C:$C,0)),0)</f>
        <v>0</v>
      </c>
      <c r="M36" s="1559">
        <f>IFERROR(SUMIFS(TA!$AJ$15:$AJ$17,TA!$U$15:$U$17,"*FMCG*",TA!$C$15:$C$17,$B36)/SUMIFS(TA!$AJ$15:$AJ$17,TA!$C$15:$C$17,$B36),0)</f>
        <v>0</v>
      </c>
      <c r="N36" s="1257">
        <f>IFERROR(INDEX(AA!$AN:$AN,MATCH($C36,AA!$C:$C,0)),0)</f>
        <v>0</v>
      </c>
      <c r="O36" s="1259" t="e">
        <f>DATEDIF(GA!$G$56,INDEX(RR!$N:$N,MATCH(AB36,RR!$E:$E,0)),"D")/365</f>
        <v>#N/A</v>
      </c>
      <c r="P36" s="1257">
        <f>IFERROR(INDEX(AO!$CV:$CV,MATCH($C36,AO!$C:$C,0)),0)</f>
        <v>0</v>
      </c>
      <c r="Q36" s="1257">
        <f>IFERROR(INDEX(AO!$CZ:$CZ,MATCH($C36,AO!$C:$C,0)),0)</f>
        <v>0</v>
      </c>
      <c r="R36" s="1561">
        <f>IFERROR(INDEX(AO!$DC:$DC,MATCH($C36,AO!$C:$C,0)),0)</f>
        <v>0</v>
      </c>
      <c r="S36" s="1561" t="e">
        <f>INDEX(IC!AR:AR,MATCH(C36,IC!B:B,0))</f>
        <v>#N/A</v>
      </c>
      <c r="T36" s="1562" t="e">
        <f>INDEX(IC!AW:AW,MATCH(C36,IC!B:B,0))</f>
        <v>#N/A</v>
      </c>
      <c r="U36" s="1561" t="e">
        <f>INDEX(IC!AS:AS,MATCH(C36,IC!B:B,0))</f>
        <v>#N/A</v>
      </c>
      <c r="V36" s="1257">
        <f>IFERROR(INDEX(AA!$GA:$GA,MATCH($C36,AA!$C:$C,0)),0)</f>
        <v>0</v>
      </c>
      <c r="W36" s="1562">
        <f>IFERROR(V36/INDEX(AO!$CI:$CI,MATCH($C36,AO!$C:$C,0)),0)</f>
        <v>0</v>
      </c>
      <c r="X36" s="1562">
        <f>IFERROR(V36/INDEX(AO!$CS:$CS,MATCH($C36,AO!$C:$C,0)),0)</f>
        <v>0</v>
      </c>
      <c r="Y36" s="1559">
        <f>IFERROR(INDEX(AO!$CN:$CN,MATCH($C36,AO!$C:$C,0))/V36,0)</f>
        <v>0</v>
      </c>
      <c r="Z36" s="1257">
        <f>IFERROR(V36/INDEX(AO!$CA:$CA,MATCH($C36,AO!$C:$C,0)),0)</f>
        <v>0</v>
      </c>
      <c r="AB36" t="str">
        <f t="shared" si="1"/>
        <v>28 - 1</v>
      </c>
    </row>
    <row r="37" spans="2:28" outlineLevel="1">
      <c r="B37" s="1434">
        <v>29</v>
      </c>
      <c r="C37" s="1434" t="e">
        <f>INDEX(IC!B:B,MATCH(B37,IC!AY:AY,0))</f>
        <v>#N/A</v>
      </c>
      <c r="D37" s="261">
        <f>IFERROR(INDEX(AA!$AC:$AC,MATCH($C37,AA!$C:$C,0)),0)</f>
        <v>0</v>
      </c>
      <c r="E37" s="261" t="e">
        <f>INDEX(IC!G:G,MATCH(AL!C37,IC!B:B,0))</f>
        <v>#N/A</v>
      </c>
      <c r="F37" s="261">
        <f>IFERROR(INDEX(AA!$AK:$AK,MATCH($C37,AA!$C:$C,0)),0)</f>
        <v>0</v>
      </c>
      <c r="G37" s="261">
        <f>IFERROR(INDEX(AO!$Q:$Q,MATCH($C37,AO!$C:$C,0)),0)</f>
        <v>0</v>
      </c>
      <c r="H37" s="261">
        <f>IFERROR(INDEX(AO!$Q:$Q,MATCH($C37,AO!$C:$C,0))-INDEX(AO!$BE$18:$BE$20,MATCH($C37,AO!$C$18:$C$20,0)),0)</f>
        <v>0</v>
      </c>
      <c r="I37" s="1557">
        <f t="shared" si="2"/>
        <v>0</v>
      </c>
      <c r="J37" s="261">
        <f>IFERROR(INDEX(AO!$Y:$Y,MATCH($C37,AO!$C:$C,0)),0)</f>
        <v>0</v>
      </c>
      <c r="K37" s="261">
        <f>IFERROR(INDEX(AO!$AI:$AI,MATCH($C37,AO!$C:$C,0)),0)</f>
        <v>0</v>
      </c>
      <c r="L37" s="1556">
        <f>IFERROR(INDEX(AO!$AP:$AP,MATCH($C37,AO!$C:$C,0)),0)</f>
        <v>0</v>
      </c>
      <c r="M37" s="1557">
        <f>IFERROR(SUMIFS(TA!$AJ$15:$AJ$17,TA!$U$15:$U$17,"*FMCG*",TA!$C$15:$C$17,$B37)/SUMIFS(TA!$AJ$15:$AJ$17,TA!$C$15:$C$17,$B37),0)</f>
        <v>0</v>
      </c>
      <c r="N37" s="261">
        <f>IFERROR(INDEX(AA!$AN:$AN,MATCH($C37,AA!$C:$C,0)),0)</f>
        <v>0</v>
      </c>
      <c r="O37" s="1252" t="e">
        <f>DATEDIF(GA!$G$56,INDEX(RR!$N:$N,MATCH(AB37,RR!$E:$E,0)),"D")/365</f>
        <v>#N/A</v>
      </c>
      <c r="P37" s="261">
        <f>IFERROR(INDEX(AO!$CV:$CV,MATCH($C37,AO!$C:$C,0)),0)</f>
        <v>0</v>
      </c>
      <c r="Q37" s="261">
        <f>IFERROR(INDEX(AO!$CZ:$CZ,MATCH($C37,AO!$C:$C,0)),0)</f>
        <v>0</v>
      </c>
      <c r="R37" s="1230">
        <f>IFERROR(INDEX(AO!$DC:$DC,MATCH($C37,AO!$C:$C,0)),0)</f>
        <v>0</v>
      </c>
      <c r="S37" s="1230" t="e">
        <f>INDEX(IC!AR:AR,MATCH(C37,IC!B:B,0))</f>
        <v>#N/A</v>
      </c>
      <c r="T37" s="1558" t="e">
        <f>INDEX(IC!AW:AW,MATCH(C37,IC!B:B,0))</f>
        <v>#N/A</v>
      </c>
      <c r="U37" s="1230" t="e">
        <f>INDEX(IC!AS:AS,MATCH(C37,IC!B:B,0))</f>
        <v>#N/A</v>
      </c>
      <c r="V37" s="261">
        <f>IFERROR(INDEX(AA!$GA:$GA,MATCH($C37,AA!$C:$C,0)),0)</f>
        <v>0</v>
      </c>
      <c r="W37" s="1558">
        <f>IFERROR(V37/INDEX(AO!$CI:$CI,MATCH($C37,AO!$C:$C,0)),0)</f>
        <v>0</v>
      </c>
      <c r="X37" s="1558">
        <f>IFERROR(V37/INDEX(AO!$CS:$CS,MATCH($C37,AO!$C:$C,0)),0)</f>
        <v>0</v>
      </c>
      <c r="Y37" s="1557">
        <f>IFERROR(INDEX(AO!$CN:$CN,MATCH($C37,AO!$C:$C,0))/V37,0)</f>
        <v>0</v>
      </c>
      <c r="Z37" s="261">
        <f>IFERROR(V37/INDEX(AO!$CA:$CA,MATCH($C37,AO!$C:$C,0)),0)</f>
        <v>0</v>
      </c>
      <c r="AB37" t="str">
        <f t="shared" si="1"/>
        <v>29 - 1</v>
      </c>
    </row>
    <row r="38" spans="2:28" outlineLevel="1">
      <c r="B38" s="1563">
        <v>30</v>
      </c>
      <c r="C38" s="1563" t="e">
        <f>INDEX(IC!B:B,MATCH(B38,IC!AY:AY,0))</f>
        <v>#N/A</v>
      </c>
      <c r="D38" s="1257">
        <f>IFERROR(INDEX(AA!$AC:$AC,MATCH($C38,AA!$C:$C,0)),0)</f>
        <v>0</v>
      </c>
      <c r="E38" s="1257" t="e">
        <f>INDEX(IC!G:G,MATCH(AL!C38,IC!B:B,0))</f>
        <v>#N/A</v>
      </c>
      <c r="F38" s="1257">
        <f>IFERROR(INDEX(AA!$AK:$AK,MATCH($C38,AA!$C:$C,0)),0)</f>
        <v>0</v>
      </c>
      <c r="G38" s="1257">
        <f>IFERROR(INDEX(AO!$Q:$Q,MATCH($C38,AO!$C:$C,0)),0)</f>
        <v>0</v>
      </c>
      <c r="H38" s="1257">
        <f>IFERROR(INDEX(AO!$Q:$Q,MATCH($C38,AO!$C:$C,0))-INDEX(AO!$BE$18:$BE$20,MATCH($C38,AO!$C$18:$C$20,0)),0)</f>
        <v>0</v>
      </c>
      <c r="I38" s="1559">
        <f t="shared" si="2"/>
        <v>0</v>
      </c>
      <c r="J38" s="1257">
        <f>IFERROR(INDEX(AO!$Y:$Y,MATCH($C38,AO!$C:$C,0)),0)</f>
        <v>0</v>
      </c>
      <c r="K38" s="1257">
        <f>IFERROR(INDEX(AO!$AI:$AI,MATCH($C38,AO!$C:$C,0)),0)</f>
        <v>0</v>
      </c>
      <c r="L38" s="1560">
        <f>IFERROR(INDEX(AO!$AP:$AP,MATCH($C38,AO!$C:$C,0)),0)</f>
        <v>0</v>
      </c>
      <c r="M38" s="1559">
        <f>IFERROR(SUMIFS(TA!$AJ$15:$AJ$17,TA!$U$15:$U$17,"*FMCG*",TA!$C$15:$C$17,$B38)/SUMIFS(TA!$AJ$15:$AJ$17,TA!$C$15:$C$17,$B38),0)</f>
        <v>0</v>
      </c>
      <c r="N38" s="1257">
        <f>IFERROR(INDEX(AA!$AN:$AN,MATCH($C38,AA!$C:$C,0)),0)</f>
        <v>0</v>
      </c>
      <c r="O38" s="1259" t="e">
        <f>DATEDIF(GA!$G$56,INDEX(RR!$N:$N,MATCH(AB38,RR!$E:$E,0)),"D")/365</f>
        <v>#N/A</v>
      </c>
      <c r="P38" s="1257">
        <f>IFERROR(INDEX(AO!$CV:$CV,MATCH($C38,AO!$C:$C,0)),0)</f>
        <v>0</v>
      </c>
      <c r="Q38" s="1257">
        <f>IFERROR(INDEX(AO!$CZ:$CZ,MATCH($C38,AO!$C:$C,0)),0)</f>
        <v>0</v>
      </c>
      <c r="R38" s="1561">
        <f>IFERROR(INDEX(AO!$DC:$DC,MATCH($C38,AO!$C:$C,0)),0)</f>
        <v>0</v>
      </c>
      <c r="S38" s="1561" t="e">
        <f>INDEX(IC!AR:AR,MATCH(C38,IC!B:B,0))</f>
        <v>#N/A</v>
      </c>
      <c r="T38" s="1562" t="e">
        <f>INDEX(IC!AW:AW,MATCH(C38,IC!B:B,0))</f>
        <v>#N/A</v>
      </c>
      <c r="U38" s="1561" t="e">
        <f>INDEX(IC!AS:AS,MATCH(C38,IC!B:B,0))</f>
        <v>#N/A</v>
      </c>
      <c r="V38" s="1257">
        <f>IFERROR(INDEX(AA!$GA:$GA,MATCH($C38,AA!$C:$C,0)),0)</f>
        <v>0</v>
      </c>
      <c r="W38" s="1562">
        <f>IFERROR(V38/INDEX(AO!$CI:$CI,MATCH($C38,AO!$C:$C,0)),0)</f>
        <v>0</v>
      </c>
      <c r="X38" s="1562">
        <f>IFERROR(V38/INDEX(AO!$CS:$CS,MATCH($C38,AO!$C:$C,0)),0)</f>
        <v>0</v>
      </c>
      <c r="Y38" s="1559">
        <f>IFERROR(INDEX(AO!$CN:$CN,MATCH($C38,AO!$C:$C,0))/V38,0)</f>
        <v>0</v>
      </c>
      <c r="Z38" s="1257">
        <f>IFERROR(V38/INDEX(AO!$CA:$CA,MATCH($C38,AO!$C:$C,0)),0)</f>
        <v>0</v>
      </c>
      <c r="AB38" t="str">
        <f t="shared" si="1"/>
        <v>30 - 1</v>
      </c>
    </row>
    <row r="39" spans="2:28" outlineLevel="1">
      <c r="B39" s="1434">
        <v>31</v>
      </c>
      <c r="C39" s="1434" t="e">
        <f>INDEX(IC!B:B,MATCH(B39,IC!AY:AY,0))</f>
        <v>#N/A</v>
      </c>
      <c r="D39" s="261">
        <f>IFERROR(INDEX(AA!$AC:$AC,MATCH($C39,AA!$C:$C,0)),0)</f>
        <v>0</v>
      </c>
      <c r="E39" s="261" t="e">
        <f>INDEX(IC!G:G,MATCH(AL!C39,IC!B:B,0))</f>
        <v>#N/A</v>
      </c>
      <c r="F39" s="261">
        <f>IFERROR(INDEX(AA!$AK:$AK,MATCH($C39,AA!$C:$C,0)),0)</f>
        <v>0</v>
      </c>
      <c r="G39" s="261">
        <f>IFERROR(INDEX(AO!$Q:$Q,MATCH($C39,AO!$C:$C,0)),0)</f>
        <v>0</v>
      </c>
      <c r="H39" s="261">
        <f>IFERROR(INDEX(AO!$Q:$Q,MATCH($C39,AO!$C:$C,0))-INDEX(AO!$BE$18:$BE$20,MATCH($C39,AO!$C$18:$C$20,0)),0)</f>
        <v>0</v>
      </c>
      <c r="I39" s="1557">
        <f t="shared" si="2"/>
        <v>0</v>
      </c>
      <c r="J39" s="261">
        <f>IFERROR(INDEX(AO!$Y:$Y,MATCH($C39,AO!$C:$C,0)),0)</f>
        <v>0</v>
      </c>
      <c r="K39" s="261">
        <f>IFERROR(INDEX(AO!$AI:$AI,MATCH($C39,AO!$C:$C,0)),0)</f>
        <v>0</v>
      </c>
      <c r="L39" s="1556">
        <f>IFERROR(INDEX(AO!$AP:$AP,MATCH($C39,AO!$C:$C,0)),0)</f>
        <v>0</v>
      </c>
      <c r="M39" s="1557">
        <f>IFERROR(SUMIFS(TA!$AJ$15:$AJ$17,TA!$U$15:$U$17,"*FMCG*",TA!$C$15:$C$17,$B39)/SUMIFS(TA!$AJ$15:$AJ$17,TA!$C$15:$C$17,$B39),0)</f>
        <v>0</v>
      </c>
      <c r="N39" s="261">
        <f>IFERROR(INDEX(AA!$AN:$AN,MATCH($C39,AA!$C:$C,0)),0)</f>
        <v>0</v>
      </c>
      <c r="O39" s="1252" t="e">
        <f>DATEDIF(GA!$G$56,INDEX(RR!$N:$N,MATCH(AB39,RR!$E:$E,0)),"D")/365</f>
        <v>#N/A</v>
      </c>
      <c r="P39" s="261">
        <f>IFERROR(INDEX(AO!$CV:$CV,MATCH($C39,AO!$C:$C,0)),0)</f>
        <v>0</v>
      </c>
      <c r="Q39" s="261">
        <f>IFERROR(INDEX(AO!$CZ:$CZ,MATCH($C39,AO!$C:$C,0)),0)</f>
        <v>0</v>
      </c>
      <c r="R39" s="1230">
        <f>IFERROR(INDEX(AO!$DC:$DC,MATCH($C39,AO!$C:$C,0)),0)</f>
        <v>0</v>
      </c>
      <c r="S39" s="1230" t="e">
        <f>INDEX(IC!AR:AR,MATCH(C39,IC!B:B,0))</f>
        <v>#N/A</v>
      </c>
      <c r="T39" s="1558" t="e">
        <f>INDEX(IC!AW:AW,MATCH(C39,IC!B:B,0))</f>
        <v>#N/A</v>
      </c>
      <c r="U39" s="1230" t="e">
        <f>INDEX(IC!AS:AS,MATCH(C39,IC!B:B,0))</f>
        <v>#N/A</v>
      </c>
      <c r="V39" s="261">
        <f>IFERROR(INDEX(AA!$GA:$GA,MATCH($C39,AA!$C:$C,0)),0)</f>
        <v>0</v>
      </c>
      <c r="W39" s="1558">
        <f>IFERROR(V39/INDEX(AO!$CI:$CI,MATCH($C39,AO!$C:$C,0)),0)</f>
        <v>0</v>
      </c>
      <c r="X39" s="1558">
        <f>IFERROR(V39/INDEX(AO!$CS:$CS,MATCH($C39,AO!$C:$C,0)),0)</f>
        <v>0</v>
      </c>
      <c r="Y39" s="1557">
        <f>IFERROR(INDEX(AO!$CN:$CN,MATCH($C39,AO!$C:$C,0))/V39,0)</f>
        <v>0</v>
      </c>
      <c r="Z39" s="261">
        <f>IFERROR(V39/INDEX(AO!$CA:$CA,MATCH($C39,AO!$C:$C,0)),0)</f>
        <v>0</v>
      </c>
      <c r="AB39" t="str">
        <f t="shared" si="1"/>
        <v>31 - 1</v>
      </c>
    </row>
    <row r="40" spans="2:28" outlineLevel="1">
      <c r="B40" s="1563">
        <v>32</v>
      </c>
      <c r="C40" s="1563" t="e">
        <f>INDEX(IC!B:B,MATCH(B40,IC!AY:AY,0))</f>
        <v>#N/A</v>
      </c>
      <c r="D40" s="1257">
        <f>IFERROR(INDEX(AA!$AC:$AC,MATCH($C40,AA!$C:$C,0)),0)</f>
        <v>0</v>
      </c>
      <c r="E40" s="1257" t="e">
        <f>INDEX(IC!G:G,MATCH(AL!C40,IC!B:B,0))</f>
        <v>#N/A</v>
      </c>
      <c r="F40" s="1257">
        <f>IFERROR(INDEX(AA!$AK:$AK,MATCH($C40,AA!$C:$C,0)),0)</f>
        <v>0</v>
      </c>
      <c r="G40" s="1257">
        <f>IFERROR(INDEX(AO!$Q:$Q,MATCH($C40,AO!$C:$C,0)),0)</f>
        <v>0</v>
      </c>
      <c r="H40" s="1257">
        <f>IFERROR(INDEX(AO!$Q:$Q,MATCH($C40,AO!$C:$C,0))-INDEX(AO!$BE$18:$BE$20,MATCH($C40,AO!$C$18:$C$20,0)),0)</f>
        <v>0</v>
      </c>
      <c r="I40" s="1559">
        <f t="shared" si="2"/>
        <v>0</v>
      </c>
      <c r="J40" s="1257">
        <f>IFERROR(INDEX(AO!$Y:$Y,MATCH($C40,AO!$C:$C,0)),0)</f>
        <v>0</v>
      </c>
      <c r="K40" s="1257">
        <f>IFERROR(INDEX(AO!$AI:$AI,MATCH($C40,AO!$C:$C,0)),0)</f>
        <v>0</v>
      </c>
      <c r="L40" s="1560">
        <f>IFERROR(INDEX(AO!$AP:$AP,MATCH($C40,AO!$C:$C,0)),0)</f>
        <v>0</v>
      </c>
      <c r="M40" s="1559">
        <f>IFERROR(SUMIFS(TA!$AJ$15:$AJ$17,TA!$U$15:$U$17,"*FMCG*",TA!$C$15:$C$17,$B40)/SUMIFS(TA!$AJ$15:$AJ$17,TA!$C$15:$C$17,$B40),0)</f>
        <v>0</v>
      </c>
      <c r="N40" s="1257">
        <f>IFERROR(INDEX(AA!$AN:$AN,MATCH($C40,AA!$C:$C,0)),0)</f>
        <v>0</v>
      </c>
      <c r="O40" s="1259" t="e">
        <f>DATEDIF(GA!$G$56,INDEX(RR!$N:$N,MATCH(AB40,RR!$E:$E,0)),"D")/365</f>
        <v>#N/A</v>
      </c>
      <c r="P40" s="1257">
        <f>IFERROR(INDEX(AO!$CV:$CV,MATCH($C40,AO!$C:$C,0)),0)</f>
        <v>0</v>
      </c>
      <c r="Q40" s="1257">
        <f>IFERROR(INDEX(AO!$CZ:$CZ,MATCH($C40,AO!$C:$C,0)),0)</f>
        <v>0</v>
      </c>
      <c r="R40" s="1561">
        <f>IFERROR(INDEX(AO!$DC:$DC,MATCH($C40,AO!$C:$C,0)),0)</f>
        <v>0</v>
      </c>
      <c r="S40" s="1561" t="e">
        <f>INDEX(IC!AR:AR,MATCH(C40,IC!B:B,0))</f>
        <v>#N/A</v>
      </c>
      <c r="T40" s="1562" t="e">
        <f>INDEX(IC!AW:AW,MATCH(C40,IC!B:B,0))</f>
        <v>#N/A</v>
      </c>
      <c r="U40" s="1561" t="e">
        <f>INDEX(IC!AS:AS,MATCH(C40,IC!B:B,0))</f>
        <v>#N/A</v>
      </c>
      <c r="V40" s="1257">
        <f>IFERROR(INDEX(AA!$GA:$GA,MATCH($C40,AA!$C:$C,0)),0)</f>
        <v>0</v>
      </c>
      <c r="W40" s="1562">
        <f>IFERROR(V40/INDEX(AO!$CI:$CI,MATCH($C40,AO!$C:$C,0)),0)</f>
        <v>0</v>
      </c>
      <c r="X40" s="1562">
        <f>IFERROR(V40/INDEX(AO!$CS:$CS,MATCH($C40,AO!$C:$C,0)),0)</f>
        <v>0</v>
      </c>
      <c r="Y40" s="1559">
        <f>IFERROR(INDEX(AO!$CN:$CN,MATCH($C40,AO!$C:$C,0))/V40,0)</f>
        <v>0</v>
      </c>
      <c r="Z40" s="1257">
        <f>IFERROR(V40/INDEX(AO!$CA:$CA,MATCH($C40,AO!$C:$C,0)),0)</f>
        <v>0</v>
      </c>
      <c r="AB40" t="str">
        <f t="shared" si="1"/>
        <v>32 - 1</v>
      </c>
    </row>
    <row r="41" spans="2:28" outlineLevel="1">
      <c r="B41" s="1434">
        <v>33</v>
      </c>
      <c r="C41" s="1434" t="e">
        <f>INDEX(IC!B:B,MATCH(B41,IC!AY:AY,0))</f>
        <v>#N/A</v>
      </c>
      <c r="D41" s="261">
        <f>IFERROR(INDEX(AA!$AC:$AC,MATCH($C41,AA!$C:$C,0)),0)</f>
        <v>0</v>
      </c>
      <c r="E41" s="261" t="e">
        <f>INDEX(IC!G:G,MATCH(AL!C41,IC!B:B,0))</f>
        <v>#N/A</v>
      </c>
      <c r="F41" s="261">
        <f>IFERROR(INDEX(AA!$AK:$AK,MATCH($C41,AA!$C:$C,0)),0)</f>
        <v>0</v>
      </c>
      <c r="G41" s="261">
        <f>IFERROR(INDEX(AO!$Q:$Q,MATCH($C41,AO!$C:$C,0)),0)</f>
        <v>0</v>
      </c>
      <c r="H41" s="261">
        <f>IFERROR(INDEX(AO!$Q:$Q,MATCH($C41,AO!$C:$C,0))-INDEX(AO!$BE$18:$BE$20,MATCH($C41,AO!$C$18:$C$20,0)),0)</f>
        <v>0</v>
      </c>
      <c r="I41" s="1557">
        <f t="shared" si="2"/>
        <v>0</v>
      </c>
      <c r="J41" s="261">
        <f>IFERROR(INDEX(AO!$Y:$Y,MATCH($C41,AO!$C:$C,0)),0)</f>
        <v>0</v>
      </c>
      <c r="K41" s="261">
        <f>IFERROR(INDEX(AO!$AI:$AI,MATCH($C41,AO!$C:$C,0)),0)</f>
        <v>0</v>
      </c>
      <c r="L41" s="1556">
        <f>IFERROR(INDEX(AO!$AP:$AP,MATCH($C41,AO!$C:$C,0)),0)</f>
        <v>0</v>
      </c>
      <c r="M41" s="1557">
        <f>IFERROR(SUMIFS(TA!$AJ$15:$AJ$17,TA!$U$15:$U$17,"*FMCG*",TA!$C$15:$C$17,$B41)/SUMIFS(TA!$AJ$15:$AJ$17,TA!$C$15:$C$17,$B41),0)</f>
        <v>0</v>
      </c>
      <c r="N41" s="261">
        <f>IFERROR(INDEX(AA!$AN:$AN,MATCH($C41,AA!$C:$C,0)),0)</f>
        <v>0</v>
      </c>
      <c r="O41" s="1252" t="e">
        <f>DATEDIF(GA!$G$56,INDEX(RR!$N:$N,MATCH(AB41,RR!$E:$E,0)),"D")/365</f>
        <v>#N/A</v>
      </c>
      <c r="P41" s="261">
        <f>IFERROR(INDEX(AO!$CV:$CV,MATCH($C41,AO!$C:$C,0)),0)</f>
        <v>0</v>
      </c>
      <c r="Q41" s="261">
        <f>IFERROR(INDEX(AO!$CZ:$CZ,MATCH($C41,AO!$C:$C,0)),0)</f>
        <v>0</v>
      </c>
      <c r="R41" s="1230">
        <f>IFERROR(INDEX(AO!$DC:$DC,MATCH($C41,AO!$C:$C,0)),0)</f>
        <v>0</v>
      </c>
      <c r="S41" s="1230" t="e">
        <f>INDEX(IC!AR:AR,MATCH(C41,IC!B:B,0))</f>
        <v>#N/A</v>
      </c>
      <c r="T41" s="1558" t="e">
        <f>INDEX(IC!AW:AW,MATCH(C41,IC!B:B,0))</f>
        <v>#N/A</v>
      </c>
      <c r="U41" s="1230" t="e">
        <f>INDEX(IC!AS:AS,MATCH(C41,IC!B:B,0))</f>
        <v>#N/A</v>
      </c>
      <c r="V41" s="261">
        <f>IFERROR(INDEX(AA!$GA:$GA,MATCH($C41,AA!$C:$C,0)),0)</f>
        <v>0</v>
      </c>
      <c r="W41" s="1558">
        <f>IFERROR(V41/INDEX(AO!$CI:$CI,MATCH($C41,AO!$C:$C,0)),0)</f>
        <v>0</v>
      </c>
      <c r="X41" s="1558">
        <f>IFERROR(V41/INDEX(AO!$CS:$CS,MATCH($C41,AO!$C:$C,0)),0)</f>
        <v>0</v>
      </c>
      <c r="Y41" s="1557">
        <f>IFERROR(INDEX(AO!$CN:$CN,MATCH($C41,AO!$C:$C,0))/V41,0)</f>
        <v>0</v>
      </c>
      <c r="Z41" s="261">
        <f>IFERROR(V41/INDEX(AO!$CA:$CA,MATCH($C41,AO!$C:$C,0)),0)</f>
        <v>0</v>
      </c>
      <c r="AB41" t="str">
        <f t="shared" si="1"/>
        <v>33 - 1</v>
      </c>
    </row>
    <row r="42" spans="2:28" outlineLevel="1">
      <c r="B42" s="1563">
        <v>34</v>
      </c>
      <c r="C42" s="1563" t="e">
        <f>INDEX(IC!B:B,MATCH(B42,IC!AY:AY,0))</f>
        <v>#N/A</v>
      </c>
      <c r="D42" s="1257">
        <f>IFERROR(INDEX(AA!$AC:$AC,MATCH($C42,AA!$C:$C,0)),0)</f>
        <v>0</v>
      </c>
      <c r="E42" s="1257" t="e">
        <f>INDEX(IC!G:G,MATCH(AL!C42,IC!B:B,0))</f>
        <v>#N/A</v>
      </c>
      <c r="F42" s="1257">
        <f>IFERROR(INDEX(AA!$AK:$AK,MATCH($C42,AA!$C:$C,0)),0)</f>
        <v>0</v>
      </c>
      <c r="G42" s="1257">
        <f>IFERROR(INDEX(AO!$Q:$Q,MATCH($C42,AO!$C:$C,0)),0)</f>
        <v>0</v>
      </c>
      <c r="H42" s="1257">
        <f>IFERROR(INDEX(AO!$Q:$Q,MATCH($C42,AO!$C:$C,0))-INDEX(AO!$BE$18:$BE$20,MATCH($C42,AO!$C$18:$C$20,0)),0)</f>
        <v>0</v>
      </c>
      <c r="I42" s="1559">
        <f t="shared" si="2"/>
        <v>0</v>
      </c>
      <c r="J42" s="1257">
        <f>IFERROR(INDEX(AO!$Y:$Y,MATCH($C42,AO!$C:$C,0)),0)</f>
        <v>0</v>
      </c>
      <c r="K42" s="1257">
        <f>IFERROR(INDEX(AO!$AI:$AI,MATCH($C42,AO!$C:$C,0)),0)</f>
        <v>0</v>
      </c>
      <c r="L42" s="1560">
        <f>IFERROR(INDEX(AO!$AP:$AP,MATCH($C42,AO!$C:$C,0)),0)</f>
        <v>0</v>
      </c>
      <c r="M42" s="1559">
        <f>IFERROR(SUMIFS(TA!$AJ$15:$AJ$17,TA!$U$15:$U$17,"*FMCG*",TA!$C$15:$C$17,$B42)/SUMIFS(TA!$AJ$15:$AJ$17,TA!$C$15:$C$17,$B42),0)</f>
        <v>0</v>
      </c>
      <c r="N42" s="1257">
        <f>IFERROR(INDEX(AA!$AN:$AN,MATCH($C42,AA!$C:$C,0)),0)</f>
        <v>0</v>
      </c>
      <c r="O42" s="1259" t="e">
        <f>DATEDIF(GA!$G$56,INDEX(RR!$N:$N,MATCH(AB42,RR!$E:$E,0)),"D")/365</f>
        <v>#N/A</v>
      </c>
      <c r="P42" s="1257">
        <f>IFERROR(INDEX(AO!$CV:$CV,MATCH($C42,AO!$C:$C,0)),0)</f>
        <v>0</v>
      </c>
      <c r="Q42" s="1257">
        <f>IFERROR(INDEX(AO!$CZ:$CZ,MATCH($C42,AO!$C:$C,0)),0)</f>
        <v>0</v>
      </c>
      <c r="R42" s="1561">
        <f>IFERROR(INDEX(AO!$DC:$DC,MATCH($C42,AO!$C:$C,0)),0)</f>
        <v>0</v>
      </c>
      <c r="S42" s="1561" t="e">
        <f>INDEX(IC!AR:AR,MATCH(C42,IC!B:B,0))</f>
        <v>#N/A</v>
      </c>
      <c r="T42" s="1562" t="e">
        <f>INDEX(IC!AW:AW,MATCH(C42,IC!B:B,0))</f>
        <v>#N/A</v>
      </c>
      <c r="U42" s="1561" t="e">
        <f>INDEX(IC!AS:AS,MATCH(C42,IC!B:B,0))</f>
        <v>#N/A</v>
      </c>
      <c r="V42" s="1257">
        <f>IFERROR(INDEX(AA!$GA:$GA,MATCH($C42,AA!$C:$C,0)),0)</f>
        <v>0</v>
      </c>
      <c r="W42" s="1562">
        <f>IFERROR(V42/INDEX(AO!$CI:$CI,MATCH($C42,AO!$C:$C,0)),0)</f>
        <v>0</v>
      </c>
      <c r="X42" s="1562">
        <f>IFERROR(V42/INDEX(AO!$CS:$CS,MATCH($C42,AO!$C:$C,0)),0)</f>
        <v>0</v>
      </c>
      <c r="Y42" s="1559">
        <f>IFERROR(INDEX(AO!$CN:$CN,MATCH($C42,AO!$C:$C,0))/V42,0)</f>
        <v>0</v>
      </c>
      <c r="Z42" s="1257">
        <f>IFERROR(V42/INDEX(AO!$CA:$CA,MATCH($C42,AO!$C:$C,0)),0)</f>
        <v>0</v>
      </c>
      <c r="AB42" t="str">
        <f t="shared" si="1"/>
        <v>34 - 1</v>
      </c>
    </row>
    <row r="43" spans="2:28" outlineLevel="1">
      <c r="B43" s="1434">
        <v>35</v>
      </c>
      <c r="C43" s="1434" t="e">
        <f>INDEX(IC!B:B,MATCH(B43,IC!AY:AY,0))</f>
        <v>#N/A</v>
      </c>
      <c r="D43" s="261">
        <f>IFERROR(INDEX(AA!$AC:$AC,MATCH($C43,AA!$C:$C,0)),0)</f>
        <v>0</v>
      </c>
      <c r="E43" s="261" t="e">
        <f>INDEX(IC!G:G,MATCH(AL!C43,IC!B:B,0))</f>
        <v>#N/A</v>
      </c>
      <c r="F43" s="261">
        <f>IFERROR(INDEX(AA!$AK:$AK,MATCH($C43,AA!$C:$C,0)),0)</f>
        <v>0</v>
      </c>
      <c r="G43" s="261">
        <f>IFERROR(INDEX(AO!$Q:$Q,MATCH($C43,AO!$C:$C,0)),0)</f>
        <v>0</v>
      </c>
      <c r="H43" s="261">
        <f>IFERROR(INDEX(AO!$Q:$Q,MATCH($C43,AO!$C:$C,0))-INDEX(AO!$BE$18:$BE$20,MATCH($C43,AO!$C$18:$C$20,0)),0)</f>
        <v>0</v>
      </c>
      <c r="I43" s="1557">
        <f t="shared" si="2"/>
        <v>0</v>
      </c>
      <c r="J43" s="261">
        <f>IFERROR(INDEX(AO!$Y:$Y,MATCH($C43,AO!$C:$C,0)),0)</f>
        <v>0</v>
      </c>
      <c r="K43" s="261">
        <f>IFERROR(INDEX(AO!$AI:$AI,MATCH($C43,AO!$C:$C,0)),0)</f>
        <v>0</v>
      </c>
      <c r="L43" s="1556">
        <f>IFERROR(INDEX(AO!$AP:$AP,MATCH($C43,AO!$C:$C,0)),0)</f>
        <v>0</v>
      </c>
      <c r="M43" s="1557">
        <f>IFERROR(SUMIFS(TA!$AJ$15:$AJ$17,TA!$U$15:$U$17,"*FMCG*",TA!$C$15:$C$17,$B43)/SUMIFS(TA!$AJ$15:$AJ$17,TA!$C$15:$C$17,$B43),0)</f>
        <v>0</v>
      </c>
      <c r="N43" s="261">
        <f>IFERROR(INDEX(AA!$AN:$AN,MATCH($C43,AA!$C:$C,0)),0)</f>
        <v>0</v>
      </c>
      <c r="O43" s="1252" t="e">
        <f>DATEDIF(GA!$G$56,INDEX(RR!$N:$N,MATCH(AB43,RR!$E:$E,0)),"D")/365</f>
        <v>#N/A</v>
      </c>
      <c r="P43" s="261">
        <f>IFERROR(INDEX(AO!$CV:$CV,MATCH($C43,AO!$C:$C,0)),0)</f>
        <v>0</v>
      </c>
      <c r="Q43" s="261">
        <f>IFERROR(INDEX(AO!$CZ:$CZ,MATCH($C43,AO!$C:$C,0)),0)</f>
        <v>0</v>
      </c>
      <c r="R43" s="1230">
        <f>IFERROR(INDEX(AO!$DC:$DC,MATCH($C43,AO!$C:$C,0)),0)</f>
        <v>0</v>
      </c>
      <c r="S43" s="1230" t="e">
        <f>INDEX(IC!AR:AR,MATCH(C43,IC!B:B,0))</f>
        <v>#N/A</v>
      </c>
      <c r="T43" s="1558" t="e">
        <f>INDEX(IC!AW:AW,MATCH(C43,IC!B:B,0))</f>
        <v>#N/A</v>
      </c>
      <c r="U43" s="1230" t="e">
        <f>INDEX(IC!AS:AS,MATCH(C43,IC!B:B,0))</f>
        <v>#N/A</v>
      </c>
      <c r="V43" s="261">
        <f>IFERROR(INDEX(AA!$GA:$GA,MATCH($C43,AA!$C:$C,0)),0)</f>
        <v>0</v>
      </c>
      <c r="W43" s="1558">
        <f>IFERROR(V43/INDEX(AO!$CI:$CI,MATCH($C43,AO!$C:$C,0)),0)</f>
        <v>0</v>
      </c>
      <c r="X43" s="1558">
        <f>IFERROR(V43/INDEX(AO!$CS:$CS,MATCH($C43,AO!$C:$C,0)),0)</f>
        <v>0</v>
      </c>
      <c r="Y43" s="1557">
        <f>IFERROR(INDEX(AO!$CN:$CN,MATCH($C43,AO!$C:$C,0))/V43,0)</f>
        <v>0</v>
      </c>
      <c r="Z43" s="261">
        <f>IFERROR(V43/INDEX(AO!$CA:$CA,MATCH($C43,AO!$C:$C,0)),0)</f>
        <v>0</v>
      </c>
      <c r="AB43" t="str">
        <f t="shared" si="1"/>
        <v>35 - 1</v>
      </c>
    </row>
    <row r="44" spans="2:28" outlineLevel="1">
      <c r="B44" s="1563">
        <v>36</v>
      </c>
      <c r="C44" s="1563" t="e">
        <f>INDEX(IC!B:B,MATCH(B44,IC!AY:AY,0))</f>
        <v>#N/A</v>
      </c>
      <c r="D44" s="1257">
        <f>IFERROR(INDEX(AA!$AC:$AC,MATCH($C44,AA!$C:$C,0)),0)</f>
        <v>0</v>
      </c>
      <c r="E44" s="1257" t="e">
        <f>INDEX(IC!G:G,MATCH(AL!C44,IC!B:B,0))</f>
        <v>#N/A</v>
      </c>
      <c r="F44" s="1257">
        <f>IFERROR(INDEX(AA!$AK:$AK,MATCH($C44,AA!$C:$C,0)),0)</f>
        <v>0</v>
      </c>
      <c r="G44" s="1257">
        <f>IFERROR(INDEX(AO!$Q:$Q,MATCH($C44,AO!$C:$C,0)),0)</f>
        <v>0</v>
      </c>
      <c r="H44" s="1257">
        <f>IFERROR(INDEX(AO!$Q:$Q,MATCH($C44,AO!$C:$C,0))-INDEX(AO!$BE$18:$BE$20,MATCH($C44,AO!$C$18:$C$20,0)),0)</f>
        <v>0</v>
      </c>
      <c r="I44" s="1559">
        <f t="shared" si="2"/>
        <v>0</v>
      </c>
      <c r="J44" s="1257">
        <f>IFERROR(INDEX(AO!$Y:$Y,MATCH($C44,AO!$C:$C,0)),0)</f>
        <v>0</v>
      </c>
      <c r="K44" s="1257">
        <f>IFERROR(INDEX(AO!$AI:$AI,MATCH($C44,AO!$C:$C,0)),0)</f>
        <v>0</v>
      </c>
      <c r="L44" s="1560">
        <f>IFERROR(INDEX(AO!$AP:$AP,MATCH($C44,AO!$C:$C,0)),0)</f>
        <v>0</v>
      </c>
      <c r="M44" s="1559">
        <f>IFERROR(SUMIFS(TA!$AJ$15:$AJ$17,TA!$U$15:$U$17,"*FMCG*",TA!$C$15:$C$17,$B44)/SUMIFS(TA!$AJ$15:$AJ$17,TA!$C$15:$C$17,$B44),0)</f>
        <v>0</v>
      </c>
      <c r="N44" s="1257">
        <f>IFERROR(INDEX(AA!$AN:$AN,MATCH($C44,AA!$C:$C,0)),0)</f>
        <v>0</v>
      </c>
      <c r="O44" s="1259" t="e">
        <f>DATEDIF(GA!$G$56,INDEX(RR!$N:$N,MATCH(AB44,RR!$E:$E,0)),"D")/365</f>
        <v>#N/A</v>
      </c>
      <c r="P44" s="1257">
        <f>IFERROR(INDEX(AO!$CV:$CV,MATCH($C44,AO!$C:$C,0)),0)</f>
        <v>0</v>
      </c>
      <c r="Q44" s="1257">
        <f>IFERROR(INDEX(AO!$CZ:$CZ,MATCH($C44,AO!$C:$C,0)),0)</f>
        <v>0</v>
      </c>
      <c r="R44" s="1561">
        <f>IFERROR(INDEX(AO!$DC:$DC,MATCH($C44,AO!$C:$C,0)),0)</f>
        <v>0</v>
      </c>
      <c r="S44" s="1561" t="e">
        <f>INDEX(IC!AR:AR,MATCH(C44,IC!B:B,0))</f>
        <v>#N/A</v>
      </c>
      <c r="T44" s="1562" t="e">
        <f>INDEX(IC!AW:AW,MATCH(C44,IC!B:B,0))</f>
        <v>#N/A</v>
      </c>
      <c r="U44" s="1561" t="e">
        <f>INDEX(IC!AS:AS,MATCH(C44,IC!B:B,0))</f>
        <v>#N/A</v>
      </c>
      <c r="V44" s="1257">
        <f>IFERROR(INDEX(AA!$GA:$GA,MATCH($C44,AA!$C:$C,0)),0)</f>
        <v>0</v>
      </c>
      <c r="W44" s="1562">
        <f>IFERROR(V44/INDEX(AO!$CI:$CI,MATCH($C44,AO!$C:$C,0)),0)</f>
        <v>0</v>
      </c>
      <c r="X44" s="1562">
        <f>IFERROR(V44/INDEX(AO!$CS:$CS,MATCH($C44,AO!$C:$C,0)),0)</f>
        <v>0</v>
      </c>
      <c r="Y44" s="1559">
        <f>IFERROR(INDEX(AO!$CN:$CN,MATCH($C44,AO!$C:$C,0))/V44,0)</f>
        <v>0</v>
      </c>
      <c r="Z44" s="1257">
        <f>IFERROR(V44/INDEX(AO!$CA:$CA,MATCH($C44,AO!$C:$C,0)),0)</f>
        <v>0</v>
      </c>
      <c r="AB44" t="str">
        <f t="shared" si="1"/>
        <v>36 - 1</v>
      </c>
    </row>
    <row r="45" spans="2:28" outlineLevel="1">
      <c r="B45" s="1434">
        <v>37</v>
      </c>
      <c r="C45" s="1434" t="e">
        <f>INDEX(IC!B:B,MATCH(B45,IC!AY:AY,0))</f>
        <v>#N/A</v>
      </c>
      <c r="D45" s="261">
        <f>IFERROR(INDEX(AA!$AC:$AC,MATCH($C45,AA!$C:$C,0)),0)</f>
        <v>0</v>
      </c>
      <c r="E45" s="261" t="e">
        <f>INDEX(IC!G:G,MATCH(AL!C45,IC!B:B,0))</f>
        <v>#N/A</v>
      </c>
      <c r="F45" s="261">
        <f>IFERROR(INDEX(AA!$AK:$AK,MATCH($C45,AA!$C:$C,0)),0)</f>
        <v>0</v>
      </c>
      <c r="G45" s="261">
        <f>IFERROR(INDEX(AO!$Q:$Q,MATCH($C45,AO!$C:$C,0)),0)</f>
        <v>0</v>
      </c>
      <c r="H45" s="261">
        <f>IFERROR(INDEX(AO!$Q:$Q,MATCH($C45,AO!$C:$C,0))-INDEX(AO!$BE$18:$BE$20,MATCH($C45,AO!$C$18:$C$20,0)),0)</f>
        <v>0</v>
      </c>
      <c r="I45" s="1557">
        <f t="shared" si="2"/>
        <v>0</v>
      </c>
      <c r="J45" s="261">
        <f>IFERROR(INDEX(AO!$Y:$Y,MATCH($C45,AO!$C:$C,0)),0)</f>
        <v>0</v>
      </c>
      <c r="K45" s="261">
        <f>IFERROR(INDEX(AO!$AI:$AI,MATCH($C45,AO!$C:$C,0)),0)</f>
        <v>0</v>
      </c>
      <c r="L45" s="1556">
        <f>IFERROR(INDEX(AO!$AP:$AP,MATCH($C45,AO!$C:$C,0)),0)</f>
        <v>0</v>
      </c>
      <c r="M45" s="1557">
        <f>IFERROR(SUMIFS(TA!$AJ$15:$AJ$17,TA!$U$15:$U$17,"*FMCG*",TA!$C$15:$C$17,$B45)/SUMIFS(TA!$AJ$15:$AJ$17,TA!$C$15:$C$17,$B45),0)</f>
        <v>0</v>
      </c>
      <c r="N45" s="261">
        <f>IFERROR(INDEX(AA!$AN:$AN,MATCH($C45,AA!$C:$C,0)),0)</f>
        <v>0</v>
      </c>
      <c r="O45" s="1252" t="e">
        <f>DATEDIF(GA!$G$56,INDEX(RR!$N:$N,MATCH(AB45,RR!$E:$E,0)),"D")/365</f>
        <v>#N/A</v>
      </c>
      <c r="P45" s="261">
        <f>IFERROR(INDEX(AO!$CV:$CV,MATCH($C45,AO!$C:$C,0)),0)</f>
        <v>0</v>
      </c>
      <c r="Q45" s="261">
        <f>IFERROR(INDEX(AO!$CZ:$CZ,MATCH($C45,AO!$C:$C,0)),0)</f>
        <v>0</v>
      </c>
      <c r="R45" s="1230">
        <f>IFERROR(INDEX(AO!$DC:$DC,MATCH($C45,AO!$C:$C,0)),0)</f>
        <v>0</v>
      </c>
      <c r="S45" s="1230" t="e">
        <f>INDEX(IC!AR:AR,MATCH(C45,IC!B:B,0))</f>
        <v>#N/A</v>
      </c>
      <c r="T45" s="1558" t="e">
        <f>INDEX(IC!AW:AW,MATCH(C45,IC!B:B,0))</f>
        <v>#N/A</v>
      </c>
      <c r="U45" s="1230" t="e">
        <f>INDEX(IC!AS:AS,MATCH(C45,IC!B:B,0))</f>
        <v>#N/A</v>
      </c>
      <c r="V45" s="261">
        <f>IFERROR(INDEX(AA!$GA:$GA,MATCH($C45,AA!$C:$C,0)),0)</f>
        <v>0</v>
      </c>
      <c r="W45" s="1558">
        <f>IFERROR(V45/INDEX(AO!$CI:$CI,MATCH($C45,AO!$C:$C,0)),0)</f>
        <v>0</v>
      </c>
      <c r="X45" s="1558">
        <f>IFERROR(V45/INDEX(AO!$CS:$CS,MATCH($C45,AO!$C:$C,0)),0)</f>
        <v>0</v>
      </c>
      <c r="Y45" s="1557">
        <f>IFERROR(INDEX(AO!$CN:$CN,MATCH($C45,AO!$C:$C,0))/V45,0)</f>
        <v>0</v>
      </c>
      <c r="Z45" s="261">
        <f>IFERROR(V45/INDEX(AO!$CA:$CA,MATCH($C45,AO!$C:$C,0)),0)</f>
        <v>0</v>
      </c>
      <c r="AB45" t="str">
        <f t="shared" si="1"/>
        <v>37 - 1</v>
      </c>
    </row>
    <row r="46" spans="2:28" outlineLevel="1">
      <c r="B46" s="1563">
        <v>38</v>
      </c>
      <c r="C46" s="1563" t="e">
        <f>INDEX(IC!B:B,MATCH(B46,IC!AY:AY,0))</f>
        <v>#N/A</v>
      </c>
      <c r="D46" s="1257">
        <f>IFERROR(INDEX(AA!$AC:$AC,MATCH($C46,AA!$C:$C,0)),0)</f>
        <v>0</v>
      </c>
      <c r="E46" s="1257" t="e">
        <f>INDEX(IC!G:G,MATCH(AL!C46,IC!B:B,0))</f>
        <v>#N/A</v>
      </c>
      <c r="F46" s="1257">
        <f>IFERROR(INDEX(AA!$AK:$AK,MATCH($C46,AA!$C:$C,0)),0)</f>
        <v>0</v>
      </c>
      <c r="G46" s="1257">
        <f>IFERROR(INDEX(AO!$Q:$Q,MATCH($C46,AO!$C:$C,0)),0)</f>
        <v>0</v>
      </c>
      <c r="H46" s="1257">
        <f>IFERROR(INDEX(AO!$Q:$Q,MATCH($C46,AO!$C:$C,0))-INDEX(AO!$BE$18:$BE$20,MATCH($C46,AO!$C$18:$C$20,0)),0)</f>
        <v>0</v>
      </c>
      <c r="I46" s="1559">
        <f t="shared" si="2"/>
        <v>0</v>
      </c>
      <c r="J46" s="1257">
        <f>IFERROR(INDEX(AO!$Y:$Y,MATCH($C46,AO!$C:$C,0)),0)</f>
        <v>0</v>
      </c>
      <c r="K46" s="1257">
        <f>IFERROR(INDEX(AO!$AI:$AI,MATCH($C46,AO!$C:$C,0)),0)</f>
        <v>0</v>
      </c>
      <c r="L46" s="1560">
        <f>IFERROR(INDEX(AO!$AP:$AP,MATCH($C46,AO!$C:$C,0)),0)</f>
        <v>0</v>
      </c>
      <c r="M46" s="1559">
        <f>IFERROR(SUMIFS(TA!$AJ$15:$AJ$17,TA!$U$15:$U$17,"*FMCG*",TA!$C$15:$C$17,$B46)/SUMIFS(TA!$AJ$15:$AJ$17,TA!$C$15:$C$17,$B46),0)</f>
        <v>0</v>
      </c>
      <c r="N46" s="1257">
        <f>IFERROR(INDEX(AA!$AN:$AN,MATCH($C46,AA!$C:$C,0)),0)</f>
        <v>0</v>
      </c>
      <c r="O46" s="1259" t="e">
        <f>DATEDIF(GA!$G$56,INDEX(RR!$N:$N,MATCH(AB46,RR!$E:$E,0)),"D")/365</f>
        <v>#N/A</v>
      </c>
      <c r="P46" s="1257">
        <f>IFERROR(INDEX(AO!$CV:$CV,MATCH($C46,AO!$C:$C,0)),0)</f>
        <v>0</v>
      </c>
      <c r="Q46" s="1257">
        <f>IFERROR(INDEX(AO!$CZ:$CZ,MATCH($C46,AO!$C:$C,0)),0)</f>
        <v>0</v>
      </c>
      <c r="R46" s="1561">
        <f>IFERROR(INDEX(AO!$DC:$DC,MATCH($C46,AO!$C:$C,0)),0)</f>
        <v>0</v>
      </c>
      <c r="S46" s="1561" t="e">
        <f>INDEX(IC!AR:AR,MATCH(C46,IC!B:B,0))</f>
        <v>#N/A</v>
      </c>
      <c r="T46" s="1562" t="e">
        <f>INDEX(IC!AW:AW,MATCH(C46,IC!B:B,0))</f>
        <v>#N/A</v>
      </c>
      <c r="U46" s="1561" t="e">
        <f>INDEX(IC!AS:AS,MATCH(C46,IC!B:B,0))</f>
        <v>#N/A</v>
      </c>
      <c r="V46" s="1257">
        <f>IFERROR(INDEX(AA!$GA:$GA,MATCH($C46,AA!$C:$C,0)),0)</f>
        <v>0</v>
      </c>
      <c r="W46" s="1562">
        <f>IFERROR(V46/INDEX(AO!$CI:$CI,MATCH($C46,AO!$C:$C,0)),0)</f>
        <v>0</v>
      </c>
      <c r="X46" s="1562">
        <f>IFERROR(V46/INDEX(AO!$CS:$CS,MATCH($C46,AO!$C:$C,0)),0)</f>
        <v>0</v>
      </c>
      <c r="Y46" s="1559">
        <f>IFERROR(INDEX(AO!$CN:$CN,MATCH($C46,AO!$C:$C,0))/V46,0)</f>
        <v>0</v>
      </c>
      <c r="Z46" s="1257">
        <f>IFERROR(V46/INDEX(AO!$CA:$CA,MATCH($C46,AO!$C:$C,0)),0)</f>
        <v>0</v>
      </c>
      <c r="AB46" t="str">
        <f t="shared" si="1"/>
        <v>38 - 1</v>
      </c>
    </row>
    <row r="47" spans="2:28" outlineLevel="1">
      <c r="B47" s="1434">
        <v>39</v>
      </c>
      <c r="C47" s="1434" t="e">
        <f>INDEX(IC!B:B,MATCH(B47,IC!AY:AY,0))</f>
        <v>#N/A</v>
      </c>
      <c r="D47" s="261">
        <f>IFERROR(INDEX(AA!$AC:$AC,MATCH($C47,AA!$C:$C,0)),0)</f>
        <v>0</v>
      </c>
      <c r="E47" s="261" t="e">
        <f>INDEX(IC!G:G,MATCH(AL!C47,IC!B:B,0))</f>
        <v>#N/A</v>
      </c>
      <c r="F47" s="261">
        <f>IFERROR(INDEX(AA!$AK:$AK,MATCH($C47,AA!$C:$C,0)),0)</f>
        <v>0</v>
      </c>
      <c r="G47" s="261">
        <f>IFERROR(INDEX(AO!$Q:$Q,MATCH($C47,AO!$C:$C,0)),0)</f>
        <v>0</v>
      </c>
      <c r="H47" s="261">
        <f>IFERROR(INDEX(AO!$Q:$Q,MATCH($C47,AO!$C:$C,0))-INDEX(AO!$BE$18:$BE$20,MATCH($C47,AO!$C$18:$C$20,0)),0)</f>
        <v>0</v>
      </c>
      <c r="I47" s="1557">
        <f t="shared" si="2"/>
        <v>0</v>
      </c>
      <c r="J47" s="261">
        <f>IFERROR(INDEX(AO!$Y:$Y,MATCH($C47,AO!$C:$C,0)),0)</f>
        <v>0</v>
      </c>
      <c r="K47" s="261">
        <f>IFERROR(INDEX(AO!$AI:$AI,MATCH($C47,AO!$C:$C,0)),0)</f>
        <v>0</v>
      </c>
      <c r="L47" s="1556">
        <f>IFERROR(INDEX(AO!$AP:$AP,MATCH($C47,AO!$C:$C,0)),0)</f>
        <v>0</v>
      </c>
      <c r="M47" s="1557">
        <f>IFERROR(SUMIFS(TA!$AJ$15:$AJ$17,TA!$U$15:$U$17,"*FMCG*",TA!$C$15:$C$17,$B47)/SUMIFS(TA!$AJ$15:$AJ$17,TA!$C$15:$C$17,$B47),0)</f>
        <v>0</v>
      </c>
      <c r="N47" s="261">
        <f>IFERROR(INDEX(AA!$AN:$AN,MATCH($C47,AA!$C:$C,0)),0)</f>
        <v>0</v>
      </c>
      <c r="O47" s="1252" t="e">
        <f>DATEDIF(GA!$G$56,INDEX(RR!$N:$N,MATCH(AB47,RR!$E:$E,0)),"D")/365</f>
        <v>#N/A</v>
      </c>
      <c r="P47" s="261">
        <f>IFERROR(INDEX(AO!$CV:$CV,MATCH($C47,AO!$C:$C,0)),0)</f>
        <v>0</v>
      </c>
      <c r="Q47" s="261">
        <f>IFERROR(INDEX(AO!$CZ:$CZ,MATCH($C47,AO!$C:$C,0)),0)</f>
        <v>0</v>
      </c>
      <c r="R47" s="1230">
        <f>IFERROR(INDEX(AO!$DC:$DC,MATCH($C47,AO!$C:$C,0)),0)</f>
        <v>0</v>
      </c>
      <c r="S47" s="1230" t="e">
        <f>INDEX(IC!AR:AR,MATCH(C47,IC!B:B,0))</f>
        <v>#N/A</v>
      </c>
      <c r="T47" s="1558" t="e">
        <f>INDEX(IC!AW:AW,MATCH(C47,IC!B:B,0))</f>
        <v>#N/A</v>
      </c>
      <c r="U47" s="1230" t="e">
        <f>INDEX(IC!AS:AS,MATCH(C47,IC!B:B,0))</f>
        <v>#N/A</v>
      </c>
      <c r="V47" s="261">
        <f>IFERROR(INDEX(AA!$GA:$GA,MATCH($C47,AA!$C:$C,0)),0)</f>
        <v>0</v>
      </c>
      <c r="W47" s="1558">
        <f>IFERROR(V47/INDEX(AO!$CI:$CI,MATCH($C47,AO!$C:$C,0)),0)</f>
        <v>0</v>
      </c>
      <c r="X47" s="1558">
        <f>IFERROR(V47/INDEX(AO!$CS:$CS,MATCH($C47,AO!$C:$C,0)),0)</f>
        <v>0</v>
      </c>
      <c r="Y47" s="1557">
        <f>IFERROR(INDEX(AO!$CN:$CN,MATCH($C47,AO!$C:$C,0))/V47,0)</f>
        <v>0</v>
      </c>
      <c r="Z47" s="261">
        <f>IFERROR(V47/INDEX(AO!$CA:$CA,MATCH($C47,AO!$C:$C,0)),0)</f>
        <v>0</v>
      </c>
      <c r="AB47" t="str">
        <f t="shared" si="1"/>
        <v>39 - 1</v>
      </c>
    </row>
    <row r="48" spans="2:28" outlineLevel="1">
      <c r="B48" s="1563">
        <v>40</v>
      </c>
      <c r="C48" s="1563" t="e">
        <f>INDEX(IC!B:B,MATCH(B48,IC!AY:AY,0))</f>
        <v>#N/A</v>
      </c>
      <c r="D48" s="1257">
        <f>IFERROR(INDEX(AA!$AC:$AC,MATCH($C48,AA!$C:$C,0)),0)</f>
        <v>0</v>
      </c>
      <c r="E48" s="1257" t="e">
        <f>INDEX(IC!G:G,MATCH(AL!C48,IC!B:B,0))</f>
        <v>#N/A</v>
      </c>
      <c r="F48" s="1257">
        <f>IFERROR(INDEX(AA!$AK:$AK,MATCH($C48,AA!$C:$C,0)),0)</f>
        <v>0</v>
      </c>
      <c r="G48" s="1257">
        <f>IFERROR(INDEX(AO!$Q:$Q,MATCH($C48,AO!$C:$C,0)),0)</f>
        <v>0</v>
      </c>
      <c r="H48" s="1257">
        <f>IFERROR(INDEX(AO!$Q:$Q,MATCH($C48,AO!$C:$C,0))-INDEX(AO!$BE$18:$BE$20,MATCH($C48,AO!$C$18:$C$20,0)),0)</f>
        <v>0</v>
      </c>
      <c r="I48" s="1559">
        <f t="shared" si="2"/>
        <v>0</v>
      </c>
      <c r="J48" s="1257">
        <f>IFERROR(INDEX(AO!$Y:$Y,MATCH($C48,AO!$C:$C,0)),0)</f>
        <v>0</v>
      </c>
      <c r="K48" s="1257">
        <f>IFERROR(INDEX(AO!$AI:$AI,MATCH($C48,AO!$C:$C,0)),0)</f>
        <v>0</v>
      </c>
      <c r="L48" s="1560">
        <f>IFERROR(INDEX(AO!$AP:$AP,MATCH($C48,AO!$C:$C,0)),0)</f>
        <v>0</v>
      </c>
      <c r="M48" s="1559">
        <f>IFERROR(SUMIFS(TA!$AJ$15:$AJ$17,TA!$U$15:$U$17,"*FMCG*",TA!$C$15:$C$17,$B48)/SUMIFS(TA!$AJ$15:$AJ$17,TA!$C$15:$C$17,$B48),0)</f>
        <v>0</v>
      </c>
      <c r="N48" s="1257">
        <f>IFERROR(INDEX(AA!$AN:$AN,MATCH($C48,AA!$C:$C,0)),0)</f>
        <v>0</v>
      </c>
      <c r="O48" s="1259" t="e">
        <f>DATEDIF(GA!$G$56,INDEX(RR!$N:$N,MATCH(AB48,RR!$E:$E,0)),"D")/365</f>
        <v>#N/A</v>
      </c>
      <c r="P48" s="1257">
        <f>IFERROR(INDEX(AO!$CV:$CV,MATCH($C48,AO!$C:$C,0)),0)</f>
        <v>0</v>
      </c>
      <c r="Q48" s="1257">
        <f>IFERROR(INDEX(AO!$CZ:$CZ,MATCH($C48,AO!$C:$C,0)),0)</f>
        <v>0</v>
      </c>
      <c r="R48" s="1561">
        <f>IFERROR(INDEX(AO!$DC:$DC,MATCH($C48,AO!$C:$C,0)),0)</f>
        <v>0</v>
      </c>
      <c r="S48" s="1561" t="e">
        <f>INDEX(IC!AR:AR,MATCH(C48,IC!B:B,0))</f>
        <v>#N/A</v>
      </c>
      <c r="T48" s="1562" t="e">
        <f>INDEX(IC!AW:AW,MATCH(C48,IC!B:B,0))</f>
        <v>#N/A</v>
      </c>
      <c r="U48" s="1561" t="e">
        <f>INDEX(IC!AS:AS,MATCH(C48,IC!B:B,0))</f>
        <v>#N/A</v>
      </c>
      <c r="V48" s="1257">
        <f>IFERROR(INDEX(AA!$GA:$GA,MATCH($C48,AA!$C:$C,0)),0)</f>
        <v>0</v>
      </c>
      <c r="W48" s="1562">
        <f>IFERROR(V48/INDEX(AO!$CI:$CI,MATCH($C48,AO!$C:$C,0)),0)</f>
        <v>0</v>
      </c>
      <c r="X48" s="1562">
        <f>IFERROR(V48/INDEX(AO!$CS:$CS,MATCH($C48,AO!$C:$C,0)),0)</f>
        <v>0</v>
      </c>
      <c r="Y48" s="1559">
        <f>IFERROR(INDEX(AO!$CN:$CN,MATCH($C48,AO!$C:$C,0))/V48,0)</f>
        <v>0</v>
      </c>
      <c r="Z48" s="1257">
        <f>IFERROR(V48/INDEX(AO!$CA:$CA,MATCH($C48,AO!$C:$C,0)),0)</f>
        <v>0</v>
      </c>
      <c r="AB48" t="str">
        <f t="shared" si="1"/>
        <v>40 - 1</v>
      </c>
    </row>
    <row r="49" spans="2:28" outlineLevel="1">
      <c r="B49" s="1434">
        <v>41</v>
      </c>
      <c r="C49" s="1434" t="e">
        <f>INDEX(IC!B:B,MATCH(B49,IC!AY:AY,0))</f>
        <v>#N/A</v>
      </c>
      <c r="D49" s="261">
        <f>IFERROR(INDEX(AA!$AC:$AC,MATCH($C49,AA!$C:$C,0)),0)</f>
        <v>0</v>
      </c>
      <c r="E49" s="261" t="e">
        <f>INDEX(IC!G:G,MATCH(AL!C49,IC!B:B,0))</f>
        <v>#N/A</v>
      </c>
      <c r="F49" s="261">
        <f>IFERROR(INDEX(AA!$AK:$AK,MATCH($C49,AA!$C:$C,0)),0)</f>
        <v>0</v>
      </c>
      <c r="G49" s="261">
        <f>IFERROR(INDEX(AO!$Q:$Q,MATCH($C49,AO!$C:$C,0)),0)</f>
        <v>0</v>
      </c>
      <c r="H49" s="261">
        <f>IFERROR(INDEX(AO!$Q:$Q,MATCH($C49,AO!$C:$C,0))-INDEX(AO!$BE$18:$BE$20,MATCH($C49,AO!$C$18:$C$20,0)),0)</f>
        <v>0</v>
      </c>
      <c r="I49" s="1557">
        <f t="shared" si="2"/>
        <v>0</v>
      </c>
      <c r="J49" s="261">
        <f>IFERROR(INDEX(AO!$Y:$Y,MATCH($C49,AO!$C:$C,0)),0)</f>
        <v>0</v>
      </c>
      <c r="K49" s="261">
        <f>IFERROR(INDEX(AO!$AI:$AI,MATCH($C49,AO!$C:$C,0)),0)</f>
        <v>0</v>
      </c>
      <c r="L49" s="1556">
        <f>IFERROR(INDEX(AO!$AP:$AP,MATCH($C49,AO!$C:$C,0)),0)</f>
        <v>0</v>
      </c>
      <c r="M49" s="1557">
        <f>IFERROR(SUMIFS(TA!$AJ$15:$AJ$17,TA!$U$15:$U$17,"*FMCG*",TA!$C$15:$C$17,$B49)/SUMIFS(TA!$AJ$15:$AJ$17,TA!$C$15:$C$17,$B49),0)</f>
        <v>0</v>
      </c>
      <c r="N49" s="261">
        <f>IFERROR(INDEX(AA!$AN:$AN,MATCH($C49,AA!$C:$C,0)),0)</f>
        <v>0</v>
      </c>
      <c r="O49" s="1252" t="e">
        <f>DATEDIF(GA!$G$56,INDEX(RR!$N:$N,MATCH(AB49,RR!$E:$E,0)),"D")/365</f>
        <v>#N/A</v>
      </c>
      <c r="P49" s="261">
        <f>IFERROR(INDEX(AO!$CV:$CV,MATCH($C49,AO!$C:$C,0)),0)</f>
        <v>0</v>
      </c>
      <c r="Q49" s="261">
        <f>IFERROR(INDEX(AO!$CZ:$CZ,MATCH($C49,AO!$C:$C,0)),0)</f>
        <v>0</v>
      </c>
      <c r="R49" s="1230">
        <f>IFERROR(INDEX(AO!$DC:$DC,MATCH($C49,AO!$C:$C,0)),0)</f>
        <v>0</v>
      </c>
      <c r="S49" s="1230" t="e">
        <f>INDEX(IC!AR:AR,MATCH(C49,IC!B:B,0))</f>
        <v>#N/A</v>
      </c>
      <c r="T49" s="1558" t="e">
        <f>INDEX(IC!AW:AW,MATCH(C49,IC!B:B,0))</f>
        <v>#N/A</v>
      </c>
      <c r="U49" s="1230" t="e">
        <f>INDEX(IC!AS:AS,MATCH(C49,IC!B:B,0))</f>
        <v>#N/A</v>
      </c>
      <c r="V49" s="261">
        <f>IFERROR(INDEX(AA!$GA:$GA,MATCH($C49,AA!$C:$C,0)),0)</f>
        <v>0</v>
      </c>
      <c r="W49" s="1558">
        <f>IFERROR(V49/INDEX(AO!$CI:$CI,MATCH($C49,AO!$C:$C,0)),0)</f>
        <v>0</v>
      </c>
      <c r="X49" s="1558">
        <f>IFERROR(V49/INDEX(AO!$CS:$CS,MATCH($C49,AO!$C:$C,0)),0)</f>
        <v>0</v>
      </c>
      <c r="Y49" s="1557">
        <f>IFERROR(INDEX(AO!$CN:$CN,MATCH($C49,AO!$C:$C,0))/V49,0)</f>
        <v>0</v>
      </c>
      <c r="Z49" s="261">
        <f>IFERROR(V49/INDEX(AO!$CA:$CA,MATCH($C49,AO!$C:$C,0)),0)</f>
        <v>0</v>
      </c>
      <c r="AB49" t="str">
        <f t="shared" si="1"/>
        <v>41 - 1</v>
      </c>
    </row>
    <row r="50" spans="2:28" outlineLevel="1">
      <c r="B50" s="1563">
        <v>42</v>
      </c>
      <c r="C50" s="1563" t="e">
        <f>INDEX(IC!B:B,MATCH(B50,IC!AY:AY,0))</f>
        <v>#N/A</v>
      </c>
      <c r="D50" s="1257">
        <f>IFERROR(INDEX(AA!$AC:$AC,MATCH($C50,AA!$C:$C,0)),0)</f>
        <v>0</v>
      </c>
      <c r="E50" s="1257" t="e">
        <f>INDEX(IC!G:G,MATCH(AL!C50,IC!B:B,0))</f>
        <v>#N/A</v>
      </c>
      <c r="F50" s="1257">
        <f>IFERROR(INDEX(AA!$AK:$AK,MATCH($C50,AA!$C:$C,0)),0)</f>
        <v>0</v>
      </c>
      <c r="G50" s="1257">
        <f>IFERROR(INDEX(AO!$Q:$Q,MATCH($C50,AO!$C:$C,0)),0)</f>
        <v>0</v>
      </c>
      <c r="H50" s="1257">
        <f>IFERROR(INDEX(AO!$Q:$Q,MATCH($C50,AO!$C:$C,0))-INDEX(AO!$BE$18:$BE$20,MATCH($C50,AO!$C$18:$C$20,0)),0)</f>
        <v>0</v>
      </c>
      <c r="I50" s="1559">
        <f t="shared" si="2"/>
        <v>0</v>
      </c>
      <c r="J50" s="1257">
        <f>IFERROR(INDEX(AO!$Y:$Y,MATCH($C50,AO!$C:$C,0)),0)</f>
        <v>0</v>
      </c>
      <c r="K50" s="1257">
        <f>IFERROR(INDEX(AO!$AI:$AI,MATCH($C50,AO!$C:$C,0)),0)</f>
        <v>0</v>
      </c>
      <c r="L50" s="1560">
        <f>IFERROR(INDEX(AO!$AP:$AP,MATCH($C50,AO!$C:$C,0)),0)</f>
        <v>0</v>
      </c>
      <c r="M50" s="1559">
        <f>IFERROR(SUMIFS(TA!$AJ$15:$AJ$17,TA!$U$15:$U$17,"*FMCG*",TA!$C$15:$C$17,$B50)/SUMIFS(TA!$AJ$15:$AJ$17,TA!$C$15:$C$17,$B50),0)</f>
        <v>0</v>
      </c>
      <c r="N50" s="1257">
        <f>IFERROR(INDEX(AA!$AN:$AN,MATCH($C50,AA!$C:$C,0)),0)</f>
        <v>0</v>
      </c>
      <c r="O50" s="1259" t="e">
        <f>DATEDIF(GA!$G$56,INDEX(RR!$N:$N,MATCH(AB50,RR!$E:$E,0)),"D")/365</f>
        <v>#N/A</v>
      </c>
      <c r="P50" s="1257">
        <f>IFERROR(INDEX(AO!$CV:$CV,MATCH($C50,AO!$C:$C,0)),0)</f>
        <v>0</v>
      </c>
      <c r="Q50" s="1257">
        <f>IFERROR(INDEX(AO!$CZ:$CZ,MATCH($C50,AO!$C:$C,0)),0)</f>
        <v>0</v>
      </c>
      <c r="R50" s="1561">
        <f>IFERROR(INDEX(AO!$DC:$DC,MATCH($C50,AO!$C:$C,0)),0)</f>
        <v>0</v>
      </c>
      <c r="S50" s="1561" t="e">
        <f>INDEX(IC!AR:AR,MATCH(C50,IC!B:B,0))</f>
        <v>#N/A</v>
      </c>
      <c r="T50" s="1562" t="e">
        <f>INDEX(IC!AW:AW,MATCH(C50,IC!B:B,0))</f>
        <v>#N/A</v>
      </c>
      <c r="U50" s="1561" t="e">
        <f>INDEX(IC!AS:AS,MATCH(C50,IC!B:B,0))</f>
        <v>#N/A</v>
      </c>
      <c r="V50" s="1257">
        <f>IFERROR(INDEX(AA!$GA:$GA,MATCH($C50,AA!$C:$C,0)),0)</f>
        <v>0</v>
      </c>
      <c r="W50" s="1562">
        <f>IFERROR(V50/INDEX(AO!$CI:$CI,MATCH($C50,AO!$C:$C,0)),0)</f>
        <v>0</v>
      </c>
      <c r="X50" s="1562">
        <f>IFERROR(V50/INDEX(AO!$CS:$CS,MATCH($C50,AO!$C:$C,0)),0)</f>
        <v>0</v>
      </c>
      <c r="Y50" s="1559">
        <f>IFERROR(INDEX(AO!$CN:$CN,MATCH($C50,AO!$C:$C,0))/V50,0)</f>
        <v>0</v>
      </c>
      <c r="Z50" s="1257">
        <f>IFERROR(V50/INDEX(AO!$CA:$CA,MATCH($C50,AO!$C:$C,0)),0)</f>
        <v>0</v>
      </c>
      <c r="AB50" t="str">
        <f t="shared" si="1"/>
        <v>42 - 1</v>
      </c>
    </row>
    <row r="51" spans="2:28" outlineLevel="1">
      <c r="B51" s="1434">
        <v>43</v>
      </c>
      <c r="C51" s="1434" t="e">
        <f>INDEX(IC!B:B,MATCH(B51,IC!AY:AY,0))</f>
        <v>#N/A</v>
      </c>
      <c r="D51" s="261">
        <f>IFERROR(INDEX(AA!$AC:$AC,MATCH($C51,AA!$C:$C,0)),0)</f>
        <v>0</v>
      </c>
      <c r="E51" s="261" t="e">
        <f>INDEX(IC!G:G,MATCH(AL!C51,IC!B:B,0))</f>
        <v>#N/A</v>
      </c>
      <c r="F51" s="261">
        <f>IFERROR(INDEX(AA!$AK:$AK,MATCH($C51,AA!$C:$C,0)),0)</f>
        <v>0</v>
      </c>
      <c r="G51" s="261">
        <f>IFERROR(INDEX(AO!$Q:$Q,MATCH($C51,AO!$C:$C,0)),0)</f>
        <v>0</v>
      </c>
      <c r="H51" s="261">
        <f>IFERROR(INDEX(AO!$Q:$Q,MATCH($C51,AO!$C:$C,0))-INDEX(AO!$BE$18:$BE$20,MATCH($C51,AO!$C$18:$C$20,0)),0)</f>
        <v>0</v>
      </c>
      <c r="I51" s="1557">
        <f t="shared" si="2"/>
        <v>0</v>
      </c>
      <c r="J51" s="261">
        <f>IFERROR(INDEX(AO!$Y:$Y,MATCH($C51,AO!$C:$C,0)),0)</f>
        <v>0</v>
      </c>
      <c r="K51" s="261">
        <f>IFERROR(INDEX(AO!$AI:$AI,MATCH($C51,AO!$C:$C,0)),0)</f>
        <v>0</v>
      </c>
      <c r="L51" s="1556">
        <f>IFERROR(INDEX(AO!$AP:$AP,MATCH($C51,AO!$C:$C,0)),0)</f>
        <v>0</v>
      </c>
      <c r="M51" s="1557">
        <f>IFERROR(SUMIFS(TA!$AJ$15:$AJ$17,TA!$U$15:$U$17,"*FMCG*",TA!$C$15:$C$17,$B51)/SUMIFS(TA!$AJ$15:$AJ$17,TA!$C$15:$C$17,$B51),0)</f>
        <v>0</v>
      </c>
      <c r="N51" s="261">
        <f>IFERROR(INDEX(AA!$AN:$AN,MATCH($C51,AA!$C:$C,0)),0)</f>
        <v>0</v>
      </c>
      <c r="O51" s="1252" t="e">
        <f>DATEDIF(GA!$G$56,INDEX(RR!$N:$N,MATCH(AB51,RR!$E:$E,0)),"D")/365</f>
        <v>#N/A</v>
      </c>
      <c r="P51" s="261">
        <f>IFERROR(INDEX(AO!$CV:$CV,MATCH($C51,AO!$C:$C,0)),0)</f>
        <v>0</v>
      </c>
      <c r="Q51" s="261">
        <f>IFERROR(INDEX(AO!$CZ:$CZ,MATCH($C51,AO!$C:$C,0)),0)</f>
        <v>0</v>
      </c>
      <c r="R51" s="1230">
        <f>IFERROR(INDEX(AO!$DC:$DC,MATCH($C51,AO!$C:$C,0)),0)</f>
        <v>0</v>
      </c>
      <c r="S51" s="1230" t="e">
        <f>INDEX(IC!AR:AR,MATCH(C51,IC!B:B,0))</f>
        <v>#N/A</v>
      </c>
      <c r="T51" s="1558" t="e">
        <f>INDEX(IC!AW:AW,MATCH(C51,IC!B:B,0))</f>
        <v>#N/A</v>
      </c>
      <c r="U51" s="1230" t="e">
        <f>INDEX(IC!AS:AS,MATCH(C51,IC!B:B,0))</f>
        <v>#N/A</v>
      </c>
      <c r="V51" s="261">
        <f>IFERROR(INDEX(AA!$GA:$GA,MATCH($C51,AA!$C:$C,0)),0)</f>
        <v>0</v>
      </c>
      <c r="W51" s="1558">
        <f>IFERROR(V51/INDEX(AO!$CI:$CI,MATCH($C51,AO!$C:$C,0)),0)</f>
        <v>0</v>
      </c>
      <c r="X51" s="1558">
        <f>IFERROR(V51/INDEX(AO!$CS:$CS,MATCH($C51,AO!$C:$C,0)),0)</f>
        <v>0</v>
      </c>
      <c r="Y51" s="1557">
        <f>IFERROR(INDEX(AO!$CN:$CN,MATCH($C51,AO!$C:$C,0))/V51,0)</f>
        <v>0</v>
      </c>
      <c r="Z51" s="261">
        <f>IFERROR(V51/INDEX(AO!$CA:$CA,MATCH($C51,AO!$C:$C,0)),0)</f>
        <v>0</v>
      </c>
      <c r="AB51" t="str">
        <f t="shared" si="1"/>
        <v>43 - 1</v>
      </c>
    </row>
    <row r="52" spans="2:28" outlineLevel="1">
      <c r="B52" s="1563">
        <v>44</v>
      </c>
      <c r="C52" s="1563" t="e">
        <f>INDEX(IC!B:B,MATCH(B52,IC!AY:AY,0))</f>
        <v>#N/A</v>
      </c>
      <c r="D52" s="1257">
        <f>IFERROR(INDEX(AA!$AC:$AC,MATCH($C52,AA!$C:$C,0)),0)</f>
        <v>0</v>
      </c>
      <c r="E52" s="1257" t="e">
        <f>INDEX(IC!G:G,MATCH(AL!C52,IC!B:B,0))</f>
        <v>#N/A</v>
      </c>
      <c r="F52" s="1257">
        <f>IFERROR(INDEX(AA!$AK:$AK,MATCH($C52,AA!$C:$C,0)),0)</f>
        <v>0</v>
      </c>
      <c r="G52" s="1257">
        <f>IFERROR(INDEX(AO!$Q:$Q,MATCH($C52,AO!$C:$C,0)),0)</f>
        <v>0</v>
      </c>
      <c r="H52" s="1257">
        <f>IFERROR(INDEX(AO!$Q:$Q,MATCH($C52,AO!$C:$C,0))-INDEX(AO!$BE$18:$BE$20,MATCH($C52,AO!$C$18:$C$20,0)),0)</f>
        <v>0</v>
      </c>
      <c r="I52" s="1559">
        <f t="shared" si="2"/>
        <v>0</v>
      </c>
      <c r="J52" s="1257">
        <f>IFERROR(INDEX(AO!$Y:$Y,MATCH($C52,AO!$C:$C,0)),0)</f>
        <v>0</v>
      </c>
      <c r="K52" s="1257">
        <f>IFERROR(INDEX(AO!$AI:$AI,MATCH($C52,AO!$C:$C,0)),0)</f>
        <v>0</v>
      </c>
      <c r="L52" s="1560">
        <f>IFERROR(INDEX(AO!$AP:$AP,MATCH($C52,AO!$C:$C,0)),0)</f>
        <v>0</v>
      </c>
      <c r="M52" s="1559">
        <f>IFERROR(SUMIFS(TA!$AJ$15:$AJ$17,TA!$U$15:$U$17,"*FMCG*",TA!$C$15:$C$17,$B52)/SUMIFS(TA!$AJ$15:$AJ$17,TA!$C$15:$C$17,$B52),0)</f>
        <v>0</v>
      </c>
      <c r="N52" s="1257">
        <f>IFERROR(INDEX(AA!$AN:$AN,MATCH($C52,AA!$C:$C,0)),0)</f>
        <v>0</v>
      </c>
      <c r="O52" s="1259" t="e">
        <f>DATEDIF(GA!$G$56,INDEX(RR!$N:$N,MATCH(AB52,RR!$E:$E,0)),"D")/365</f>
        <v>#N/A</v>
      </c>
      <c r="P52" s="1257">
        <f>IFERROR(INDEX(AO!$CV:$CV,MATCH($C52,AO!$C:$C,0)),0)</f>
        <v>0</v>
      </c>
      <c r="Q52" s="1257">
        <f>IFERROR(INDEX(AO!$CZ:$CZ,MATCH($C52,AO!$C:$C,0)),0)</f>
        <v>0</v>
      </c>
      <c r="R52" s="1561">
        <f>IFERROR(INDEX(AO!$DC:$DC,MATCH($C52,AO!$C:$C,0)),0)</f>
        <v>0</v>
      </c>
      <c r="S52" s="1561" t="e">
        <f>INDEX(IC!AR:AR,MATCH(C52,IC!B:B,0))</f>
        <v>#N/A</v>
      </c>
      <c r="T52" s="1562" t="e">
        <f>INDEX(IC!AW:AW,MATCH(C52,IC!B:B,0))</f>
        <v>#N/A</v>
      </c>
      <c r="U52" s="1561" t="e">
        <f>INDEX(IC!AS:AS,MATCH(C52,IC!B:B,0))</f>
        <v>#N/A</v>
      </c>
      <c r="V52" s="1257">
        <f>IFERROR(INDEX(AA!$GA:$GA,MATCH($C52,AA!$C:$C,0)),0)</f>
        <v>0</v>
      </c>
      <c r="W52" s="1562">
        <f>IFERROR(V52/INDEX(AO!$CI:$CI,MATCH($C52,AO!$C:$C,0)),0)</f>
        <v>0</v>
      </c>
      <c r="X52" s="1562">
        <f>IFERROR(V52/INDEX(AO!$CS:$CS,MATCH($C52,AO!$C:$C,0)),0)</f>
        <v>0</v>
      </c>
      <c r="Y52" s="1559">
        <f>IFERROR(INDEX(AO!$CN:$CN,MATCH($C52,AO!$C:$C,0))/V52,0)</f>
        <v>0</v>
      </c>
      <c r="Z52" s="1257">
        <f>IFERROR(V52/INDEX(AO!$CA:$CA,MATCH($C52,AO!$C:$C,0)),0)</f>
        <v>0</v>
      </c>
      <c r="AB52" t="str">
        <f t="shared" si="1"/>
        <v>44 - 1</v>
      </c>
    </row>
    <row r="53" spans="2:28" outlineLevel="1">
      <c r="B53" s="1434">
        <v>45</v>
      </c>
      <c r="C53" s="1434" t="e">
        <f>INDEX(IC!B:B,MATCH(B53,IC!AY:AY,0))</f>
        <v>#N/A</v>
      </c>
      <c r="D53" s="261">
        <f>IFERROR(INDEX(AA!$AC:$AC,MATCH($C53,AA!$C:$C,0)),0)</f>
        <v>0</v>
      </c>
      <c r="E53" s="261" t="e">
        <f>INDEX(IC!G:G,MATCH(AL!C53,IC!B:B,0))</f>
        <v>#N/A</v>
      </c>
      <c r="F53" s="261">
        <f>IFERROR(INDEX(AA!$AK:$AK,MATCH($C53,AA!$C:$C,0)),0)</f>
        <v>0</v>
      </c>
      <c r="G53" s="261">
        <f>IFERROR(INDEX(AO!$Q:$Q,MATCH($C53,AO!$C:$C,0)),0)</f>
        <v>0</v>
      </c>
      <c r="H53" s="261">
        <f>IFERROR(INDEX(AO!$Q:$Q,MATCH($C53,AO!$C:$C,0))-INDEX(AO!$BE$18:$BE$20,MATCH($C53,AO!$C$18:$C$20,0)),0)</f>
        <v>0</v>
      </c>
      <c r="I53" s="1557">
        <f t="shared" si="2"/>
        <v>0</v>
      </c>
      <c r="J53" s="261">
        <f>IFERROR(INDEX(AO!$Y:$Y,MATCH($C53,AO!$C:$C,0)),0)</f>
        <v>0</v>
      </c>
      <c r="K53" s="261">
        <f>IFERROR(INDEX(AO!$AI:$AI,MATCH($C53,AO!$C:$C,0)),0)</f>
        <v>0</v>
      </c>
      <c r="L53" s="1556">
        <f>IFERROR(INDEX(AO!$AP:$AP,MATCH($C53,AO!$C:$C,0)),0)</f>
        <v>0</v>
      </c>
      <c r="M53" s="1557">
        <f>IFERROR(SUMIFS(TA!$AJ$15:$AJ$17,TA!$U$15:$U$17,"*FMCG*",TA!$C$15:$C$17,$B53)/SUMIFS(TA!$AJ$15:$AJ$17,TA!$C$15:$C$17,$B53),0)</f>
        <v>0</v>
      </c>
      <c r="N53" s="261">
        <f>IFERROR(INDEX(AA!$AN:$AN,MATCH($C53,AA!$C:$C,0)),0)</f>
        <v>0</v>
      </c>
      <c r="O53" s="1252" t="e">
        <f>DATEDIF(GA!$G$56,INDEX(RR!$N:$N,MATCH(AB53,RR!$E:$E,0)),"D")/365</f>
        <v>#N/A</v>
      </c>
      <c r="P53" s="261">
        <f>IFERROR(INDEX(AO!$CV:$CV,MATCH($C53,AO!$C:$C,0)),0)</f>
        <v>0</v>
      </c>
      <c r="Q53" s="261">
        <f>IFERROR(INDEX(AO!$CZ:$CZ,MATCH($C53,AO!$C:$C,0)),0)</f>
        <v>0</v>
      </c>
      <c r="R53" s="1230">
        <f>IFERROR(INDEX(AO!$DC:$DC,MATCH($C53,AO!$C:$C,0)),0)</f>
        <v>0</v>
      </c>
      <c r="S53" s="1230" t="e">
        <f>INDEX(IC!AR:AR,MATCH(C53,IC!B:B,0))</f>
        <v>#N/A</v>
      </c>
      <c r="T53" s="1558" t="e">
        <f>INDEX(IC!AW:AW,MATCH(C53,IC!B:B,0))</f>
        <v>#N/A</v>
      </c>
      <c r="U53" s="1230" t="e">
        <f>INDEX(IC!AS:AS,MATCH(C53,IC!B:B,0))</f>
        <v>#N/A</v>
      </c>
      <c r="V53" s="261">
        <f>IFERROR(INDEX(AA!$GA:$GA,MATCH($C53,AA!$C:$C,0)),0)</f>
        <v>0</v>
      </c>
      <c r="W53" s="1558">
        <f>IFERROR(V53/INDEX(AO!$CI:$CI,MATCH($C53,AO!$C:$C,0)),0)</f>
        <v>0</v>
      </c>
      <c r="X53" s="1558">
        <f>IFERROR(V53/INDEX(AO!$CS:$CS,MATCH($C53,AO!$C:$C,0)),0)</f>
        <v>0</v>
      </c>
      <c r="Y53" s="1557">
        <f>IFERROR(INDEX(AO!$CN:$CN,MATCH($C53,AO!$C:$C,0))/V53,0)</f>
        <v>0</v>
      </c>
      <c r="Z53" s="261">
        <f>IFERROR(V53/INDEX(AO!$CA:$CA,MATCH($C53,AO!$C:$C,0)),0)</f>
        <v>0</v>
      </c>
      <c r="AB53" t="str">
        <f t="shared" si="1"/>
        <v>45 - 1</v>
      </c>
    </row>
    <row r="54" spans="2:28" outlineLevel="1">
      <c r="B54" s="1563">
        <v>46</v>
      </c>
      <c r="C54" s="1563" t="e">
        <f>INDEX(IC!B:B,MATCH(B54,IC!AY:AY,0))</f>
        <v>#N/A</v>
      </c>
      <c r="D54" s="1257">
        <f>IFERROR(INDEX(AA!$AC:$AC,MATCH($C54,AA!$C:$C,0)),0)</f>
        <v>0</v>
      </c>
      <c r="E54" s="1257" t="e">
        <f>INDEX(IC!G:G,MATCH(AL!C54,IC!B:B,0))</f>
        <v>#N/A</v>
      </c>
      <c r="F54" s="1257">
        <f>IFERROR(INDEX(AA!$AK:$AK,MATCH($C54,AA!$C:$C,0)),0)</f>
        <v>0</v>
      </c>
      <c r="G54" s="1257">
        <f>IFERROR(INDEX(AO!$Q:$Q,MATCH($C54,AO!$C:$C,0)),0)</f>
        <v>0</v>
      </c>
      <c r="H54" s="1257">
        <f>IFERROR(INDEX(AO!$Q:$Q,MATCH($C54,AO!$C:$C,0))-INDEX(AO!$BE$18:$BE$20,MATCH($C54,AO!$C$18:$C$20,0)),0)</f>
        <v>0</v>
      </c>
      <c r="I54" s="1559">
        <f t="shared" si="2"/>
        <v>0</v>
      </c>
      <c r="J54" s="1257">
        <f>IFERROR(INDEX(AO!$Y:$Y,MATCH($C54,AO!$C:$C,0)),0)</f>
        <v>0</v>
      </c>
      <c r="K54" s="1257">
        <f>IFERROR(INDEX(AO!$AI:$AI,MATCH($C54,AO!$C:$C,0)),0)</f>
        <v>0</v>
      </c>
      <c r="L54" s="1560">
        <f>IFERROR(INDEX(AO!$AP:$AP,MATCH($C54,AO!$C:$C,0)),0)</f>
        <v>0</v>
      </c>
      <c r="M54" s="1559">
        <f>IFERROR(SUMIFS(TA!$AJ$15:$AJ$17,TA!$U$15:$U$17,"*FMCG*",TA!$C$15:$C$17,$B54)/SUMIFS(TA!$AJ$15:$AJ$17,TA!$C$15:$C$17,$B54),0)</f>
        <v>0</v>
      </c>
      <c r="N54" s="1257">
        <f>IFERROR(INDEX(AA!$AN:$AN,MATCH($C54,AA!$C:$C,0)),0)</f>
        <v>0</v>
      </c>
      <c r="O54" s="1259" t="e">
        <f>DATEDIF(GA!$G$56,INDEX(RR!$N:$N,MATCH(AB54,RR!$E:$E,0)),"D")/365</f>
        <v>#N/A</v>
      </c>
      <c r="P54" s="1257">
        <f>IFERROR(INDEX(AO!$CV:$CV,MATCH($C54,AO!$C:$C,0)),0)</f>
        <v>0</v>
      </c>
      <c r="Q54" s="1257">
        <f>IFERROR(INDEX(AO!$CZ:$CZ,MATCH($C54,AO!$C:$C,0)),0)</f>
        <v>0</v>
      </c>
      <c r="R54" s="1561">
        <f>IFERROR(INDEX(AO!$DC:$DC,MATCH($C54,AO!$C:$C,0)),0)</f>
        <v>0</v>
      </c>
      <c r="S54" s="1561" t="e">
        <f>INDEX(IC!AR:AR,MATCH(C54,IC!B:B,0))</f>
        <v>#N/A</v>
      </c>
      <c r="T54" s="1562" t="e">
        <f>INDEX(IC!AW:AW,MATCH(C54,IC!B:B,0))</f>
        <v>#N/A</v>
      </c>
      <c r="U54" s="1561" t="e">
        <f>INDEX(IC!AS:AS,MATCH(C54,IC!B:B,0))</f>
        <v>#N/A</v>
      </c>
      <c r="V54" s="1257">
        <f>IFERROR(INDEX(AA!$GA:$GA,MATCH($C54,AA!$C:$C,0)),0)</f>
        <v>0</v>
      </c>
      <c r="W54" s="1562">
        <f>IFERROR(V54/INDEX(AO!$CI:$CI,MATCH($C54,AO!$C:$C,0)),0)</f>
        <v>0</v>
      </c>
      <c r="X54" s="1562">
        <f>IFERROR(V54/INDEX(AO!$CS:$CS,MATCH($C54,AO!$C:$C,0)),0)</f>
        <v>0</v>
      </c>
      <c r="Y54" s="1559">
        <f>IFERROR(INDEX(AO!$CN:$CN,MATCH($C54,AO!$C:$C,0))/V54,0)</f>
        <v>0</v>
      </c>
      <c r="Z54" s="1257">
        <f>IFERROR(V54/INDEX(AO!$CA:$CA,MATCH($C54,AO!$C:$C,0)),0)</f>
        <v>0</v>
      </c>
      <c r="AB54" t="str">
        <f t="shared" si="1"/>
        <v>46 - 1</v>
      </c>
    </row>
    <row r="55" spans="2:28" outlineLevel="1">
      <c r="B55" s="1434">
        <v>47</v>
      </c>
      <c r="C55" s="1434" t="e">
        <f>INDEX(IC!B:B,MATCH(B55,IC!AY:AY,0))</f>
        <v>#N/A</v>
      </c>
      <c r="D55" s="261">
        <f>IFERROR(INDEX(AA!$AC:$AC,MATCH($C55,AA!$C:$C,0)),0)</f>
        <v>0</v>
      </c>
      <c r="E55" s="261" t="e">
        <f>INDEX(IC!G:G,MATCH(AL!C55,IC!B:B,0))</f>
        <v>#N/A</v>
      </c>
      <c r="F55" s="261">
        <f>IFERROR(INDEX(AA!$AK:$AK,MATCH($C55,AA!$C:$C,0)),0)</f>
        <v>0</v>
      </c>
      <c r="G55" s="261">
        <f>IFERROR(INDEX(AO!$Q:$Q,MATCH($C55,AO!$C:$C,0)),0)</f>
        <v>0</v>
      </c>
      <c r="H55" s="261">
        <f>IFERROR(INDEX(AO!$Q:$Q,MATCH($C55,AO!$C:$C,0))-INDEX(AO!$BE$18:$BE$20,MATCH($C55,AO!$C$18:$C$20,0)),0)</f>
        <v>0</v>
      </c>
      <c r="I55" s="1557">
        <f t="shared" si="2"/>
        <v>0</v>
      </c>
      <c r="J55" s="261">
        <f>IFERROR(INDEX(AO!$Y:$Y,MATCH($C55,AO!$C:$C,0)),0)</f>
        <v>0</v>
      </c>
      <c r="K55" s="261">
        <f>IFERROR(INDEX(AO!$AI:$AI,MATCH($C55,AO!$C:$C,0)),0)</f>
        <v>0</v>
      </c>
      <c r="L55" s="1556">
        <f>IFERROR(INDEX(AO!$AP:$AP,MATCH($C55,AO!$C:$C,0)),0)</f>
        <v>0</v>
      </c>
      <c r="M55" s="1557">
        <f>IFERROR(SUMIFS(TA!$AJ$15:$AJ$17,TA!$U$15:$U$17,"*FMCG*",TA!$C$15:$C$17,$B55)/SUMIFS(TA!$AJ$15:$AJ$17,TA!$C$15:$C$17,$B55),0)</f>
        <v>0</v>
      </c>
      <c r="N55" s="261">
        <f>IFERROR(INDEX(AA!$AN:$AN,MATCH($C55,AA!$C:$C,0)),0)</f>
        <v>0</v>
      </c>
      <c r="O55" s="1252" t="e">
        <f>DATEDIF(GA!$G$56,INDEX(RR!$N:$N,MATCH(AB55,RR!$E:$E,0)),"D")/365</f>
        <v>#N/A</v>
      </c>
      <c r="P55" s="261">
        <f>IFERROR(INDEX(AO!$CV:$CV,MATCH($C55,AO!$C:$C,0)),0)</f>
        <v>0</v>
      </c>
      <c r="Q55" s="261">
        <f>IFERROR(INDEX(AO!$CZ:$CZ,MATCH($C55,AO!$C:$C,0)),0)</f>
        <v>0</v>
      </c>
      <c r="R55" s="1230">
        <f>IFERROR(INDEX(AO!$DC:$DC,MATCH($C55,AO!$C:$C,0)),0)</f>
        <v>0</v>
      </c>
      <c r="S55" s="1230" t="e">
        <f>INDEX(IC!AR:AR,MATCH(C55,IC!B:B,0))</f>
        <v>#N/A</v>
      </c>
      <c r="T55" s="1558" t="e">
        <f>INDEX(IC!AW:AW,MATCH(C55,IC!B:B,0))</f>
        <v>#N/A</v>
      </c>
      <c r="U55" s="1230" t="e">
        <f>INDEX(IC!AS:AS,MATCH(C55,IC!B:B,0))</f>
        <v>#N/A</v>
      </c>
      <c r="V55" s="261">
        <f>IFERROR(INDEX(AA!$GA:$GA,MATCH($C55,AA!$C:$C,0)),0)</f>
        <v>0</v>
      </c>
      <c r="W55" s="1558">
        <f>IFERROR(V55/INDEX(AO!$CI:$CI,MATCH($C55,AO!$C:$C,0)),0)</f>
        <v>0</v>
      </c>
      <c r="X55" s="1558">
        <f>IFERROR(V55/INDEX(AO!$CS:$CS,MATCH($C55,AO!$C:$C,0)),0)</f>
        <v>0</v>
      </c>
      <c r="Y55" s="1557">
        <f>IFERROR(INDEX(AO!$CN:$CN,MATCH($C55,AO!$C:$C,0))/V55,0)</f>
        <v>0</v>
      </c>
      <c r="Z55" s="261">
        <f>IFERROR(V55/INDEX(AO!$CA:$CA,MATCH($C55,AO!$C:$C,0)),0)</f>
        <v>0</v>
      </c>
      <c r="AB55" t="str">
        <f t="shared" si="1"/>
        <v>47 - 1</v>
      </c>
    </row>
    <row r="56" spans="2:28" outlineLevel="1">
      <c r="B56" s="1563">
        <v>48</v>
      </c>
      <c r="C56" s="1563" t="e">
        <f>INDEX(IC!B:B,MATCH(B56,IC!AY:AY,0))</f>
        <v>#N/A</v>
      </c>
      <c r="D56" s="1257">
        <f>IFERROR(INDEX(AA!$AC:$AC,MATCH($C56,AA!$C:$C,0)),0)</f>
        <v>0</v>
      </c>
      <c r="E56" s="1257" t="e">
        <f>INDEX(IC!G:G,MATCH(AL!C56,IC!B:B,0))</f>
        <v>#N/A</v>
      </c>
      <c r="F56" s="1257">
        <f>IFERROR(INDEX(AA!$AK:$AK,MATCH($C56,AA!$C:$C,0)),0)</f>
        <v>0</v>
      </c>
      <c r="G56" s="1257">
        <f>IFERROR(INDEX(AO!$Q:$Q,MATCH($C56,AO!$C:$C,0)),0)</f>
        <v>0</v>
      </c>
      <c r="H56" s="1257">
        <f>IFERROR(INDEX(AO!$Q:$Q,MATCH($C56,AO!$C:$C,0))-INDEX(AO!$BE$18:$BE$20,MATCH($C56,AO!$C$18:$C$20,0)),0)</f>
        <v>0</v>
      </c>
      <c r="I56" s="1559">
        <f t="shared" si="2"/>
        <v>0</v>
      </c>
      <c r="J56" s="1257">
        <f>IFERROR(INDEX(AO!$Y:$Y,MATCH($C56,AO!$C:$C,0)),0)</f>
        <v>0</v>
      </c>
      <c r="K56" s="1257">
        <f>IFERROR(INDEX(AO!$AI:$AI,MATCH($C56,AO!$C:$C,0)),0)</f>
        <v>0</v>
      </c>
      <c r="L56" s="1560">
        <f>IFERROR(INDEX(AO!$AP:$AP,MATCH($C56,AO!$C:$C,0)),0)</f>
        <v>0</v>
      </c>
      <c r="M56" s="1559">
        <f>IFERROR(SUMIFS(TA!$AJ$15:$AJ$17,TA!$U$15:$U$17,"*FMCG*",TA!$C$15:$C$17,$B56)/SUMIFS(TA!$AJ$15:$AJ$17,TA!$C$15:$C$17,$B56),0)</f>
        <v>0</v>
      </c>
      <c r="N56" s="1257">
        <f>IFERROR(INDEX(AA!$AN:$AN,MATCH($C56,AA!$C:$C,0)),0)</f>
        <v>0</v>
      </c>
      <c r="O56" s="1259" t="e">
        <f>DATEDIF(GA!$G$56,INDEX(RR!$N:$N,MATCH(AB56,RR!$E:$E,0)),"D")/365</f>
        <v>#N/A</v>
      </c>
      <c r="P56" s="1257">
        <f>IFERROR(INDEX(AO!$CV:$CV,MATCH($C56,AO!$C:$C,0)),0)</f>
        <v>0</v>
      </c>
      <c r="Q56" s="1257">
        <f>IFERROR(INDEX(AO!$CZ:$CZ,MATCH($C56,AO!$C:$C,0)),0)</f>
        <v>0</v>
      </c>
      <c r="R56" s="1561">
        <f>IFERROR(INDEX(AO!$DC:$DC,MATCH($C56,AO!$C:$C,0)),0)</f>
        <v>0</v>
      </c>
      <c r="S56" s="1561" t="e">
        <f>INDEX(IC!AR:AR,MATCH(C56,IC!B:B,0))</f>
        <v>#N/A</v>
      </c>
      <c r="T56" s="1562" t="e">
        <f>INDEX(IC!AW:AW,MATCH(C56,IC!B:B,0))</f>
        <v>#N/A</v>
      </c>
      <c r="U56" s="1561" t="e">
        <f>INDEX(IC!AS:AS,MATCH(C56,IC!B:B,0))</f>
        <v>#N/A</v>
      </c>
      <c r="V56" s="1257">
        <f>IFERROR(INDEX(AA!$GA:$GA,MATCH($C56,AA!$C:$C,0)),0)</f>
        <v>0</v>
      </c>
      <c r="W56" s="1562">
        <f>IFERROR(V56/INDEX(AO!$CI:$CI,MATCH($C56,AO!$C:$C,0)),0)</f>
        <v>0</v>
      </c>
      <c r="X56" s="1562">
        <f>IFERROR(V56/INDEX(AO!$CS:$CS,MATCH($C56,AO!$C:$C,0)),0)</f>
        <v>0</v>
      </c>
      <c r="Y56" s="1559">
        <f>IFERROR(INDEX(AO!$CN:$CN,MATCH($C56,AO!$C:$C,0))/V56,0)</f>
        <v>0</v>
      </c>
      <c r="Z56" s="1257">
        <f>IFERROR(V56/INDEX(AO!$CA:$CA,MATCH($C56,AO!$C:$C,0)),0)</f>
        <v>0</v>
      </c>
      <c r="AB56" t="str">
        <f t="shared" si="1"/>
        <v>48 - 1</v>
      </c>
    </row>
    <row r="57" spans="2:28" outlineLevel="1">
      <c r="B57" s="1434">
        <v>49</v>
      </c>
      <c r="C57" s="1434" t="e">
        <f>INDEX(IC!B:B,MATCH(B57,IC!AY:AY,0))</f>
        <v>#N/A</v>
      </c>
      <c r="D57" s="261">
        <f>IFERROR(INDEX(AA!$AC:$AC,MATCH($C57,AA!$C:$C,0)),0)</f>
        <v>0</v>
      </c>
      <c r="E57" s="261" t="e">
        <f>INDEX(IC!G:G,MATCH(AL!C57,IC!B:B,0))</f>
        <v>#N/A</v>
      </c>
      <c r="F57" s="261">
        <f>IFERROR(INDEX(AA!$AK:$AK,MATCH($C57,AA!$C:$C,0)),0)</f>
        <v>0</v>
      </c>
      <c r="G57" s="261">
        <f>IFERROR(INDEX(AO!$Q:$Q,MATCH($C57,AO!$C:$C,0)),0)</f>
        <v>0</v>
      </c>
      <c r="H57" s="261">
        <f>IFERROR(INDEX(AO!$Q:$Q,MATCH($C57,AO!$C:$C,0))-INDEX(AO!$BE$18:$BE$20,MATCH($C57,AO!$C$18:$C$20,0)),0)</f>
        <v>0</v>
      </c>
      <c r="I57" s="1557">
        <f t="shared" si="2"/>
        <v>0</v>
      </c>
      <c r="J57" s="261">
        <f>IFERROR(INDEX(AO!$Y:$Y,MATCH($C57,AO!$C:$C,0)),0)</f>
        <v>0</v>
      </c>
      <c r="K57" s="261">
        <f>IFERROR(INDEX(AO!$AI:$AI,MATCH($C57,AO!$C:$C,0)),0)</f>
        <v>0</v>
      </c>
      <c r="L57" s="1556">
        <f>IFERROR(INDEX(AO!$AP:$AP,MATCH($C57,AO!$C:$C,0)),0)</f>
        <v>0</v>
      </c>
      <c r="M57" s="1557">
        <f>IFERROR(SUMIFS(TA!$AJ$15:$AJ$17,TA!$U$15:$U$17,"*FMCG*",TA!$C$15:$C$17,$B57)/SUMIFS(TA!$AJ$15:$AJ$17,TA!$C$15:$C$17,$B57),0)</f>
        <v>0</v>
      </c>
      <c r="N57" s="261">
        <f>IFERROR(INDEX(AA!$AN:$AN,MATCH($C57,AA!$C:$C,0)),0)</f>
        <v>0</v>
      </c>
      <c r="O57" s="1252" t="e">
        <f>DATEDIF(GA!$G$56,INDEX(RR!$N:$N,MATCH(AB57,RR!$E:$E,0)),"D")/365</f>
        <v>#N/A</v>
      </c>
      <c r="P57" s="261">
        <f>IFERROR(INDEX(AO!$CV:$CV,MATCH($C57,AO!$C:$C,0)),0)</f>
        <v>0</v>
      </c>
      <c r="Q57" s="261">
        <f>IFERROR(INDEX(AO!$CZ:$CZ,MATCH($C57,AO!$C:$C,0)),0)</f>
        <v>0</v>
      </c>
      <c r="R57" s="1230">
        <f>IFERROR(INDEX(AO!$DC:$DC,MATCH($C57,AO!$C:$C,0)),0)</f>
        <v>0</v>
      </c>
      <c r="S57" s="1230" t="e">
        <f>INDEX(IC!AR:AR,MATCH(C57,IC!B:B,0))</f>
        <v>#N/A</v>
      </c>
      <c r="T57" s="1558" t="e">
        <f>INDEX(IC!AW:AW,MATCH(C57,IC!B:B,0))</f>
        <v>#N/A</v>
      </c>
      <c r="U57" s="1230" t="e">
        <f>INDEX(IC!AS:AS,MATCH(C57,IC!B:B,0))</f>
        <v>#N/A</v>
      </c>
      <c r="V57" s="261">
        <f>IFERROR(INDEX(AA!$GA:$GA,MATCH($C57,AA!$C:$C,0)),0)</f>
        <v>0</v>
      </c>
      <c r="W57" s="1558">
        <f>IFERROR(V57/INDEX(AO!$CI:$CI,MATCH($C57,AO!$C:$C,0)),0)</f>
        <v>0</v>
      </c>
      <c r="X57" s="1558">
        <f>IFERROR(V57/INDEX(AO!$CS:$CS,MATCH($C57,AO!$C:$C,0)),0)</f>
        <v>0</v>
      </c>
      <c r="Y57" s="1557">
        <f>IFERROR(INDEX(AO!$CN:$CN,MATCH($C57,AO!$C:$C,0))/V57,0)</f>
        <v>0</v>
      </c>
      <c r="Z57" s="261">
        <f>IFERROR(V57/INDEX(AO!$CA:$CA,MATCH($C57,AO!$C:$C,0)),0)</f>
        <v>0</v>
      </c>
      <c r="AB57" t="str">
        <f t="shared" si="1"/>
        <v>49 - 1</v>
      </c>
    </row>
    <row r="58" spans="2:28" outlineLevel="1">
      <c r="B58" s="1563">
        <v>50</v>
      </c>
      <c r="C58" s="1563" t="e">
        <f>INDEX(IC!B:B,MATCH(B58,IC!AY:AY,0))</f>
        <v>#N/A</v>
      </c>
      <c r="D58" s="1257">
        <f>IFERROR(INDEX(AA!$AC:$AC,MATCH($C58,AA!$C:$C,0)),0)</f>
        <v>0</v>
      </c>
      <c r="E58" s="1257" t="e">
        <f>INDEX(IC!G:G,MATCH(AL!C58,IC!B:B,0))</f>
        <v>#N/A</v>
      </c>
      <c r="F58" s="1257">
        <f>IFERROR(INDEX(AA!$AK:$AK,MATCH($C58,AA!$C:$C,0)),0)</f>
        <v>0</v>
      </c>
      <c r="G58" s="1257">
        <f>IFERROR(INDEX(AO!$Q:$Q,MATCH($C58,AO!$C:$C,0)),0)</f>
        <v>0</v>
      </c>
      <c r="H58" s="1257">
        <f>IFERROR(INDEX(AO!$Q:$Q,MATCH($C58,AO!$C:$C,0))-INDEX(AO!$BE$18:$BE$20,MATCH($C58,AO!$C$18:$C$20,0)),0)</f>
        <v>0</v>
      </c>
      <c r="I58" s="1559">
        <f t="shared" si="2"/>
        <v>0</v>
      </c>
      <c r="J58" s="1257">
        <f>IFERROR(INDEX(AO!$Y:$Y,MATCH($C58,AO!$C:$C,0)),0)</f>
        <v>0</v>
      </c>
      <c r="K58" s="1257">
        <f>IFERROR(INDEX(AO!$AI:$AI,MATCH($C58,AO!$C:$C,0)),0)</f>
        <v>0</v>
      </c>
      <c r="L58" s="1560">
        <f>IFERROR(INDEX(AO!$AP:$AP,MATCH($C58,AO!$C:$C,0)),0)</f>
        <v>0</v>
      </c>
      <c r="M58" s="1559">
        <f>IFERROR(SUMIFS(TA!$AJ$15:$AJ$17,TA!$U$15:$U$17,"*FMCG*",TA!$C$15:$C$17,$B58)/SUMIFS(TA!$AJ$15:$AJ$17,TA!$C$15:$C$17,$B58),0)</f>
        <v>0</v>
      </c>
      <c r="N58" s="1257">
        <f>IFERROR(INDEX(AA!$AN:$AN,MATCH($C58,AA!$C:$C,0)),0)</f>
        <v>0</v>
      </c>
      <c r="O58" s="1259" t="e">
        <f>DATEDIF(GA!$G$56,INDEX(RR!$N:$N,MATCH(AB58,RR!$E:$E,0)),"D")/365</f>
        <v>#N/A</v>
      </c>
      <c r="P58" s="1257">
        <f>IFERROR(INDEX(AO!$CV:$CV,MATCH($C58,AO!$C:$C,0)),0)</f>
        <v>0</v>
      </c>
      <c r="Q58" s="1257">
        <f>IFERROR(INDEX(AO!$CZ:$CZ,MATCH($C58,AO!$C:$C,0)),0)</f>
        <v>0</v>
      </c>
      <c r="R58" s="1561">
        <f>IFERROR(INDEX(AO!$DC:$DC,MATCH($C58,AO!$C:$C,0)),0)</f>
        <v>0</v>
      </c>
      <c r="S58" s="1561" t="e">
        <f>INDEX(IC!AR:AR,MATCH(C58,IC!B:B,0))</f>
        <v>#N/A</v>
      </c>
      <c r="T58" s="1562" t="e">
        <f>INDEX(IC!AW:AW,MATCH(C58,IC!B:B,0))</f>
        <v>#N/A</v>
      </c>
      <c r="U58" s="1561" t="e">
        <f>INDEX(IC!AS:AS,MATCH(C58,IC!B:B,0))</f>
        <v>#N/A</v>
      </c>
      <c r="V58" s="1257">
        <f>IFERROR(INDEX(AA!$GA:$GA,MATCH($C58,AA!$C:$C,0)),0)</f>
        <v>0</v>
      </c>
      <c r="W58" s="1562">
        <f>IFERROR(V58/INDEX(AO!$CI:$CI,MATCH($C58,AO!$C:$C,0)),0)</f>
        <v>0</v>
      </c>
      <c r="X58" s="1562">
        <f>IFERROR(V58/INDEX(AO!$CS:$CS,MATCH($C58,AO!$C:$C,0)),0)</f>
        <v>0</v>
      </c>
      <c r="Y58" s="1559">
        <f>IFERROR(INDEX(AO!$CN:$CN,MATCH($C58,AO!$C:$C,0))/V58,0)</f>
        <v>0</v>
      </c>
      <c r="Z58" s="1257">
        <f>IFERROR(V58/INDEX(AO!$CA:$CA,MATCH($C58,AO!$C:$C,0)),0)</f>
        <v>0</v>
      </c>
      <c r="AB58" t="str">
        <f t="shared" si="1"/>
        <v>50 - 1</v>
      </c>
    </row>
    <row r="59" spans="2:28" outlineLevel="1">
      <c r="B59" s="1434">
        <v>51</v>
      </c>
      <c r="C59" s="1434" t="e">
        <f>INDEX(IC!B:B,MATCH(B59,IC!AY:AY,0))</f>
        <v>#N/A</v>
      </c>
      <c r="D59" s="261">
        <f>IFERROR(INDEX(AA!$AC:$AC,MATCH($C59,AA!$C:$C,0)),0)</f>
        <v>0</v>
      </c>
      <c r="E59" s="261" t="e">
        <f>INDEX(IC!G:G,MATCH(AL!C59,IC!B:B,0))</f>
        <v>#N/A</v>
      </c>
      <c r="F59" s="261">
        <f>IFERROR(INDEX(AA!$AK:$AK,MATCH($C59,AA!$C:$C,0)),0)</f>
        <v>0</v>
      </c>
      <c r="G59" s="261">
        <f>IFERROR(INDEX(AO!$Q:$Q,MATCH($C59,AO!$C:$C,0)),0)</f>
        <v>0</v>
      </c>
      <c r="H59" s="261">
        <f>IFERROR(INDEX(AO!$Q:$Q,MATCH($C59,AO!$C:$C,0))-INDEX(AO!$BE$18:$BE$20,MATCH($C59,AO!$C$18:$C$20,0)),0)</f>
        <v>0</v>
      </c>
      <c r="I59" s="1557">
        <f t="shared" si="2"/>
        <v>0</v>
      </c>
      <c r="J59" s="261">
        <f>IFERROR(INDEX(AO!$Y:$Y,MATCH($C59,AO!$C:$C,0)),0)</f>
        <v>0</v>
      </c>
      <c r="K59" s="261">
        <f>IFERROR(INDEX(AO!$AI:$AI,MATCH($C59,AO!$C:$C,0)),0)</f>
        <v>0</v>
      </c>
      <c r="L59" s="1556">
        <f>IFERROR(INDEX(AO!$AP:$AP,MATCH($C59,AO!$C:$C,0)),0)</f>
        <v>0</v>
      </c>
      <c r="M59" s="1557">
        <f>IFERROR(SUMIFS(TA!$AJ$15:$AJ$17,TA!$U$15:$U$17,"*FMCG*",TA!$C$15:$C$17,$B59)/SUMIFS(TA!$AJ$15:$AJ$17,TA!$C$15:$C$17,$B59),0)</f>
        <v>0</v>
      </c>
      <c r="N59" s="261">
        <f>IFERROR(INDEX(AA!$AN:$AN,MATCH($C59,AA!$C:$C,0)),0)</f>
        <v>0</v>
      </c>
      <c r="O59" s="1252" t="e">
        <f>DATEDIF(GA!$G$56,INDEX(RR!$N:$N,MATCH(AB59,RR!$E:$E,0)),"D")/365</f>
        <v>#N/A</v>
      </c>
      <c r="P59" s="261">
        <f>IFERROR(INDEX(AO!$CV:$CV,MATCH($C59,AO!$C:$C,0)),0)</f>
        <v>0</v>
      </c>
      <c r="Q59" s="261">
        <f>IFERROR(INDEX(AO!$CZ:$CZ,MATCH($C59,AO!$C:$C,0)),0)</f>
        <v>0</v>
      </c>
      <c r="R59" s="1230">
        <f>IFERROR(INDEX(AO!$DC:$DC,MATCH($C59,AO!$C:$C,0)),0)</f>
        <v>0</v>
      </c>
      <c r="S59" s="1230" t="e">
        <f>INDEX(IC!AR:AR,MATCH(C59,IC!B:B,0))</f>
        <v>#N/A</v>
      </c>
      <c r="T59" s="1558" t="e">
        <f>INDEX(IC!AW:AW,MATCH(C59,IC!B:B,0))</f>
        <v>#N/A</v>
      </c>
      <c r="U59" s="1230" t="e">
        <f>INDEX(IC!AS:AS,MATCH(C59,IC!B:B,0))</f>
        <v>#N/A</v>
      </c>
      <c r="V59" s="261">
        <f>IFERROR(INDEX(AA!$GA:$GA,MATCH($C59,AA!$C:$C,0)),0)</f>
        <v>0</v>
      </c>
      <c r="W59" s="1558">
        <f>IFERROR(V59/INDEX(AO!$CI:$CI,MATCH($C59,AO!$C:$C,0)),0)</f>
        <v>0</v>
      </c>
      <c r="X59" s="1558">
        <f>IFERROR(V59/INDEX(AO!$CS:$CS,MATCH($C59,AO!$C:$C,0)),0)</f>
        <v>0</v>
      </c>
      <c r="Y59" s="1557">
        <f>IFERROR(INDEX(AO!$CN:$CN,MATCH($C59,AO!$C:$C,0))/V59,0)</f>
        <v>0</v>
      </c>
      <c r="Z59" s="261">
        <f>IFERROR(V59/INDEX(AO!$CA:$CA,MATCH($C59,AO!$C:$C,0)),0)</f>
        <v>0</v>
      </c>
      <c r="AB59" t="str">
        <f t="shared" si="1"/>
        <v>51 - 1</v>
      </c>
    </row>
    <row r="60" spans="2:28" outlineLevel="1">
      <c r="B60" s="1563">
        <v>52</v>
      </c>
      <c r="C60" s="1563" t="e">
        <f>INDEX(IC!B:B,MATCH(B60,IC!AY:AY,0))</f>
        <v>#N/A</v>
      </c>
      <c r="D60" s="1257">
        <f>IFERROR(INDEX(AA!$AC:$AC,MATCH($C60,AA!$C:$C,0)),0)</f>
        <v>0</v>
      </c>
      <c r="E60" s="1257" t="e">
        <f>INDEX(IC!G:G,MATCH(AL!C60,IC!B:B,0))</f>
        <v>#N/A</v>
      </c>
      <c r="F60" s="1257">
        <f>IFERROR(INDEX(AA!$AK:$AK,MATCH($C60,AA!$C:$C,0)),0)</f>
        <v>0</v>
      </c>
      <c r="G60" s="1257">
        <f>IFERROR(INDEX(AO!$Q:$Q,MATCH($C60,AO!$C:$C,0)),0)</f>
        <v>0</v>
      </c>
      <c r="H60" s="1257">
        <f>IFERROR(INDEX(AO!$Q:$Q,MATCH($C60,AO!$C:$C,0))-INDEX(AO!$BE$18:$BE$20,MATCH($C60,AO!$C$18:$C$20,0)),0)</f>
        <v>0</v>
      </c>
      <c r="I60" s="1559">
        <f t="shared" si="2"/>
        <v>0</v>
      </c>
      <c r="J60" s="1257">
        <f>IFERROR(INDEX(AO!$Y:$Y,MATCH($C60,AO!$C:$C,0)),0)</f>
        <v>0</v>
      </c>
      <c r="K60" s="1257">
        <f>IFERROR(INDEX(AO!$AI:$AI,MATCH($C60,AO!$C:$C,0)),0)</f>
        <v>0</v>
      </c>
      <c r="L60" s="1560">
        <f>IFERROR(INDEX(AO!$AP:$AP,MATCH($C60,AO!$C:$C,0)),0)</f>
        <v>0</v>
      </c>
      <c r="M60" s="1559">
        <f>IFERROR(SUMIFS(TA!$AJ$15:$AJ$17,TA!$U$15:$U$17,"*FMCG*",TA!$C$15:$C$17,$B60)/SUMIFS(TA!$AJ$15:$AJ$17,TA!$C$15:$C$17,$B60),0)</f>
        <v>0</v>
      </c>
      <c r="N60" s="1257">
        <f>IFERROR(INDEX(AA!$AN:$AN,MATCH($C60,AA!$C:$C,0)),0)</f>
        <v>0</v>
      </c>
      <c r="O60" s="1259" t="e">
        <f>DATEDIF(GA!$G$56,INDEX(RR!$N:$N,MATCH(AB60,RR!$E:$E,0)),"D")/365</f>
        <v>#N/A</v>
      </c>
      <c r="P60" s="1257">
        <f>IFERROR(INDEX(AO!$CV:$CV,MATCH($C60,AO!$C:$C,0)),0)</f>
        <v>0</v>
      </c>
      <c r="Q60" s="1257">
        <f>IFERROR(INDEX(AO!$CZ:$CZ,MATCH($C60,AO!$C:$C,0)),0)</f>
        <v>0</v>
      </c>
      <c r="R60" s="1561">
        <f>IFERROR(INDEX(AO!$DC:$DC,MATCH($C60,AO!$C:$C,0)),0)</f>
        <v>0</v>
      </c>
      <c r="S60" s="1561" t="e">
        <f>INDEX(IC!AR:AR,MATCH(C60,IC!B:B,0))</f>
        <v>#N/A</v>
      </c>
      <c r="T60" s="1562" t="e">
        <f>INDEX(IC!AW:AW,MATCH(C60,IC!B:B,0))</f>
        <v>#N/A</v>
      </c>
      <c r="U60" s="1561" t="e">
        <f>INDEX(IC!AS:AS,MATCH(C60,IC!B:B,0))</f>
        <v>#N/A</v>
      </c>
      <c r="V60" s="1257">
        <f>IFERROR(INDEX(AA!$GA:$GA,MATCH($C60,AA!$C:$C,0)),0)</f>
        <v>0</v>
      </c>
      <c r="W60" s="1562">
        <f>IFERROR(V60/INDEX(AO!$CI:$CI,MATCH($C60,AO!$C:$C,0)),0)</f>
        <v>0</v>
      </c>
      <c r="X60" s="1562">
        <f>IFERROR(V60/INDEX(AO!$CS:$CS,MATCH($C60,AO!$C:$C,0)),0)</f>
        <v>0</v>
      </c>
      <c r="Y60" s="1559">
        <f>IFERROR(INDEX(AO!$CN:$CN,MATCH($C60,AO!$C:$C,0))/V60,0)</f>
        <v>0</v>
      </c>
      <c r="Z60" s="1257">
        <f>IFERROR(V60/INDEX(AO!$CA:$CA,MATCH($C60,AO!$C:$C,0)),0)</f>
        <v>0</v>
      </c>
      <c r="AB60" t="str">
        <f t="shared" si="1"/>
        <v>52 - 1</v>
      </c>
    </row>
    <row r="61" spans="2:28" outlineLevel="1">
      <c r="B61" s="1434">
        <v>53</v>
      </c>
      <c r="C61" s="1434" t="e">
        <f>INDEX(IC!B:B,MATCH(B61,IC!AY:AY,0))</f>
        <v>#N/A</v>
      </c>
      <c r="D61" s="261">
        <f>IFERROR(INDEX(AA!$AC:$AC,MATCH($C61,AA!$C:$C,0)),0)</f>
        <v>0</v>
      </c>
      <c r="E61" s="261" t="e">
        <f>INDEX(IC!G:G,MATCH(AL!C61,IC!B:B,0))</f>
        <v>#N/A</v>
      </c>
      <c r="F61" s="261">
        <f>IFERROR(INDEX(AA!$AK:$AK,MATCH($C61,AA!$C:$C,0)),0)</f>
        <v>0</v>
      </c>
      <c r="G61" s="261">
        <f>IFERROR(INDEX(AO!$Q:$Q,MATCH($C61,AO!$C:$C,0)),0)</f>
        <v>0</v>
      </c>
      <c r="H61" s="261">
        <f>IFERROR(INDEX(AO!$Q:$Q,MATCH($C61,AO!$C:$C,0))-INDEX(AO!$BE$18:$BE$20,MATCH($C61,AO!$C$18:$C$20,0)),0)</f>
        <v>0</v>
      </c>
      <c r="I61" s="1557">
        <f t="shared" si="2"/>
        <v>0</v>
      </c>
      <c r="J61" s="261">
        <f>IFERROR(INDEX(AO!$Y:$Y,MATCH($C61,AO!$C:$C,0)),0)</f>
        <v>0</v>
      </c>
      <c r="K61" s="261">
        <f>IFERROR(INDEX(AO!$AI:$AI,MATCH($C61,AO!$C:$C,0)),0)</f>
        <v>0</v>
      </c>
      <c r="L61" s="1556">
        <f>IFERROR(INDEX(AO!$AP:$AP,MATCH($C61,AO!$C:$C,0)),0)</f>
        <v>0</v>
      </c>
      <c r="M61" s="1557">
        <f>IFERROR(SUMIFS(TA!$AJ$15:$AJ$17,TA!$U$15:$U$17,"*FMCG*",TA!$C$15:$C$17,$B61)/SUMIFS(TA!$AJ$15:$AJ$17,TA!$C$15:$C$17,$B61),0)</f>
        <v>0</v>
      </c>
      <c r="N61" s="261">
        <f>IFERROR(INDEX(AA!$AN:$AN,MATCH($C61,AA!$C:$C,0)),0)</f>
        <v>0</v>
      </c>
      <c r="O61" s="1252" t="e">
        <f>DATEDIF(GA!$G$56,INDEX(RR!$N:$N,MATCH(AB61,RR!$E:$E,0)),"D")/365</f>
        <v>#N/A</v>
      </c>
      <c r="P61" s="261">
        <f>IFERROR(INDEX(AO!$CV:$CV,MATCH($C61,AO!$C:$C,0)),0)</f>
        <v>0</v>
      </c>
      <c r="Q61" s="261">
        <f>IFERROR(INDEX(AO!$CZ:$CZ,MATCH($C61,AO!$C:$C,0)),0)</f>
        <v>0</v>
      </c>
      <c r="R61" s="1230">
        <f>IFERROR(INDEX(AO!$DC:$DC,MATCH($C61,AO!$C:$C,0)),0)</f>
        <v>0</v>
      </c>
      <c r="S61" s="1230" t="e">
        <f>INDEX(IC!AR:AR,MATCH(C61,IC!B:B,0))</f>
        <v>#N/A</v>
      </c>
      <c r="T61" s="1558" t="e">
        <f>INDEX(IC!AW:AW,MATCH(C61,IC!B:B,0))</f>
        <v>#N/A</v>
      </c>
      <c r="U61" s="1230" t="e">
        <f>INDEX(IC!AS:AS,MATCH(C61,IC!B:B,0))</f>
        <v>#N/A</v>
      </c>
      <c r="V61" s="261">
        <f>IFERROR(INDEX(AA!$GA:$GA,MATCH($C61,AA!$C:$C,0)),0)</f>
        <v>0</v>
      </c>
      <c r="W61" s="1558">
        <f>IFERROR(V61/INDEX(AO!$CI:$CI,MATCH($C61,AO!$C:$C,0)),0)</f>
        <v>0</v>
      </c>
      <c r="X61" s="1558">
        <f>IFERROR(V61/INDEX(AO!$CS:$CS,MATCH($C61,AO!$C:$C,0)),0)</f>
        <v>0</v>
      </c>
      <c r="Y61" s="1557">
        <f>IFERROR(INDEX(AO!$CN:$CN,MATCH($C61,AO!$C:$C,0))/V61,0)</f>
        <v>0</v>
      </c>
      <c r="Z61" s="261">
        <f>IFERROR(V61/INDEX(AO!$CA:$CA,MATCH($C61,AO!$C:$C,0)),0)</f>
        <v>0</v>
      </c>
      <c r="AB61" t="str">
        <f t="shared" si="1"/>
        <v>53 - 1</v>
      </c>
    </row>
    <row r="62" spans="2:28" outlineLevel="1">
      <c r="B62" s="1563">
        <v>54</v>
      </c>
      <c r="C62" s="1563" t="e">
        <f>INDEX(IC!B:B,MATCH(B62,IC!AY:AY,0))</f>
        <v>#N/A</v>
      </c>
      <c r="D62" s="1257">
        <f>IFERROR(INDEX(AA!$AC:$AC,MATCH($C62,AA!$C:$C,0)),0)</f>
        <v>0</v>
      </c>
      <c r="E62" s="1257" t="e">
        <f>INDEX(IC!G:G,MATCH(AL!C62,IC!B:B,0))</f>
        <v>#N/A</v>
      </c>
      <c r="F62" s="1257">
        <f>IFERROR(INDEX(AA!$AK:$AK,MATCH($C62,AA!$C:$C,0)),0)</f>
        <v>0</v>
      </c>
      <c r="G62" s="1257">
        <f>IFERROR(INDEX(AO!$Q:$Q,MATCH($C62,AO!$C:$C,0)),0)</f>
        <v>0</v>
      </c>
      <c r="H62" s="1257">
        <f>IFERROR(INDEX(AO!$Q:$Q,MATCH($C62,AO!$C:$C,0))-INDEX(AO!$BE$18:$BE$20,MATCH($C62,AO!$C$18:$C$20,0)),0)</f>
        <v>0</v>
      </c>
      <c r="I62" s="1559">
        <f t="shared" si="2"/>
        <v>0</v>
      </c>
      <c r="J62" s="1257">
        <f>IFERROR(INDEX(AO!$Y:$Y,MATCH($C62,AO!$C:$C,0)),0)</f>
        <v>0</v>
      </c>
      <c r="K62" s="1257">
        <f>IFERROR(INDEX(AO!$AI:$AI,MATCH($C62,AO!$C:$C,0)),0)</f>
        <v>0</v>
      </c>
      <c r="L62" s="1560">
        <f>IFERROR(INDEX(AO!$AP:$AP,MATCH($C62,AO!$C:$C,0)),0)</f>
        <v>0</v>
      </c>
      <c r="M62" s="1559">
        <f>IFERROR(SUMIFS(TA!$AJ$15:$AJ$17,TA!$U$15:$U$17,"*FMCG*",TA!$C$15:$C$17,$B62)/SUMIFS(TA!$AJ$15:$AJ$17,TA!$C$15:$C$17,$B62),0)</f>
        <v>0</v>
      </c>
      <c r="N62" s="1257">
        <f>IFERROR(INDEX(AA!$AN:$AN,MATCH($C62,AA!$C:$C,0)),0)</f>
        <v>0</v>
      </c>
      <c r="O62" s="1259" t="e">
        <f>DATEDIF(GA!$G$56,INDEX(RR!$N:$N,MATCH(AB62,RR!$E:$E,0)),"D")/365</f>
        <v>#N/A</v>
      </c>
      <c r="P62" s="1257">
        <f>IFERROR(INDEX(AO!$CV:$CV,MATCH($C62,AO!$C:$C,0)),0)</f>
        <v>0</v>
      </c>
      <c r="Q62" s="1257">
        <f>IFERROR(INDEX(AO!$CZ:$CZ,MATCH($C62,AO!$C:$C,0)),0)</f>
        <v>0</v>
      </c>
      <c r="R62" s="1561">
        <f>IFERROR(INDEX(AO!$DC:$DC,MATCH($C62,AO!$C:$C,0)),0)</f>
        <v>0</v>
      </c>
      <c r="S62" s="1561" t="e">
        <f>INDEX(IC!AR:AR,MATCH(C62,IC!B:B,0))</f>
        <v>#N/A</v>
      </c>
      <c r="T62" s="1562" t="e">
        <f>INDEX(IC!AW:AW,MATCH(C62,IC!B:B,0))</f>
        <v>#N/A</v>
      </c>
      <c r="U62" s="1561" t="e">
        <f>INDEX(IC!AS:AS,MATCH(C62,IC!B:B,0))</f>
        <v>#N/A</v>
      </c>
      <c r="V62" s="1257">
        <f>IFERROR(INDEX(AA!$GA:$GA,MATCH($C62,AA!$C:$C,0)),0)</f>
        <v>0</v>
      </c>
      <c r="W62" s="1562">
        <f>IFERROR(V62/INDEX(AO!$CI:$CI,MATCH($C62,AO!$C:$C,0)),0)</f>
        <v>0</v>
      </c>
      <c r="X62" s="1562">
        <f>IFERROR(V62/INDEX(AO!$CS:$CS,MATCH($C62,AO!$C:$C,0)),0)</f>
        <v>0</v>
      </c>
      <c r="Y62" s="1559">
        <f>IFERROR(INDEX(AO!$CN:$CN,MATCH($C62,AO!$C:$C,0))/V62,0)</f>
        <v>0</v>
      </c>
      <c r="Z62" s="1257">
        <f>IFERROR(V62/INDEX(AO!$CA:$CA,MATCH($C62,AO!$C:$C,0)),0)</f>
        <v>0</v>
      </c>
      <c r="AB62" t="str">
        <f t="shared" si="1"/>
        <v>54 - 1</v>
      </c>
    </row>
    <row r="63" spans="2:28" outlineLevel="1">
      <c r="B63" s="1434">
        <v>55</v>
      </c>
      <c r="C63" s="1434" t="e">
        <f>INDEX(IC!B:B,MATCH(B63,IC!AY:AY,0))</f>
        <v>#N/A</v>
      </c>
      <c r="D63" s="261">
        <f>IFERROR(INDEX(AA!$AC:$AC,MATCH($C63,AA!$C:$C,0)),0)</f>
        <v>0</v>
      </c>
      <c r="E63" s="261" t="e">
        <f>INDEX(IC!G:G,MATCH(AL!C63,IC!B:B,0))</f>
        <v>#N/A</v>
      </c>
      <c r="F63" s="261">
        <f>IFERROR(INDEX(AA!$AK:$AK,MATCH($C63,AA!$C:$C,0)),0)</f>
        <v>0</v>
      </c>
      <c r="G63" s="261">
        <f>IFERROR(INDEX(AO!$Q:$Q,MATCH($C63,AO!$C:$C,0)),0)</f>
        <v>0</v>
      </c>
      <c r="H63" s="261">
        <f>IFERROR(INDEX(AO!$Q:$Q,MATCH($C63,AO!$C:$C,0))-INDEX(AO!$BE$18:$BE$20,MATCH($C63,AO!$C$18:$C$20,0)),0)</f>
        <v>0</v>
      </c>
      <c r="I63" s="1557">
        <f t="shared" si="2"/>
        <v>0</v>
      </c>
      <c r="J63" s="261">
        <f>IFERROR(INDEX(AO!$Y:$Y,MATCH($C63,AO!$C:$C,0)),0)</f>
        <v>0</v>
      </c>
      <c r="K63" s="261">
        <f>IFERROR(INDEX(AO!$AI:$AI,MATCH($C63,AO!$C:$C,0)),0)</f>
        <v>0</v>
      </c>
      <c r="L63" s="1556">
        <f>IFERROR(INDEX(AO!$AP:$AP,MATCH($C63,AO!$C:$C,0)),0)</f>
        <v>0</v>
      </c>
      <c r="M63" s="1557">
        <f>IFERROR(SUMIFS(TA!$AJ$15:$AJ$17,TA!$U$15:$U$17,"*FMCG*",TA!$C$15:$C$17,$B63)/SUMIFS(TA!$AJ$15:$AJ$17,TA!$C$15:$C$17,$B63),0)</f>
        <v>0</v>
      </c>
      <c r="N63" s="261">
        <f>IFERROR(INDEX(AA!$AN:$AN,MATCH($C63,AA!$C:$C,0)),0)</f>
        <v>0</v>
      </c>
      <c r="O63" s="1252" t="e">
        <f>DATEDIF(GA!$G$56,INDEX(RR!$N:$N,MATCH(AB63,RR!$E:$E,0)),"D")/365</f>
        <v>#N/A</v>
      </c>
      <c r="P63" s="261">
        <f>IFERROR(INDEX(AO!$CV:$CV,MATCH($C63,AO!$C:$C,0)),0)</f>
        <v>0</v>
      </c>
      <c r="Q63" s="261">
        <f>IFERROR(INDEX(AO!$CZ:$CZ,MATCH($C63,AO!$C:$C,0)),0)</f>
        <v>0</v>
      </c>
      <c r="R63" s="1230">
        <f>IFERROR(INDEX(AO!$DC:$DC,MATCH($C63,AO!$C:$C,0)),0)</f>
        <v>0</v>
      </c>
      <c r="S63" s="1230" t="e">
        <f>INDEX(IC!AR:AR,MATCH(C63,IC!B:B,0))</f>
        <v>#N/A</v>
      </c>
      <c r="T63" s="1558" t="e">
        <f>INDEX(IC!AW:AW,MATCH(C63,IC!B:B,0))</f>
        <v>#N/A</v>
      </c>
      <c r="U63" s="1230" t="e">
        <f>INDEX(IC!AS:AS,MATCH(C63,IC!B:B,0))</f>
        <v>#N/A</v>
      </c>
      <c r="V63" s="261">
        <f>IFERROR(INDEX(AA!$GA:$GA,MATCH($C63,AA!$C:$C,0)),0)</f>
        <v>0</v>
      </c>
      <c r="W63" s="1558">
        <f>IFERROR(V63/INDEX(AO!$CI:$CI,MATCH($C63,AO!$C:$C,0)),0)</f>
        <v>0</v>
      </c>
      <c r="X63" s="1558">
        <f>IFERROR(V63/INDEX(AO!$CS:$CS,MATCH($C63,AO!$C:$C,0)),0)</f>
        <v>0</v>
      </c>
      <c r="Y63" s="1557">
        <f>IFERROR(INDEX(AO!$CN:$CN,MATCH($C63,AO!$C:$C,0))/V63,0)</f>
        <v>0</v>
      </c>
      <c r="Z63" s="261">
        <f>IFERROR(V63/INDEX(AO!$CA:$CA,MATCH($C63,AO!$C:$C,0)),0)</f>
        <v>0</v>
      </c>
      <c r="AB63" t="str">
        <f t="shared" si="1"/>
        <v>55 - 1</v>
      </c>
    </row>
    <row r="64" spans="2:28" outlineLevel="1">
      <c r="B64" s="1563">
        <v>56</v>
      </c>
      <c r="C64" s="1563" t="e">
        <f>INDEX(IC!B:B,MATCH(B64,IC!AY:AY,0))</f>
        <v>#N/A</v>
      </c>
      <c r="D64" s="1257">
        <f>IFERROR(INDEX(AA!$AC:$AC,MATCH($C64,AA!$C:$C,0)),0)</f>
        <v>0</v>
      </c>
      <c r="E64" s="1257" t="e">
        <f>INDEX(IC!G:G,MATCH(AL!C64,IC!B:B,0))</f>
        <v>#N/A</v>
      </c>
      <c r="F64" s="1257">
        <f>IFERROR(INDEX(AA!$AK:$AK,MATCH($C64,AA!$C:$C,0)),0)</f>
        <v>0</v>
      </c>
      <c r="G64" s="1257">
        <f>IFERROR(INDEX(AO!$Q:$Q,MATCH($C64,AO!$C:$C,0)),0)</f>
        <v>0</v>
      </c>
      <c r="H64" s="1257">
        <f>IFERROR(INDEX(AO!$Q:$Q,MATCH($C64,AO!$C:$C,0))-INDEX(AO!$BE$18:$BE$20,MATCH($C64,AO!$C$18:$C$20,0)),0)</f>
        <v>0</v>
      </c>
      <c r="I64" s="1559">
        <f t="shared" si="2"/>
        <v>0</v>
      </c>
      <c r="J64" s="1257">
        <f>IFERROR(INDEX(AO!$Y:$Y,MATCH($C64,AO!$C:$C,0)),0)</f>
        <v>0</v>
      </c>
      <c r="K64" s="1257">
        <f>IFERROR(INDEX(AO!$AI:$AI,MATCH($C64,AO!$C:$C,0)),0)</f>
        <v>0</v>
      </c>
      <c r="L64" s="1560">
        <f>IFERROR(INDEX(AO!$AP:$AP,MATCH($C64,AO!$C:$C,0)),0)</f>
        <v>0</v>
      </c>
      <c r="M64" s="1559">
        <f>IFERROR(SUMIFS(TA!$AJ$15:$AJ$17,TA!$U$15:$U$17,"*FMCG*",TA!$C$15:$C$17,$B64)/SUMIFS(TA!$AJ$15:$AJ$17,TA!$C$15:$C$17,$B64),0)</f>
        <v>0</v>
      </c>
      <c r="N64" s="1257">
        <f>IFERROR(INDEX(AA!$AN:$AN,MATCH($C64,AA!$C:$C,0)),0)</f>
        <v>0</v>
      </c>
      <c r="O64" s="1259" t="e">
        <f>DATEDIF(GA!$G$56,INDEX(RR!$N:$N,MATCH(AB64,RR!$E:$E,0)),"D")/365</f>
        <v>#N/A</v>
      </c>
      <c r="P64" s="1257">
        <f>IFERROR(INDEX(AO!$CV:$CV,MATCH($C64,AO!$C:$C,0)),0)</f>
        <v>0</v>
      </c>
      <c r="Q64" s="1257">
        <f>IFERROR(INDEX(AO!$CZ:$CZ,MATCH($C64,AO!$C:$C,0)),0)</f>
        <v>0</v>
      </c>
      <c r="R64" s="1561">
        <f>IFERROR(INDEX(AO!$DC:$DC,MATCH($C64,AO!$C:$C,0)),0)</f>
        <v>0</v>
      </c>
      <c r="S64" s="1561" t="e">
        <f>INDEX(IC!AR:AR,MATCH(C64,IC!B:B,0))</f>
        <v>#N/A</v>
      </c>
      <c r="T64" s="1562" t="e">
        <f>INDEX(IC!AW:AW,MATCH(C64,IC!B:B,0))</f>
        <v>#N/A</v>
      </c>
      <c r="U64" s="1561" t="e">
        <f>INDEX(IC!AS:AS,MATCH(C64,IC!B:B,0))</f>
        <v>#N/A</v>
      </c>
      <c r="V64" s="1257">
        <f>IFERROR(INDEX(AA!$GA:$GA,MATCH($C64,AA!$C:$C,0)),0)</f>
        <v>0</v>
      </c>
      <c r="W64" s="1562">
        <f>IFERROR(V64/INDEX(AO!$CI:$CI,MATCH($C64,AO!$C:$C,0)),0)</f>
        <v>0</v>
      </c>
      <c r="X64" s="1562">
        <f>IFERROR(V64/INDEX(AO!$CS:$CS,MATCH($C64,AO!$C:$C,0)),0)</f>
        <v>0</v>
      </c>
      <c r="Y64" s="1559">
        <f>IFERROR(INDEX(AO!$CN:$CN,MATCH($C64,AO!$C:$C,0))/V64,0)</f>
        <v>0</v>
      </c>
      <c r="Z64" s="1257">
        <f>IFERROR(V64/INDEX(AO!$CA:$CA,MATCH($C64,AO!$C:$C,0)),0)</f>
        <v>0</v>
      </c>
      <c r="AB64" t="str">
        <f t="shared" si="1"/>
        <v>56 - 1</v>
      </c>
    </row>
    <row r="65" spans="2:28" outlineLevel="1">
      <c r="B65" s="1434">
        <v>57</v>
      </c>
      <c r="C65" s="1434" t="e">
        <f>INDEX(IC!B:B,MATCH(B65,IC!AY:AY,0))</f>
        <v>#N/A</v>
      </c>
      <c r="D65" s="261">
        <f>IFERROR(INDEX(AA!$AC:$AC,MATCH($C65,AA!$C:$C,0)),0)</f>
        <v>0</v>
      </c>
      <c r="E65" s="261" t="e">
        <f>INDEX(IC!G:G,MATCH(AL!C65,IC!B:B,0))</f>
        <v>#N/A</v>
      </c>
      <c r="F65" s="261">
        <f>IFERROR(INDEX(AA!$AK:$AK,MATCH($C65,AA!$C:$C,0)),0)</f>
        <v>0</v>
      </c>
      <c r="G65" s="261">
        <f>IFERROR(INDEX(AO!$Q:$Q,MATCH($C65,AO!$C:$C,0)),0)</f>
        <v>0</v>
      </c>
      <c r="H65" s="261">
        <f>IFERROR(INDEX(AO!$Q:$Q,MATCH($C65,AO!$C:$C,0))-INDEX(AO!$BE$18:$BE$20,MATCH($C65,AO!$C$18:$C$20,0)),0)</f>
        <v>0</v>
      </c>
      <c r="I65" s="1557">
        <f t="shared" si="2"/>
        <v>0</v>
      </c>
      <c r="J65" s="261">
        <f>IFERROR(INDEX(AO!$Y:$Y,MATCH($C65,AO!$C:$C,0)),0)</f>
        <v>0</v>
      </c>
      <c r="K65" s="261">
        <f>IFERROR(INDEX(AO!$AI:$AI,MATCH($C65,AO!$C:$C,0)),0)</f>
        <v>0</v>
      </c>
      <c r="L65" s="1556">
        <f>IFERROR(INDEX(AO!$AP:$AP,MATCH($C65,AO!$C:$C,0)),0)</f>
        <v>0</v>
      </c>
      <c r="M65" s="1557">
        <f>IFERROR(SUMIFS(TA!$AJ$15:$AJ$17,TA!$U$15:$U$17,"*FMCG*",TA!$C$15:$C$17,$B65)/SUMIFS(TA!$AJ$15:$AJ$17,TA!$C$15:$C$17,$B65),0)</f>
        <v>0</v>
      </c>
      <c r="N65" s="261">
        <f>IFERROR(INDEX(AA!$AN:$AN,MATCH($C65,AA!$C:$C,0)),0)</f>
        <v>0</v>
      </c>
      <c r="O65" s="1252" t="e">
        <f>DATEDIF(GA!$G$56,INDEX(RR!$N:$N,MATCH(AB65,RR!$E:$E,0)),"D")/365</f>
        <v>#N/A</v>
      </c>
      <c r="P65" s="261">
        <f>IFERROR(INDEX(AO!$CV:$CV,MATCH($C65,AO!$C:$C,0)),0)</f>
        <v>0</v>
      </c>
      <c r="Q65" s="261">
        <f>IFERROR(INDEX(AO!$CZ:$CZ,MATCH($C65,AO!$C:$C,0)),0)</f>
        <v>0</v>
      </c>
      <c r="R65" s="1230">
        <f>IFERROR(INDEX(AO!$DC:$DC,MATCH($C65,AO!$C:$C,0)),0)</f>
        <v>0</v>
      </c>
      <c r="S65" s="1230" t="e">
        <f>INDEX(IC!AR:AR,MATCH(C65,IC!B:B,0))</f>
        <v>#N/A</v>
      </c>
      <c r="T65" s="1558" t="e">
        <f>INDEX(IC!AW:AW,MATCH(C65,IC!B:B,0))</f>
        <v>#N/A</v>
      </c>
      <c r="U65" s="1230" t="e">
        <f>INDEX(IC!AS:AS,MATCH(C65,IC!B:B,0))</f>
        <v>#N/A</v>
      </c>
      <c r="V65" s="261">
        <f>IFERROR(INDEX(AA!$GA:$GA,MATCH($C65,AA!$C:$C,0)),0)</f>
        <v>0</v>
      </c>
      <c r="W65" s="1558">
        <f>IFERROR(V65/INDEX(AO!$CI:$CI,MATCH($C65,AO!$C:$C,0)),0)</f>
        <v>0</v>
      </c>
      <c r="X65" s="1558">
        <f>IFERROR(V65/INDEX(AO!$CS:$CS,MATCH($C65,AO!$C:$C,0)),0)</f>
        <v>0</v>
      </c>
      <c r="Y65" s="1557">
        <f>IFERROR(INDEX(AO!$CN:$CN,MATCH($C65,AO!$C:$C,0))/V65,0)</f>
        <v>0</v>
      </c>
      <c r="Z65" s="261">
        <f>IFERROR(V65/INDEX(AO!$CA:$CA,MATCH($C65,AO!$C:$C,0)),0)</f>
        <v>0</v>
      </c>
      <c r="AB65" t="str">
        <f t="shared" si="1"/>
        <v>57 - 1</v>
      </c>
    </row>
    <row r="66" spans="2:28" outlineLevel="1">
      <c r="B66" s="1563">
        <v>58</v>
      </c>
      <c r="C66" s="1563" t="e">
        <f>INDEX(IC!B:B,MATCH(B66,IC!AY:AY,0))</f>
        <v>#N/A</v>
      </c>
      <c r="D66" s="1257">
        <f>IFERROR(INDEX(AA!$AC:$AC,MATCH($C66,AA!$C:$C,0)),0)</f>
        <v>0</v>
      </c>
      <c r="E66" s="1257" t="e">
        <f>INDEX(IC!G:G,MATCH(AL!C66,IC!B:B,0))</f>
        <v>#N/A</v>
      </c>
      <c r="F66" s="1257">
        <f>IFERROR(INDEX(AA!$AK:$AK,MATCH($C66,AA!$C:$C,0)),0)</f>
        <v>0</v>
      </c>
      <c r="G66" s="1257">
        <f>IFERROR(INDEX(AO!$Q:$Q,MATCH($C66,AO!$C:$C,0)),0)</f>
        <v>0</v>
      </c>
      <c r="H66" s="1257">
        <f>IFERROR(INDEX(AO!$Q:$Q,MATCH($C66,AO!$C:$C,0))-INDEX(AO!$BE$18:$BE$20,MATCH($C66,AO!$C$18:$C$20,0)),0)</f>
        <v>0</v>
      </c>
      <c r="I66" s="1559">
        <f t="shared" si="2"/>
        <v>0</v>
      </c>
      <c r="J66" s="1257">
        <f>IFERROR(INDEX(AO!$Y:$Y,MATCH($C66,AO!$C:$C,0)),0)</f>
        <v>0</v>
      </c>
      <c r="K66" s="1257">
        <f>IFERROR(INDEX(AO!$AI:$AI,MATCH($C66,AO!$C:$C,0)),0)</f>
        <v>0</v>
      </c>
      <c r="L66" s="1560">
        <f>IFERROR(INDEX(AO!$AP:$AP,MATCH($C66,AO!$C:$C,0)),0)</f>
        <v>0</v>
      </c>
      <c r="M66" s="1559">
        <f>IFERROR(SUMIFS(TA!$AJ$15:$AJ$17,TA!$U$15:$U$17,"*FMCG*",TA!$C$15:$C$17,$B66)/SUMIFS(TA!$AJ$15:$AJ$17,TA!$C$15:$C$17,$B66),0)</f>
        <v>0</v>
      </c>
      <c r="N66" s="1257">
        <f>IFERROR(INDEX(AA!$AN:$AN,MATCH($C66,AA!$C:$C,0)),0)</f>
        <v>0</v>
      </c>
      <c r="O66" s="1259" t="e">
        <f>DATEDIF(GA!$G$56,INDEX(RR!$N:$N,MATCH(AB66,RR!$E:$E,0)),"D")/365</f>
        <v>#N/A</v>
      </c>
      <c r="P66" s="1257">
        <f>IFERROR(INDEX(AO!$CV:$CV,MATCH($C66,AO!$C:$C,0)),0)</f>
        <v>0</v>
      </c>
      <c r="Q66" s="1257">
        <f>IFERROR(INDEX(AO!$CZ:$CZ,MATCH($C66,AO!$C:$C,0)),0)</f>
        <v>0</v>
      </c>
      <c r="R66" s="1561">
        <f>IFERROR(INDEX(AO!$DC:$DC,MATCH($C66,AO!$C:$C,0)),0)</f>
        <v>0</v>
      </c>
      <c r="S66" s="1561" t="e">
        <f>INDEX(IC!AR:AR,MATCH(C66,IC!B:B,0))</f>
        <v>#N/A</v>
      </c>
      <c r="T66" s="1562" t="e">
        <f>INDEX(IC!AW:AW,MATCH(C66,IC!B:B,0))</f>
        <v>#N/A</v>
      </c>
      <c r="U66" s="1561" t="e">
        <f>INDEX(IC!AS:AS,MATCH(C66,IC!B:B,0))</f>
        <v>#N/A</v>
      </c>
      <c r="V66" s="1257">
        <f>IFERROR(INDEX(AA!$GA:$GA,MATCH($C66,AA!$C:$C,0)),0)</f>
        <v>0</v>
      </c>
      <c r="W66" s="1562">
        <f>IFERROR(V66/INDEX(AO!$CI:$CI,MATCH($C66,AO!$C:$C,0)),0)</f>
        <v>0</v>
      </c>
      <c r="X66" s="1562">
        <f>IFERROR(V66/INDEX(AO!$CS:$CS,MATCH($C66,AO!$C:$C,0)),0)</f>
        <v>0</v>
      </c>
      <c r="Y66" s="1559">
        <f>IFERROR(INDEX(AO!$CN:$CN,MATCH($C66,AO!$C:$C,0))/V66,0)</f>
        <v>0</v>
      </c>
      <c r="Z66" s="1257">
        <f>IFERROR(V66/INDEX(AO!$CA:$CA,MATCH($C66,AO!$C:$C,0)),0)</f>
        <v>0</v>
      </c>
      <c r="AB66" t="str">
        <f t="shared" si="1"/>
        <v>58 - 1</v>
      </c>
    </row>
    <row r="67" spans="2:28" outlineLevel="1">
      <c r="B67" s="1434">
        <v>59</v>
      </c>
      <c r="C67" s="1434" t="e">
        <f>INDEX(IC!B:B,MATCH(B67,IC!AY:AY,0))</f>
        <v>#N/A</v>
      </c>
      <c r="D67" s="261">
        <f>IFERROR(INDEX(AA!$AC:$AC,MATCH($C67,AA!$C:$C,0)),0)</f>
        <v>0</v>
      </c>
      <c r="E67" s="261" t="e">
        <f>INDEX(IC!G:G,MATCH(AL!C67,IC!B:B,0))</f>
        <v>#N/A</v>
      </c>
      <c r="F67" s="261">
        <f>IFERROR(INDEX(AA!$AK:$AK,MATCH($C67,AA!$C:$C,0)),0)</f>
        <v>0</v>
      </c>
      <c r="G67" s="261">
        <f>IFERROR(INDEX(AO!$Q:$Q,MATCH($C67,AO!$C:$C,0)),0)</f>
        <v>0</v>
      </c>
      <c r="H67" s="261">
        <f>IFERROR(INDEX(AO!$Q:$Q,MATCH($C67,AO!$C:$C,0))-INDEX(AO!$BE$18:$BE$20,MATCH($C67,AO!$C$18:$C$20,0)),0)</f>
        <v>0</v>
      </c>
      <c r="I67" s="1557">
        <f t="shared" si="2"/>
        <v>0</v>
      </c>
      <c r="J67" s="261">
        <f>IFERROR(INDEX(AO!$Y:$Y,MATCH($C67,AO!$C:$C,0)),0)</f>
        <v>0</v>
      </c>
      <c r="K67" s="261">
        <f>IFERROR(INDEX(AO!$AI:$AI,MATCH($C67,AO!$C:$C,0)),0)</f>
        <v>0</v>
      </c>
      <c r="L67" s="1556">
        <f>IFERROR(INDEX(AO!$AP:$AP,MATCH($C67,AO!$C:$C,0)),0)</f>
        <v>0</v>
      </c>
      <c r="M67" s="1557">
        <f>IFERROR(SUMIFS(TA!$AJ$15:$AJ$17,TA!$U$15:$U$17,"*FMCG*",TA!$C$15:$C$17,$B67)/SUMIFS(TA!$AJ$15:$AJ$17,TA!$C$15:$C$17,$B67),0)</f>
        <v>0</v>
      </c>
      <c r="N67" s="261">
        <f>IFERROR(INDEX(AA!$AN:$AN,MATCH($C67,AA!$C:$C,0)),0)</f>
        <v>0</v>
      </c>
      <c r="O67" s="1252" t="e">
        <f>DATEDIF(GA!$G$56,INDEX(RR!$N:$N,MATCH(AB67,RR!$E:$E,0)),"D")/365</f>
        <v>#N/A</v>
      </c>
      <c r="P67" s="261">
        <f>IFERROR(INDEX(AO!$CV:$CV,MATCH($C67,AO!$C:$C,0)),0)</f>
        <v>0</v>
      </c>
      <c r="Q67" s="261">
        <f>IFERROR(INDEX(AO!$CZ:$CZ,MATCH($C67,AO!$C:$C,0)),0)</f>
        <v>0</v>
      </c>
      <c r="R67" s="1230">
        <f>IFERROR(INDEX(AO!$DC:$DC,MATCH($C67,AO!$C:$C,0)),0)</f>
        <v>0</v>
      </c>
      <c r="S67" s="1230" t="e">
        <f>INDEX(IC!AR:AR,MATCH(C67,IC!B:B,0))</f>
        <v>#N/A</v>
      </c>
      <c r="T67" s="1558" t="e">
        <f>INDEX(IC!AW:AW,MATCH(C67,IC!B:B,0))</f>
        <v>#N/A</v>
      </c>
      <c r="U67" s="1230" t="e">
        <f>INDEX(IC!AS:AS,MATCH(C67,IC!B:B,0))</f>
        <v>#N/A</v>
      </c>
      <c r="V67" s="261">
        <f>IFERROR(INDEX(AA!$GA:$GA,MATCH($C67,AA!$C:$C,0)),0)</f>
        <v>0</v>
      </c>
      <c r="W67" s="1558">
        <f>IFERROR(V67/INDEX(AO!$CI:$CI,MATCH($C67,AO!$C:$C,0)),0)</f>
        <v>0</v>
      </c>
      <c r="X67" s="1558">
        <f>IFERROR(V67/INDEX(AO!$CS:$CS,MATCH($C67,AO!$C:$C,0)),0)</f>
        <v>0</v>
      </c>
      <c r="Y67" s="1557">
        <f>IFERROR(INDEX(AO!$CN:$CN,MATCH($C67,AO!$C:$C,0))/V67,0)</f>
        <v>0</v>
      </c>
      <c r="Z67" s="261">
        <f>IFERROR(V67/INDEX(AO!$CA:$CA,MATCH($C67,AO!$C:$C,0)),0)</f>
        <v>0</v>
      </c>
      <c r="AB67" t="str">
        <f t="shared" si="1"/>
        <v>59 - 1</v>
      </c>
    </row>
    <row r="68" spans="2:28" outlineLevel="1">
      <c r="B68" s="1563">
        <v>60</v>
      </c>
      <c r="C68" s="1563" t="e">
        <f>INDEX(IC!B:B,MATCH(B68,IC!AY:AY,0))</f>
        <v>#N/A</v>
      </c>
      <c r="D68" s="1257">
        <f>IFERROR(INDEX(AA!$AC:$AC,MATCH($C68,AA!$C:$C,0)),0)</f>
        <v>0</v>
      </c>
      <c r="E68" s="1257" t="e">
        <f>INDEX(IC!G:G,MATCH(AL!C68,IC!B:B,0))</f>
        <v>#N/A</v>
      </c>
      <c r="F68" s="1257">
        <f>IFERROR(INDEX(AA!$AK:$AK,MATCH($C68,AA!$C:$C,0)),0)</f>
        <v>0</v>
      </c>
      <c r="G68" s="1257">
        <f>IFERROR(INDEX(AO!$Q:$Q,MATCH($C68,AO!$C:$C,0)),0)</f>
        <v>0</v>
      </c>
      <c r="H68" s="1257">
        <f>IFERROR(INDEX(AO!$Q:$Q,MATCH($C68,AO!$C:$C,0))-INDEX(AO!$BE$18:$BE$20,MATCH($C68,AO!$C$18:$C$20,0)),0)</f>
        <v>0</v>
      </c>
      <c r="I68" s="1559">
        <f t="shared" si="2"/>
        <v>0</v>
      </c>
      <c r="J68" s="1257">
        <f>IFERROR(INDEX(AO!$Y:$Y,MATCH($C68,AO!$C:$C,0)),0)</f>
        <v>0</v>
      </c>
      <c r="K68" s="1257">
        <f>IFERROR(INDEX(AO!$AI:$AI,MATCH($C68,AO!$C:$C,0)),0)</f>
        <v>0</v>
      </c>
      <c r="L68" s="1560">
        <f>IFERROR(INDEX(AO!$AP:$AP,MATCH($C68,AO!$C:$C,0)),0)</f>
        <v>0</v>
      </c>
      <c r="M68" s="1559">
        <f>IFERROR(SUMIFS(TA!$AJ$15:$AJ$17,TA!$U$15:$U$17,"*FMCG*",TA!$C$15:$C$17,$B68)/SUMIFS(TA!$AJ$15:$AJ$17,TA!$C$15:$C$17,$B68),0)</f>
        <v>0</v>
      </c>
      <c r="N68" s="1257">
        <f>IFERROR(INDEX(AA!$AN:$AN,MATCH($C68,AA!$C:$C,0)),0)</f>
        <v>0</v>
      </c>
      <c r="O68" s="1259" t="e">
        <f>DATEDIF(GA!$G$56,INDEX(RR!$N:$N,MATCH(AB68,RR!$E:$E,0)),"D")/365</f>
        <v>#N/A</v>
      </c>
      <c r="P68" s="1257">
        <f>IFERROR(INDEX(AO!$CV:$CV,MATCH($C68,AO!$C:$C,0)),0)</f>
        <v>0</v>
      </c>
      <c r="Q68" s="1257">
        <f>IFERROR(INDEX(AO!$CZ:$CZ,MATCH($C68,AO!$C:$C,0)),0)</f>
        <v>0</v>
      </c>
      <c r="R68" s="1561">
        <f>IFERROR(INDEX(AO!$DC:$DC,MATCH($C68,AO!$C:$C,0)),0)</f>
        <v>0</v>
      </c>
      <c r="S68" s="1561" t="e">
        <f>INDEX(IC!AR:AR,MATCH(C68,IC!B:B,0))</f>
        <v>#N/A</v>
      </c>
      <c r="T68" s="1562" t="e">
        <f>INDEX(IC!AW:AW,MATCH(C68,IC!B:B,0))</f>
        <v>#N/A</v>
      </c>
      <c r="U68" s="1561" t="e">
        <f>INDEX(IC!AS:AS,MATCH(C68,IC!B:B,0))</f>
        <v>#N/A</v>
      </c>
      <c r="V68" s="1257">
        <f>IFERROR(INDEX(AA!$GA:$GA,MATCH($C68,AA!$C:$C,0)),0)</f>
        <v>0</v>
      </c>
      <c r="W68" s="1562">
        <f>IFERROR(V68/INDEX(AO!$CI:$CI,MATCH($C68,AO!$C:$C,0)),0)</f>
        <v>0</v>
      </c>
      <c r="X68" s="1562">
        <f>IFERROR(V68/INDEX(AO!$CS:$CS,MATCH($C68,AO!$C:$C,0)),0)</f>
        <v>0</v>
      </c>
      <c r="Y68" s="1559">
        <f>IFERROR(INDEX(AO!$CN:$CN,MATCH($C68,AO!$C:$C,0))/V68,0)</f>
        <v>0</v>
      </c>
      <c r="Z68" s="1257">
        <f>IFERROR(V68/INDEX(AO!$CA:$CA,MATCH($C68,AO!$C:$C,0)),0)</f>
        <v>0</v>
      </c>
      <c r="AB68" t="str">
        <f t="shared" si="1"/>
        <v>60 - 1</v>
      </c>
    </row>
    <row r="69" spans="2:28" outlineLevel="1">
      <c r="B69" s="1434">
        <v>61</v>
      </c>
      <c r="C69" s="1434" t="e">
        <f>INDEX(IC!B:B,MATCH(B69,IC!AY:AY,0))</f>
        <v>#N/A</v>
      </c>
      <c r="D69" s="261">
        <f>IFERROR(INDEX(AA!$AC:$AC,MATCH($C69,AA!$C:$C,0)),0)</f>
        <v>0</v>
      </c>
      <c r="E69" s="261" t="e">
        <f>INDEX(IC!G:G,MATCH(AL!C69,IC!B:B,0))</f>
        <v>#N/A</v>
      </c>
      <c r="F69" s="261">
        <f>IFERROR(INDEX(AA!$AK:$AK,MATCH($C69,AA!$C:$C,0)),0)</f>
        <v>0</v>
      </c>
      <c r="G69" s="261">
        <f>IFERROR(INDEX(AO!$Q:$Q,MATCH($C69,AO!$C:$C,0)),0)</f>
        <v>0</v>
      </c>
      <c r="H69" s="261">
        <f>IFERROR(INDEX(AO!$Q:$Q,MATCH($C69,AO!$C:$C,0))-INDEX(AO!$BE$18:$BE$20,MATCH($C69,AO!$C$18:$C$20,0)),0)</f>
        <v>0</v>
      </c>
      <c r="I69" s="1557">
        <f t="shared" si="2"/>
        <v>0</v>
      </c>
      <c r="J69" s="261">
        <f>IFERROR(INDEX(AO!$Y:$Y,MATCH($C69,AO!$C:$C,0)),0)</f>
        <v>0</v>
      </c>
      <c r="K69" s="261">
        <f>IFERROR(INDEX(AO!$AI:$AI,MATCH($C69,AO!$C:$C,0)),0)</f>
        <v>0</v>
      </c>
      <c r="L69" s="1556">
        <f>IFERROR(INDEX(AO!$AP:$AP,MATCH($C69,AO!$C:$C,0)),0)</f>
        <v>0</v>
      </c>
      <c r="M69" s="1557">
        <f>IFERROR(SUMIFS(TA!$AJ$15:$AJ$17,TA!$U$15:$U$17,"*FMCG*",TA!$C$15:$C$17,$B69)/SUMIFS(TA!$AJ$15:$AJ$17,TA!$C$15:$C$17,$B69),0)</f>
        <v>0</v>
      </c>
      <c r="N69" s="261">
        <f>IFERROR(INDEX(AA!$AN:$AN,MATCH($C69,AA!$C:$C,0)),0)</f>
        <v>0</v>
      </c>
      <c r="O69" s="1252" t="e">
        <f>DATEDIF(GA!$G$56,INDEX(RR!$N:$N,MATCH(AB69,RR!$E:$E,0)),"D")/365</f>
        <v>#N/A</v>
      </c>
      <c r="P69" s="261">
        <f>IFERROR(INDEX(AO!$CV:$CV,MATCH($C69,AO!$C:$C,0)),0)</f>
        <v>0</v>
      </c>
      <c r="Q69" s="261">
        <f>IFERROR(INDEX(AO!$CZ:$CZ,MATCH($C69,AO!$C:$C,0)),0)</f>
        <v>0</v>
      </c>
      <c r="R69" s="1230">
        <f>IFERROR(INDEX(AO!$DC:$DC,MATCH($C69,AO!$C:$C,0)),0)</f>
        <v>0</v>
      </c>
      <c r="S69" s="1230" t="e">
        <f>INDEX(IC!AR:AR,MATCH(C69,IC!B:B,0))</f>
        <v>#N/A</v>
      </c>
      <c r="T69" s="1558" t="e">
        <f>INDEX(IC!AW:AW,MATCH(C69,IC!B:B,0))</f>
        <v>#N/A</v>
      </c>
      <c r="U69" s="1230" t="e">
        <f>INDEX(IC!AS:AS,MATCH(C69,IC!B:B,0))</f>
        <v>#N/A</v>
      </c>
      <c r="V69" s="261">
        <f>IFERROR(INDEX(AA!$GA:$GA,MATCH($C69,AA!$C:$C,0)),0)</f>
        <v>0</v>
      </c>
      <c r="W69" s="1558">
        <f>IFERROR(V69/INDEX(AO!$CI:$CI,MATCH($C69,AO!$C:$C,0)),0)</f>
        <v>0</v>
      </c>
      <c r="X69" s="1558">
        <f>IFERROR(V69/INDEX(AO!$CS:$CS,MATCH($C69,AO!$C:$C,0)),0)</f>
        <v>0</v>
      </c>
      <c r="Y69" s="1557">
        <f>IFERROR(INDEX(AO!$CN:$CN,MATCH($C69,AO!$C:$C,0))/V69,0)</f>
        <v>0</v>
      </c>
      <c r="Z69" s="261">
        <f>IFERROR(V69/INDEX(AO!$CA:$CA,MATCH($C69,AO!$C:$C,0)),0)</f>
        <v>0</v>
      </c>
      <c r="AB69" t="str">
        <f t="shared" si="1"/>
        <v>61 - 1</v>
      </c>
    </row>
    <row r="70" spans="2:28" outlineLevel="1">
      <c r="B70" s="1563">
        <v>62</v>
      </c>
      <c r="C70" s="1563" t="e">
        <f>INDEX(IC!B:B,MATCH(B70,IC!AY:AY,0))</f>
        <v>#N/A</v>
      </c>
      <c r="D70" s="1257">
        <f>IFERROR(INDEX(AA!$AC:$AC,MATCH($C70,AA!$C:$C,0)),0)</f>
        <v>0</v>
      </c>
      <c r="E70" s="1257" t="e">
        <f>INDEX(IC!G:G,MATCH(AL!C70,IC!B:B,0))</f>
        <v>#N/A</v>
      </c>
      <c r="F70" s="1257">
        <f>IFERROR(INDEX(AA!$AK:$AK,MATCH($C70,AA!$C:$C,0)),0)</f>
        <v>0</v>
      </c>
      <c r="G70" s="1257">
        <f>IFERROR(INDEX(AO!$Q:$Q,MATCH($C70,AO!$C:$C,0)),0)</f>
        <v>0</v>
      </c>
      <c r="H70" s="1257">
        <f>IFERROR(INDEX(AO!$Q:$Q,MATCH($C70,AO!$C:$C,0))-INDEX(AO!$BE$18:$BE$20,MATCH($C70,AO!$C$18:$C$20,0)),0)</f>
        <v>0</v>
      </c>
      <c r="I70" s="1559">
        <f t="shared" si="2"/>
        <v>0</v>
      </c>
      <c r="J70" s="1257">
        <f>IFERROR(INDEX(AO!$Y:$Y,MATCH($C70,AO!$C:$C,0)),0)</f>
        <v>0</v>
      </c>
      <c r="K70" s="1257">
        <f>IFERROR(INDEX(AO!$AI:$AI,MATCH($C70,AO!$C:$C,0)),0)</f>
        <v>0</v>
      </c>
      <c r="L70" s="1560">
        <f>IFERROR(INDEX(AO!$AP:$AP,MATCH($C70,AO!$C:$C,0)),0)</f>
        <v>0</v>
      </c>
      <c r="M70" s="1559">
        <f>IFERROR(SUMIFS(TA!$AJ$15:$AJ$17,TA!$U$15:$U$17,"*FMCG*",TA!$C$15:$C$17,$B70)/SUMIFS(TA!$AJ$15:$AJ$17,TA!$C$15:$C$17,$B70),0)</f>
        <v>0</v>
      </c>
      <c r="N70" s="1257">
        <f>IFERROR(INDEX(AA!$AN:$AN,MATCH($C70,AA!$C:$C,0)),0)</f>
        <v>0</v>
      </c>
      <c r="O70" s="1259" t="e">
        <f>DATEDIF(GA!$G$56,INDEX(RR!$N:$N,MATCH(AB70,RR!$E:$E,0)),"D")/365</f>
        <v>#N/A</v>
      </c>
      <c r="P70" s="1257">
        <f>IFERROR(INDEX(AO!$CV:$CV,MATCH($C70,AO!$C:$C,0)),0)</f>
        <v>0</v>
      </c>
      <c r="Q70" s="1257">
        <f>IFERROR(INDEX(AO!$CZ:$CZ,MATCH($C70,AO!$C:$C,0)),0)</f>
        <v>0</v>
      </c>
      <c r="R70" s="1561">
        <f>IFERROR(INDEX(AO!$DC:$DC,MATCH($C70,AO!$C:$C,0)),0)</f>
        <v>0</v>
      </c>
      <c r="S70" s="1561" t="e">
        <f>INDEX(IC!AR:AR,MATCH(C70,IC!B:B,0))</f>
        <v>#N/A</v>
      </c>
      <c r="T70" s="1562" t="e">
        <f>INDEX(IC!AW:AW,MATCH(C70,IC!B:B,0))</f>
        <v>#N/A</v>
      </c>
      <c r="U70" s="1561" t="e">
        <f>INDEX(IC!AS:AS,MATCH(C70,IC!B:B,0))</f>
        <v>#N/A</v>
      </c>
      <c r="V70" s="1257">
        <f>IFERROR(INDEX(AA!$GA:$GA,MATCH($C70,AA!$C:$C,0)),0)</f>
        <v>0</v>
      </c>
      <c r="W70" s="1562">
        <f>IFERROR(V70/INDEX(AO!$CI:$CI,MATCH($C70,AO!$C:$C,0)),0)</f>
        <v>0</v>
      </c>
      <c r="X70" s="1562">
        <f>IFERROR(V70/INDEX(AO!$CS:$CS,MATCH($C70,AO!$C:$C,0)),0)</f>
        <v>0</v>
      </c>
      <c r="Y70" s="1559">
        <f>IFERROR(INDEX(AO!$CN:$CN,MATCH($C70,AO!$C:$C,0))/V70,0)</f>
        <v>0</v>
      </c>
      <c r="Z70" s="1257">
        <f>IFERROR(V70/INDEX(AO!$CA:$CA,MATCH($C70,AO!$C:$C,0)),0)</f>
        <v>0</v>
      </c>
      <c r="AB70" t="str">
        <f t="shared" si="1"/>
        <v>62 - 1</v>
      </c>
    </row>
    <row r="71" spans="2:28" outlineLevel="1">
      <c r="B71" s="1434">
        <v>63</v>
      </c>
      <c r="C71" s="1434" t="e">
        <f>INDEX(IC!B:B,MATCH(B71,IC!AY:AY,0))</f>
        <v>#N/A</v>
      </c>
      <c r="D71" s="261">
        <f>IFERROR(INDEX(AA!$AC:$AC,MATCH($C71,AA!$C:$C,0)),0)</f>
        <v>0</v>
      </c>
      <c r="E71" s="261" t="e">
        <f>INDEX(IC!G:G,MATCH(AL!C71,IC!B:B,0))</f>
        <v>#N/A</v>
      </c>
      <c r="F71" s="261">
        <f>IFERROR(INDEX(AA!$AK:$AK,MATCH($C71,AA!$C:$C,0)),0)</f>
        <v>0</v>
      </c>
      <c r="G71" s="261">
        <f>IFERROR(INDEX(AO!$Q:$Q,MATCH($C71,AO!$C:$C,0)),0)</f>
        <v>0</v>
      </c>
      <c r="H71" s="261">
        <f>IFERROR(INDEX(AO!$Q:$Q,MATCH($C71,AO!$C:$C,0))-INDEX(AO!$BE$18:$BE$20,MATCH($C71,AO!$C$18:$C$20,0)),0)</f>
        <v>0</v>
      </c>
      <c r="I71" s="1557">
        <f t="shared" si="2"/>
        <v>0</v>
      </c>
      <c r="J71" s="261">
        <f>IFERROR(INDEX(AO!$Y:$Y,MATCH($C71,AO!$C:$C,0)),0)</f>
        <v>0</v>
      </c>
      <c r="K71" s="261">
        <f>IFERROR(INDEX(AO!$AI:$AI,MATCH($C71,AO!$C:$C,0)),0)</f>
        <v>0</v>
      </c>
      <c r="L71" s="1556">
        <f>IFERROR(INDEX(AO!$AP:$AP,MATCH($C71,AO!$C:$C,0)),0)</f>
        <v>0</v>
      </c>
      <c r="M71" s="1557">
        <f>IFERROR(SUMIFS(TA!$AJ$15:$AJ$17,TA!$U$15:$U$17,"*FMCG*",TA!$C$15:$C$17,$B71)/SUMIFS(TA!$AJ$15:$AJ$17,TA!$C$15:$C$17,$B71),0)</f>
        <v>0</v>
      </c>
      <c r="N71" s="261">
        <f>IFERROR(INDEX(AA!$AN:$AN,MATCH($C71,AA!$C:$C,0)),0)</f>
        <v>0</v>
      </c>
      <c r="O71" s="1252" t="e">
        <f>DATEDIF(GA!$G$56,INDEX(RR!$N:$N,MATCH(AB71,RR!$E:$E,0)),"D")/365</f>
        <v>#N/A</v>
      </c>
      <c r="P71" s="261">
        <f>IFERROR(INDEX(AO!$CV:$CV,MATCH($C71,AO!$C:$C,0)),0)</f>
        <v>0</v>
      </c>
      <c r="Q71" s="261">
        <f>IFERROR(INDEX(AO!$CZ:$CZ,MATCH($C71,AO!$C:$C,0)),0)</f>
        <v>0</v>
      </c>
      <c r="R71" s="1230">
        <f>IFERROR(INDEX(AO!$DC:$DC,MATCH($C71,AO!$C:$C,0)),0)</f>
        <v>0</v>
      </c>
      <c r="S71" s="1230" t="e">
        <f>INDEX(IC!AR:AR,MATCH(C71,IC!B:B,0))</f>
        <v>#N/A</v>
      </c>
      <c r="T71" s="1558" t="e">
        <f>INDEX(IC!AW:AW,MATCH(C71,IC!B:B,0))</f>
        <v>#N/A</v>
      </c>
      <c r="U71" s="1230" t="e">
        <f>INDEX(IC!AS:AS,MATCH(C71,IC!B:B,0))</f>
        <v>#N/A</v>
      </c>
      <c r="V71" s="261">
        <f>IFERROR(INDEX(AA!$GA:$GA,MATCH($C71,AA!$C:$C,0)),0)</f>
        <v>0</v>
      </c>
      <c r="W71" s="1558">
        <f>IFERROR(V71/INDEX(AO!$CI:$CI,MATCH($C71,AO!$C:$C,0)),0)</f>
        <v>0</v>
      </c>
      <c r="X71" s="1558">
        <f>IFERROR(V71/INDEX(AO!$CS:$CS,MATCH($C71,AO!$C:$C,0)),0)</f>
        <v>0</v>
      </c>
      <c r="Y71" s="1557">
        <f>IFERROR(INDEX(AO!$CN:$CN,MATCH($C71,AO!$C:$C,0))/V71,0)</f>
        <v>0</v>
      </c>
      <c r="Z71" s="261">
        <f>IFERROR(V71/INDEX(AO!$CA:$CA,MATCH($C71,AO!$C:$C,0)),0)</f>
        <v>0</v>
      </c>
      <c r="AB71" t="str">
        <f t="shared" si="1"/>
        <v>63 - 1</v>
      </c>
    </row>
    <row r="72" spans="2:28" outlineLevel="1">
      <c r="B72" s="1563">
        <v>64</v>
      </c>
      <c r="C72" s="1563" t="e">
        <f>INDEX(IC!B:B,MATCH(B72,IC!AY:AY,0))</f>
        <v>#N/A</v>
      </c>
      <c r="D72" s="1257">
        <f>IFERROR(INDEX(AA!$AC:$AC,MATCH($C72,AA!$C:$C,0)),0)</f>
        <v>0</v>
      </c>
      <c r="E72" s="1257" t="e">
        <f>INDEX(IC!G:G,MATCH(AL!C72,IC!B:B,0))</f>
        <v>#N/A</v>
      </c>
      <c r="F72" s="1257">
        <f>IFERROR(INDEX(AA!$AK:$AK,MATCH($C72,AA!$C:$C,0)),0)</f>
        <v>0</v>
      </c>
      <c r="G72" s="1257">
        <f>IFERROR(INDEX(AO!$Q:$Q,MATCH($C72,AO!$C:$C,0)),0)</f>
        <v>0</v>
      </c>
      <c r="H72" s="1257">
        <f>IFERROR(INDEX(AO!$Q:$Q,MATCH($C72,AO!$C:$C,0))-INDEX(AO!$BE$18:$BE$20,MATCH($C72,AO!$C$18:$C$20,0)),0)</f>
        <v>0</v>
      </c>
      <c r="I72" s="1559">
        <f t="shared" si="2"/>
        <v>0</v>
      </c>
      <c r="J72" s="1257">
        <f>IFERROR(INDEX(AO!$Y:$Y,MATCH($C72,AO!$C:$C,0)),0)</f>
        <v>0</v>
      </c>
      <c r="K72" s="1257">
        <f>IFERROR(INDEX(AO!$AI:$AI,MATCH($C72,AO!$C:$C,0)),0)</f>
        <v>0</v>
      </c>
      <c r="L72" s="1560">
        <f>IFERROR(INDEX(AO!$AP:$AP,MATCH($C72,AO!$C:$C,0)),0)</f>
        <v>0</v>
      </c>
      <c r="M72" s="1559">
        <f>IFERROR(SUMIFS(TA!$AJ$15:$AJ$17,TA!$U$15:$U$17,"*FMCG*",TA!$C$15:$C$17,$B72)/SUMIFS(TA!$AJ$15:$AJ$17,TA!$C$15:$C$17,$B72),0)</f>
        <v>0</v>
      </c>
      <c r="N72" s="1257">
        <f>IFERROR(INDEX(AA!$AN:$AN,MATCH($C72,AA!$C:$C,0)),0)</f>
        <v>0</v>
      </c>
      <c r="O72" s="1259" t="e">
        <f>DATEDIF(GA!$G$56,INDEX(RR!$N:$N,MATCH(AB72,RR!$E:$E,0)),"D")/365</f>
        <v>#N/A</v>
      </c>
      <c r="P72" s="1257">
        <f>IFERROR(INDEX(AO!$CV:$CV,MATCH($C72,AO!$C:$C,0)),0)</f>
        <v>0</v>
      </c>
      <c r="Q72" s="1257">
        <f>IFERROR(INDEX(AO!$CZ:$CZ,MATCH($C72,AO!$C:$C,0)),0)</f>
        <v>0</v>
      </c>
      <c r="R72" s="1561">
        <f>IFERROR(INDEX(AO!$DC:$DC,MATCH($C72,AO!$C:$C,0)),0)</f>
        <v>0</v>
      </c>
      <c r="S72" s="1561" t="e">
        <f>INDEX(IC!AR:AR,MATCH(C72,IC!B:B,0))</f>
        <v>#N/A</v>
      </c>
      <c r="T72" s="1562" t="e">
        <f>INDEX(IC!AW:AW,MATCH(C72,IC!B:B,0))</f>
        <v>#N/A</v>
      </c>
      <c r="U72" s="1561" t="e">
        <f>INDEX(IC!AS:AS,MATCH(C72,IC!B:B,0))</f>
        <v>#N/A</v>
      </c>
      <c r="V72" s="1257">
        <f>IFERROR(INDEX(AA!$GA:$GA,MATCH($C72,AA!$C:$C,0)),0)</f>
        <v>0</v>
      </c>
      <c r="W72" s="1562">
        <f>IFERROR(V72/INDEX(AO!$CI:$CI,MATCH($C72,AO!$C:$C,0)),0)</f>
        <v>0</v>
      </c>
      <c r="X72" s="1562">
        <f>IFERROR(V72/INDEX(AO!$CS:$CS,MATCH($C72,AO!$C:$C,0)),0)</f>
        <v>0</v>
      </c>
      <c r="Y72" s="1559">
        <f>IFERROR(INDEX(AO!$CN:$CN,MATCH($C72,AO!$C:$C,0))/V72,0)</f>
        <v>0</v>
      </c>
      <c r="Z72" s="1257">
        <f>IFERROR(V72/INDEX(AO!$CA:$CA,MATCH($C72,AO!$C:$C,0)),0)</f>
        <v>0</v>
      </c>
      <c r="AB72" t="str">
        <f t="shared" si="1"/>
        <v>64 - 1</v>
      </c>
    </row>
    <row r="73" spans="2:28" outlineLevel="1">
      <c r="B73" s="1434">
        <v>65</v>
      </c>
      <c r="C73" s="1434" t="e">
        <f>INDEX(IC!B:B,MATCH(B73,IC!AY:AY,0))</f>
        <v>#N/A</v>
      </c>
      <c r="D73" s="261">
        <f>IFERROR(INDEX(AA!$AC:$AC,MATCH($C73,AA!$C:$C,0)),0)</f>
        <v>0</v>
      </c>
      <c r="E73" s="261" t="e">
        <f>INDEX(IC!G:G,MATCH(AL!C73,IC!B:B,0))</f>
        <v>#N/A</v>
      </c>
      <c r="F73" s="261">
        <f>IFERROR(INDEX(AA!$AK:$AK,MATCH($C73,AA!$C:$C,0)),0)</f>
        <v>0</v>
      </c>
      <c r="G73" s="261">
        <f>IFERROR(INDEX(AO!$Q:$Q,MATCH($C73,AO!$C:$C,0)),0)</f>
        <v>0</v>
      </c>
      <c r="H73" s="261">
        <f>IFERROR(INDEX(AO!$Q:$Q,MATCH($C73,AO!$C:$C,0))-INDEX(AO!$BE$18:$BE$20,MATCH($C73,AO!$C$18:$C$20,0)),0)</f>
        <v>0</v>
      </c>
      <c r="I73" s="1557">
        <f t="shared" si="2"/>
        <v>0</v>
      </c>
      <c r="J73" s="261">
        <f>IFERROR(INDEX(AO!$Y:$Y,MATCH($C73,AO!$C:$C,0)),0)</f>
        <v>0</v>
      </c>
      <c r="K73" s="261">
        <f>IFERROR(INDEX(AO!$AI:$AI,MATCH($C73,AO!$C:$C,0)),0)</f>
        <v>0</v>
      </c>
      <c r="L73" s="1556">
        <f>IFERROR(INDEX(AO!$AP:$AP,MATCH($C73,AO!$C:$C,0)),0)</f>
        <v>0</v>
      </c>
      <c r="M73" s="1557">
        <f>IFERROR(SUMIFS(TA!$AJ$15:$AJ$17,TA!$U$15:$U$17,"*FMCG*",TA!$C$15:$C$17,$B73)/SUMIFS(TA!$AJ$15:$AJ$17,TA!$C$15:$C$17,$B73),0)</f>
        <v>0</v>
      </c>
      <c r="N73" s="261">
        <f>IFERROR(INDEX(AA!$AN:$AN,MATCH($C73,AA!$C:$C,0)),0)</f>
        <v>0</v>
      </c>
      <c r="O73" s="1252" t="e">
        <f>DATEDIF(GA!$G$56,INDEX(RR!$N:$N,MATCH(AB73,RR!$E:$E,0)),"D")/365</f>
        <v>#N/A</v>
      </c>
      <c r="P73" s="261">
        <f>IFERROR(INDEX(AO!$CV:$CV,MATCH($C73,AO!$C:$C,0)),0)</f>
        <v>0</v>
      </c>
      <c r="Q73" s="261">
        <f>IFERROR(INDEX(AO!$CZ:$CZ,MATCH($C73,AO!$C:$C,0)),0)</f>
        <v>0</v>
      </c>
      <c r="R73" s="1230">
        <f>IFERROR(INDEX(AO!$DC:$DC,MATCH($C73,AO!$C:$C,0)),0)</f>
        <v>0</v>
      </c>
      <c r="S73" s="1230" t="e">
        <f>INDEX(IC!AR:AR,MATCH(C73,IC!B:B,0))</f>
        <v>#N/A</v>
      </c>
      <c r="T73" s="1558" t="e">
        <f>INDEX(IC!AW:AW,MATCH(C73,IC!B:B,0))</f>
        <v>#N/A</v>
      </c>
      <c r="U73" s="1230" t="e">
        <f>INDEX(IC!AS:AS,MATCH(C73,IC!B:B,0))</f>
        <v>#N/A</v>
      </c>
      <c r="V73" s="261">
        <f>IFERROR(INDEX(AA!$GA:$GA,MATCH($C73,AA!$C:$C,0)),0)</f>
        <v>0</v>
      </c>
      <c r="W73" s="1558">
        <f>IFERROR(V73/INDEX(AO!$CI:$CI,MATCH($C73,AO!$C:$C,0)),0)</f>
        <v>0</v>
      </c>
      <c r="X73" s="1558">
        <f>IFERROR(V73/INDEX(AO!$CS:$CS,MATCH($C73,AO!$C:$C,0)),0)</f>
        <v>0</v>
      </c>
      <c r="Y73" s="1557">
        <f>IFERROR(INDEX(AO!$CN:$CN,MATCH($C73,AO!$C:$C,0))/V73,0)</f>
        <v>0</v>
      </c>
      <c r="Z73" s="261">
        <f>IFERROR(V73/INDEX(AO!$CA:$CA,MATCH($C73,AO!$C:$C,0)),0)</f>
        <v>0</v>
      </c>
      <c r="AB73" t="str">
        <f t="shared" si="1"/>
        <v>65 - 1</v>
      </c>
    </row>
    <row r="74" spans="2:28" outlineLevel="1">
      <c r="B74" s="1563">
        <v>66</v>
      </c>
      <c r="C74" s="1563" t="e">
        <f>INDEX(IC!B:B,MATCH(B74,IC!AY:AY,0))</f>
        <v>#N/A</v>
      </c>
      <c r="D74" s="1257">
        <f>IFERROR(INDEX(AA!$AC:$AC,MATCH($C74,AA!$C:$C,0)),0)</f>
        <v>0</v>
      </c>
      <c r="E74" s="1257" t="e">
        <f>INDEX(IC!G:G,MATCH(AL!C74,IC!B:B,0))</f>
        <v>#N/A</v>
      </c>
      <c r="F74" s="1257">
        <f>IFERROR(INDEX(AA!$AK:$AK,MATCH($C74,AA!$C:$C,0)),0)</f>
        <v>0</v>
      </c>
      <c r="G74" s="1257">
        <f>IFERROR(INDEX(AO!$Q:$Q,MATCH($C74,AO!$C:$C,0)),0)</f>
        <v>0</v>
      </c>
      <c r="H74" s="1257">
        <f>IFERROR(INDEX(AO!$Q:$Q,MATCH($C74,AO!$C:$C,0))-INDEX(AO!$BE$18:$BE$20,MATCH($C74,AO!$C$18:$C$20,0)),0)</f>
        <v>0</v>
      </c>
      <c r="I74" s="1559">
        <f t="shared" si="2"/>
        <v>0</v>
      </c>
      <c r="J74" s="1257">
        <f>IFERROR(INDEX(AO!$Y:$Y,MATCH($C74,AO!$C:$C,0)),0)</f>
        <v>0</v>
      </c>
      <c r="K74" s="1257">
        <f>IFERROR(INDEX(AO!$AI:$AI,MATCH($C74,AO!$C:$C,0)),0)</f>
        <v>0</v>
      </c>
      <c r="L74" s="1560">
        <f>IFERROR(INDEX(AO!$AP:$AP,MATCH($C74,AO!$C:$C,0)),0)</f>
        <v>0</v>
      </c>
      <c r="M74" s="1559">
        <f>IFERROR(SUMIFS(TA!$AJ$15:$AJ$17,TA!$U$15:$U$17,"*FMCG*",TA!$C$15:$C$17,$B74)/SUMIFS(TA!$AJ$15:$AJ$17,TA!$C$15:$C$17,$B74),0)</f>
        <v>0</v>
      </c>
      <c r="N74" s="1257">
        <f>IFERROR(INDEX(AA!$AN:$AN,MATCH($C74,AA!$C:$C,0)),0)</f>
        <v>0</v>
      </c>
      <c r="O74" s="1259" t="e">
        <f>DATEDIF(GA!$G$56,INDEX(RR!$N:$N,MATCH(AB74,RR!$E:$E,0)),"D")/365</f>
        <v>#N/A</v>
      </c>
      <c r="P74" s="1257">
        <f>IFERROR(INDEX(AO!$CV:$CV,MATCH($C74,AO!$C:$C,0)),0)</f>
        <v>0</v>
      </c>
      <c r="Q74" s="1257">
        <f>IFERROR(INDEX(AO!$CZ:$CZ,MATCH($C74,AO!$C:$C,0)),0)</f>
        <v>0</v>
      </c>
      <c r="R74" s="1561">
        <f>IFERROR(INDEX(AO!$DC:$DC,MATCH($C74,AO!$C:$C,0)),0)</f>
        <v>0</v>
      </c>
      <c r="S74" s="1561" t="e">
        <f>INDEX(IC!AR:AR,MATCH(C74,IC!B:B,0))</f>
        <v>#N/A</v>
      </c>
      <c r="T74" s="1562" t="e">
        <f>INDEX(IC!AW:AW,MATCH(C74,IC!B:B,0))</f>
        <v>#N/A</v>
      </c>
      <c r="U74" s="1561" t="e">
        <f>INDEX(IC!AS:AS,MATCH(C74,IC!B:B,0))</f>
        <v>#N/A</v>
      </c>
      <c r="V74" s="1257">
        <f>IFERROR(INDEX(AA!$GA:$GA,MATCH($C74,AA!$C:$C,0)),0)</f>
        <v>0</v>
      </c>
      <c r="W74" s="1562">
        <f>IFERROR(V74/INDEX(AO!$CI:$CI,MATCH($C74,AO!$C:$C,0)),0)</f>
        <v>0</v>
      </c>
      <c r="X74" s="1562">
        <f>IFERROR(V74/INDEX(AO!$CS:$CS,MATCH($C74,AO!$C:$C,0)),0)</f>
        <v>0</v>
      </c>
      <c r="Y74" s="1559">
        <f>IFERROR(INDEX(AO!$CN:$CN,MATCH($C74,AO!$C:$C,0))/V74,0)</f>
        <v>0</v>
      </c>
      <c r="Z74" s="1257">
        <f>IFERROR(V74/INDEX(AO!$CA:$CA,MATCH($C74,AO!$C:$C,0)),0)</f>
        <v>0</v>
      </c>
      <c r="AB74" t="str">
        <f t="shared" ref="AB74:AB108" si="3">B74&amp; " - 1"</f>
        <v>66 - 1</v>
      </c>
    </row>
    <row r="75" spans="2:28" outlineLevel="1">
      <c r="B75" s="1434">
        <v>67</v>
      </c>
      <c r="C75" s="1434" t="e">
        <f>INDEX(IC!B:B,MATCH(B75,IC!AY:AY,0))</f>
        <v>#N/A</v>
      </c>
      <c r="D75" s="261">
        <f>IFERROR(INDEX(AA!$AC:$AC,MATCH($C75,AA!$C:$C,0)),0)</f>
        <v>0</v>
      </c>
      <c r="E75" s="261" t="e">
        <f>INDEX(IC!G:G,MATCH(AL!C75,IC!B:B,0))</f>
        <v>#N/A</v>
      </c>
      <c r="F75" s="261">
        <f>IFERROR(INDEX(AA!$AK:$AK,MATCH($C75,AA!$C:$C,0)),0)</f>
        <v>0</v>
      </c>
      <c r="G75" s="261">
        <f>IFERROR(INDEX(AO!$Q:$Q,MATCH($C75,AO!$C:$C,0)),0)</f>
        <v>0</v>
      </c>
      <c r="H75" s="261">
        <f>IFERROR(INDEX(AO!$Q:$Q,MATCH($C75,AO!$C:$C,0))-INDEX(AO!$BE$18:$BE$20,MATCH($C75,AO!$C$18:$C$20,0)),0)</f>
        <v>0</v>
      </c>
      <c r="I75" s="1557">
        <f t="shared" ref="I75:I108" si="4">IFERROR(H75/G75,0)</f>
        <v>0</v>
      </c>
      <c r="J75" s="261">
        <f>IFERROR(INDEX(AO!$Y:$Y,MATCH($C75,AO!$C:$C,0)),0)</f>
        <v>0</v>
      </c>
      <c r="K75" s="261">
        <f>IFERROR(INDEX(AO!$AI:$AI,MATCH($C75,AO!$C:$C,0)),0)</f>
        <v>0</v>
      </c>
      <c r="L75" s="1556">
        <f>IFERROR(INDEX(AO!$AP:$AP,MATCH($C75,AO!$C:$C,0)),0)</f>
        <v>0</v>
      </c>
      <c r="M75" s="1557">
        <f>IFERROR(SUMIFS(TA!$AJ$15:$AJ$17,TA!$U$15:$U$17,"*FMCG*",TA!$C$15:$C$17,$B75)/SUMIFS(TA!$AJ$15:$AJ$17,TA!$C$15:$C$17,$B75),0)</f>
        <v>0</v>
      </c>
      <c r="N75" s="261">
        <f>IFERROR(INDEX(AA!$AN:$AN,MATCH($C75,AA!$C:$C,0)),0)</f>
        <v>0</v>
      </c>
      <c r="O75" s="1252" t="e">
        <f>DATEDIF(GA!$G$56,INDEX(RR!$N:$N,MATCH(AB75,RR!$E:$E,0)),"D")/365</f>
        <v>#N/A</v>
      </c>
      <c r="P75" s="261">
        <f>IFERROR(INDEX(AO!$CV:$CV,MATCH($C75,AO!$C:$C,0)),0)</f>
        <v>0</v>
      </c>
      <c r="Q75" s="261">
        <f>IFERROR(INDEX(AO!$CZ:$CZ,MATCH($C75,AO!$C:$C,0)),0)</f>
        <v>0</v>
      </c>
      <c r="R75" s="1230">
        <f>IFERROR(INDEX(AO!$DC:$DC,MATCH($C75,AO!$C:$C,0)),0)</f>
        <v>0</v>
      </c>
      <c r="S75" s="1230" t="e">
        <f>INDEX(IC!AR:AR,MATCH(C75,IC!B:B,0))</f>
        <v>#N/A</v>
      </c>
      <c r="T75" s="1558" t="e">
        <f>INDEX(IC!AW:AW,MATCH(C75,IC!B:B,0))</f>
        <v>#N/A</v>
      </c>
      <c r="U75" s="1230" t="e">
        <f>INDEX(IC!AS:AS,MATCH(C75,IC!B:B,0))</f>
        <v>#N/A</v>
      </c>
      <c r="V75" s="261">
        <f>IFERROR(INDEX(AA!$GA:$GA,MATCH($C75,AA!$C:$C,0)),0)</f>
        <v>0</v>
      </c>
      <c r="W75" s="1558">
        <f>IFERROR(V75/INDEX(AO!$CI:$CI,MATCH($C75,AO!$C:$C,0)),0)</f>
        <v>0</v>
      </c>
      <c r="X75" s="1558">
        <f>IFERROR(V75/INDEX(AO!$CS:$CS,MATCH($C75,AO!$C:$C,0)),0)</f>
        <v>0</v>
      </c>
      <c r="Y75" s="1557">
        <f>IFERROR(INDEX(AO!$CN:$CN,MATCH($C75,AO!$C:$C,0))/V75,0)</f>
        <v>0</v>
      </c>
      <c r="Z75" s="261">
        <f>IFERROR(V75/INDEX(AO!$CA:$CA,MATCH($C75,AO!$C:$C,0)),0)</f>
        <v>0</v>
      </c>
      <c r="AB75" t="str">
        <f t="shared" si="3"/>
        <v>67 - 1</v>
      </c>
    </row>
    <row r="76" spans="2:28" outlineLevel="1">
      <c r="B76" s="1563">
        <v>68</v>
      </c>
      <c r="C76" s="1563" t="e">
        <f>INDEX(IC!B:B,MATCH(B76,IC!AY:AY,0))</f>
        <v>#N/A</v>
      </c>
      <c r="D76" s="1257">
        <f>IFERROR(INDEX(AA!$AC:$AC,MATCH($C76,AA!$C:$C,0)),0)</f>
        <v>0</v>
      </c>
      <c r="E76" s="1257" t="e">
        <f>INDEX(IC!G:G,MATCH(AL!C76,IC!B:B,0))</f>
        <v>#N/A</v>
      </c>
      <c r="F76" s="1257">
        <f>IFERROR(INDEX(AA!$AK:$AK,MATCH($C76,AA!$C:$C,0)),0)</f>
        <v>0</v>
      </c>
      <c r="G76" s="1257">
        <f>IFERROR(INDEX(AO!$Q:$Q,MATCH($C76,AO!$C:$C,0)),0)</f>
        <v>0</v>
      </c>
      <c r="H76" s="1257">
        <f>IFERROR(INDEX(AO!$Q:$Q,MATCH($C76,AO!$C:$C,0))-INDEX(AO!$BE$18:$BE$20,MATCH($C76,AO!$C$18:$C$20,0)),0)</f>
        <v>0</v>
      </c>
      <c r="I76" s="1559">
        <f t="shared" si="4"/>
        <v>0</v>
      </c>
      <c r="J76" s="1257">
        <f>IFERROR(INDEX(AO!$Y:$Y,MATCH($C76,AO!$C:$C,0)),0)</f>
        <v>0</v>
      </c>
      <c r="K76" s="1257">
        <f>IFERROR(INDEX(AO!$AI:$AI,MATCH($C76,AO!$C:$C,0)),0)</f>
        <v>0</v>
      </c>
      <c r="L76" s="1560">
        <f>IFERROR(INDEX(AO!$AP:$AP,MATCH($C76,AO!$C:$C,0)),0)</f>
        <v>0</v>
      </c>
      <c r="M76" s="1559">
        <f>IFERROR(SUMIFS(TA!$AJ$15:$AJ$17,TA!$U$15:$U$17,"*FMCG*",TA!$C$15:$C$17,$B76)/SUMIFS(TA!$AJ$15:$AJ$17,TA!$C$15:$C$17,$B76),0)</f>
        <v>0</v>
      </c>
      <c r="N76" s="1257">
        <f>IFERROR(INDEX(AA!$AN:$AN,MATCH($C76,AA!$C:$C,0)),0)</f>
        <v>0</v>
      </c>
      <c r="O76" s="1259" t="e">
        <f>DATEDIF(GA!$G$56,INDEX(RR!$N:$N,MATCH(AB76,RR!$E:$E,0)),"D")/365</f>
        <v>#N/A</v>
      </c>
      <c r="P76" s="1257">
        <f>IFERROR(INDEX(AO!$CV:$CV,MATCH($C76,AO!$C:$C,0)),0)</f>
        <v>0</v>
      </c>
      <c r="Q76" s="1257">
        <f>IFERROR(INDEX(AO!$CZ:$CZ,MATCH($C76,AO!$C:$C,0)),0)</f>
        <v>0</v>
      </c>
      <c r="R76" s="1561">
        <f>IFERROR(INDEX(AO!$DC:$DC,MATCH($C76,AO!$C:$C,0)),0)</f>
        <v>0</v>
      </c>
      <c r="S76" s="1561" t="e">
        <f>INDEX(IC!AR:AR,MATCH(C76,IC!B:B,0))</f>
        <v>#N/A</v>
      </c>
      <c r="T76" s="1562" t="e">
        <f>INDEX(IC!AW:AW,MATCH(C76,IC!B:B,0))</f>
        <v>#N/A</v>
      </c>
      <c r="U76" s="1561" t="e">
        <f>INDEX(IC!AS:AS,MATCH(C76,IC!B:B,0))</f>
        <v>#N/A</v>
      </c>
      <c r="V76" s="1257">
        <f>IFERROR(INDEX(AA!$GA:$GA,MATCH($C76,AA!$C:$C,0)),0)</f>
        <v>0</v>
      </c>
      <c r="W76" s="1562">
        <f>IFERROR(V76/INDEX(AO!$CI:$CI,MATCH($C76,AO!$C:$C,0)),0)</f>
        <v>0</v>
      </c>
      <c r="X76" s="1562">
        <f>IFERROR(V76/INDEX(AO!$CS:$CS,MATCH($C76,AO!$C:$C,0)),0)</f>
        <v>0</v>
      </c>
      <c r="Y76" s="1559">
        <f>IFERROR(INDEX(AO!$CN:$CN,MATCH($C76,AO!$C:$C,0))/V76,0)</f>
        <v>0</v>
      </c>
      <c r="Z76" s="1257">
        <f>IFERROR(V76/INDEX(AO!$CA:$CA,MATCH($C76,AO!$C:$C,0)),0)</f>
        <v>0</v>
      </c>
      <c r="AB76" t="str">
        <f t="shared" si="3"/>
        <v>68 - 1</v>
      </c>
    </row>
    <row r="77" spans="2:28" outlineLevel="1">
      <c r="B77" s="1434">
        <v>69</v>
      </c>
      <c r="C77" s="1434" t="e">
        <f>INDEX(IC!B:B,MATCH(B77,IC!AY:AY,0))</f>
        <v>#N/A</v>
      </c>
      <c r="D77" s="261">
        <f>IFERROR(INDEX(AA!$AC:$AC,MATCH($C77,AA!$C:$C,0)),0)</f>
        <v>0</v>
      </c>
      <c r="E77" s="261" t="e">
        <f>INDEX(IC!G:G,MATCH(AL!C77,IC!B:B,0))</f>
        <v>#N/A</v>
      </c>
      <c r="F77" s="261">
        <f>IFERROR(INDEX(AA!$AK:$AK,MATCH($C77,AA!$C:$C,0)),0)</f>
        <v>0</v>
      </c>
      <c r="G77" s="261">
        <f>IFERROR(INDEX(AO!$Q:$Q,MATCH($C77,AO!$C:$C,0)),0)</f>
        <v>0</v>
      </c>
      <c r="H77" s="261">
        <f>IFERROR(INDEX(AO!$Q:$Q,MATCH($C77,AO!$C:$C,0))-INDEX(AO!$BE$18:$BE$20,MATCH($C77,AO!$C$18:$C$20,0)),0)</f>
        <v>0</v>
      </c>
      <c r="I77" s="1557">
        <f t="shared" si="4"/>
        <v>0</v>
      </c>
      <c r="J77" s="261">
        <f>IFERROR(INDEX(AO!$Y:$Y,MATCH($C77,AO!$C:$C,0)),0)</f>
        <v>0</v>
      </c>
      <c r="K77" s="261">
        <f>IFERROR(INDEX(AO!$AI:$AI,MATCH($C77,AO!$C:$C,0)),0)</f>
        <v>0</v>
      </c>
      <c r="L77" s="1556">
        <f>IFERROR(INDEX(AO!$AP:$AP,MATCH($C77,AO!$C:$C,0)),0)</f>
        <v>0</v>
      </c>
      <c r="M77" s="1557">
        <f>IFERROR(SUMIFS(TA!$AJ$15:$AJ$17,TA!$U$15:$U$17,"*FMCG*",TA!$C$15:$C$17,$B77)/SUMIFS(TA!$AJ$15:$AJ$17,TA!$C$15:$C$17,$B77),0)</f>
        <v>0</v>
      </c>
      <c r="N77" s="261">
        <f>IFERROR(INDEX(AA!$AN:$AN,MATCH($C77,AA!$C:$C,0)),0)</f>
        <v>0</v>
      </c>
      <c r="O77" s="1252" t="e">
        <f>DATEDIF(GA!$G$56,INDEX(RR!$N:$N,MATCH(AB77,RR!$E:$E,0)),"D")/365</f>
        <v>#N/A</v>
      </c>
      <c r="P77" s="261">
        <f>IFERROR(INDEX(AO!$CV:$CV,MATCH($C77,AO!$C:$C,0)),0)</f>
        <v>0</v>
      </c>
      <c r="Q77" s="261">
        <f>IFERROR(INDEX(AO!$CZ:$CZ,MATCH($C77,AO!$C:$C,0)),0)</f>
        <v>0</v>
      </c>
      <c r="R77" s="1230">
        <f>IFERROR(INDEX(AO!$DC:$DC,MATCH($C77,AO!$C:$C,0)),0)</f>
        <v>0</v>
      </c>
      <c r="S77" s="1230" t="e">
        <f>INDEX(IC!AR:AR,MATCH(C77,IC!B:B,0))</f>
        <v>#N/A</v>
      </c>
      <c r="T77" s="1558" t="e">
        <f>INDEX(IC!AW:AW,MATCH(C77,IC!B:B,0))</f>
        <v>#N/A</v>
      </c>
      <c r="U77" s="1230" t="e">
        <f>INDEX(IC!AS:AS,MATCH(C77,IC!B:B,0))</f>
        <v>#N/A</v>
      </c>
      <c r="V77" s="261">
        <f>IFERROR(INDEX(AA!$GA:$GA,MATCH($C77,AA!$C:$C,0)),0)</f>
        <v>0</v>
      </c>
      <c r="W77" s="1558">
        <f>IFERROR(V77/INDEX(AO!$CI:$CI,MATCH($C77,AO!$C:$C,0)),0)</f>
        <v>0</v>
      </c>
      <c r="X77" s="1558">
        <f>IFERROR(V77/INDEX(AO!$CS:$CS,MATCH($C77,AO!$C:$C,0)),0)</f>
        <v>0</v>
      </c>
      <c r="Y77" s="1557">
        <f>IFERROR(INDEX(AO!$CN:$CN,MATCH($C77,AO!$C:$C,0))/V77,0)</f>
        <v>0</v>
      </c>
      <c r="Z77" s="261">
        <f>IFERROR(V77/INDEX(AO!$CA:$CA,MATCH($C77,AO!$C:$C,0)),0)</f>
        <v>0</v>
      </c>
      <c r="AB77" t="str">
        <f t="shared" si="3"/>
        <v>69 - 1</v>
      </c>
    </row>
    <row r="78" spans="2:28" outlineLevel="1">
      <c r="B78" s="1563">
        <v>70</v>
      </c>
      <c r="C78" s="1563" t="e">
        <f>INDEX(IC!B:B,MATCH(B78,IC!AY:AY,0))</f>
        <v>#N/A</v>
      </c>
      <c r="D78" s="1257">
        <f>IFERROR(INDEX(AA!$AC:$AC,MATCH($C78,AA!$C:$C,0)),0)</f>
        <v>0</v>
      </c>
      <c r="E78" s="1257" t="e">
        <f>INDEX(IC!G:G,MATCH(AL!C78,IC!B:B,0))</f>
        <v>#N/A</v>
      </c>
      <c r="F78" s="1257">
        <f>IFERROR(INDEX(AA!$AK:$AK,MATCH($C78,AA!$C:$C,0)),0)</f>
        <v>0</v>
      </c>
      <c r="G78" s="1257">
        <f>IFERROR(INDEX(AO!$Q:$Q,MATCH($C78,AO!$C:$C,0)),0)</f>
        <v>0</v>
      </c>
      <c r="H78" s="1257">
        <f>IFERROR(INDEX(AO!$Q:$Q,MATCH($C78,AO!$C:$C,0))-INDEX(AO!$BE$18:$BE$20,MATCH($C78,AO!$C$18:$C$20,0)),0)</f>
        <v>0</v>
      </c>
      <c r="I78" s="1559">
        <f t="shared" si="4"/>
        <v>0</v>
      </c>
      <c r="J78" s="1257">
        <f>IFERROR(INDEX(AO!$Y:$Y,MATCH($C78,AO!$C:$C,0)),0)</f>
        <v>0</v>
      </c>
      <c r="K78" s="1257">
        <f>IFERROR(INDEX(AO!$AI:$AI,MATCH($C78,AO!$C:$C,0)),0)</f>
        <v>0</v>
      </c>
      <c r="L78" s="1560">
        <f>IFERROR(INDEX(AO!$AP:$AP,MATCH($C78,AO!$C:$C,0)),0)</f>
        <v>0</v>
      </c>
      <c r="M78" s="1559">
        <f>IFERROR(SUMIFS(TA!$AJ$15:$AJ$17,TA!$U$15:$U$17,"*FMCG*",TA!$C$15:$C$17,$B78)/SUMIFS(TA!$AJ$15:$AJ$17,TA!$C$15:$C$17,$B78),0)</f>
        <v>0</v>
      </c>
      <c r="N78" s="1257">
        <f>IFERROR(INDEX(AA!$AN:$AN,MATCH($C78,AA!$C:$C,0)),0)</f>
        <v>0</v>
      </c>
      <c r="O78" s="1259" t="e">
        <f>DATEDIF(GA!$G$56,INDEX(RR!$N:$N,MATCH(AB78,RR!$E:$E,0)),"D")/365</f>
        <v>#N/A</v>
      </c>
      <c r="P78" s="1257">
        <f>IFERROR(INDEX(AO!$CV:$CV,MATCH($C78,AO!$C:$C,0)),0)</f>
        <v>0</v>
      </c>
      <c r="Q78" s="1257">
        <f>IFERROR(INDEX(AO!$CZ:$CZ,MATCH($C78,AO!$C:$C,0)),0)</f>
        <v>0</v>
      </c>
      <c r="R78" s="1561">
        <f>IFERROR(INDEX(AO!$DC:$DC,MATCH($C78,AO!$C:$C,0)),0)</f>
        <v>0</v>
      </c>
      <c r="S78" s="1561" t="e">
        <f>INDEX(IC!AR:AR,MATCH(C78,IC!B:B,0))</f>
        <v>#N/A</v>
      </c>
      <c r="T78" s="1562" t="e">
        <f>INDEX(IC!AW:AW,MATCH(C78,IC!B:B,0))</f>
        <v>#N/A</v>
      </c>
      <c r="U78" s="1561" t="e">
        <f>INDEX(IC!AS:AS,MATCH(C78,IC!B:B,0))</f>
        <v>#N/A</v>
      </c>
      <c r="V78" s="1257">
        <f>IFERROR(INDEX(AA!$GA:$GA,MATCH($C78,AA!$C:$C,0)),0)</f>
        <v>0</v>
      </c>
      <c r="W78" s="1562">
        <f>IFERROR(V78/INDEX(AO!$CI:$CI,MATCH($C78,AO!$C:$C,0)),0)</f>
        <v>0</v>
      </c>
      <c r="X78" s="1562">
        <f>IFERROR(V78/INDEX(AO!$CS:$CS,MATCH($C78,AO!$C:$C,0)),0)</f>
        <v>0</v>
      </c>
      <c r="Y78" s="1559">
        <f>IFERROR(INDEX(AO!$CN:$CN,MATCH($C78,AO!$C:$C,0))/V78,0)</f>
        <v>0</v>
      </c>
      <c r="Z78" s="1257">
        <f>IFERROR(V78/INDEX(AO!$CA:$CA,MATCH($C78,AO!$C:$C,0)),0)</f>
        <v>0</v>
      </c>
      <c r="AB78" t="str">
        <f t="shared" si="3"/>
        <v>70 - 1</v>
      </c>
    </row>
    <row r="79" spans="2:28" outlineLevel="1">
      <c r="B79" s="1434">
        <v>71</v>
      </c>
      <c r="C79" s="1434" t="e">
        <f>INDEX(IC!B:B,MATCH(B79,IC!AY:AY,0))</f>
        <v>#N/A</v>
      </c>
      <c r="D79" s="261">
        <f>IFERROR(INDEX(AA!$AC:$AC,MATCH($C79,AA!$C:$C,0)),0)</f>
        <v>0</v>
      </c>
      <c r="E79" s="261" t="e">
        <f>INDEX(IC!G:G,MATCH(AL!C79,IC!B:B,0))</f>
        <v>#N/A</v>
      </c>
      <c r="F79" s="261">
        <f>IFERROR(INDEX(AA!$AK:$AK,MATCH($C79,AA!$C:$C,0)),0)</f>
        <v>0</v>
      </c>
      <c r="G79" s="261">
        <f>IFERROR(INDEX(AO!$Q:$Q,MATCH($C79,AO!$C:$C,0)),0)</f>
        <v>0</v>
      </c>
      <c r="H79" s="261">
        <f>IFERROR(INDEX(AO!$Q:$Q,MATCH($C79,AO!$C:$C,0))-INDEX(AO!$BE$18:$BE$20,MATCH($C79,AO!$C$18:$C$20,0)),0)</f>
        <v>0</v>
      </c>
      <c r="I79" s="1557">
        <f t="shared" si="4"/>
        <v>0</v>
      </c>
      <c r="J79" s="261">
        <f>IFERROR(INDEX(AO!$Y:$Y,MATCH($C79,AO!$C:$C,0)),0)</f>
        <v>0</v>
      </c>
      <c r="K79" s="261">
        <f>IFERROR(INDEX(AO!$AI:$AI,MATCH($C79,AO!$C:$C,0)),0)</f>
        <v>0</v>
      </c>
      <c r="L79" s="1556">
        <f>IFERROR(INDEX(AO!$AP:$AP,MATCH($C79,AO!$C:$C,0)),0)</f>
        <v>0</v>
      </c>
      <c r="M79" s="1557">
        <f>IFERROR(SUMIFS(TA!$AJ$15:$AJ$17,TA!$U$15:$U$17,"*FMCG*",TA!$C$15:$C$17,$B79)/SUMIFS(TA!$AJ$15:$AJ$17,TA!$C$15:$C$17,$B79),0)</f>
        <v>0</v>
      </c>
      <c r="N79" s="261">
        <f>IFERROR(INDEX(AA!$AN:$AN,MATCH($C79,AA!$C:$C,0)),0)</f>
        <v>0</v>
      </c>
      <c r="O79" s="1252" t="e">
        <f>DATEDIF(GA!$G$56,INDEX(RR!$N:$N,MATCH(AB79,RR!$E:$E,0)),"D")/365</f>
        <v>#N/A</v>
      </c>
      <c r="P79" s="261">
        <f>IFERROR(INDEX(AO!$CV:$CV,MATCH($C79,AO!$C:$C,0)),0)</f>
        <v>0</v>
      </c>
      <c r="Q79" s="261">
        <f>IFERROR(INDEX(AO!$CZ:$CZ,MATCH($C79,AO!$C:$C,0)),0)</f>
        <v>0</v>
      </c>
      <c r="R79" s="1230">
        <f>IFERROR(INDEX(AO!$DC:$DC,MATCH($C79,AO!$C:$C,0)),0)</f>
        <v>0</v>
      </c>
      <c r="S79" s="1230" t="e">
        <f>INDEX(IC!AR:AR,MATCH(C79,IC!B:B,0))</f>
        <v>#N/A</v>
      </c>
      <c r="T79" s="1558" t="e">
        <f>INDEX(IC!AW:AW,MATCH(C79,IC!B:B,0))</f>
        <v>#N/A</v>
      </c>
      <c r="U79" s="1230" t="e">
        <f>INDEX(IC!AS:AS,MATCH(C79,IC!B:B,0))</f>
        <v>#N/A</v>
      </c>
      <c r="V79" s="261">
        <f>IFERROR(INDEX(AA!$GA:$GA,MATCH($C79,AA!$C:$C,0)),0)</f>
        <v>0</v>
      </c>
      <c r="W79" s="1558">
        <f>IFERROR(V79/INDEX(AO!$CI:$CI,MATCH($C79,AO!$C:$C,0)),0)</f>
        <v>0</v>
      </c>
      <c r="X79" s="1558">
        <f>IFERROR(V79/INDEX(AO!$CS:$CS,MATCH($C79,AO!$C:$C,0)),0)</f>
        <v>0</v>
      </c>
      <c r="Y79" s="1557">
        <f>IFERROR(INDEX(AO!$CN:$CN,MATCH($C79,AO!$C:$C,0))/V79,0)</f>
        <v>0</v>
      </c>
      <c r="Z79" s="261">
        <f>IFERROR(V79/INDEX(AO!$CA:$CA,MATCH($C79,AO!$C:$C,0)),0)</f>
        <v>0</v>
      </c>
      <c r="AB79" t="str">
        <f t="shared" si="3"/>
        <v>71 - 1</v>
      </c>
    </row>
    <row r="80" spans="2:28" outlineLevel="1">
      <c r="B80" s="1563">
        <v>72</v>
      </c>
      <c r="C80" s="1563" t="e">
        <f>INDEX(IC!B:B,MATCH(B80,IC!AY:AY,0))</f>
        <v>#N/A</v>
      </c>
      <c r="D80" s="1257">
        <f>IFERROR(INDEX(AA!$AC:$AC,MATCH($C80,AA!$C:$C,0)),0)</f>
        <v>0</v>
      </c>
      <c r="E80" s="1257" t="e">
        <f>INDEX(IC!G:G,MATCH(AL!C80,IC!B:B,0))</f>
        <v>#N/A</v>
      </c>
      <c r="F80" s="1257">
        <f>IFERROR(INDEX(AA!$AK:$AK,MATCH($C80,AA!$C:$C,0)),0)</f>
        <v>0</v>
      </c>
      <c r="G80" s="1257">
        <f>IFERROR(INDEX(AO!$Q:$Q,MATCH($C80,AO!$C:$C,0)),0)</f>
        <v>0</v>
      </c>
      <c r="H80" s="1257">
        <f>IFERROR(INDEX(AO!$Q:$Q,MATCH($C80,AO!$C:$C,0))-INDEX(AO!$BE$18:$BE$20,MATCH($C80,AO!$C$18:$C$20,0)),0)</f>
        <v>0</v>
      </c>
      <c r="I80" s="1559">
        <f t="shared" si="4"/>
        <v>0</v>
      </c>
      <c r="J80" s="1257">
        <f>IFERROR(INDEX(AO!$Y:$Y,MATCH($C80,AO!$C:$C,0)),0)</f>
        <v>0</v>
      </c>
      <c r="K80" s="1257">
        <f>IFERROR(INDEX(AO!$AI:$AI,MATCH($C80,AO!$C:$C,0)),0)</f>
        <v>0</v>
      </c>
      <c r="L80" s="1560">
        <f>IFERROR(INDEX(AO!$AP:$AP,MATCH($C80,AO!$C:$C,0)),0)</f>
        <v>0</v>
      </c>
      <c r="M80" s="1559">
        <f>IFERROR(SUMIFS(TA!$AJ$15:$AJ$17,TA!$U$15:$U$17,"*FMCG*",TA!$C$15:$C$17,$B80)/SUMIFS(TA!$AJ$15:$AJ$17,TA!$C$15:$C$17,$B80),0)</f>
        <v>0</v>
      </c>
      <c r="N80" s="1257">
        <f>IFERROR(INDEX(AA!$AN:$AN,MATCH($C80,AA!$C:$C,0)),0)</f>
        <v>0</v>
      </c>
      <c r="O80" s="1259" t="e">
        <f>DATEDIF(GA!$G$56,INDEX(RR!$N:$N,MATCH(AB80,RR!$E:$E,0)),"D")/365</f>
        <v>#N/A</v>
      </c>
      <c r="P80" s="1257">
        <f>IFERROR(INDEX(AO!$CV:$CV,MATCH($C80,AO!$C:$C,0)),0)</f>
        <v>0</v>
      </c>
      <c r="Q80" s="1257">
        <f>IFERROR(INDEX(AO!$CZ:$CZ,MATCH($C80,AO!$C:$C,0)),0)</f>
        <v>0</v>
      </c>
      <c r="R80" s="1561">
        <f>IFERROR(INDEX(AO!$DC:$DC,MATCH($C80,AO!$C:$C,0)),0)</f>
        <v>0</v>
      </c>
      <c r="S80" s="1561" t="e">
        <f>INDEX(IC!AR:AR,MATCH(C80,IC!B:B,0))</f>
        <v>#N/A</v>
      </c>
      <c r="T80" s="1562" t="e">
        <f>INDEX(IC!AW:AW,MATCH(C80,IC!B:B,0))</f>
        <v>#N/A</v>
      </c>
      <c r="U80" s="1561" t="e">
        <f>INDEX(IC!AS:AS,MATCH(C80,IC!B:B,0))</f>
        <v>#N/A</v>
      </c>
      <c r="V80" s="1257">
        <f>IFERROR(INDEX(AA!$GA:$GA,MATCH($C80,AA!$C:$C,0)),0)</f>
        <v>0</v>
      </c>
      <c r="W80" s="1562">
        <f>IFERROR(V80/INDEX(AO!$CI:$CI,MATCH($C80,AO!$C:$C,0)),0)</f>
        <v>0</v>
      </c>
      <c r="X80" s="1562">
        <f>IFERROR(V80/INDEX(AO!$CS:$CS,MATCH($C80,AO!$C:$C,0)),0)</f>
        <v>0</v>
      </c>
      <c r="Y80" s="1559">
        <f>IFERROR(INDEX(AO!$CN:$CN,MATCH($C80,AO!$C:$C,0))/V80,0)</f>
        <v>0</v>
      </c>
      <c r="Z80" s="1257">
        <f>IFERROR(V80/INDEX(AO!$CA:$CA,MATCH($C80,AO!$C:$C,0)),0)</f>
        <v>0</v>
      </c>
      <c r="AB80" t="str">
        <f t="shared" si="3"/>
        <v>72 - 1</v>
      </c>
    </row>
    <row r="81" spans="2:28" outlineLevel="1">
      <c r="B81" s="1434">
        <v>73</v>
      </c>
      <c r="C81" s="1434" t="e">
        <f>INDEX(IC!B:B,MATCH(B81,IC!AY:AY,0))</f>
        <v>#N/A</v>
      </c>
      <c r="D81" s="261">
        <f>IFERROR(INDEX(AA!$AC:$AC,MATCH($C81,AA!$C:$C,0)),0)</f>
        <v>0</v>
      </c>
      <c r="E81" s="261" t="e">
        <f>INDEX(IC!G:G,MATCH(AL!C81,IC!B:B,0))</f>
        <v>#N/A</v>
      </c>
      <c r="F81" s="261">
        <f>IFERROR(INDEX(AA!$AK:$AK,MATCH($C81,AA!$C:$C,0)),0)</f>
        <v>0</v>
      </c>
      <c r="G81" s="261">
        <f>IFERROR(INDEX(AO!$Q:$Q,MATCH($C81,AO!$C:$C,0)),0)</f>
        <v>0</v>
      </c>
      <c r="H81" s="261">
        <f>IFERROR(INDEX(AO!$Q:$Q,MATCH($C81,AO!$C:$C,0))-INDEX(AO!$BE$18:$BE$20,MATCH($C81,AO!$C$18:$C$20,0)),0)</f>
        <v>0</v>
      </c>
      <c r="I81" s="1557">
        <f t="shared" si="4"/>
        <v>0</v>
      </c>
      <c r="J81" s="261">
        <f>IFERROR(INDEX(AO!$Y:$Y,MATCH($C81,AO!$C:$C,0)),0)</f>
        <v>0</v>
      </c>
      <c r="K81" s="261">
        <f>IFERROR(INDEX(AO!$AI:$AI,MATCH($C81,AO!$C:$C,0)),0)</f>
        <v>0</v>
      </c>
      <c r="L81" s="1556">
        <f>IFERROR(INDEX(AO!$AP:$AP,MATCH($C81,AO!$C:$C,0)),0)</f>
        <v>0</v>
      </c>
      <c r="M81" s="1557">
        <f>IFERROR(SUMIFS(TA!$AJ$15:$AJ$17,TA!$U$15:$U$17,"*FMCG*",TA!$C$15:$C$17,$B81)/SUMIFS(TA!$AJ$15:$AJ$17,TA!$C$15:$C$17,$B81),0)</f>
        <v>0</v>
      </c>
      <c r="N81" s="261">
        <f>IFERROR(INDEX(AA!$AN:$AN,MATCH($C81,AA!$C:$C,0)),0)</f>
        <v>0</v>
      </c>
      <c r="O81" s="1252" t="e">
        <f>DATEDIF(GA!$G$56,INDEX(RR!$N:$N,MATCH(AB81,RR!$E:$E,0)),"D")/365</f>
        <v>#N/A</v>
      </c>
      <c r="P81" s="261">
        <f>IFERROR(INDEX(AO!$CV:$CV,MATCH($C81,AO!$C:$C,0)),0)</f>
        <v>0</v>
      </c>
      <c r="Q81" s="261">
        <f>IFERROR(INDEX(AO!$CZ:$CZ,MATCH($C81,AO!$C:$C,0)),0)</f>
        <v>0</v>
      </c>
      <c r="R81" s="1230">
        <f>IFERROR(INDEX(AO!$DC:$DC,MATCH($C81,AO!$C:$C,0)),0)</f>
        <v>0</v>
      </c>
      <c r="S81" s="1230" t="e">
        <f>INDEX(IC!AR:AR,MATCH(C81,IC!B:B,0))</f>
        <v>#N/A</v>
      </c>
      <c r="T81" s="1558" t="e">
        <f>INDEX(IC!AW:AW,MATCH(C81,IC!B:B,0))</f>
        <v>#N/A</v>
      </c>
      <c r="U81" s="1230" t="e">
        <f>INDEX(IC!AS:AS,MATCH(C81,IC!B:B,0))</f>
        <v>#N/A</v>
      </c>
      <c r="V81" s="261">
        <f>IFERROR(INDEX(AA!$GA:$GA,MATCH($C81,AA!$C:$C,0)),0)</f>
        <v>0</v>
      </c>
      <c r="W81" s="1558">
        <f>IFERROR(V81/INDEX(AO!$CI:$CI,MATCH($C81,AO!$C:$C,0)),0)</f>
        <v>0</v>
      </c>
      <c r="X81" s="1558">
        <f>IFERROR(V81/INDEX(AO!$CS:$CS,MATCH($C81,AO!$C:$C,0)),0)</f>
        <v>0</v>
      </c>
      <c r="Y81" s="1557">
        <f>IFERROR(INDEX(AO!$CN:$CN,MATCH($C81,AO!$C:$C,0))/V81,0)</f>
        <v>0</v>
      </c>
      <c r="Z81" s="261">
        <f>IFERROR(V81/INDEX(AO!$CA:$CA,MATCH($C81,AO!$C:$C,0)),0)</f>
        <v>0</v>
      </c>
      <c r="AB81" t="str">
        <f t="shared" si="3"/>
        <v>73 - 1</v>
      </c>
    </row>
    <row r="82" spans="2:28" outlineLevel="1">
      <c r="B82" s="1563">
        <v>74</v>
      </c>
      <c r="C82" s="1563" t="e">
        <f>INDEX(IC!B:B,MATCH(B82,IC!AY:AY,0))</f>
        <v>#N/A</v>
      </c>
      <c r="D82" s="1257">
        <f>IFERROR(INDEX(AA!$AC:$AC,MATCH($C82,AA!$C:$C,0)),0)</f>
        <v>0</v>
      </c>
      <c r="E82" s="1257" t="e">
        <f>INDEX(IC!G:G,MATCH(AL!C82,IC!B:B,0))</f>
        <v>#N/A</v>
      </c>
      <c r="F82" s="1257">
        <f>IFERROR(INDEX(AA!$AK:$AK,MATCH($C82,AA!$C:$C,0)),0)</f>
        <v>0</v>
      </c>
      <c r="G82" s="1257">
        <f>IFERROR(INDEX(AO!$Q:$Q,MATCH($C82,AO!$C:$C,0)),0)</f>
        <v>0</v>
      </c>
      <c r="H82" s="1257">
        <f>IFERROR(INDEX(AO!$Q:$Q,MATCH($C82,AO!$C:$C,0))-INDEX(AO!$BE$18:$BE$20,MATCH($C82,AO!$C$18:$C$20,0)),0)</f>
        <v>0</v>
      </c>
      <c r="I82" s="1559">
        <f t="shared" si="4"/>
        <v>0</v>
      </c>
      <c r="J82" s="1257">
        <f>IFERROR(INDEX(AO!$Y:$Y,MATCH($C82,AO!$C:$C,0)),0)</f>
        <v>0</v>
      </c>
      <c r="K82" s="1257">
        <f>IFERROR(INDEX(AO!$AI:$AI,MATCH($C82,AO!$C:$C,0)),0)</f>
        <v>0</v>
      </c>
      <c r="L82" s="1560">
        <f>IFERROR(INDEX(AO!$AP:$AP,MATCH($C82,AO!$C:$C,0)),0)</f>
        <v>0</v>
      </c>
      <c r="M82" s="1559">
        <f>IFERROR(SUMIFS(TA!$AJ$15:$AJ$17,TA!$U$15:$U$17,"*FMCG*",TA!$C$15:$C$17,$B82)/SUMIFS(TA!$AJ$15:$AJ$17,TA!$C$15:$C$17,$B82),0)</f>
        <v>0</v>
      </c>
      <c r="N82" s="1257">
        <f>IFERROR(INDEX(AA!$AN:$AN,MATCH($C82,AA!$C:$C,0)),0)</f>
        <v>0</v>
      </c>
      <c r="O82" s="1259" t="e">
        <f>DATEDIF(GA!$G$56,INDEX(RR!$N:$N,MATCH(AB82,RR!$E:$E,0)),"D")/365</f>
        <v>#N/A</v>
      </c>
      <c r="P82" s="1257">
        <f>IFERROR(INDEX(AO!$CV:$CV,MATCH($C82,AO!$C:$C,0)),0)</f>
        <v>0</v>
      </c>
      <c r="Q82" s="1257">
        <f>IFERROR(INDEX(AO!$CZ:$CZ,MATCH($C82,AO!$C:$C,0)),0)</f>
        <v>0</v>
      </c>
      <c r="R82" s="1561">
        <f>IFERROR(INDEX(AO!$DC:$DC,MATCH($C82,AO!$C:$C,0)),0)</f>
        <v>0</v>
      </c>
      <c r="S82" s="1561" t="e">
        <f>INDEX(IC!AR:AR,MATCH(C82,IC!B:B,0))</f>
        <v>#N/A</v>
      </c>
      <c r="T82" s="1562" t="e">
        <f>INDEX(IC!AW:AW,MATCH(C82,IC!B:B,0))</f>
        <v>#N/A</v>
      </c>
      <c r="U82" s="1561" t="e">
        <f>INDEX(IC!AS:AS,MATCH(C82,IC!B:B,0))</f>
        <v>#N/A</v>
      </c>
      <c r="V82" s="1257">
        <f>IFERROR(INDEX(AA!$GA:$GA,MATCH($C82,AA!$C:$C,0)),0)</f>
        <v>0</v>
      </c>
      <c r="W82" s="1562">
        <f>IFERROR(V82/INDEX(AO!$CI:$CI,MATCH($C82,AO!$C:$C,0)),0)</f>
        <v>0</v>
      </c>
      <c r="X82" s="1562">
        <f>IFERROR(V82/INDEX(AO!$CS:$CS,MATCH($C82,AO!$C:$C,0)),0)</f>
        <v>0</v>
      </c>
      <c r="Y82" s="1559">
        <f>IFERROR(INDEX(AO!$CN:$CN,MATCH($C82,AO!$C:$C,0))/V82,0)</f>
        <v>0</v>
      </c>
      <c r="Z82" s="1257">
        <f>IFERROR(V82/INDEX(AO!$CA:$CA,MATCH($C82,AO!$C:$C,0)),0)</f>
        <v>0</v>
      </c>
      <c r="AB82" t="str">
        <f t="shared" si="3"/>
        <v>74 - 1</v>
      </c>
    </row>
    <row r="83" spans="2:28" outlineLevel="1">
      <c r="B83" s="1434">
        <v>75</v>
      </c>
      <c r="C83" s="1434" t="e">
        <f>INDEX(IC!B:B,MATCH(B83,IC!AY:AY,0))</f>
        <v>#N/A</v>
      </c>
      <c r="D83" s="261">
        <f>IFERROR(INDEX(AA!$AC:$AC,MATCH($C83,AA!$C:$C,0)),0)</f>
        <v>0</v>
      </c>
      <c r="E83" s="261" t="e">
        <f>INDEX(IC!G:G,MATCH(AL!C83,IC!B:B,0))</f>
        <v>#N/A</v>
      </c>
      <c r="F83" s="261">
        <f>IFERROR(INDEX(AA!$AK:$AK,MATCH($C83,AA!$C:$C,0)),0)</f>
        <v>0</v>
      </c>
      <c r="G83" s="261">
        <f>IFERROR(INDEX(AO!$Q:$Q,MATCH($C83,AO!$C:$C,0)),0)</f>
        <v>0</v>
      </c>
      <c r="H83" s="261">
        <f>IFERROR(INDEX(AO!$Q:$Q,MATCH($C83,AO!$C:$C,0))-INDEX(AO!$BE$18:$BE$20,MATCH($C83,AO!$C$18:$C$20,0)),0)</f>
        <v>0</v>
      </c>
      <c r="I83" s="1557">
        <f t="shared" si="4"/>
        <v>0</v>
      </c>
      <c r="J83" s="261">
        <f>IFERROR(INDEX(AO!$Y:$Y,MATCH($C83,AO!$C:$C,0)),0)</f>
        <v>0</v>
      </c>
      <c r="K83" s="261">
        <f>IFERROR(INDEX(AO!$AI:$AI,MATCH($C83,AO!$C:$C,0)),0)</f>
        <v>0</v>
      </c>
      <c r="L83" s="1556">
        <f>IFERROR(INDEX(AO!$AP:$AP,MATCH($C83,AO!$C:$C,0)),0)</f>
        <v>0</v>
      </c>
      <c r="M83" s="1557">
        <f>IFERROR(SUMIFS(TA!$AJ$15:$AJ$17,TA!$U$15:$U$17,"*FMCG*",TA!$C$15:$C$17,$B83)/SUMIFS(TA!$AJ$15:$AJ$17,TA!$C$15:$C$17,$B83),0)</f>
        <v>0</v>
      </c>
      <c r="N83" s="261">
        <f>IFERROR(INDEX(AA!$AN:$AN,MATCH($C83,AA!$C:$C,0)),0)</f>
        <v>0</v>
      </c>
      <c r="O83" s="1252" t="e">
        <f>DATEDIF(GA!$G$56,INDEX(RR!$N:$N,MATCH(AB83,RR!$E:$E,0)),"D")/365</f>
        <v>#N/A</v>
      </c>
      <c r="P83" s="261">
        <f>IFERROR(INDEX(AO!$CV:$CV,MATCH($C83,AO!$C:$C,0)),0)</f>
        <v>0</v>
      </c>
      <c r="Q83" s="261">
        <f>IFERROR(INDEX(AO!$CZ:$CZ,MATCH($C83,AO!$C:$C,0)),0)</f>
        <v>0</v>
      </c>
      <c r="R83" s="1230">
        <f>IFERROR(INDEX(AO!$DC:$DC,MATCH($C83,AO!$C:$C,0)),0)</f>
        <v>0</v>
      </c>
      <c r="S83" s="1230" t="e">
        <f>INDEX(IC!AR:AR,MATCH(C83,IC!B:B,0))</f>
        <v>#N/A</v>
      </c>
      <c r="T83" s="1558" t="e">
        <f>INDEX(IC!AW:AW,MATCH(C83,IC!B:B,0))</f>
        <v>#N/A</v>
      </c>
      <c r="U83" s="1230" t="e">
        <f>INDEX(IC!AS:AS,MATCH(C83,IC!B:B,0))</f>
        <v>#N/A</v>
      </c>
      <c r="V83" s="261">
        <f>IFERROR(INDEX(AA!$GA:$GA,MATCH($C83,AA!$C:$C,0)),0)</f>
        <v>0</v>
      </c>
      <c r="W83" s="1558">
        <f>IFERROR(V83/INDEX(AO!$CI:$CI,MATCH($C83,AO!$C:$C,0)),0)</f>
        <v>0</v>
      </c>
      <c r="X83" s="1558">
        <f>IFERROR(V83/INDEX(AO!$CS:$CS,MATCH($C83,AO!$C:$C,0)),0)</f>
        <v>0</v>
      </c>
      <c r="Y83" s="1557">
        <f>IFERROR(INDEX(AO!$CN:$CN,MATCH($C83,AO!$C:$C,0))/V83,0)</f>
        <v>0</v>
      </c>
      <c r="Z83" s="261">
        <f>IFERROR(V83/INDEX(AO!$CA:$CA,MATCH($C83,AO!$C:$C,0)),0)</f>
        <v>0</v>
      </c>
      <c r="AB83" t="str">
        <f t="shared" si="3"/>
        <v>75 - 1</v>
      </c>
    </row>
    <row r="84" spans="2:28" outlineLevel="1">
      <c r="B84" s="1563">
        <v>76</v>
      </c>
      <c r="C84" s="1563" t="e">
        <f>INDEX(IC!B:B,MATCH(B84,IC!AY:AY,0))</f>
        <v>#N/A</v>
      </c>
      <c r="D84" s="1257">
        <f>IFERROR(INDEX(AA!$AC:$AC,MATCH($C84,AA!$C:$C,0)),0)</f>
        <v>0</v>
      </c>
      <c r="E84" s="1257" t="e">
        <f>INDEX(IC!G:G,MATCH(AL!C84,IC!B:B,0))</f>
        <v>#N/A</v>
      </c>
      <c r="F84" s="1257">
        <f>IFERROR(INDEX(AA!$AK:$AK,MATCH($C84,AA!$C:$C,0)),0)</f>
        <v>0</v>
      </c>
      <c r="G84" s="1257">
        <f>IFERROR(INDEX(AO!$Q:$Q,MATCH($C84,AO!$C:$C,0)),0)</f>
        <v>0</v>
      </c>
      <c r="H84" s="1257">
        <f>IFERROR(INDEX(AO!$Q:$Q,MATCH($C84,AO!$C:$C,0))-INDEX(AO!$BE$18:$BE$20,MATCH($C84,AO!$C$18:$C$20,0)),0)</f>
        <v>0</v>
      </c>
      <c r="I84" s="1559">
        <f t="shared" si="4"/>
        <v>0</v>
      </c>
      <c r="J84" s="1257">
        <f>IFERROR(INDEX(AO!$Y:$Y,MATCH($C84,AO!$C:$C,0)),0)</f>
        <v>0</v>
      </c>
      <c r="K84" s="1257">
        <f>IFERROR(INDEX(AO!$AI:$AI,MATCH($C84,AO!$C:$C,0)),0)</f>
        <v>0</v>
      </c>
      <c r="L84" s="1560">
        <f>IFERROR(INDEX(AO!$AP:$AP,MATCH($C84,AO!$C:$C,0)),0)</f>
        <v>0</v>
      </c>
      <c r="M84" s="1559">
        <f>IFERROR(SUMIFS(TA!$AJ$15:$AJ$17,TA!$U$15:$U$17,"*FMCG*",TA!$C$15:$C$17,$B84)/SUMIFS(TA!$AJ$15:$AJ$17,TA!$C$15:$C$17,$B84),0)</f>
        <v>0</v>
      </c>
      <c r="N84" s="1257">
        <f>IFERROR(INDEX(AA!$AN:$AN,MATCH($C84,AA!$C:$C,0)),0)</f>
        <v>0</v>
      </c>
      <c r="O84" s="1259" t="e">
        <f>DATEDIF(GA!$G$56,INDEX(RR!$N:$N,MATCH(AB84,RR!$E:$E,0)),"D")/365</f>
        <v>#N/A</v>
      </c>
      <c r="P84" s="1257">
        <f>IFERROR(INDEX(AO!$CV:$CV,MATCH($C84,AO!$C:$C,0)),0)</f>
        <v>0</v>
      </c>
      <c r="Q84" s="1257">
        <f>IFERROR(INDEX(AO!$CZ:$CZ,MATCH($C84,AO!$C:$C,0)),0)</f>
        <v>0</v>
      </c>
      <c r="R84" s="1561">
        <f>IFERROR(INDEX(AO!$DC:$DC,MATCH($C84,AO!$C:$C,0)),0)</f>
        <v>0</v>
      </c>
      <c r="S84" s="1561" t="e">
        <f>INDEX(IC!AR:AR,MATCH(C84,IC!B:B,0))</f>
        <v>#N/A</v>
      </c>
      <c r="T84" s="1562" t="e">
        <f>INDEX(IC!AW:AW,MATCH(C84,IC!B:B,0))</f>
        <v>#N/A</v>
      </c>
      <c r="U84" s="1561" t="e">
        <f>INDEX(IC!AS:AS,MATCH(C84,IC!B:B,0))</f>
        <v>#N/A</v>
      </c>
      <c r="V84" s="1257">
        <f>IFERROR(INDEX(AA!$GA:$GA,MATCH($C84,AA!$C:$C,0)),0)</f>
        <v>0</v>
      </c>
      <c r="W84" s="1562">
        <f>IFERROR(V84/INDEX(AO!$CI:$CI,MATCH($C84,AO!$C:$C,0)),0)</f>
        <v>0</v>
      </c>
      <c r="X84" s="1562">
        <f>IFERROR(V84/INDEX(AO!$CS:$CS,MATCH($C84,AO!$C:$C,0)),0)</f>
        <v>0</v>
      </c>
      <c r="Y84" s="1559">
        <f>IFERROR(INDEX(AO!$CN:$CN,MATCH($C84,AO!$C:$C,0))/V84,0)</f>
        <v>0</v>
      </c>
      <c r="Z84" s="1257">
        <f>IFERROR(V84/INDEX(AO!$CA:$CA,MATCH($C84,AO!$C:$C,0)),0)</f>
        <v>0</v>
      </c>
      <c r="AB84" t="str">
        <f t="shared" si="3"/>
        <v>76 - 1</v>
      </c>
    </row>
    <row r="85" spans="2:28" outlineLevel="1">
      <c r="B85" s="1434">
        <v>77</v>
      </c>
      <c r="C85" s="1434" t="e">
        <f>INDEX(IC!B:B,MATCH(B85,IC!AY:AY,0))</f>
        <v>#N/A</v>
      </c>
      <c r="D85" s="261">
        <f>IFERROR(INDEX(AA!$AC:$AC,MATCH($C85,AA!$C:$C,0)),0)</f>
        <v>0</v>
      </c>
      <c r="E85" s="261" t="e">
        <f>INDEX(IC!G:G,MATCH(AL!C85,IC!B:B,0))</f>
        <v>#N/A</v>
      </c>
      <c r="F85" s="261">
        <f>IFERROR(INDEX(AA!$AK:$AK,MATCH($C85,AA!$C:$C,0)),0)</f>
        <v>0</v>
      </c>
      <c r="G85" s="261">
        <f>IFERROR(INDEX(AO!$Q:$Q,MATCH($C85,AO!$C:$C,0)),0)</f>
        <v>0</v>
      </c>
      <c r="H85" s="261">
        <f>IFERROR(INDEX(AO!$Q:$Q,MATCH($C85,AO!$C:$C,0))-INDEX(AO!$BE$18:$BE$20,MATCH($C85,AO!$C$18:$C$20,0)),0)</f>
        <v>0</v>
      </c>
      <c r="I85" s="1557">
        <f t="shared" si="4"/>
        <v>0</v>
      </c>
      <c r="J85" s="261">
        <f>IFERROR(INDEX(AO!$Y:$Y,MATCH($C85,AO!$C:$C,0)),0)</f>
        <v>0</v>
      </c>
      <c r="K85" s="261">
        <f>IFERROR(INDEX(AO!$AI:$AI,MATCH($C85,AO!$C:$C,0)),0)</f>
        <v>0</v>
      </c>
      <c r="L85" s="1556">
        <f>IFERROR(INDEX(AO!$AP:$AP,MATCH($C85,AO!$C:$C,0)),0)</f>
        <v>0</v>
      </c>
      <c r="M85" s="1557">
        <f>IFERROR(SUMIFS(TA!$AJ$15:$AJ$17,TA!$U$15:$U$17,"*FMCG*",TA!$C$15:$C$17,$B85)/SUMIFS(TA!$AJ$15:$AJ$17,TA!$C$15:$C$17,$B85),0)</f>
        <v>0</v>
      </c>
      <c r="N85" s="261">
        <f>IFERROR(INDEX(AA!$AN:$AN,MATCH($C85,AA!$C:$C,0)),0)</f>
        <v>0</v>
      </c>
      <c r="O85" s="1252" t="e">
        <f>DATEDIF(GA!$G$56,INDEX(RR!$N:$N,MATCH(AB85,RR!$E:$E,0)),"D")/365</f>
        <v>#N/A</v>
      </c>
      <c r="P85" s="261">
        <f>IFERROR(INDEX(AO!$CV:$CV,MATCH($C85,AO!$C:$C,0)),0)</f>
        <v>0</v>
      </c>
      <c r="Q85" s="261">
        <f>IFERROR(INDEX(AO!$CZ:$CZ,MATCH($C85,AO!$C:$C,0)),0)</f>
        <v>0</v>
      </c>
      <c r="R85" s="1230">
        <f>IFERROR(INDEX(AO!$DC:$DC,MATCH($C85,AO!$C:$C,0)),0)</f>
        <v>0</v>
      </c>
      <c r="S85" s="1230" t="e">
        <f>INDEX(IC!AR:AR,MATCH(C85,IC!B:B,0))</f>
        <v>#N/A</v>
      </c>
      <c r="T85" s="1558" t="e">
        <f>INDEX(IC!AW:AW,MATCH(C85,IC!B:B,0))</f>
        <v>#N/A</v>
      </c>
      <c r="U85" s="1230" t="e">
        <f>INDEX(IC!AS:AS,MATCH(C85,IC!B:B,0))</f>
        <v>#N/A</v>
      </c>
      <c r="V85" s="261">
        <f>IFERROR(INDEX(AA!$GA:$GA,MATCH($C85,AA!$C:$C,0)),0)</f>
        <v>0</v>
      </c>
      <c r="W85" s="1558">
        <f>IFERROR(V85/INDEX(AO!$CI:$CI,MATCH($C85,AO!$C:$C,0)),0)</f>
        <v>0</v>
      </c>
      <c r="X85" s="1558">
        <f>IFERROR(V85/INDEX(AO!$CS:$CS,MATCH($C85,AO!$C:$C,0)),0)</f>
        <v>0</v>
      </c>
      <c r="Y85" s="1557">
        <f>IFERROR(INDEX(AO!$CN:$CN,MATCH($C85,AO!$C:$C,0))/V85,0)</f>
        <v>0</v>
      </c>
      <c r="Z85" s="261">
        <f>IFERROR(V85/INDEX(AO!$CA:$CA,MATCH($C85,AO!$C:$C,0)),0)</f>
        <v>0</v>
      </c>
      <c r="AB85" t="str">
        <f t="shared" si="3"/>
        <v>77 - 1</v>
      </c>
    </row>
    <row r="86" spans="2:28" outlineLevel="1">
      <c r="B86" s="1563">
        <v>78</v>
      </c>
      <c r="C86" s="1563" t="e">
        <f>INDEX(IC!B:B,MATCH(B86,IC!AY:AY,0))</f>
        <v>#N/A</v>
      </c>
      <c r="D86" s="1257">
        <f>IFERROR(INDEX(AA!$AC:$AC,MATCH($C86,AA!$C:$C,0)),0)</f>
        <v>0</v>
      </c>
      <c r="E86" s="1257" t="e">
        <f>INDEX(IC!G:G,MATCH(AL!C86,IC!B:B,0))</f>
        <v>#N/A</v>
      </c>
      <c r="F86" s="1257">
        <f>IFERROR(INDEX(AA!$AK:$AK,MATCH($C86,AA!$C:$C,0)),0)</f>
        <v>0</v>
      </c>
      <c r="G86" s="1257">
        <f>IFERROR(INDEX(AO!$Q:$Q,MATCH($C86,AO!$C:$C,0)),0)</f>
        <v>0</v>
      </c>
      <c r="H86" s="1257">
        <f>IFERROR(INDEX(AO!$Q:$Q,MATCH($C86,AO!$C:$C,0))-INDEX(AO!$BE$18:$BE$20,MATCH($C86,AO!$C$18:$C$20,0)),0)</f>
        <v>0</v>
      </c>
      <c r="I86" s="1559">
        <f t="shared" si="4"/>
        <v>0</v>
      </c>
      <c r="J86" s="1257">
        <f>IFERROR(INDEX(AO!$Y:$Y,MATCH($C86,AO!$C:$C,0)),0)</f>
        <v>0</v>
      </c>
      <c r="K86" s="1257">
        <f>IFERROR(INDEX(AO!$AI:$AI,MATCH($C86,AO!$C:$C,0)),0)</f>
        <v>0</v>
      </c>
      <c r="L86" s="1560">
        <f>IFERROR(INDEX(AO!$AP:$AP,MATCH($C86,AO!$C:$C,0)),0)</f>
        <v>0</v>
      </c>
      <c r="M86" s="1559">
        <f>IFERROR(SUMIFS(TA!$AJ$15:$AJ$17,TA!$U$15:$U$17,"*FMCG*",TA!$C$15:$C$17,$B86)/SUMIFS(TA!$AJ$15:$AJ$17,TA!$C$15:$C$17,$B86),0)</f>
        <v>0</v>
      </c>
      <c r="N86" s="1257">
        <f>IFERROR(INDEX(AA!$AN:$AN,MATCH($C86,AA!$C:$C,0)),0)</f>
        <v>0</v>
      </c>
      <c r="O86" s="1259" t="e">
        <f>DATEDIF(GA!$G$56,INDEX(RR!$N:$N,MATCH(AB86,RR!$E:$E,0)),"D")/365</f>
        <v>#N/A</v>
      </c>
      <c r="P86" s="1257">
        <f>IFERROR(INDEX(AO!$CV:$CV,MATCH($C86,AO!$C:$C,0)),0)</f>
        <v>0</v>
      </c>
      <c r="Q86" s="1257">
        <f>IFERROR(INDEX(AO!$CZ:$CZ,MATCH($C86,AO!$C:$C,0)),0)</f>
        <v>0</v>
      </c>
      <c r="R86" s="1561">
        <f>IFERROR(INDEX(AO!$DC:$DC,MATCH($C86,AO!$C:$C,0)),0)</f>
        <v>0</v>
      </c>
      <c r="S86" s="1561" t="e">
        <f>INDEX(IC!AR:AR,MATCH(C86,IC!B:B,0))</f>
        <v>#N/A</v>
      </c>
      <c r="T86" s="1562" t="e">
        <f>INDEX(IC!AW:AW,MATCH(C86,IC!B:B,0))</f>
        <v>#N/A</v>
      </c>
      <c r="U86" s="1561" t="e">
        <f>INDEX(IC!AS:AS,MATCH(C86,IC!B:B,0))</f>
        <v>#N/A</v>
      </c>
      <c r="V86" s="1257">
        <f>IFERROR(INDEX(AA!$GA:$GA,MATCH($C86,AA!$C:$C,0)),0)</f>
        <v>0</v>
      </c>
      <c r="W86" s="1562">
        <f>IFERROR(V86/INDEX(AO!$CI:$CI,MATCH($C86,AO!$C:$C,0)),0)</f>
        <v>0</v>
      </c>
      <c r="X86" s="1562">
        <f>IFERROR(V86/INDEX(AO!$CS:$CS,MATCH($C86,AO!$C:$C,0)),0)</f>
        <v>0</v>
      </c>
      <c r="Y86" s="1559">
        <f>IFERROR(INDEX(AO!$CN:$CN,MATCH($C86,AO!$C:$C,0))/V86,0)</f>
        <v>0</v>
      </c>
      <c r="Z86" s="1257">
        <f>IFERROR(V86/INDEX(AO!$CA:$CA,MATCH($C86,AO!$C:$C,0)),0)</f>
        <v>0</v>
      </c>
      <c r="AB86" t="str">
        <f t="shared" si="3"/>
        <v>78 - 1</v>
      </c>
    </row>
    <row r="87" spans="2:28" outlineLevel="1">
      <c r="B87" s="1434">
        <v>79</v>
      </c>
      <c r="C87" s="1434" t="e">
        <f>INDEX(IC!B:B,MATCH(B87,IC!AY:AY,0))</f>
        <v>#N/A</v>
      </c>
      <c r="D87" s="261">
        <f>IFERROR(INDEX(AA!$AC:$AC,MATCH($C87,AA!$C:$C,0)),0)</f>
        <v>0</v>
      </c>
      <c r="E87" s="261" t="e">
        <f>INDEX(IC!G:G,MATCH(AL!C87,IC!B:B,0))</f>
        <v>#N/A</v>
      </c>
      <c r="F87" s="261">
        <f>IFERROR(INDEX(AA!$AK:$AK,MATCH($C87,AA!$C:$C,0)),0)</f>
        <v>0</v>
      </c>
      <c r="G87" s="261">
        <f>IFERROR(INDEX(AO!$Q:$Q,MATCH($C87,AO!$C:$C,0)),0)</f>
        <v>0</v>
      </c>
      <c r="H87" s="261">
        <f>IFERROR(INDEX(AO!$Q:$Q,MATCH($C87,AO!$C:$C,0))-INDEX(AO!$BE$18:$BE$20,MATCH($C87,AO!$C$18:$C$20,0)),0)</f>
        <v>0</v>
      </c>
      <c r="I87" s="1557">
        <f t="shared" si="4"/>
        <v>0</v>
      </c>
      <c r="J87" s="261">
        <f>IFERROR(INDEX(AO!$Y:$Y,MATCH($C87,AO!$C:$C,0)),0)</f>
        <v>0</v>
      </c>
      <c r="K87" s="261">
        <f>IFERROR(INDEX(AO!$AI:$AI,MATCH($C87,AO!$C:$C,0)),0)</f>
        <v>0</v>
      </c>
      <c r="L87" s="1556">
        <f>IFERROR(INDEX(AO!$AP:$AP,MATCH($C87,AO!$C:$C,0)),0)</f>
        <v>0</v>
      </c>
      <c r="M87" s="1557">
        <f>IFERROR(SUMIFS(TA!$AJ$15:$AJ$17,TA!$U$15:$U$17,"*FMCG*",TA!$C$15:$C$17,$B87)/SUMIFS(TA!$AJ$15:$AJ$17,TA!$C$15:$C$17,$B87),0)</f>
        <v>0</v>
      </c>
      <c r="N87" s="261">
        <f>IFERROR(INDEX(AA!$AN:$AN,MATCH($C87,AA!$C:$C,0)),0)</f>
        <v>0</v>
      </c>
      <c r="O87" s="1252" t="e">
        <f>DATEDIF(GA!$G$56,INDEX(RR!$N:$N,MATCH(AB87,RR!$E:$E,0)),"D")/365</f>
        <v>#N/A</v>
      </c>
      <c r="P87" s="261">
        <f>IFERROR(INDEX(AO!$CV:$CV,MATCH($C87,AO!$C:$C,0)),0)</f>
        <v>0</v>
      </c>
      <c r="Q87" s="261">
        <f>IFERROR(INDEX(AO!$CZ:$CZ,MATCH($C87,AO!$C:$C,0)),0)</f>
        <v>0</v>
      </c>
      <c r="R87" s="1230">
        <f>IFERROR(INDEX(AO!$DC:$DC,MATCH($C87,AO!$C:$C,0)),0)</f>
        <v>0</v>
      </c>
      <c r="S87" s="1230" t="e">
        <f>INDEX(IC!AR:AR,MATCH(C87,IC!B:B,0))</f>
        <v>#N/A</v>
      </c>
      <c r="T87" s="1558" t="e">
        <f>INDEX(IC!AW:AW,MATCH(C87,IC!B:B,0))</f>
        <v>#N/A</v>
      </c>
      <c r="U87" s="1230" t="e">
        <f>INDEX(IC!AS:AS,MATCH(C87,IC!B:B,0))</f>
        <v>#N/A</v>
      </c>
      <c r="V87" s="261">
        <f>IFERROR(INDEX(AA!$GA:$GA,MATCH($C87,AA!$C:$C,0)),0)</f>
        <v>0</v>
      </c>
      <c r="W87" s="1558">
        <f>IFERROR(V87/INDEX(AO!$CI:$CI,MATCH($C87,AO!$C:$C,0)),0)</f>
        <v>0</v>
      </c>
      <c r="X87" s="1558">
        <f>IFERROR(V87/INDEX(AO!$CS:$CS,MATCH($C87,AO!$C:$C,0)),0)</f>
        <v>0</v>
      </c>
      <c r="Y87" s="1557">
        <f>IFERROR(INDEX(AO!$CN:$CN,MATCH($C87,AO!$C:$C,0))/V87,0)</f>
        <v>0</v>
      </c>
      <c r="Z87" s="261">
        <f>IFERROR(V87/INDEX(AO!$CA:$CA,MATCH($C87,AO!$C:$C,0)),0)</f>
        <v>0</v>
      </c>
      <c r="AB87" t="str">
        <f t="shared" si="3"/>
        <v>79 - 1</v>
      </c>
    </row>
    <row r="88" spans="2:28" outlineLevel="1">
      <c r="B88" s="1563">
        <v>80</v>
      </c>
      <c r="C88" s="1563" t="e">
        <f>INDEX(IC!B:B,MATCH(B88,IC!AY:AY,0))</f>
        <v>#N/A</v>
      </c>
      <c r="D88" s="1257">
        <f>IFERROR(INDEX(AA!$AC:$AC,MATCH($C88,AA!$C:$C,0)),0)</f>
        <v>0</v>
      </c>
      <c r="E88" s="1257" t="e">
        <f>INDEX(IC!G:G,MATCH(AL!C88,IC!B:B,0))</f>
        <v>#N/A</v>
      </c>
      <c r="F88" s="1257">
        <f>IFERROR(INDEX(AA!$AK:$AK,MATCH($C88,AA!$C:$C,0)),0)</f>
        <v>0</v>
      </c>
      <c r="G88" s="1257">
        <f>IFERROR(INDEX(AO!$Q:$Q,MATCH($C88,AO!$C:$C,0)),0)</f>
        <v>0</v>
      </c>
      <c r="H88" s="1257">
        <f>IFERROR(INDEX(AO!$Q:$Q,MATCH($C88,AO!$C:$C,0))-INDEX(AO!$BE$18:$BE$20,MATCH($C88,AO!$C$18:$C$20,0)),0)</f>
        <v>0</v>
      </c>
      <c r="I88" s="1559">
        <f t="shared" si="4"/>
        <v>0</v>
      </c>
      <c r="J88" s="1257">
        <f>IFERROR(INDEX(AO!$Y:$Y,MATCH($C88,AO!$C:$C,0)),0)</f>
        <v>0</v>
      </c>
      <c r="K88" s="1257">
        <f>IFERROR(INDEX(AO!$AI:$AI,MATCH($C88,AO!$C:$C,0)),0)</f>
        <v>0</v>
      </c>
      <c r="L88" s="1560">
        <f>IFERROR(INDEX(AO!$AP:$AP,MATCH($C88,AO!$C:$C,0)),0)</f>
        <v>0</v>
      </c>
      <c r="M88" s="1559">
        <f>IFERROR(SUMIFS(TA!$AJ$15:$AJ$17,TA!$U$15:$U$17,"*FMCG*",TA!$C$15:$C$17,$B88)/SUMIFS(TA!$AJ$15:$AJ$17,TA!$C$15:$C$17,$B88),0)</f>
        <v>0</v>
      </c>
      <c r="N88" s="1257">
        <f>IFERROR(INDEX(AA!$AN:$AN,MATCH($C88,AA!$C:$C,0)),0)</f>
        <v>0</v>
      </c>
      <c r="O88" s="1259" t="e">
        <f>DATEDIF(GA!$G$56,INDEX(RR!$N:$N,MATCH(AB88,RR!$E:$E,0)),"D")/365</f>
        <v>#N/A</v>
      </c>
      <c r="P88" s="1257">
        <f>IFERROR(INDEX(AO!$CV:$CV,MATCH($C88,AO!$C:$C,0)),0)</f>
        <v>0</v>
      </c>
      <c r="Q88" s="1257">
        <f>IFERROR(INDEX(AO!$CZ:$CZ,MATCH($C88,AO!$C:$C,0)),0)</f>
        <v>0</v>
      </c>
      <c r="R88" s="1561">
        <f>IFERROR(INDEX(AO!$DC:$DC,MATCH($C88,AO!$C:$C,0)),0)</f>
        <v>0</v>
      </c>
      <c r="S88" s="1561" t="e">
        <f>INDEX(IC!AR:AR,MATCH(C88,IC!B:B,0))</f>
        <v>#N/A</v>
      </c>
      <c r="T88" s="1562" t="e">
        <f>INDEX(IC!AW:AW,MATCH(C88,IC!B:B,0))</f>
        <v>#N/A</v>
      </c>
      <c r="U88" s="1561" t="e">
        <f>INDEX(IC!AS:AS,MATCH(C88,IC!B:B,0))</f>
        <v>#N/A</v>
      </c>
      <c r="V88" s="1257">
        <f>IFERROR(INDEX(AA!$GA:$GA,MATCH($C88,AA!$C:$C,0)),0)</f>
        <v>0</v>
      </c>
      <c r="W88" s="1562">
        <f>IFERROR(V88/INDEX(AO!$CI:$CI,MATCH($C88,AO!$C:$C,0)),0)</f>
        <v>0</v>
      </c>
      <c r="X88" s="1562">
        <f>IFERROR(V88/INDEX(AO!$CS:$CS,MATCH($C88,AO!$C:$C,0)),0)</f>
        <v>0</v>
      </c>
      <c r="Y88" s="1559">
        <f>IFERROR(INDEX(AO!$CN:$CN,MATCH($C88,AO!$C:$C,0))/V88,0)</f>
        <v>0</v>
      </c>
      <c r="Z88" s="1257">
        <f>IFERROR(V88/INDEX(AO!$CA:$CA,MATCH($C88,AO!$C:$C,0)),0)</f>
        <v>0</v>
      </c>
      <c r="AB88" t="str">
        <f t="shared" si="3"/>
        <v>80 - 1</v>
      </c>
    </row>
    <row r="89" spans="2:28" outlineLevel="1">
      <c r="B89" s="1434">
        <v>81</v>
      </c>
      <c r="C89" s="1434" t="e">
        <f>INDEX(IC!B:B,MATCH(B89,IC!AY:AY,0))</f>
        <v>#N/A</v>
      </c>
      <c r="D89" s="261">
        <f>IFERROR(INDEX(AA!$AC:$AC,MATCH($C89,AA!$C:$C,0)),0)</f>
        <v>0</v>
      </c>
      <c r="E89" s="261" t="e">
        <f>INDEX(IC!G:G,MATCH(AL!C89,IC!B:B,0))</f>
        <v>#N/A</v>
      </c>
      <c r="F89" s="261">
        <f>IFERROR(INDEX(AA!$AK:$AK,MATCH($C89,AA!$C:$C,0)),0)</f>
        <v>0</v>
      </c>
      <c r="G89" s="261">
        <f>IFERROR(INDEX(AO!$Q:$Q,MATCH($C89,AO!$C:$C,0)),0)</f>
        <v>0</v>
      </c>
      <c r="H89" s="261">
        <f>IFERROR(INDEX(AO!$Q:$Q,MATCH($C89,AO!$C:$C,0))-INDEX(AO!$BE$18:$BE$20,MATCH($C89,AO!$C$18:$C$20,0)),0)</f>
        <v>0</v>
      </c>
      <c r="I89" s="1557">
        <f t="shared" si="4"/>
        <v>0</v>
      </c>
      <c r="J89" s="261">
        <f>IFERROR(INDEX(AO!$Y:$Y,MATCH($C89,AO!$C:$C,0)),0)</f>
        <v>0</v>
      </c>
      <c r="K89" s="261">
        <f>IFERROR(INDEX(AO!$AI:$AI,MATCH($C89,AO!$C:$C,0)),0)</f>
        <v>0</v>
      </c>
      <c r="L89" s="1556">
        <f>IFERROR(INDEX(AO!$AP:$AP,MATCH($C89,AO!$C:$C,0)),0)</f>
        <v>0</v>
      </c>
      <c r="M89" s="1557">
        <f>IFERROR(SUMIFS(TA!$AJ$15:$AJ$17,TA!$U$15:$U$17,"*FMCG*",TA!$C$15:$C$17,$B89)/SUMIFS(TA!$AJ$15:$AJ$17,TA!$C$15:$C$17,$B89),0)</f>
        <v>0</v>
      </c>
      <c r="N89" s="261">
        <f>IFERROR(INDEX(AA!$AN:$AN,MATCH($C89,AA!$C:$C,0)),0)</f>
        <v>0</v>
      </c>
      <c r="O89" s="1252" t="e">
        <f>DATEDIF(GA!$G$56,INDEX(RR!$N:$N,MATCH(AB89,RR!$E:$E,0)),"D")/365</f>
        <v>#N/A</v>
      </c>
      <c r="P89" s="261">
        <f>IFERROR(INDEX(AO!$CV:$CV,MATCH($C89,AO!$C:$C,0)),0)</f>
        <v>0</v>
      </c>
      <c r="Q89" s="261">
        <f>IFERROR(INDEX(AO!$CZ:$CZ,MATCH($C89,AO!$C:$C,0)),0)</f>
        <v>0</v>
      </c>
      <c r="R89" s="1230">
        <f>IFERROR(INDEX(AO!$DC:$DC,MATCH($C89,AO!$C:$C,0)),0)</f>
        <v>0</v>
      </c>
      <c r="S89" s="1230" t="e">
        <f>INDEX(IC!AR:AR,MATCH(C89,IC!B:B,0))</f>
        <v>#N/A</v>
      </c>
      <c r="T89" s="1558" t="e">
        <f>INDEX(IC!AW:AW,MATCH(C89,IC!B:B,0))</f>
        <v>#N/A</v>
      </c>
      <c r="U89" s="1230" t="e">
        <f>INDEX(IC!AS:AS,MATCH(C89,IC!B:B,0))</f>
        <v>#N/A</v>
      </c>
      <c r="V89" s="261">
        <f>IFERROR(INDEX(AA!$GA:$GA,MATCH($C89,AA!$C:$C,0)),0)</f>
        <v>0</v>
      </c>
      <c r="W89" s="1558">
        <f>IFERROR(V89/INDEX(AO!$CI:$CI,MATCH($C89,AO!$C:$C,0)),0)</f>
        <v>0</v>
      </c>
      <c r="X89" s="1558">
        <f>IFERROR(V89/INDEX(AO!$CS:$CS,MATCH($C89,AO!$C:$C,0)),0)</f>
        <v>0</v>
      </c>
      <c r="Y89" s="1557">
        <f>IFERROR(INDEX(AO!$CN:$CN,MATCH($C89,AO!$C:$C,0))/V89,0)</f>
        <v>0</v>
      </c>
      <c r="Z89" s="261">
        <f>IFERROR(V89/INDEX(AO!$CA:$CA,MATCH($C89,AO!$C:$C,0)),0)</f>
        <v>0</v>
      </c>
      <c r="AB89" t="str">
        <f t="shared" si="3"/>
        <v>81 - 1</v>
      </c>
    </row>
    <row r="90" spans="2:28" outlineLevel="1">
      <c r="B90" s="1563">
        <v>82</v>
      </c>
      <c r="C90" s="1563" t="e">
        <f>INDEX(IC!B:B,MATCH(B90,IC!AY:AY,0))</f>
        <v>#N/A</v>
      </c>
      <c r="D90" s="1257">
        <f>IFERROR(INDEX(AA!$AC:$AC,MATCH($C90,AA!$C:$C,0)),0)</f>
        <v>0</v>
      </c>
      <c r="E90" s="1257" t="e">
        <f>INDEX(IC!G:G,MATCH(AL!C90,IC!B:B,0))</f>
        <v>#N/A</v>
      </c>
      <c r="F90" s="1257">
        <f>IFERROR(INDEX(AA!$AK:$AK,MATCH($C90,AA!$C:$C,0)),0)</f>
        <v>0</v>
      </c>
      <c r="G90" s="1257">
        <f>IFERROR(INDEX(AO!$Q:$Q,MATCH($C90,AO!$C:$C,0)),0)</f>
        <v>0</v>
      </c>
      <c r="H90" s="1257">
        <f>IFERROR(INDEX(AO!$Q:$Q,MATCH($C90,AO!$C:$C,0))-INDEX(AO!$BE$18:$BE$20,MATCH($C90,AO!$C$18:$C$20,0)),0)</f>
        <v>0</v>
      </c>
      <c r="I90" s="1559">
        <f t="shared" si="4"/>
        <v>0</v>
      </c>
      <c r="J90" s="1257">
        <f>IFERROR(INDEX(AO!$Y:$Y,MATCH($C90,AO!$C:$C,0)),0)</f>
        <v>0</v>
      </c>
      <c r="K90" s="1257">
        <f>IFERROR(INDEX(AO!$AI:$AI,MATCH($C90,AO!$C:$C,0)),0)</f>
        <v>0</v>
      </c>
      <c r="L90" s="1560">
        <f>IFERROR(INDEX(AO!$AP:$AP,MATCH($C90,AO!$C:$C,0)),0)</f>
        <v>0</v>
      </c>
      <c r="M90" s="1559">
        <f>IFERROR(SUMIFS(TA!$AJ$15:$AJ$17,TA!$U$15:$U$17,"*FMCG*",TA!$C$15:$C$17,$B90)/SUMIFS(TA!$AJ$15:$AJ$17,TA!$C$15:$C$17,$B90),0)</f>
        <v>0</v>
      </c>
      <c r="N90" s="1257">
        <f>IFERROR(INDEX(AA!$AN:$AN,MATCH($C90,AA!$C:$C,0)),0)</f>
        <v>0</v>
      </c>
      <c r="O90" s="1259" t="e">
        <f>DATEDIF(GA!$G$56,INDEX(RR!$N:$N,MATCH(AB90,RR!$E:$E,0)),"D")/365</f>
        <v>#N/A</v>
      </c>
      <c r="P90" s="1257">
        <f>IFERROR(INDEX(AO!$CV:$CV,MATCH($C90,AO!$C:$C,0)),0)</f>
        <v>0</v>
      </c>
      <c r="Q90" s="1257">
        <f>IFERROR(INDEX(AO!$CZ:$CZ,MATCH($C90,AO!$C:$C,0)),0)</f>
        <v>0</v>
      </c>
      <c r="R90" s="1561">
        <f>IFERROR(INDEX(AO!$DC:$DC,MATCH($C90,AO!$C:$C,0)),0)</f>
        <v>0</v>
      </c>
      <c r="S90" s="1561" t="e">
        <f>INDEX(IC!AR:AR,MATCH(C90,IC!B:B,0))</f>
        <v>#N/A</v>
      </c>
      <c r="T90" s="1562" t="e">
        <f>INDEX(IC!AW:AW,MATCH(C90,IC!B:B,0))</f>
        <v>#N/A</v>
      </c>
      <c r="U90" s="1561" t="e">
        <f>INDEX(IC!AS:AS,MATCH(C90,IC!B:B,0))</f>
        <v>#N/A</v>
      </c>
      <c r="V90" s="1257">
        <f>IFERROR(INDEX(AA!$GA:$GA,MATCH($C90,AA!$C:$C,0)),0)</f>
        <v>0</v>
      </c>
      <c r="W90" s="1562">
        <f>IFERROR(V90/INDEX(AO!$CI:$CI,MATCH($C90,AO!$C:$C,0)),0)</f>
        <v>0</v>
      </c>
      <c r="X90" s="1562">
        <f>IFERROR(V90/INDEX(AO!$CS:$CS,MATCH($C90,AO!$C:$C,0)),0)</f>
        <v>0</v>
      </c>
      <c r="Y90" s="1559">
        <f>IFERROR(INDEX(AO!$CN:$CN,MATCH($C90,AO!$C:$C,0))/V90,0)</f>
        <v>0</v>
      </c>
      <c r="Z90" s="1257">
        <f>IFERROR(V90/INDEX(AO!$CA:$CA,MATCH($C90,AO!$C:$C,0)),0)</f>
        <v>0</v>
      </c>
      <c r="AB90" t="str">
        <f t="shared" si="3"/>
        <v>82 - 1</v>
      </c>
    </row>
    <row r="91" spans="2:28" outlineLevel="1">
      <c r="B91" s="1434">
        <v>83</v>
      </c>
      <c r="C91" s="1434" t="e">
        <f>INDEX(IC!B:B,MATCH(B91,IC!AY:AY,0))</f>
        <v>#N/A</v>
      </c>
      <c r="D91" s="261">
        <f>IFERROR(INDEX(AA!$AC:$AC,MATCH($C91,AA!$C:$C,0)),0)</f>
        <v>0</v>
      </c>
      <c r="E91" s="261" t="e">
        <f>INDEX(IC!G:G,MATCH(AL!C91,IC!B:B,0))</f>
        <v>#N/A</v>
      </c>
      <c r="F91" s="261">
        <f>IFERROR(INDEX(AA!$AK:$AK,MATCH($C91,AA!$C:$C,0)),0)</f>
        <v>0</v>
      </c>
      <c r="G91" s="261">
        <f>IFERROR(INDEX(AO!$Q:$Q,MATCH($C91,AO!$C:$C,0)),0)</f>
        <v>0</v>
      </c>
      <c r="H91" s="261">
        <f>IFERROR(INDEX(AO!$Q:$Q,MATCH($C91,AO!$C:$C,0))-INDEX(AO!$BE$18:$BE$20,MATCH($C91,AO!$C$18:$C$20,0)),0)</f>
        <v>0</v>
      </c>
      <c r="I91" s="1557">
        <f t="shared" si="4"/>
        <v>0</v>
      </c>
      <c r="J91" s="261">
        <f>IFERROR(INDEX(AO!$Y:$Y,MATCH($C91,AO!$C:$C,0)),0)</f>
        <v>0</v>
      </c>
      <c r="K91" s="261">
        <f>IFERROR(INDEX(AO!$AI:$AI,MATCH($C91,AO!$C:$C,0)),0)</f>
        <v>0</v>
      </c>
      <c r="L91" s="1556">
        <f>IFERROR(INDEX(AO!$AP:$AP,MATCH($C91,AO!$C:$C,0)),0)</f>
        <v>0</v>
      </c>
      <c r="M91" s="1557">
        <f>IFERROR(SUMIFS(TA!$AJ$15:$AJ$17,TA!$U$15:$U$17,"*FMCG*",TA!$C$15:$C$17,$B91)/SUMIFS(TA!$AJ$15:$AJ$17,TA!$C$15:$C$17,$B91),0)</f>
        <v>0</v>
      </c>
      <c r="N91" s="261">
        <f>IFERROR(INDEX(AA!$AN:$AN,MATCH($C91,AA!$C:$C,0)),0)</f>
        <v>0</v>
      </c>
      <c r="O91" s="1252" t="e">
        <f>DATEDIF(GA!$G$56,INDEX(RR!$N:$N,MATCH(AB91,RR!$E:$E,0)),"D")/365</f>
        <v>#N/A</v>
      </c>
      <c r="P91" s="261">
        <f>IFERROR(INDEX(AO!$CV:$CV,MATCH($C91,AO!$C:$C,0)),0)</f>
        <v>0</v>
      </c>
      <c r="Q91" s="261">
        <f>IFERROR(INDEX(AO!$CZ:$CZ,MATCH($C91,AO!$C:$C,0)),0)</f>
        <v>0</v>
      </c>
      <c r="R91" s="1230">
        <f>IFERROR(INDEX(AO!$DC:$DC,MATCH($C91,AO!$C:$C,0)),0)</f>
        <v>0</v>
      </c>
      <c r="S91" s="1230" t="e">
        <f>INDEX(IC!AR:AR,MATCH(C91,IC!B:B,0))</f>
        <v>#N/A</v>
      </c>
      <c r="T91" s="1558" t="e">
        <f>INDEX(IC!AW:AW,MATCH(C91,IC!B:B,0))</f>
        <v>#N/A</v>
      </c>
      <c r="U91" s="1230" t="e">
        <f>INDEX(IC!AS:AS,MATCH(C91,IC!B:B,0))</f>
        <v>#N/A</v>
      </c>
      <c r="V91" s="261">
        <f>IFERROR(INDEX(AA!$GA:$GA,MATCH($C91,AA!$C:$C,0)),0)</f>
        <v>0</v>
      </c>
      <c r="W91" s="1558">
        <f>IFERROR(V91/INDEX(AO!$CI:$CI,MATCH($C91,AO!$C:$C,0)),0)</f>
        <v>0</v>
      </c>
      <c r="X91" s="1558">
        <f>IFERROR(V91/INDEX(AO!$CS:$CS,MATCH($C91,AO!$C:$C,0)),0)</f>
        <v>0</v>
      </c>
      <c r="Y91" s="1557">
        <f>IFERROR(INDEX(AO!$CN:$CN,MATCH($C91,AO!$C:$C,0))/V91,0)</f>
        <v>0</v>
      </c>
      <c r="Z91" s="261">
        <f>IFERROR(V91/INDEX(AO!$CA:$CA,MATCH($C91,AO!$C:$C,0)),0)</f>
        <v>0</v>
      </c>
      <c r="AB91" t="str">
        <f t="shared" si="3"/>
        <v>83 - 1</v>
      </c>
    </row>
    <row r="92" spans="2:28" outlineLevel="1">
      <c r="B92" s="1563">
        <v>84</v>
      </c>
      <c r="C92" s="1563" t="e">
        <f>INDEX(IC!B:B,MATCH(B92,IC!AY:AY,0))</f>
        <v>#N/A</v>
      </c>
      <c r="D92" s="1257">
        <f>IFERROR(INDEX(AA!$AC:$AC,MATCH($C92,AA!$C:$C,0)),0)</f>
        <v>0</v>
      </c>
      <c r="E92" s="1257" t="e">
        <f>INDEX(IC!G:G,MATCH(AL!C92,IC!B:B,0))</f>
        <v>#N/A</v>
      </c>
      <c r="F92" s="1257">
        <f>IFERROR(INDEX(AA!$AK:$AK,MATCH($C92,AA!$C:$C,0)),0)</f>
        <v>0</v>
      </c>
      <c r="G92" s="1257">
        <f>IFERROR(INDEX(AO!$Q:$Q,MATCH($C92,AO!$C:$C,0)),0)</f>
        <v>0</v>
      </c>
      <c r="H92" s="1257">
        <f>IFERROR(INDEX(AO!$Q:$Q,MATCH($C92,AO!$C:$C,0))-INDEX(AO!$BE$18:$BE$20,MATCH($C92,AO!$C$18:$C$20,0)),0)</f>
        <v>0</v>
      </c>
      <c r="I92" s="1559">
        <f t="shared" si="4"/>
        <v>0</v>
      </c>
      <c r="J92" s="1257">
        <f>IFERROR(INDEX(AO!$Y:$Y,MATCH($C92,AO!$C:$C,0)),0)</f>
        <v>0</v>
      </c>
      <c r="K92" s="1257">
        <f>IFERROR(INDEX(AO!$AI:$AI,MATCH($C92,AO!$C:$C,0)),0)</f>
        <v>0</v>
      </c>
      <c r="L92" s="1560">
        <f>IFERROR(INDEX(AO!$AP:$AP,MATCH($C92,AO!$C:$C,0)),0)</f>
        <v>0</v>
      </c>
      <c r="M92" s="1559">
        <f>IFERROR(SUMIFS(TA!$AJ$15:$AJ$17,TA!$U$15:$U$17,"*FMCG*",TA!$C$15:$C$17,$B92)/SUMIFS(TA!$AJ$15:$AJ$17,TA!$C$15:$C$17,$B92),0)</f>
        <v>0</v>
      </c>
      <c r="N92" s="1257">
        <f>IFERROR(INDEX(AA!$AN:$AN,MATCH($C92,AA!$C:$C,0)),0)</f>
        <v>0</v>
      </c>
      <c r="O92" s="1259" t="e">
        <f>DATEDIF(GA!$G$56,INDEX(RR!$N:$N,MATCH(AB92,RR!$E:$E,0)),"D")/365</f>
        <v>#N/A</v>
      </c>
      <c r="P92" s="1257">
        <f>IFERROR(INDEX(AO!$CV:$CV,MATCH($C92,AO!$C:$C,0)),0)</f>
        <v>0</v>
      </c>
      <c r="Q92" s="1257">
        <f>IFERROR(INDEX(AO!$CZ:$CZ,MATCH($C92,AO!$C:$C,0)),0)</f>
        <v>0</v>
      </c>
      <c r="R92" s="1561">
        <f>IFERROR(INDEX(AO!$DC:$DC,MATCH($C92,AO!$C:$C,0)),0)</f>
        <v>0</v>
      </c>
      <c r="S92" s="1561" t="e">
        <f>INDEX(IC!AR:AR,MATCH(C92,IC!B:B,0))</f>
        <v>#N/A</v>
      </c>
      <c r="T92" s="1562" t="e">
        <f>INDEX(IC!AW:AW,MATCH(C92,IC!B:B,0))</f>
        <v>#N/A</v>
      </c>
      <c r="U92" s="1561" t="e">
        <f>INDEX(IC!AS:AS,MATCH(C92,IC!B:B,0))</f>
        <v>#N/A</v>
      </c>
      <c r="V92" s="1257">
        <f>IFERROR(INDEX(AA!$GA:$GA,MATCH($C92,AA!$C:$C,0)),0)</f>
        <v>0</v>
      </c>
      <c r="W92" s="1562">
        <f>IFERROR(V92/INDEX(AO!$CI:$CI,MATCH($C92,AO!$C:$C,0)),0)</f>
        <v>0</v>
      </c>
      <c r="X92" s="1562">
        <f>IFERROR(V92/INDEX(AO!$CS:$CS,MATCH($C92,AO!$C:$C,0)),0)</f>
        <v>0</v>
      </c>
      <c r="Y92" s="1559">
        <f>IFERROR(INDEX(AO!$CN:$CN,MATCH($C92,AO!$C:$C,0))/V92,0)</f>
        <v>0</v>
      </c>
      <c r="Z92" s="1257">
        <f>IFERROR(V92/INDEX(AO!$CA:$CA,MATCH($C92,AO!$C:$C,0)),0)</f>
        <v>0</v>
      </c>
      <c r="AB92" t="str">
        <f t="shared" si="3"/>
        <v>84 - 1</v>
      </c>
    </row>
    <row r="93" spans="2:28" outlineLevel="1">
      <c r="B93" s="1434">
        <v>85</v>
      </c>
      <c r="C93" s="1434" t="e">
        <f>INDEX(IC!B:B,MATCH(B93,IC!AY:AY,0))</f>
        <v>#N/A</v>
      </c>
      <c r="D93" s="261">
        <f>IFERROR(INDEX(AA!$AC:$AC,MATCH($C93,AA!$C:$C,0)),0)</f>
        <v>0</v>
      </c>
      <c r="E93" s="261" t="e">
        <f>INDEX(IC!G:G,MATCH(AL!C93,IC!B:B,0))</f>
        <v>#N/A</v>
      </c>
      <c r="F93" s="261">
        <f>IFERROR(INDEX(AA!$AK:$AK,MATCH($C93,AA!$C:$C,0)),0)</f>
        <v>0</v>
      </c>
      <c r="G93" s="261">
        <f>IFERROR(INDEX(AO!$Q:$Q,MATCH($C93,AO!$C:$C,0)),0)</f>
        <v>0</v>
      </c>
      <c r="H93" s="261">
        <f>IFERROR(INDEX(AO!$Q:$Q,MATCH($C93,AO!$C:$C,0))-INDEX(AO!$BE$18:$BE$20,MATCH($C93,AO!$C$18:$C$20,0)),0)</f>
        <v>0</v>
      </c>
      <c r="I93" s="1557">
        <f t="shared" si="4"/>
        <v>0</v>
      </c>
      <c r="J93" s="261">
        <f>IFERROR(INDEX(AO!$Y:$Y,MATCH($C93,AO!$C:$C,0)),0)</f>
        <v>0</v>
      </c>
      <c r="K93" s="261">
        <f>IFERROR(INDEX(AO!$AI:$AI,MATCH($C93,AO!$C:$C,0)),0)</f>
        <v>0</v>
      </c>
      <c r="L93" s="1556">
        <f>IFERROR(INDEX(AO!$AP:$AP,MATCH($C93,AO!$C:$C,0)),0)</f>
        <v>0</v>
      </c>
      <c r="M93" s="1557">
        <f>IFERROR(SUMIFS(TA!$AJ$15:$AJ$17,TA!$U$15:$U$17,"*FMCG*",TA!$C$15:$C$17,$B93)/SUMIFS(TA!$AJ$15:$AJ$17,TA!$C$15:$C$17,$B93),0)</f>
        <v>0</v>
      </c>
      <c r="N93" s="261">
        <f>IFERROR(INDEX(AA!$AN:$AN,MATCH($C93,AA!$C:$C,0)),0)</f>
        <v>0</v>
      </c>
      <c r="O93" s="1252" t="e">
        <f>DATEDIF(GA!$G$56,INDEX(RR!$N:$N,MATCH(AB93,RR!$E:$E,0)),"D")/365</f>
        <v>#N/A</v>
      </c>
      <c r="P93" s="261">
        <f>IFERROR(INDEX(AO!$CV:$CV,MATCH($C93,AO!$C:$C,0)),0)</f>
        <v>0</v>
      </c>
      <c r="Q93" s="261">
        <f>IFERROR(INDEX(AO!$CZ:$CZ,MATCH($C93,AO!$C:$C,0)),0)</f>
        <v>0</v>
      </c>
      <c r="R93" s="1230">
        <f>IFERROR(INDEX(AO!$DC:$DC,MATCH($C93,AO!$C:$C,0)),0)</f>
        <v>0</v>
      </c>
      <c r="S93" s="1230" t="e">
        <f>INDEX(IC!AR:AR,MATCH(C93,IC!B:B,0))</f>
        <v>#N/A</v>
      </c>
      <c r="T93" s="1558" t="e">
        <f>INDEX(IC!AW:AW,MATCH(C93,IC!B:B,0))</f>
        <v>#N/A</v>
      </c>
      <c r="U93" s="1230" t="e">
        <f>INDEX(IC!AS:AS,MATCH(C93,IC!B:B,0))</f>
        <v>#N/A</v>
      </c>
      <c r="V93" s="261">
        <f>IFERROR(INDEX(AA!$GA:$GA,MATCH($C93,AA!$C:$C,0)),0)</f>
        <v>0</v>
      </c>
      <c r="W93" s="1558">
        <f>IFERROR(V93/INDEX(AO!$CI:$CI,MATCH($C93,AO!$C:$C,0)),0)</f>
        <v>0</v>
      </c>
      <c r="X93" s="1558">
        <f>IFERROR(V93/INDEX(AO!$CS:$CS,MATCH($C93,AO!$C:$C,0)),0)</f>
        <v>0</v>
      </c>
      <c r="Y93" s="1557">
        <f>IFERROR(INDEX(AO!$CN:$CN,MATCH($C93,AO!$C:$C,0))/V93,0)</f>
        <v>0</v>
      </c>
      <c r="Z93" s="261">
        <f>IFERROR(V93/INDEX(AO!$CA:$CA,MATCH($C93,AO!$C:$C,0)),0)</f>
        <v>0</v>
      </c>
      <c r="AB93" t="str">
        <f t="shared" si="3"/>
        <v>85 - 1</v>
      </c>
    </row>
    <row r="94" spans="2:28" outlineLevel="1">
      <c r="B94" s="1563">
        <v>86</v>
      </c>
      <c r="C94" s="1563" t="e">
        <f>INDEX(IC!B:B,MATCH(B94,IC!AY:AY,0))</f>
        <v>#N/A</v>
      </c>
      <c r="D94" s="1257">
        <f>IFERROR(INDEX(AA!$AC:$AC,MATCH($C94,AA!$C:$C,0)),0)</f>
        <v>0</v>
      </c>
      <c r="E94" s="1257" t="e">
        <f>INDEX(IC!G:G,MATCH(AL!C94,IC!B:B,0))</f>
        <v>#N/A</v>
      </c>
      <c r="F94" s="1257">
        <f>IFERROR(INDEX(AA!$AK:$AK,MATCH($C94,AA!$C:$C,0)),0)</f>
        <v>0</v>
      </c>
      <c r="G94" s="1257">
        <f>IFERROR(INDEX(AO!$Q:$Q,MATCH($C94,AO!$C:$C,0)),0)</f>
        <v>0</v>
      </c>
      <c r="H94" s="1257">
        <f>IFERROR(INDEX(AO!$Q:$Q,MATCH($C94,AO!$C:$C,0))-INDEX(AO!$BE$18:$BE$20,MATCH($C94,AO!$C$18:$C$20,0)),0)</f>
        <v>0</v>
      </c>
      <c r="I94" s="1559">
        <f t="shared" si="4"/>
        <v>0</v>
      </c>
      <c r="J94" s="1257">
        <f>IFERROR(INDEX(AO!$Y:$Y,MATCH($C94,AO!$C:$C,0)),0)</f>
        <v>0</v>
      </c>
      <c r="K94" s="1257">
        <f>IFERROR(INDEX(AO!$AI:$AI,MATCH($C94,AO!$C:$C,0)),0)</f>
        <v>0</v>
      </c>
      <c r="L94" s="1560">
        <f>IFERROR(INDEX(AO!$AP:$AP,MATCH($C94,AO!$C:$C,0)),0)</f>
        <v>0</v>
      </c>
      <c r="M94" s="1559">
        <f>IFERROR(SUMIFS(TA!$AJ$15:$AJ$17,TA!$U$15:$U$17,"*FMCG*",TA!$C$15:$C$17,$B94)/SUMIFS(TA!$AJ$15:$AJ$17,TA!$C$15:$C$17,$B94),0)</f>
        <v>0</v>
      </c>
      <c r="N94" s="1257">
        <f>IFERROR(INDEX(AA!$AN:$AN,MATCH($C94,AA!$C:$C,0)),0)</f>
        <v>0</v>
      </c>
      <c r="O94" s="1259" t="e">
        <f>DATEDIF(GA!$G$56,INDEX(RR!$N:$N,MATCH(AB94,RR!$E:$E,0)),"D")/365</f>
        <v>#N/A</v>
      </c>
      <c r="P94" s="1257">
        <f>IFERROR(INDEX(AO!$CV:$CV,MATCH($C94,AO!$C:$C,0)),0)</f>
        <v>0</v>
      </c>
      <c r="Q94" s="1257">
        <f>IFERROR(INDEX(AO!$CZ:$CZ,MATCH($C94,AO!$C:$C,0)),0)</f>
        <v>0</v>
      </c>
      <c r="R94" s="1561">
        <f>IFERROR(INDEX(AO!$DC:$DC,MATCH($C94,AO!$C:$C,0)),0)</f>
        <v>0</v>
      </c>
      <c r="S94" s="1561" t="e">
        <f>INDEX(IC!AR:AR,MATCH(C94,IC!B:B,0))</f>
        <v>#N/A</v>
      </c>
      <c r="T94" s="1562" t="e">
        <f>INDEX(IC!AW:AW,MATCH(C94,IC!B:B,0))</f>
        <v>#N/A</v>
      </c>
      <c r="U94" s="1561" t="e">
        <f>INDEX(IC!AS:AS,MATCH(C94,IC!B:B,0))</f>
        <v>#N/A</v>
      </c>
      <c r="V94" s="1257">
        <f>IFERROR(INDEX(AA!$GA:$GA,MATCH($C94,AA!$C:$C,0)),0)</f>
        <v>0</v>
      </c>
      <c r="W94" s="1562">
        <f>IFERROR(V94/INDEX(AO!$CI:$CI,MATCH($C94,AO!$C:$C,0)),0)</f>
        <v>0</v>
      </c>
      <c r="X94" s="1562">
        <f>IFERROR(V94/INDEX(AO!$CS:$CS,MATCH($C94,AO!$C:$C,0)),0)</f>
        <v>0</v>
      </c>
      <c r="Y94" s="1559">
        <f>IFERROR(INDEX(AO!$CN:$CN,MATCH($C94,AO!$C:$C,0))/V94,0)</f>
        <v>0</v>
      </c>
      <c r="Z94" s="1257">
        <f>IFERROR(V94/INDEX(AO!$CA:$CA,MATCH($C94,AO!$C:$C,0)),0)</f>
        <v>0</v>
      </c>
      <c r="AB94" t="str">
        <f t="shared" si="3"/>
        <v>86 - 1</v>
      </c>
    </row>
    <row r="95" spans="2:28" outlineLevel="1">
      <c r="B95" s="1434">
        <v>87</v>
      </c>
      <c r="C95" s="1434" t="e">
        <f>INDEX(IC!B:B,MATCH(B95,IC!AY:AY,0))</f>
        <v>#N/A</v>
      </c>
      <c r="D95" s="261">
        <f>IFERROR(INDEX(AA!$AC:$AC,MATCH($C95,AA!$C:$C,0)),0)</f>
        <v>0</v>
      </c>
      <c r="E95" s="261" t="e">
        <f>INDEX(IC!G:G,MATCH(AL!C95,IC!B:B,0))</f>
        <v>#N/A</v>
      </c>
      <c r="F95" s="261">
        <f>IFERROR(INDEX(AA!$AK:$AK,MATCH($C95,AA!$C:$C,0)),0)</f>
        <v>0</v>
      </c>
      <c r="G95" s="261">
        <f>IFERROR(INDEX(AO!$Q:$Q,MATCH($C95,AO!$C:$C,0)),0)</f>
        <v>0</v>
      </c>
      <c r="H95" s="261">
        <f>IFERROR(INDEX(AO!$Q:$Q,MATCH($C95,AO!$C:$C,0))-INDEX(AO!$BE$18:$BE$20,MATCH($C95,AO!$C$18:$C$20,0)),0)</f>
        <v>0</v>
      </c>
      <c r="I95" s="1557">
        <f t="shared" si="4"/>
        <v>0</v>
      </c>
      <c r="J95" s="261">
        <f>IFERROR(INDEX(AO!$Y:$Y,MATCH($C95,AO!$C:$C,0)),0)</f>
        <v>0</v>
      </c>
      <c r="K95" s="261">
        <f>IFERROR(INDEX(AO!$AI:$AI,MATCH($C95,AO!$C:$C,0)),0)</f>
        <v>0</v>
      </c>
      <c r="L95" s="1556">
        <f>IFERROR(INDEX(AO!$AP:$AP,MATCH($C95,AO!$C:$C,0)),0)</f>
        <v>0</v>
      </c>
      <c r="M95" s="1557">
        <f>IFERROR(SUMIFS(TA!$AJ$15:$AJ$17,TA!$U$15:$U$17,"*FMCG*",TA!$C$15:$C$17,$B95)/SUMIFS(TA!$AJ$15:$AJ$17,TA!$C$15:$C$17,$B95),0)</f>
        <v>0</v>
      </c>
      <c r="N95" s="261">
        <f>IFERROR(INDEX(AA!$AN:$AN,MATCH($C95,AA!$C:$C,0)),0)</f>
        <v>0</v>
      </c>
      <c r="O95" s="1252" t="e">
        <f>DATEDIF(GA!$G$56,INDEX(RR!$N:$N,MATCH(AB95,RR!$E:$E,0)),"D")/365</f>
        <v>#N/A</v>
      </c>
      <c r="P95" s="261">
        <f>IFERROR(INDEX(AO!$CV:$CV,MATCH($C95,AO!$C:$C,0)),0)</f>
        <v>0</v>
      </c>
      <c r="Q95" s="261">
        <f>IFERROR(INDEX(AO!$CZ:$CZ,MATCH($C95,AO!$C:$C,0)),0)</f>
        <v>0</v>
      </c>
      <c r="R95" s="1230">
        <f>IFERROR(INDEX(AO!$DC:$DC,MATCH($C95,AO!$C:$C,0)),0)</f>
        <v>0</v>
      </c>
      <c r="S95" s="1230" t="e">
        <f>INDEX(IC!AR:AR,MATCH(C95,IC!B:B,0))</f>
        <v>#N/A</v>
      </c>
      <c r="T95" s="1558" t="e">
        <f>INDEX(IC!AW:AW,MATCH(C95,IC!B:B,0))</f>
        <v>#N/A</v>
      </c>
      <c r="U95" s="1230" t="e">
        <f>INDEX(IC!AS:AS,MATCH(C95,IC!B:B,0))</f>
        <v>#N/A</v>
      </c>
      <c r="V95" s="261">
        <f>IFERROR(INDEX(AA!$GA:$GA,MATCH($C95,AA!$C:$C,0)),0)</f>
        <v>0</v>
      </c>
      <c r="W95" s="1558">
        <f>IFERROR(V95/INDEX(AO!$CI:$CI,MATCH($C95,AO!$C:$C,0)),0)</f>
        <v>0</v>
      </c>
      <c r="X95" s="1558">
        <f>IFERROR(V95/INDEX(AO!$CS:$CS,MATCH($C95,AO!$C:$C,0)),0)</f>
        <v>0</v>
      </c>
      <c r="Y95" s="1557">
        <f>IFERROR(INDEX(AO!$CN:$CN,MATCH($C95,AO!$C:$C,0))/V95,0)</f>
        <v>0</v>
      </c>
      <c r="Z95" s="261">
        <f>IFERROR(V95/INDEX(AO!$CA:$CA,MATCH($C95,AO!$C:$C,0)),0)</f>
        <v>0</v>
      </c>
      <c r="AB95" t="str">
        <f t="shared" si="3"/>
        <v>87 - 1</v>
      </c>
    </row>
    <row r="96" spans="2:28" outlineLevel="1">
      <c r="B96" s="1563">
        <v>88</v>
      </c>
      <c r="C96" s="1563" t="e">
        <f>INDEX(IC!B:B,MATCH(B96,IC!AY:AY,0))</f>
        <v>#N/A</v>
      </c>
      <c r="D96" s="1257">
        <f>IFERROR(INDEX(AA!$AC:$AC,MATCH($C96,AA!$C:$C,0)),0)</f>
        <v>0</v>
      </c>
      <c r="E96" s="1257" t="e">
        <f>INDEX(IC!G:G,MATCH(AL!C96,IC!B:B,0))</f>
        <v>#N/A</v>
      </c>
      <c r="F96" s="1257">
        <f>IFERROR(INDEX(AA!$AK:$AK,MATCH($C96,AA!$C:$C,0)),0)</f>
        <v>0</v>
      </c>
      <c r="G96" s="1257">
        <f>IFERROR(INDEX(AO!$Q:$Q,MATCH($C96,AO!$C:$C,0)),0)</f>
        <v>0</v>
      </c>
      <c r="H96" s="1257">
        <f>IFERROR(INDEX(AO!$Q:$Q,MATCH($C96,AO!$C:$C,0))-INDEX(AO!$BE$18:$BE$20,MATCH($C96,AO!$C$18:$C$20,0)),0)</f>
        <v>0</v>
      </c>
      <c r="I96" s="1559">
        <f t="shared" si="4"/>
        <v>0</v>
      </c>
      <c r="J96" s="1257">
        <f>IFERROR(INDEX(AO!$Y:$Y,MATCH($C96,AO!$C:$C,0)),0)</f>
        <v>0</v>
      </c>
      <c r="K96" s="1257">
        <f>IFERROR(INDEX(AO!$AI:$AI,MATCH($C96,AO!$C:$C,0)),0)</f>
        <v>0</v>
      </c>
      <c r="L96" s="1560">
        <f>IFERROR(INDEX(AO!$AP:$AP,MATCH($C96,AO!$C:$C,0)),0)</f>
        <v>0</v>
      </c>
      <c r="M96" s="1559">
        <f>IFERROR(SUMIFS(TA!$AJ$15:$AJ$17,TA!$U$15:$U$17,"*FMCG*",TA!$C$15:$C$17,$B96)/SUMIFS(TA!$AJ$15:$AJ$17,TA!$C$15:$C$17,$B96),0)</f>
        <v>0</v>
      </c>
      <c r="N96" s="1257">
        <f>IFERROR(INDEX(AA!$AN:$AN,MATCH($C96,AA!$C:$C,0)),0)</f>
        <v>0</v>
      </c>
      <c r="O96" s="1259" t="e">
        <f>DATEDIF(GA!$G$56,INDEX(RR!$N:$N,MATCH(AB96,RR!$E:$E,0)),"D")/365</f>
        <v>#N/A</v>
      </c>
      <c r="P96" s="1257">
        <f>IFERROR(INDEX(AO!$CV:$CV,MATCH($C96,AO!$C:$C,0)),0)</f>
        <v>0</v>
      </c>
      <c r="Q96" s="1257">
        <f>IFERROR(INDEX(AO!$CZ:$CZ,MATCH($C96,AO!$C:$C,0)),0)</f>
        <v>0</v>
      </c>
      <c r="R96" s="1561">
        <f>IFERROR(INDEX(AO!$DC:$DC,MATCH($C96,AO!$C:$C,0)),0)</f>
        <v>0</v>
      </c>
      <c r="S96" s="1561" t="e">
        <f>INDEX(IC!AR:AR,MATCH(C96,IC!B:B,0))</f>
        <v>#N/A</v>
      </c>
      <c r="T96" s="1562" t="e">
        <f>INDEX(IC!AW:AW,MATCH(C96,IC!B:B,0))</f>
        <v>#N/A</v>
      </c>
      <c r="U96" s="1561" t="e">
        <f>INDEX(IC!AS:AS,MATCH(C96,IC!B:B,0))</f>
        <v>#N/A</v>
      </c>
      <c r="V96" s="1257">
        <f>IFERROR(INDEX(AA!$GA:$GA,MATCH($C96,AA!$C:$C,0)),0)</f>
        <v>0</v>
      </c>
      <c r="W96" s="1562">
        <f>IFERROR(V96/INDEX(AO!$CI:$CI,MATCH($C96,AO!$C:$C,0)),0)</f>
        <v>0</v>
      </c>
      <c r="X96" s="1562">
        <f>IFERROR(V96/INDEX(AO!$CS:$CS,MATCH($C96,AO!$C:$C,0)),0)</f>
        <v>0</v>
      </c>
      <c r="Y96" s="1559">
        <f>IFERROR(INDEX(AO!$CN:$CN,MATCH($C96,AO!$C:$C,0))/V96,0)</f>
        <v>0</v>
      </c>
      <c r="Z96" s="1257">
        <f>IFERROR(V96/INDEX(AO!$CA:$CA,MATCH($C96,AO!$C:$C,0)),0)</f>
        <v>0</v>
      </c>
      <c r="AB96" t="str">
        <f t="shared" si="3"/>
        <v>88 - 1</v>
      </c>
    </row>
    <row r="97" spans="2:28" outlineLevel="1">
      <c r="B97" s="1434">
        <v>89</v>
      </c>
      <c r="C97" s="1434" t="e">
        <f>INDEX(IC!B:B,MATCH(B97,IC!AY:AY,0))</f>
        <v>#N/A</v>
      </c>
      <c r="D97" s="261">
        <f>IFERROR(INDEX(AA!$AC:$AC,MATCH($C97,AA!$C:$C,0)),0)</f>
        <v>0</v>
      </c>
      <c r="E97" s="261" t="e">
        <f>INDEX(IC!G:G,MATCH(AL!C97,IC!B:B,0))</f>
        <v>#N/A</v>
      </c>
      <c r="F97" s="261">
        <f>IFERROR(INDEX(AA!$AK:$AK,MATCH($C97,AA!$C:$C,0)),0)</f>
        <v>0</v>
      </c>
      <c r="G97" s="261">
        <f>IFERROR(INDEX(AO!$Q:$Q,MATCH($C97,AO!$C:$C,0)),0)</f>
        <v>0</v>
      </c>
      <c r="H97" s="261">
        <f>IFERROR(INDEX(AO!$Q:$Q,MATCH($C97,AO!$C:$C,0))-INDEX(AO!$BE$18:$BE$20,MATCH($C97,AO!$C$18:$C$20,0)),0)</f>
        <v>0</v>
      </c>
      <c r="I97" s="1557">
        <f t="shared" si="4"/>
        <v>0</v>
      </c>
      <c r="J97" s="261">
        <f>IFERROR(INDEX(AO!$Y:$Y,MATCH($C97,AO!$C:$C,0)),0)</f>
        <v>0</v>
      </c>
      <c r="K97" s="261">
        <f>IFERROR(INDEX(AO!$AI:$AI,MATCH($C97,AO!$C:$C,0)),0)</f>
        <v>0</v>
      </c>
      <c r="L97" s="1556">
        <f>IFERROR(INDEX(AO!$AP:$AP,MATCH($C97,AO!$C:$C,0)),0)</f>
        <v>0</v>
      </c>
      <c r="M97" s="1557">
        <f>IFERROR(SUMIFS(TA!$AJ$15:$AJ$17,TA!$U$15:$U$17,"*FMCG*",TA!$C$15:$C$17,$B97)/SUMIFS(TA!$AJ$15:$AJ$17,TA!$C$15:$C$17,$B97),0)</f>
        <v>0</v>
      </c>
      <c r="N97" s="261">
        <f>IFERROR(INDEX(AA!$AN:$AN,MATCH($C97,AA!$C:$C,0)),0)</f>
        <v>0</v>
      </c>
      <c r="O97" s="1252" t="e">
        <f>DATEDIF(GA!$G$56,INDEX(RR!$N:$N,MATCH(AB97,RR!$E:$E,0)),"D")/365</f>
        <v>#N/A</v>
      </c>
      <c r="P97" s="261">
        <f>IFERROR(INDEX(AO!$CV:$CV,MATCH($C97,AO!$C:$C,0)),0)</f>
        <v>0</v>
      </c>
      <c r="Q97" s="261">
        <f>IFERROR(INDEX(AO!$CZ:$CZ,MATCH($C97,AO!$C:$C,0)),0)</f>
        <v>0</v>
      </c>
      <c r="R97" s="1230">
        <f>IFERROR(INDEX(AO!$DC:$DC,MATCH($C97,AO!$C:$C,0)),0)</f>
        <v>0</v>
      </c>
      <c r="S97" s="1230" t="e">
        <f>INDEX(IC!AR:AR,MATCH(C97,IC!B:B,0))</f>
        <v>#N/A</v>
      </c>
      <c r="T97" s="1558" t="e">
        <f>INDEX(IC!AW:AW,MATCH(C97,IC!B:B,0))</f>
        <v>#N/A</v>
      </c>
      <c r="U97" s="1230" t="e">
        <f>INDEX(IC!AS:AS,MATCH(C97,IC!B:B,0))</f>
        <v>#N/A</v>
      </c>
      <c r="V97" s="261">
        <f>IFERROR(INDEX(AA!$GA:$GA,MATCH($C97,AA!$C:$C,0)),0)</f>
        <v>0</v>
      </c>
      <c r="W97" s="1558">
        <f>IFERROR(V97/INDEX(AO!$CI:$CI,MATCH($C97,AO!$C:$C,0)),0)</f>
        <v>0</v>
      </c>
      <c r="X97" s="1558">
        <f>IFERROR(V97/INDEX(AO!$CS:$CS,MATCH($C97,AO!$C:$C,0)),0)</f>
        <v>0</v>
      </c>
      <c r="Y97" s="1557">
        <f>IFERROR(INDEX(AO!$CN:$CN,MATCH($C97,AO!$C:$C,0))/V97,0)</f>
        <v>0</v>
      </c>
      <c r="Z97" s="261">
        <f>IFERROR(V97/INDEX(AO!$CA:$CA,MATCH($C97,AO!$C:$C,0)),0)</f>
        <v>0</v>
      </c>
      <c r="AB97" t="str">
        <f t="shared" si="3"/>
        <v>89 - 1</v>
      </c>
    </row>
    <row r="98" spans="2:28" outlineLevel="1">
      <c r="B98" s="1563">
        <v>90</v>
      </c>
      <c r="C98" s="1563" t="e">
        <f>INDEX(IC!B:B,MATCH(B98,IC!AY:AY,0))</f>
        <v>#N/A</v>
      </c>
      <c r="D98" s="1257">
        <f>IFERROR(INDEX(AA!$AC:$AC,MATCH($C98,AA!$C:$C,0)),0)</f>
        <v>0</v>
      </c>
      <c r="E98" s="1257" t="e">
        <f>INDEX(IC!G:G,MATCH(AL!C98,IC!B:B,0))</f>
        <v>#N/A</v>
      </c>
      <c r="F98" s="1257">
        <f>IFERROR(INDEX(AA!$AK:$AK,MATCH($C98,AA!$C:$C,0)),0)</f>
        <v>0</v>
      </c>
      <c r="G98" s="1257">
        <f>IFERROR(INDEX(AO!$Q:$Q,MATCH($C98,AO!$C:$C,0)),0)</f>
        <v>0</v>
      </c>
      <c r="H98" s="1257">
        <f>IFERROR(INDEX(AO!$Q:$Q,MATCH($C98,AO!$C:$C,0))-INDEX(AO!$BE$18:$BE$20,MATCH($C98,AO!$C$18:$C$20,0)),0)</f>
        <v>0</v>
      </c>
      <c r="I98" s="1559">
        <f t="shared" si="4"/>
        <v>0</v>
      </c>
      <c r="J98" s="1257">
        <f>IFERROR(INDEX(AO!$Y:$Y,MATCH($C98,AO!$C:$C,0)),0)</f>
        <v>0</v>
      </c>
      <c r="K98" s="1257">
        <f>IFERROR(INDEX(AO!$AI:$AI,MATCH($C98,AO!$C:$C,0)),0)</f>
        <v>0</v>
      </c>
      <c r="L98" s="1560">
        <f>IFERROR(INDEX(AO!$AP:$AP,MATCH($C98,AO!$C:$C,0)),0)</f>
        <v>0</v>
      </c>
      <c r="M98" s="1559">
        <f>IFERROR(SUMIFS(TA!$AJ$15:$AJ$17,TA!$U$15:$U$17,"*FMCG*",TA!$C$15:$C$17,$B98)/SUMIFS(TA!$AJ$15:$AJ$17,TA!$C$15:$C$17,$B98),0)</f>
        <v>0</v>
      </c>
      <c r="N98" s="1257">
        <f>IFERROR(INDEX(AA!$AN:$AN,MATCH($C98,AA!$C:$C,0)),0)</f>
        <v>0</v>
      </c>
      <c r="O98" s="1259" t="e">
        <f>DATEDIF(GA!$G$56,INDEX(RR!$N:$N,MATCH(AB98,RR!$E:$E,0)),"D")/365</f>
        <v>#N/A</v>
      </c>
      <c r="P98" s="1257">
        <f>IFERROR(INDEX(AO!$CV:$CV,MATCH($C98,AO!$C:$C,0)),0)</f>
        <v>0</v>
      </c>
      <c r="Q98" s="1257">
        <f>IFERROR(INDEX(AO!$CZ:$CZ,MATCH($C98,AO!$C:$C,0)),0)</f>
        <v>0</v>
      </c>
      <c r="R98" s="1561">
        <f>IFERROR(INDEX(AO!$DC:$DC,MATCH($C98,AO!$C:$C,0)),0)</f>
        <v>0</v>
      </c>
      <c r="S98" s="1561" t="e">
        <f>INDEX(IC!AR:AR,MATCH(C98,IC!B:B,0))</f>
        <v>#N/A</v>
      </c>
      <c r="T98" s="1562" t="e">
        <f>INDEX(IC!AW:AW,MATCH(C98,IC!B:B,0))</f>
        <v>#N/A</v>
      </c>
      <c r="U98" s="1561" t="e">
        <f>INDEX(IC!AS:AS,MATCH(C98,IC!B:B,0))</f>
        <v>#N/A</v>
      </c>
      <c r="V98" s="1257">
        <f>IFERROR(INDEX(AA!$GA:$GA,MATCH($C98,AA!$C:$C,0)),0)</f>
        <v>0</v>
      </c>
      <c r="W98" s="1562">
        <f>IFERROR(V98/INDEX(AO!$CI:$CI,MATCH($C98,AO!$C:$C,0)),0)</f>
        <v>0</v>
      </c>
      <c r="X98" s="1562">
        <f>IFERROR(V98/INDEX(AO!$CS:$CS,MATCH($C98,AO!$C:$C,0)),0)</f>
        <v>0</v>
      </c>
      <c r="Y98" s="1559">
        <f>IFERROR(INDEX(AO!$CN:$CN,MATCH($C98,AO!$C:$C,0))/V98,0)</f>
        <v>0</v>
      </c>
      <c r="Z98" s="1257">
        <f>IFERROR(V98/INDEX(AO!$CA:$CA,MATCH($C98,AO!$C:$C,0)),0)</f>
        <v>0</v>
      </c>
      <c r="AB98" t="str">
        <f t="shared" si="3"/>
        <v>90 - 1</v>
      </c>
    </row>
    <row r="99" spans="2:28" outlineLevel="1">
      <c r="B99" s="1434">
        <v>91</v>
      </c>
      <c r="C99" s="1434" t="e">
        <f>INDEX(IC!B:B,MATCH(B99,IC!AY:AY,0))</f>
        <v>#N/A</v>
      </c>
      <c r="D99" s="261">
        <f>IFERROR(INDEX(AA!$AC:$AC,MATCH($C99,AA!$C:$C,0)),0)</f>
        <v>0</v>
      </c>
      <c r="E99" s="261" t="e">
        <f>INDEX(IC!G:G,MATCH(AL!C99,IC!B:B,0))</f>
        <v>#N/A</v>
      </c>
      <c r="F99" s="261">
        <f>IFERROR(INDEX(AA!$AK:$AK,MATCH($C99,AA!$C:$C,0)),0)</f>
        <v>0</v>
      </c>
      <c r="G99" s="261">
        <f>IFERROR(INDEX(AO!$Q:$Q,MATCH($C99,AO!$C:$C,0)),0)</f>
        <v>0</v>
      </c>
      <c r="H99" s="261">
        <f>IFERROR(INDEX(AO!$Q:$Q,MATCH($C99,AO!$C:$C,0))-INDEX(AO!$BE$18:$BE$20,MATCH($C99,AO!$C$18:$C$20,0)),0)</f>
        <v>0</v>
      </c>
      <c r="I99" s="1557">
        <f t="shared" si="4"/>
        <v>0</v>
      </c>
      <c r="J99" s="261">
        <f>IFERROR(INDEX(AO!$Y:$Y,MATCH($C99,AO!$C:$C,0)),0)</f>
        <v>0</v>
      </c>
      <c r="K99" s="261">
        <f>IFERROR(INDEX(AO!$AI:$AI,MATCH($C99,AO!$C:$C,0)),0)</f>
        <v>0</v>
      </c>
      <c r="L99" s="1556">
        <f>IFERROR(INDEX(AO!$AP:$AP,MATCH($C99,AO!$C:$C,0)),0)</f>
        <v>0</v>
      </c>
      <c r="M99" s="1557">
        <f>IFERROR(SUMIFS(TA!$AJ$15:$AJ$17,TA!$U$15:$U$17,"*FMCG*",TA!$C$15:$C$17,$B99)/SUMIFS(TA!$AJ$15:$AJ$17,TA!$C$15:$C$17,$B99),0)</f>
        <v>0</v>
      </c>
      <c r="N99" s="261">
        <f>IFERROR(INDEX(AA!$AN:$AN,MATCH($C99,AA!$C:$C,0)),0)</f>
        <v>0</v>
      </c>
      <c r="O99" s="1252" t="e">
        <f>DATEDIF(GA!$G$56,INDEX(RR!$N:$N,MATCH(AB99,RR!$E:$E,0)),"D")/365</f>
        <v>#N/A</v>
      </c>
      <c r="P99" s="261">
        <f>IFERROR(INDEX(AO!$CV:$CV,MATCH($C99,AO!$C:$C,0)),0)</f>
        <v>0</v>
      </c>
      <c r="Q99" s="261">
        <f>IFERROR(INDEX(AO!$CZ:$CZ,MATCH($C99,AO!$C:$C,0)),0)</f>
        <v>0</v>
      </c>
      <c r="R99" s="1230">
        <f>IFERROR(INDEX(AO!$DC:$DC,MATCH($C99,AO!$C:$C,0)),0)</f>
        <v>0</v>
      </c>
      <c r="S99" s="1230" t="e">
        <f>INDEX(IC!AR:AR,MATCH(C99,IC!B:B,0))</f>
        <v>#N/A</v>
      </c>
      <c r="T99" s="1558" t="e">
        <f>INDEX(IC!AW:AW,MATCH(C99,IC!B:B,0))</f>
        <v>#N/A</v>
      </c>
      <c r="U99" s="1230" t="e">
        <f>INDEX(IC!AS:AS,MATCH(C99,IC!B:B,0))</f>
        <v>#N/A</v>
      </c>
      <c r="V99" s="261">
        <f>IFERROR(INDEX(AA!$GA:$GA,MATCH($C99,AA!$C:$C,0)),0)</f>
        <v>0</v>
      </c>
      <c r="W99" s="1558">
        <f>IFERROR(V99/INDEX(AO!$CI:$CI,MATCH($C99,AO!$C:$C,0)),0)</f>
        <v>0</v>
      </c>
      <c r="X99" s="1558">
        <f>IFERROR(V99/INDEX(AO!$CS:$CS,MATCH($C99,AO!$C:$C,0)),0)</f>
        <v>0</v>
      </c>
      <c r="Y99" s="1557">
        <f>IFERROR(INDEX(AO!$CN:$CN,MATCH($C99,AO!$C:$C,0))/V99,0)</f>
        <v>0</v>
      </c>
      <c r="Z99" s="261">
        <f>IFERROR(V99/INDEX(AO!$CA:$CA,MATCH($C99,AO!$C:$C,0)),0)</f>
        <v>0</v>
      </c>
      <c r="AB99" t="str">
        <f t="shared" si="3"/>
        <v>91 - 1</v>
      </c>
    </row>
    <row r="100" spans="2:28" outlineLevel="1">
      <c r="B100" s="1563">
        <v>92</v>
      </c>
      <c r="C100" s="1563" t="e">
        <f>INDEX(IC!B:B,MATCH(B100,IC!AY:AY,0))</f>
        <v>#N/A</v>
      </c>
      <c r="D100" s="1257">
        <f>IFERROR(INDEX(AA!$AC:$AC,MATCH($C100,AA!$C:$C,0)),0)</f>
        <v>0</v>
      </c>
      <c r="E100" s="1257" t="e">
        <f>INDEX(IC!G:G,MATCH(AL!C100,IC!B:B,0))</f>
        <v>#N/A</v>
      </c>
      <c r="F100" s="1257">
        <f>IFERROR(INDEX(AA!$AK:$AK,MATCH($C100,AA!$C:$C,0)),0)</f>
        <v>0</v>
      </c>
      <c r="G100" s="1257">
        <f>IFERROR(INDEX(AO!$Q:$Q,MATCH($C100,AO!$C:$C,0)),0)</f>
        <v>0</v>
      </c>
      <c r="H100" s="1257">
        <f>IFERROR(INDEX(AO!$Q:$Q,MATCH($C100,AO!$C:$C,0))-INDEX(AO!$BE$18:$BE$20,MATCH($C100,AO!$C$18:$C$20,0)),0)</f>
        <v>0</v>
      </c>
      <c r="I100" s="1559">
        <f t="shared" si="4"/>
        <v>0</v>
      </c>
      <c r="J100" s="1257">
        <f>IFERROR(INDEX(AO!$Y:$Y,MATCH($C100,AO!$C:$C,0)),0)</f>
        <v>0</v>
      </c>
      <c r="K100" s="1257">
        <f>IFERROR(INDEX(AO!$AI:$AI,MATCH($C100,AO!$C:$C,0)),0)</f>
        <v>0</v>
      </c>
      <c r="L100" s="1560">
        <f>IFERROR(INDEX(AO!$AP:$AP,MATCH($C100,AO!$C:$C,0)),0)</f>
        <v>0</v>
      </c>
      <c r="M100" s="1559">
        <f>IFERROR(SUMIFS(TA!$AJ$15:$AJ$17,TA!$U$15:$U$17,"*FMCG*",TA!$C$15:$C$17,$B100)/SUMIFS(TA!$AJ$15:$AJ$17,TA!$C$15:$C$17,$B100),0)</f>
        <v>0</v>
      </c>
      <c r="N100" s="1257">
        <f>IFERROR(INDEX(AA!$AN:$AN,MATCH($C100,AA!$C:$C,0)),0)</f>
        <v>0</v>
      </c>
      <c r="O100" s="1259" t="e">
        <f>DATEDIF(GA!$G$56,INDEX(RR!$N:$N,MATCH(AB100,RR!$E:$E,0)),"D")/365</f>
        <v>#N/A</v>
      </c>
      <c r="P100" s="1257">
        <f>IFERROR(INDEX(AO!$CV:$CV,MATCH($C100,AO!$C:$C,0)),0)</f>
        <v>0</v>
      </c>
      <c r="Q100" s="1257">
        <f>IFERROR(INDEX(AO!$CZ:$CZ,MATCH($C100,AO!$C:$C,0)),0)</f>
        <v>0</v>
      </c>
      <c r="R100" s="1561">
        <f>IFERROR(INDEX(AO!$DC:$DC,MATCH($C100,AO!$C:$C,0)),0)</f>
        <v>0</v>
      </c>
      <c r="S100" s="1561" t="e">
        <f>INDEX(IC!AR:AR,MATCH(C100,IC!B:B,0))</f>
        <v>#N/A</v>
      </c>
      <c r="T100" s="1562" t="e">
        <f>INDEX(IC!AW:AW,MATCH(C100,IC!B:B,0))</f>
        <v>#N/A</v>
      </c>
      <c r="U100" s="1561" t="e">
        <f>INDEX(IC!AS:AS,MATCH(C100,IC!B:B,0))</f>
        <v>#N/A</v>
      </c>
      <c r="V100" s="1257">
        <f>IFERROR(INDEX(AA!$GA:$GA,MATCH($C100,AA!$C:$C,0)),0)</f>
        <v>0</v>
      </c>
      <c r="W100" s="1562">
        <f>IFERROR(V100/INDEX(AO!$CI:$CI,MATCH($C100,AO!$C:$C,0)),0)</f>
        <v>0</v>
      </c>
      <c r="X100" s="1562">
        <f>IFERROR(V100/INDEX(AO!$CS:$CS,MATCH($C100,AO!$C:$C,0)),0)</f>
        <v>0</v>
      </c>
      <c r="Y100" s="1559">
        <f>IFERROR(INDEX(AO!$CN:$CN,MATCH($C100,AO!$C:$C,0))/V100,0)</f>
        <v>0</v>
      </c>
      <c r="Z100" s="1257">
        <f>IFERROR(V100/INDEX(AO!$CA:$CA,MATCH($C100,AO!$C:$C,0)),0)</f>
        <v>0</v>
      </c>
      <c r="AB100" t="str">
        <f t="shared" si="3"/>
        <v>92 - 1</v>
      </c>
    </row>
    <row r="101" spans="2:28" outlineLevel="1">
      <c r="B101" s="1434">
        <v>93</v>
      </c>
      <c r="C101" s="1434" t="e">
        <f>INDEX(IC!B:B,MATCH(B101,IC!AY:AY,0))</f>
        <v>#N/A</v>
      </c>
      <c r="D101" s="261">
        <f>IFERROR(INDEX(AA!$AC:$AC,MATCH($C101,AA!$C:$C,0)),0)</f>
        <v>0</v>
      </c>
      <c r="E101" s="261" t="e">
        <f>INDEX(IC!G:G,MATCH(AL!C101,IC!B:B,0))</f>
        <v>#N/A</v>
      </c>
      <c r="F101" s="261">
        <f>IFERROR(INDEX(AA!$AK:$AK,MATCH($C101,AA!$C:$C,0)),0)</f>
        <v>0</v>
      </c>
      <c r="G101" s="261">
        <f>IFERROR(INDEX(AO!$Q:$Q,MATCH($C101,AO!$C:$C,0)),0)</f>
        <v>0</v>
      </c>
      <c r="H101" s="261">
        <f>IFERROR(INDEX(AO!$Q:$Q,MATCH($C101,AO!$C:$C,0))-INDEX(AO!$BE$18:$BE$20,MATCH($C101,AO!$C$18:$C$20,0)),0)</f>
        <v>0</v>
      </c>
      <c r="I101" s="1557">
        <f t="shared" si="4"/>
        <v>0</v>
      </c>
      <c r="J101" s="261">
        <f>IFERROR(INDEX(AO!$Y:$Y,MATCH($C101,AO!$C:$C,0)),0)</f>
        <v>0</v>
      </c>
      <c r="K101" s="261">
        <f>IFERROR(INDEX(AO!$AI:$AI,MATCH($C101,AO!$C:$C,0)),0)</f>
        <v>0</v>
      </c>
      <c r="L101" s="1556">
        <f>IFERROR(INDEX(AO!$AP:$AP,MATCH($C101,AO!$C:$C,0)),0)</f>
        <v>0</v>
      </c>
      <c r="M101" s="1557">
        <f>IFERROR(SUMIFS(TA!$AJ$15:$AJ$17,TA!$U$15:$U$17,"*FMCG*",TA!$C$15:$C$17,$B101)/SUMIFS(TA!$AJ$15:$AJ$17,TA!$C$15:$C$17,$B101),0)</f>
        <v>0</v>
      </c>
      <c r="N101" s="261">
        <f>IFERROR(INDEX(AA!$AN:$AN,MATCH($C101,AA!$C:$C,0)),0)</f>
        <v>0</v>
      </c>
      <c r="O101" s="1252" t="e">
        <f>DATEDIF(GA!$G$56,INDEX(RR!$N:$N,MATCH(AB101,RR!$E:$E,0)),"D")/365</f>
        <v>#N/A</v>
      </c>
      <c r="P101" s="261">
        <f>IFERROR(INDEX(AO!$CV:$CV,MATCH($C101,AO!$C:$C,0)),0)</f>
        <v>0</v>
      </c>
      <c r="Q101" s="261">
        <f>IFERROR(INDEX(AO!$CZ:$CZ,MATCH($C101,AO!$C:$C,0)),0)</f>
        <v>0</v>
      </c>
      <c r="R101" s="1230">
        <f>IFERROR(INDEX(AO!$DC:$DC,MATCH($C101,AO!$C:$C,0)),0)</f>
        <v>0</v>
      </c>
      <c r="S101" s="1230" t="e">
        <f>INDEX(IC!AR:AR,MATCH(C101,IC!B:B,0))</f>
        <v>#N/A</v>
      </c>
      <c r="T101" s="1558" t="e">
        <f>INDEX(IC!AW:AW,MATCH(C101,IC!B:B,0))</f>
        <v>#N/A</v>
      </c>
      <c r="U101" s="1230" t="e">
        <f>INDEX(IC!AS:AS,MATCH(C101,IC!B:B,0))</f>
        <v>#N/A</v>
      </c>
      <c r="V101" s="261">
        <f>IFERROR(INDEX(AA!$GA:$GA,MATCH($C101,AA!$C:$C,0)),0)</f>
        <v>0</v>
      </c>
      <c r="W101" s="1558">
        <f>IFERROR(V101/INDEX(AO!$CI:$CI,MATCH($C101,AO!$C:$C,0)),0)</f>
        <v>0</v>
      </c>
      <c r="X101" s="1558">
        <f>IFERROR(V101/INDEX(AO!$CS:$CS,MATCH($C101,AO!$C:$C,0)),0)</f>
        <v>0</v>
      </c>
      <c r="Y101" s="1557">
        <f>IFERROR(INDEX(AO!$CN:$CN,MATCH($C101,AO!$C:$C,0))/V101,0)</f>
        <v>0</v>
      </c>
      <c r="Z101" s="261">
        <f>IFERROR(V101/INDEX(AO!$CA:$CA,MATCH($C101,AO!$C:$C,0)),0)</f>
        <v>0</v>
      </c>
      <c r="AB101" t="str">
        <f t="shared" si="3"/>
        <v>93 - 1</v>
      </c>
    </row>
    <row r="102" spans="2:28" outlineLevel="1">
      <c r="B102" s="1563">
        <v>94</v>
      </c>
      <c r="C102" s="1563" t="e">
        <f>INDEX(IC!B:B,MATCH(B102,IC!AY:AY,0))</f>
        <v>#N/A</v>
      </c>
      <c r="D102" s="1257">
        <f>IFERROR(INDEX(AA!$AC:$AC,MATCH($C102,AA!$C:$C,0)),0)</f>
        <v>0</v>
      </c>
      <c r="E102" s="1257" t="e">
        <f>INDEX(IC!G:G,MATCH(AL!C102,IC!B:B,0))</f>
        <v>#N/A</v>
      </c>
      <c r="F102" s="1257">
        <f>IFERROR(INDEX(AA!$AK:$AK,MATCH($C102,AA!$C:$C,0)),0)</f>
        <v>0</v>
      </c>
      <c r="G102" s="1257">
        <f>IFERROR(INDEX(AO!$Q:$Q,MATCH($C102,AO!$C:$C,0)),0)</f>
        <v>0</v>
      </c>
      <c r="H102" s="1257">
        <f>IFERROR(INDEX(AO!$Q:$Q,MATCH($C102,AO!$C:$C,0))-INDEX(AO!$BE$18:$BE$20,MATCH($C102,AO!$C$18:$C$20,0)),0)</f>
        <v>0</v>
      </c>
      <c r="I102" s="1559">
        <f t="shared" si="4"/>
        <v>0</v>
      </c>
      <c r="J102" s="1257">
        <f>IFERROR(INDEX(AO!$Y:$Y,MATCH($C102,AO!$C:$C,0)),0)</f>
        <v>0</v>
      </c>
      <c r="K102" s="1257">
        <f>IFERROR(INDEX(AO!$AI:$AI,MATCH($C102,AO!$C:$C,0)),0)</f>
        <v>0</v>
      </c>
      <c r="L102" s="1560">
        <f>IFERROR(INDEX(AO!$AP:$AP,MATCH($C102,AO!$C:$C,0)),0)</f>
        <v>0</v>
      </c>
      <c r="M102" s="1559">
        <f>IFERROR(SUMIFS(TA!$AJ$15:$AJ$17,TA!$U$15:$U$17,"*FMCG*",TA!$C$15:$C$17,$B102)/SUMIFS(TA!$AJ$15:$AJ$17,TA!$C$15:$C$17,$B102),0)</f>
        <v>0</v>
      </c>
      <c r="N102" s="1257">
        <f>IFERROR(INDEX(AA!$AN:$AN,MATCH($C102,AA!$C:$C,0)),0)</f>
        <v>0</v>
      </c>
      <c r="O102" s="1259" t="e">
        <f>DATEDIF(GA!$G$56,INDEX(RR!$N:$N,MATCH(AB102,RR!$E:$E,0)),"D")/365</f>
        <v>#N/A</v>
      </c>
      <c r="P102" s="1257">
        <f>IFERROR(INDEX(AO!$CV:$CV,MATCH($C102,AO!$C:$C,0)),0)</f>
        <v>0</v>
      </c>
      <c r="Q102" s="1257">
        <f>IFERROR(INDEX(AO!$CZ:$CZ,MATCH($C102,AO!$C:$C,0)),0)</f>
        <v>0</v>
      </c>
      <c r="R102" s="1561">
        <f>IFERROR(INDEX(AO!$DC:$DC,MATCH($C102,AO!$C:$C,0)),0)</f>
        <v>0</v>
      </c>
      <c r="S102" s="1561" t="e">
        <f>INDEX(IC!AR:AR,MATCH(C102,IC!B:B,0))</f>
        <v>#N/A</v>
      </c>
      <c r="T102" s="1562" t="e">
        <f>INDEX(IC!AW:AW,MATCH(C102,IC!B:B,0))</f>
        <v>#N/A</v>
      </c>
      <c r="U102" s="1561" t="e">
        <f>INDEX(IC!AS:AS,MATCH(C102,IC!B:B,0))</f>
        <v>#N/A</v>
      </c>
      <c r="V102" s="1257">
        <f>IFERROR(INDEX(AA!$GA:$GA,MATCH($C102,AA!$C:$C,0)),0)</f>
        <v>0</v>
      </c>
      <c r="W102" s="1562">
        <f>IFERROR(V102/INDEX(AO!$CI:$CI,MATCH($C102,AO!$C:$C,0)),0)</f>
        <v>0</v>
      </c>
      <c r="X102" s="1562">
        <f>IFERROR(V102/INDEX(AO!$CS:$CS,MATCH($C102,AO!$C:$C,0)),0)</f>
        <v>0</v>
      </c>
      <c r="Y102" s="1559">
        <f>IFERROR(INDEX(AO!$CN:$CN,MATCH($C102,AO!$C:$C,0))/V102,0)</f>
        <v>0</v>
      </c>
      <c r="Z102" s="1257">
        <f>IFERROR(V102/INDEX(AO!$CA:$CA,MATCH($C102,AO!$C:$C,0)),0)</f>
        <v>0</v>
      </c>
      <c r="AB102" t="str">
        <f t="shared" si="3"/>
        <v>94 - 1</v>
      </c>
    </row>
    <row r="103" spans="2:28" outlineLevel="1">
      <c r="B103" s="1434">
        <v>95</v>
      </c>
      <c r="C103" s="1434" t="e">
        <f>INDEX(IC!B:B,MATCH(B103,IC!AY:AY,0))</f>
        <v>#N/A</v>
      </c>
      <c r="D103" s="261">
        <f>IFERROR(INDEX(AA!$AC:$AC,MATCH($C103,AA!$C:$C,0)),0)</f>
        <v>0</v>
      </c>
      <c r="E103" s="261" t="e">
        <f>INDEX(IC!G:G,MATCH(AL!C103,IC!B:B,0))</f>
        <v>#N/A</v>
      </c>
      <c r="F103" s="261">
        <f>IFERROR(INDEX(AA!$AK:$AK,MATCH($C103,AA!$C:$C,0)),0)</f>
        <v>0</v>
      </c>
      <c r="G103" s="261">
        <f>IFERROR(INDEX(AO!$Q:$Q,MATCH($C103,AO!$C:$C,0)),0)</f>
        <v>0</v>
      </c>
      <c r="H103" s="261">
        <f>IFERROR(INDEX(AO!$Q:$Q,MATCH($C103,AO!$C:$C,0))-INDEX(AO!$BE$18:$BE$20,MATCH($C103,AO!$C$18:$C$20,0)),0)</f>
        <v>0</v>
      </c>
      <c r="I103" s="1557">
        <f t="shared" si="4"/>
        <v>0</v>
      </c>
      <c r="J103" s="261">
        <f>IFERROR(INDEX(AO!$Y:$Y,MATCH($C103,AO!$C:$C,0)),0)</f>
        <v>0</v>
      </c>
      <c r="K103" s="261">
        <f>IFERROR(INDEX(AO!$AI:$AI,MATCH($C103,AO!$C:$C,0)),0)</f>
        <v>0</v>
      </c>
      <c r="L103" s="1556">
        <f>IFERROR(INDEX(AO!$AP:$AP,MATCH($C103,AO!$C:$C,0)),0)</f>
        <v>0</v>
      </c>
      <c r="M103" s="1557">
        <f>IFERROR(SUMIFS(TA!$AJ$15:$AJ$17,TA!$U$15:$U$17,"*FMCG*",TA!$C$15:$C$17,$B103)/SUMIFS(TA!$AJ$15:$AJ$17,TA!$C$15:$C$17,$B103),0)</f>
        <v>0</v>
      </c>
      <c r="N103" s="261">
        <f>IFERROR(INDEX(AA!$AN:$AN,MATCH($C103,AA!$C:$C,0)),0)</f>
        <v>0</v>
      </c>
      <c r="O103" s="1252" t="e">
        <f>DATEDIF(GA!$G$56,INDEX(RR!$N:$N,MATCH(AB103,RR!$E:$E,0)),"D")/365</f>
        <v>#N/A</v>
      </c>
      <c r="P103" s="261">
        <f>IFERROR(INDEX(AO!$CV:$CV,MATCH($C103,AO!$C:$C,0)),0)</f>
        <v>0</v>
      </c>
      <c r="Q103" s="261">
        <f>IFERROR(INDEX(AO!$CZ:$CZ,MATCH($C103,AO!$C:$C,0)),0)</f>
        <v>0</v>
      </c>
      <c r="R103" s="1230">
        <f>IFERROR(INDEX(AO!$DC:$DC,MATCH($C103,AO!$C:$C,0)),0)</f>
        <v>0</v>
      </c>
      <c r="S103" s="1230" t="e">
        <f>INDEX(IC!AR:AR,MATCH(C103,IC!B:B,0))</f>
        <v>#N/A</v>
      </c>
      <c r="T103" s="1558" t="e">
        <f>INDEX(IC!AW:AW,MATCH(C103,IC!B:B,0))</f>
        <v>#N/A</v>
      </c>
      <c r="U103" s="1230" t="e">
        <f>INDEX(IC!AS:AS,MATCH(C103,IC!B:B,0))</f>
        <v>#N/A</v>
      </c>
      <c r="V103" s="261">
        <f>IFERROR(INDEX(AA!$GA:$GA,MATCH($C103,AA!$C:$C,0)),0)</f>
        <v>0</v>
      </c>
      <c r="W103" s="1558">
        <f>IFERROR(V103/INDEX(AO!$CI:$CI,MATCH($C103,AO!$C:$C,0)),0)</f>
        <v>0</v>
      </c>
      <c r="X103" s="1558">
        <f>IFERROR(V103/INDEX(AO!$CS:$CS,MATCH($C103,AO!$C:$C,0)),0)</f>
        <v>0</v>
      </c>
      <c r="Y103" s="1557">
        <f>IFERROR(INDEX(AO!$CN:$CN,MATCH($C103,AO!$C:$C,0))/V103,0)</f>
        <v>0</v>
      </c>
      <c r="Z103" s="261">
        <f>IFERROR(V103/INDEX(AO!$CA:$CA,MATCH($C103,AO!$C:$C,0)),0)</f>
        <v>0</v>
      </c>
      <c r="AB103" t="str">
        <f t="shared" si="3"/>
        <v>95 - 1</v>
      </c>
    </row>
    <row r="104" spans="2:28" outlineLevel="1">
      <c r="B104" s="1563">
        <v>96</v>
      </c>
      <c r="C104" s="1563" t="e">
        <f>INDEX(IC!B:B,MATCH(B104,IC!AY:AY,0))</f>
        <v>#N/A</v>
      </c>
      <c r="D104" s="1257">
        <f>IFERROR(INDEX(AA!$AC:$AC,MATCH($C104,AA!$C:$C,0)),0)</f>
        <v>0</v>
      </c>
      <c r="E104" s="1257" t="e">
        <f>INDEX(IC!G:G,MATCH(AL!C104,IC!B:B,0))</f>
        <v>#N/A</v>
      </c>
      <c r="F104" s="1257">
        <f>IFERROR(INDEX(AA!$AK:$AK,MATCH($C104,AA!$C:$C,0)),0)</f>
        <v>0</v>
      </c>
      <c r="G104" s="1257">
        <f>IFERROR(INDEX(AO!$Q:$Q,MATCH($C104,AO!$C:$C,0)),0)</f>
        <v>0</v>
      </c>
      <c r="H104" s="1257">
        <f>IFERROR(INDEX(AO!$Q:$Q,MATCH($C104,AO!$C:$C,0))-INDEX(AO!$BE$18:$BE$20,MATCH($C104,AO!$C$18:$C$20,0)),0)</f>
        <v>0</v>
      </c>
      <c r="I104" s="1559">
        <f t="shared" si="4"/>
        <v>0</v>
      </c>
      <c r="J104" s="1257">
        <f>IFERROR(INDEX(AO!$Y:$Y,MATCH($C104,AO!$C:$C,0)),0)</f>
        <v>0</v>
      </c>
      <c r="K104" s="1257">
        <f>IFERROR(INDEX(AO!$AI:$AI,MATCH($C104,AO!$C:$C,0)),0)</f>
        <v>0</v>
      </c>
      <c r="L104" s="1560">
        <f>IFERROR(INDEX(AO!$AP:$AP,MATCH($C104,AO!$C:$C,0)),0)</f>
        <v>0</v>
      </c>
      <c r="M104" s="1559">
        <f>IFERROR(SUMIFS(TA!$AJ$15:$AJ$17,TA!$U$15:$U$17,"*FMCG*",TA!$C$15:$C$17,$B104)/SUMIFS(TA!$AJ$15:$AJ$17,TA!$C$15:$C$17,$B104),0)</f>
        <v>0</v>
      </c>
      <c r="N104" s="1257">
        <f>IFERROR(INDEX(AA!$AN:$AN,MATCH($C104,AA!$C:$C,0)),0)</f>
        <v>0</v>
      </c>
      <c r="O104" s="1259" t="e">
        <f>DATEDIF(GA!$G$56,INDEX(RR!$N:$N,MATCH(AB104,RR!$E:$E,0)),"D")/365</f>
        <v>#N/A</v>
      </c>
      <c r="P104" s="1257">
        <f>IFERROR(INDEX(AO!$CV:$CV,MATCH($C104,AO!$C:$C,0)),0)</f>
        <v>0</v>
      </c>
      <c r="Q104" s="1257">
        <f>IFERROR(INDEX(AO!$CZ:$CZ,MATCH($C104,AO!$C:$C,0)),0)</f>
        <v>0</v>
      </c>
      <c r="R104" s="1561">
        <f>IFERROR(INDEX(AO!$DC:$DC,MATCH($C104,AO!$C:$C,0)),0)</f>
        <v>0</v>
      </c>
      <c r="S104" s="1561" t="e">
        <f>INDEX(IC!AR:AR,MATCH(C104,IC!B:B,0))</f>
        <v>#N/A</v>
      </c>
      <c r="T104" s="1562" t="e">
        <f>INDEX(IC!AW:AW,MATCH(C104,IC!B:B,0))</f>
        <v>#N/A</v>
      </c>
      <c r="U104" s="1561" t="e">
        <f>INDEX(IC!AS:AS,MATCH(C104,IC!B:B,0))</f>
        <v>#N/A</v>
      </c>
      <c r="V104" s="1257">
        <f>IFERROR(INDEX(AA!$GA:$GA,MATCH($C104,AA!$C:$C,0)),0)</f>
        <v>0</v>
      </c>
      <c r="W104" s="1562">
        <f>IFERROR(V104/INDEX(AO!$CI:$CI,MATCH($C104,AO!$C:$C,0)),0)</f>
        <v>0</v>
      </c>
      <c r="X104" s="1562">
        <f>IFERROR(V104/INDEX(AO!$CS:$CS,MATCH($C104,AO!$C:$C,0)),0)</f>
        <v>0</v>
      </c>
      <c r="Y104" s="1559">
        <f>IFERROR(INDEX(AO!$CN:$CN,MATCH($C104,AO!$C:$C,0))/V104,0)</f>
        <v>0</v>
      </c>
      <c r="Z104" s="1257">
        <f>IFERROR(V104/INDEX(AO!$CA:$CA,MATCH($C104,AO!$C:$C,0)),0)</f>
        <v>0</v>
      </c>
      <c r="AB104" t="str">
        <f t="shared" si="3"/>
        <v>96 - 1</v>
      </c>
    </row>
    <row r="105" spans="2:28" outlineLevel="1">
      <c r="B105" s="1434">
        <v>97</v>
      </c>
      <c r="C105" s="1434" t="e">
        <f>INDEX(IC!B:B,MATCH(B105,IC!AY:AY,0))</f>
        <v>#N/A</v>
      </c>
      <c r="D105" s="261">
        <f>IFERROR(INDEX(AA!$AC:$AC,MATCH($C105,AA!$C:$C,0)),0)</f>
        <v>0</v>
      </c>
      <c r="E105" s="261" t="e">
        <f>INDEX(IC!G:G,MATCH(AL!C105,IC!B:B,0))</f>
        <v>#N/A</v>
      </c>
      <c r="F105" s="261">
        <f>IFERROR(INDEX(AA!$AK:$AK,MATCH($C105,AA!$C:$C,0)),0)</f>
        <v>0</v>
      </c>
      <c r="G105" s="261">
        <f>IFERROR(INDEX(AO!$Q:$Q,MATCH($C105,AO!$C:$C,0)),0)</f>
        <v>0</v>
      </c>
      <c r="H105" s="261">
        <f>IFERROR(INDEX(AO!$Q:$Q,MATCH($C105,AO!$C:$C,0))-INDEX(AO!$BE$18:$BE$20,MATCH($C105,AO!$C$18:$C$20,0)),0)</f>
        <v>0</v>
      </c>
      <c r="I105" s="1557">
        <f t="shared" si="4"/>
        <v>0</v>
      </c>
      <c r="J105" s="261">
        <f>IFERROR(INDEX(AO!$Y:$Y,MATCH($C105,AO!$C:$C,0)),0)</f>
        <v>0</v>
      </c>
      <c r="K105" s="261">
        <f>IFERROR(INDEX(AO!$AI:$AI,MATCH($C105,AO!$C:$C,0)),0)</f>
        <v>0</v>
      </c>
      <c r="L105" s="1556">
        <f>IFERROR(INDEX(AO!$AP:$AP,MATCH($C105,AO!$C:$C,0)),0)</f>
        <v>0</v>
      </c>
      <c r="M105" s="1557">
        <f>IFERROR(SUMIFS(TA!$AJ$15:$AJ$17,TA!$U$15:$U$17,"*FMCG*",TA!$C$15:$C$17,$B105)/SUMIFS(TA!$AJ$15:$AJ$17,TA!$C$15:$C$17,$B105),0)</f>
        <v>0</v>
      </c>
      <c r="N105" s="261">
        <f>IFERROR(INDEX(AA!$AN:$AN,MATCH($C105,AA!$C:$C,0)),0)</f>
        <v>0</v>
      </c>
      <c r="O105" s="1252" t="e">
        <f>DATEDIF(GA!$G$56,INDEX(RR!$N:$N,MATCH(AB105,RR!$E:$E,0)),"D")/365</f>
        <v>#N/A</v>
      </c>
      <c r="P105" s="261">
        <f>IFERROR(INDEX(AO!$CV:$CV,MATCH($C105,AO!$C:$C,0)),0)</f>
        <v>0</v>
      </c>
      <c r="Q105" s="261">
        <f>IFERROR(INDEX(AO!$CZ:$CZ,MATCH($C105,AO!$C:$C,0)),0)</f>
        <v>0</v>
      </c>
      <c r="R105" s="1230">
        <f>IFERROR(INDEX(AO!$DC:$DC,MATCH($C105,AO!$C:$C,0)),0)</f>
        <v>0</v>
      </c>
      <c r="S105" s="1230" t="e">
        <f>INDEX(IC!AR:AR,MATCH(C105,IC!B:B,0))</f>
        <v>#N/A</v>
      </c>
      <c r="T105" s="1558" t="e">
        <f>INDEX(IC!AW:AW,MATCH(C105,IC!B:B,0))</f>
        <v>#N/A</v>
      </c>
      <c r="U105" s="1230" t="e">
        <f>INDEX(IC!AS:AS,MATCH(C105,IC!B:B,0))</f>
        <v>#N/A</v>
      </c>
      <c r="V105" s="261">
        <f>IFERROR(INDEX(AA!$GA:$GA,MATCH($C105,AA!$C:$C,0)),0)</f>
        <v>0</v>
      </c>
      <c r="W105" s="1558">
        <f>IFERROR(V105/INDEX(AO!$CI:$CI,MATCH($C105,AO!$C:$C,0)),0)</f>
        <v>0</v>
      </c>
      <c r="X105" s="1558">
        <f>IFERROR(V105/INDEX(AO!$CS:$CS,MATCH($C105,AO!$C:$C,0)),0)</f>
        <v>0</v>
      </c>
      <c r="Y105" s="1557">
        <f>IFERROR(INDEX(AO!$CN:$CN,MATCH($C105,AO!$C:$C,0))/V105,0)</f>
        <v>0</v>
      </c>
      <c r="Z105" s="261">
        <f>IFERROR(V105/INDEX(AO!$CA:$CA,MATCH($C105,AO!$C:$C,0)),0)</f>
        <v>0</v>
      </c>
      <c r="AB105" t="str">
        <f t="shared" si="3"/>
        <v>97 - 1</v>
      </c>
    </row>
    <row r="106" spans="2:28" outlineLevel="1">
      <c r="B106" s="1563">
        <v>98</v>
      </c>
      <c r="C106" s="1563" t="e">
        <f>INDEX(IC!B:B,MATCH(B106,IC!AY:AY,0))</f>
        <v>#N/A</v>
      </c>
      <c r="D106" s="1257">
        <f>IFERROR(INDEX(AA!$AC:$AC,MATCH($C106,AA!$C:$C,0)),0)</f>
        <v>0</v>
      </c>
      <c r="E106" s="1257" t="e">
        <f>INDEX(IC!G:G,MATCH(AL!C106,IC!B:B,0))</f>
        <v>#N/A</v>
      </c>
      <c r="F106" s="1257">
        <f>IFERROR(INDEX(AA!$AK:$AK,MATCH($C106,AA!$C:$C,0)),0)</f>
        <v>0</v>
      </c>
      <c r="G106" s="1257">
        <f>IFERROR(INDEX(AO!$Q:$Q,MATCH($C106,AO!$C:$C,0)),0)</f>
        <v>0</v>
      </c>
      <c r="H106" s="1257">
        <f>IFERROR(INDEX(AO!$Q:$Q,MATCH($C106,AO!$C:$C,0))-INDEX(AO!$BE$18:$BE$20,MATCH($C106,AO!$C$18:$C$20,0)),0)</f>
        <v>0</v>
      </c>
      <c r="I106" s="1559">
        <f t="shared" si="4"/>
        <v>0</v>
      </c>
      <c r="J106" s="1257">
        <f>IFERROR(INDEX(AO!$Y:$Y,MATCH($C106,AO!$C:$C,0)),0)</f>
        <v>0</v>
      </c>
      <c r="K106" s="1257">
        <f>IFERROR(INDEX(AO!$AI:$AI,MATCH($C106,AO!$C:$C,0)),0)</f>
        <v>0</v>
      </c>
      <c r="L106" s="1560">
        <f>IFERROR(INDEX(AO!$AP:$AP,MATCH($C106,AO!$C:$C,0)),0)</f>
        <v>0</v>
      </c>
      <c r="M106" s="1559">
        <f>IFERROR(SUMIFS(TA!$AJ$15:$AJ$17,TA!$U$15:$U$17,"*FMCG*",TA!$C$15:$C$17,$B106)/SUMIFS(TA!$AJ$15:$AJ$17,TA!$C$15:$C$17,$B106),0)</f>
        <v>0</v>
      </c>
      <c r="N106" s="1257">
        <f>IFERROR(INDEX(AA!$AN:$AN,MATCH($C106,AA!$C:$C,0)),0)</f>
        <v>0</v>
      </c>
      <c r="O106" s="1259" t="e">
        <f>DATEDIF(GA!$G$56,INDEX(RR!$N:$N,MATCH(AB106,RR!$E:$E,0)),"D")/365</f>
        <v>#N/A</v>
      </c>
      <c r="P106" s="1257">
        <f>IFERROR(INDEX(AO!$CV:$CV,MATCH($C106,AO!$C:$C,0)),0)</f>
        <v>0</v>
      </c>
      <c r="Q106" s="1257">
        <f>IFERROR(INDEX(AO!$CZ:$CZ,MATCH($C106,AO!$C:$C,0)),0)</f>
        <v>0</v>
      </c>
      <c r="R106" s="1561">
        <f>IFERROR(INDEX(AO!$DC:$DC,MATCH($C106,AO!$C:$C,0)),0)</f>
        <v>0</v>
      </c>
      <c r="S106" s="1561" t="e">
        <f>INDEX(IC!AR:AR,MATCH(C106,IC!B:B,0))</f>
        <v>#N/A</v>
      </c>
      <c r="T106" s="1562" t="e">
        <f>INDEX(IC!AW:AW,MATCH(C106,IC!B:B,0))</f>
        <v>#N/A</v>
      </c>
      <c r="U106" s="1561" t="e">
        <f>INDEX(IC!AS:AS,MATCH(C106,IC!B:B,0))</f>
        <v>#N/A</v>
      </c>
      <c r="V106" s="1257">
        <f>IFERROR(INDEX(AA!$GA:$GA,MATCH($C106,AA!$C:$C,0)),0)</f>
        <v>0</v>
      </c>
      <c r="W106" s="1562">
        <f>IFERROR(V106/INDEX(AO!$CI:$CI,MATCH($C106,AO!$C:$C,0)),0)</f>
        <v>0</v>
      </c>
      <c r="X106" s="1562">
        <f>IFERROR(V106/INDEX(AO!$CS:$CS,MATCH($C106,AO!$C:$C,0)),0)</f>
        <v>0</v>
      </c>
      <c r="Y106" s="1559">
        <f>IFERROR(INDEX(AO!$CN:$CN,MATCH($C106,AO!$C:$C,0))/V106,0)</f>
        <v>0</v>
      </c>
      <c r="Z106" s="1257">
        <f>IFERROR(V106/INDEX(AO!$CA:$CA,MATCH($C106,AO!$C:$C,0)),0)</f>
        <v>0</v>
      </c>
      <c r="AB106" t="str">
        <f t="shared" si="3"/>
        <v>98 - 1</v>
      </c>
    </row>
    <row r="107" spans="2:28" outlineLevel="1">
      <c r="B107" s="1434">
        <v>99</v>
      </c>
      <c r="C107" s="1434" t="e">
        <f>INDEX(IC!B:B,MATCH(B107,IC!AY:AY,0))</f>
        <v>#N/A</v>
      </c>
      <c r="D107" s="261">
        <f>IFERROR(INDEX(AA!$AC:$AC,MATCH($C107,AA!$C:$C,0)),0)</f>
        <v>0</v>
      </c>
      <c r="E107" s="261" t="e">
        <f>INDEX(IC!G:G,MATCH(AL!C107,IC!B:B,0))</f>
        <v>#N/A</v>
      </c>
      <c r="F107" s="261">
        <f>IFERROR(INDEX(AA!$AK:$AK,MATCH($C107,AA!$C:$C,0)),0)</f>
        <v>0</v>
      </c>
      <c r="G107" s="261">
        <f>IFERROR(INDEX(AO!$Q:$Q,MATCH($C107,AO!$C:$C,0)),0)</f>
        <v>0</v>
      </c>
      <c r="H107" s="261">
        <f>IFERROR(INDEX(AO!$Q:$Q,MATCH($C107,AO!$C:$C,0))-INDEX(AO!$BE$18:$BE$20,MATCH($C107,AO!$C$18:$C$20,0)),0)</f>
        <v>0</v>
      </c>
      <c r="I107" s="1557">
        <f t="shared" si="4"/>
        <v>0</v>
      </c>
      <c r="J107" s="261">
        <f>IFERROR(INDEX(AO!$Y:$Y,MATCH($C107,AO!$C:$C,0)),0)</f>
        <v>0</v>
      </c>
      <c r="K107" s="261">
        <f>IFERROR(INDEX(AO!$AI:$AI,MATCH($C107,AO!$C:$C,0)),0)</f>
        <v>0</v>
      </c>
      <c r="L107" s="1556">
        <f>IFERROR(INDEX(AO!$AP:$AP,MATCH($C107,AO!$C:$C,0)),0)</f>
        <v>0</v>
      </c>
      <c r="M107" s="1557">
        <f>IFERROR(SUMIFS(TA!$AJ$15:$AJ$17,TA!$U$15:$U$17,"*FMCG*",TA!$C$15:$C$17,$B107)/SUMIFS(TA!$AJ$15:$AJ$17,TA!$C$15:$C$17,$B107),0)</f>
        <v>0</v>
      </c>
      <c r="N107" s="261">
        <f>IFERROR(INDEX(AA!$AN:$AN,MATCH($C107,AA!$C:$C,0)),0)</f>
        <v>0</v>
      </c>
      <c r="O107" s="1252" t="e">
        <f>DATEDIF(GA!$G$56,INDEX(RR!$N:$N,MATCH(AB107,RR!$E:$E,0)),"D")/365</f>
        <v>#N/A</v>
      </c>
      <c r="P107" s="261">
        <f>IFERROR(INDEX(AO!$CV:$CV,MATCH($C107,AO!$C:$C,0)),0)</f>
        <v>0</v>
      </c>
      <c r="Q107" s="261">
        <f>IFERROR(INDEX(AO!$CZ:$CZ,MATCH($C107,AO!$C:$C,0)),0)</f>
        <v>0</v>
      </c>
      <c r="R107" s="1230">
        <f>IFERROR(INDEX(AO!$DC:$DC,MATCH($C107,AO!$C:$C,0)),0)</f>
        <v>0</v>
      </c>
      <c r="S107" s="1230" t="e">
        <f>INDEX(IC!AR:AR,MATCH(C107,IC!B:B,0))</f>
        <v>#N/A</v>
      </c>
      <c r="T107" s="1558" t="e">
        <f>INDEX(IC!AW:AW,MATCH(C107,IC!B:B,0))</f>
        <v>#N/A</v>
      </c>
      <c r="U107" s="1230" t="e">
        <f>INDEX(IC!AS:AS,MATCH(C107,IC!B:B,0))</f>
        <v>#N/A</v>
      </c>
      <c r="V107" s="261">
        <f>IFERROR(INDEX(AA!$GA:$GA,MATCH($C107,AA!$C:$C,0)),0)</f>
        <v>0</v>
      </c>
      <c r="W107" s="1558">
        <f>IFERROR(V107/INDEX(AO!$CI:$CI,MATCH($C107,AO!$C:$C,0)),0)</f>
        <v>0</v>
      </c>
      <c r="X107" s="1558">
        <f>IFERROR(V107/INDEX(AO!$CS:$CS,MATCH($C107,AO!$C:$C,0)),0)</f>
        <v>0</v>
      </c>
      <c r="Y107" s="1557">
        <f>IFERROR(INDEX(AO!$CN:$CN,MATCH($C107,AO!$C:$C,0))/V107,0)</f>
        <v>0</v>
      </c>
      <c r="Z107" s="261">
        <f>IFERROR(V107/INDEX(AO!$CA:$CA,MATCH($C107,AO!$C:$C,0)),0)</f>
        <v>0</v>
      </c>
      <c r="AB107" t="str">
        <f t="shared" si="3"/>
        <v>99 - 1</v>
      </c>
    </row>
    <row r="108" spans="2:28" outlineLevel="1">
      <c r="B108" s="1563">
        <v>100</v>
      </c>
      <c r="C108" s="1563" t="e">
        <f>INDEX(IC!B:B,MATCH(B108,IC!AY:AY,0))</f>
        <v>#N/A</v>
      </c>
      <c r="D108" s="1257">
        <f>IFERROR(INDEX(AA!$AC:$AC,MATCH($C108,AA!$C:$C,0)),0)</f>
        <v>0</v>
      </c>
      <c r="E108" s="1257" t="e">
        <f>INDEX(IC!G:G,MATCH(AL!C108,IC!B:B,0))</f>
        <v>#N/A</v>
      </c>
      <c r="F108" s="1257">
        <f>IFERROR(INDEX(AA!$AK:$AK,MATCH($C108,AA!$C:$C,0)),0)</f>
        <v>0</v>
      </c>
      <c r="G108" s="1257">
        <f>IFERROR(INDEX(AO!$Q:$Q,MATCH($C108,AO!$C:$C,0)),0)</f>
        <v>0</v>
      </c>
      <c r="H108" s="1257">
        <f>IFERROR(INDEX(AO!$Q:$Q,MATCH($C108,AO!$C:$C,0))-INDEX(AO!$BE$18:$BE$20,MATCH($C108,AO!$C$18:$C$20,0)),0)</f>
        <v>0</v>
      </c>
      <c r="I108" s="1559">
        <f t="shared" si="4"/>
        <v>0</v>
      </c>
      <c r="J108" s="1257">
        <f>IFERROR(INDEX(AO!$Y:$Y,MATCH($C108,AO!$C:$C,0)),0)</f>
        <v>0</v>
      </c>
      <c r="K108" s="1257">
        <f>IFERROR(INDEX(AO!$AI:$AI,MATCH($C108,AO!$C:$C,0)),0)</f>
        <v>0</v>
      </c>
      <c r="L108" s="1560">
        <f>IFERROR(INDEX(AO!$AP:$AP,MATCH($C108,AO!$C:$C,0)),0)</f>
        <v>0</v>
      </c>
      <c r="M108" s="1559">
        <f>IFERROR(SUMIFS(TA!$AJ$15:$AJ$17,TA!$U$15:$U$17,"*FMCG*",TA!$C$15:$C$17,$B108)/SUMIFS(TA!$AJ$15:$AJ$17,TA!$C$15:$C$17,$B108),0)</f>
        <v>0</v>
      </c>
      <c r="N108" s="1257">
        <f>IFERROR(INDEX(AA!$AN:$AN,MATCH($C108,AA!$C:$C,0)),0)</f>
        <v>0</v>
      </c>
      <c r="O108" s="1259" t="e">
        <f>DATEDIF(GA!$G$56,INDEX(RR!$N:$N,MATCH(AB108,RR!$E:$E,0)),"D")/365</f>
        <v>#N/A</v>
      </c>
      <c r="P108" s="1257">
        <f>IFERROR(INDEX(AO!$CV:$CV,MATCH($C108,AO!$C:$C,0)),0)</f>
        <v>0</v>
      </c>
      <c r="Q108" s="1257">
        <f>IFERROR(INDEX(AO!$CZ:$CZ,MATCH($C108,AO!$C:$C,0)),0)</f>
        <v>0</v>
      </c>
      <c r="R108" s="1561">
        <f>IFERROR(INDEX(AO!$DC:$DC,MATCH($C108,AO!$C:$C,0)),0)</f>
        <v>0</v>
      </c>
      <c r="S108" s="1561" t="e">
        <f>INDEX(IC!AR:AR,MATCH(C108,IC!B:B,0))</f>
        <v>#N/A</v>
      </c>
      <c r="T108" s="1562" t="e">
        <f>INDEX(IC!AW:AW,MATCH(C108,IC!B:B,0))</f>
        <v>#N/A</v>
      </c>
      <c r="U108" s="1561" t="e">
        <f>INDEX(IC!AS:AS,MATCH(C108,IC!B:B,0))</f>
        <v>#N/A</v>
      </c>
      <c r="V108" s="1257">
        <f>IFERROR(INDEX(AA!$GA:$GA,MATCH($C108,AA!$C:$C,0)),0)</f>
        <v>0</v>
      </c>
      <c r="W108" s="1562">
        <f>IFERROR(V108/INDEX(AO!$CI:$CI,MATCH($C108,AO!$C:$C,0)),0)</f>
        <v>0</v>
      </c>
      <c r="X108" s="1562">
        <f>IFERROR(V108/INDEX(AO!$CS:$CS,MATCH($C108,AO!$C:$C,0)),0)</f>
        <v>0</v>
      </c>
      <c r="Y108" s="1559">
        <f>IFERROR(INDEX(AO!$CN:$CN,MATCH($C108,AO!$C:$C,0))/V108,0)</f>
        <v>0</v>
      </c>
      <c r="Z108" s="1257">
        <f>IFERROR(V108/INDEX(AO!$CA:$CA,MATCH($C108,AO!$C:$C,0)),0)</f>
        <v>0</v>
      </c>
      <c r="AB108" t="str">
        <f t="shared" si="3"/>
        <v>100 - 1</v>
      </c>
    </row>
    <row r="109" spans="2:28">
      <c r="B109" s="253" t="s">
        <v>1208</v>
      </c>
      <c r="C109" s="253"/>
      <c r="D109" s="268"/>
      <c r="E109" s="268"/>
      <c r="F109" s="268"/>
      <c r="G109" s="864">
        <f>SUBTOTAL(9,G9:G108)</f>
        <v>3000</v>
      </c>
      <c r="H109" s="864">
        <f>SUBTOTAL(9,H9:H108)</f>
        <v>2000</v>
      </c>
      <c r="I109" s="866">
        <f>H109/G109</f>
        <v>0.66666666666666663</v>
      </c>
      <c r="J109" s="864">
        <f>SUBTOTAL(9,J9:J108)</f>
        <v>300000</v>
      </c>
      <c r="K109" s="864">
        <f>SUBTOTAL(9,K9:K108)</f>
        <v>274300</v>
      </c>
      <c r="L109" s="1540">
        <f>IFERROR(SUMPRODUCT(L9:L108,J9:J108)/J109,0)</f>
        <v>17.846575342465758</v>
      </c>
      <c r="M109" s="1539">
        <f>IFERROR(SUMPRODUCT($M$9:$M$108,$J$9:$J$108)/J109,0)</f>
        <v>1</v>
      </c>
      <c r="N109" s="268"/>
      <c r="O109" s="268"/>
      <c r="P109" s="864">
        <f t="shared" ref="P109:V109" si="5">SUBTOTAL(9,P9:P108)</f>
        <v>0</v>
      </c>
      <c r="Q109" s="864">
        <f t="shared" si="5"/>
        <v>0</v>
      </c>
      <c r="R109" s="864">
        <f t="shared" si="5"/>
        <v>0</v>
      </c>
      <c r="S109" s="864" t="e">
        <f t="shared" si="5"/>
        <v>#N/A</v>
      </c>
      <c r="T109" s="864" t="e">
        <f t="shared" si="5"/>
        <v>#N/A</v>
      </c>
      <c r="U109" s="864" t="e">
        <f t="shared" si="5"/>
        <v>#N/A</v>
      </c>
      <c r="V109" s="864">
        <f t="shared" si="5"/>
        <v>3681609.018749997</v>
      </c>
      <c r="W109" s="1144">
        <f>V109/AO!CI22</f>
        <v>12</v>
      </c>
      <c r="X109" s="1144">
        <f>V109/AO!CS22</f>
        <v>17.528866313773065</v>
      </c>
      <c r="Y109" s="866">
        <f>AO!CO22/V109</f>
        <v>8.3333333333333329E-2</v>
      </c>
      <c r="Z109" s="864">
        <f>V109/AO!CA22</f>
        <v>1227.2030062499989</v>
      </c>
    </row>
    <row r="110" spans="2:28">
      <c r="B110" s="39"/>
      <c r="C110" s="39"/>
      <c r="G110" s="1699"/>
      <c r="H110" s="1699"/>
      <c r="I110" s="1080"/>
      <c r="J110" s="1699"/>
      <c r="K110" s="1699"/>
      <c r="L110" s="1700"/>
      <c r="M110" s="1701"/>
      <c r="R110" s="1702"/>
      <c r="S110" s="1702"/>
      <c r="T110" s="1703"/>
      <c r="U110" s="1702"/>
      <c r="V110" s="1699"/>
      <c r="W110" s="1703"/>
      <c r="X110" s="1703"/>
      <c r="Y110" s="1080"/>
      <c r="Z110" s="1699"/>
    </row>
    <row r="111" spans="2:28">
      <c r="B111" s="253" t="s">
        <v>1756</v>
      </c>
      <c r="C111" s="253"/>
      <c r="D111" s="268"/>
      <c r="E111" s="268"/>
      <c r="F111" s="268"/>
      <c r="G111" s="864"/>
      <c r="H111" s="864"/>
      <c r="I111" s="866"/>
      <c r="J111" s="864"/>
      <c r="K111" s="864"/>
      <c r="L111" s="1540"/>
      <c r="M111" s="1539"/>
      <c r="N111" s="268"/>
      <c r="O111" s="268"/>
      <c r="P111" s="268"/>
      <c r="Q111" s="268"/>
      <c r="R111" s="1143"/>
      <c r="S111" s="1143"/>
      <c r="T111" s="1144"/>
      <c r="U111" s="1143"/>
      <c r="V111" s="864"/>
      <c r="W111" s="1144"/>
      <c r="X111" s="1144"/>
      <c r="Y111" s="866"/>
      <c r="Z111" s="864"/>
    </row>
    <row r="112" spans="2:28">
      <c r="B112" s="39"/>
      <c r="C112" s="39"/>
      <c r="G112" s="1699"/>
      <c r="H112" s="1699"/>
      <c r="I112" s="1080"/>
      <c r="J112" s="1699"/>
      <c r="K112" s="1699"/>
      <c r="L112" s="1700"/>
      <c r="M112" s="1701"/>
      <c r="R112" s="1702"/>
      <c r="S112" s="1702"/>
      <c r="T112" s="1703"/>
      <c r="U112" s="1702"/>
      <c r="V112" s="1699"/>
      <c r="W112" s="1703"/>
      <c r="X112" s="1703"/>
      <c r="Y112" s="1080"/>
      <c r="Z112" s="1699"/>
    </row>
    <row r="113" spans="2:2">
      <c r="B113" t="str">
        <f>"*WALT as of "&amp;TEXT(GA!G56,"TT-MM-JJ")&amp;"."</f>
        <v>*WALT as of 01-03-21.</v>
      </c>
    </row>
  </sheetData>
  <pageMargins left="0.7" right="0.7" top="0.75" bottom="0.75" header="0.3" footer="0.3"/>
  <pageSetup paperSize="9" scale="4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E17C1-3000-4A96-B9CD-918BBD982E26}">
  <sheetPr codeName="Sheet21">
    <tabColor rgb="FF7030A0"/>
  </sheetPr>
  <dimension ref="A1:FT59"/>
  <sheetViews>
    <sheetView workbookViewId="0"/>
  </sheetViews>
  <sheetFormatPr baseColWidth="10" defaultColWidth="8.7109375" defaultRowHeight="15"/>
  <cols>
    <col min="1" max="1" width="3" customWidth="1"/>
    <col min="3" max="4" width="11.5703125" bestFit="1" customWidth="1"/>
    <col min="21" max="21" width="4.42578125" customWidth="1"/>
  </cols>
  <sheetData>
    <row r="1" spans="1:176"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AQ1" s="58"/>
      <c r="AR1" s="58"/>
      <c r="AS1" s="58"/>
      <c r="AT1" s="58"/>
      <c r="AU1" s="58"/>
      <c r="AV1" s="58"/>
      <c r="CB1" s="58"/>
      <c r="CF1" s="58"/>
      <c r="CG1" s="58"/>
      <c r="CT1" s="58"/>
      <c r="DG1" s="58"/>
      <c r="DT1" s="58"/>
      <c r="DU1" s="58"/>
      <c r="DV1" s="58"/>
      <c r="DW1" s="58"/>
      <c r="DX1" s="58"/>
      <c r="EP1" s="58"/>
      <c r="EV1" s="58"/>
      <c r="FR1" s="58"/>
      <c r="FT1" s="58"/>
    </row>
    <row r="2" spans="1:176" s="35" customFormat="1">
      <c r="A2" s="1" t="s">
        <v>1253</v>
      </c>
      <c r="B2" s="1"/>
      <c r="D2" s="58"/>
      <c r="F2" s="58"/>
      <c r="G2" s="58"/>
      <c r="H2" s="58"/>
      <c r="I2" s="58"/>
      <c r="J2" s="58"/>
      <c r="K2" s="58"/>
      <c r="L2" s="58"/>
      <c r="M2" s="58"/>
      <c r="N2" s="58"/>
      <c r="O2" s="58"/>
      <c r="P2" s="58"/>
      <c r="Q2" s="58"/>
      <c r="R2" s="58"/>
      <c r="S2" s="58"/>
      <c r="T2" s="58"/>
      <c r="U2" s="58"/>
      <c r="V2" s="58"/>
      <c r="W2" s="58"/>
      <c r="X2" s="58"/>
      <c r="AQ2" s="58"/>
      <c r="AR2" s="58"/>
      <c r="AS2" s="58"/>
      <c r="AT2" s="58"/>
      <c r="AU2" s="58"/>
      <c r="AV2" s="58"/>
      <c r="CB2" s="58"/>
      <c r="CF2" s="58"/>
      <c r="CG2" s="58"/>
      <c r="CT2" s="58"/>
      <c r="DG2" s="58"/>
      <c r="DT2" s="58"/>
      <c r="DU2" s="58"/>
      <c r="DV2" s="58"/>
      <c r="DW2" s="58"/>
      <c r="DX2" s="58"/>
      <c r="EP2" s="58"/>
      <c r="EV2" s="58"/>
      <c r="FR2" s="58"/>
      <c r="FT2" s="58"/>
    </row>
    <row r="3" spans="1:176" s="35" customFormat="1" ht="17.25">
      <c r="D3" s="58"/>
      <c r="F3" s="58"/>
      <c r="G3" s="58"/>
      <c r="H3" s="58"/>
      <c r="I3" s="58"/>
      <c r="J3" s="58"/>
      <c r="K3" s="58"/>
      <c r="L3" s="58"/>
      <c r="M3" s="58"/>
      <c r="N3" s="58"/>
      <c r="O3" s="58"/>
      <c r="P3" s="58"/>
      <c r="Q3" s="58"/>
      <c r="R3" s="58"/>
      <c r="S3" s="58"/>
      <c r="T3" s="58"/>
      <c r="U3" s="58"/>
      <c r="V3" s="58"/>
      <c r="W3" s="58"/>
      <c r="X3" s="58"/>
      <c r="AA3" s="156"/>
      <c r="AB3" s="156"/>
      <c r="AC3" s="156"/>
      <c r="AQ3" s="58"/>
      <c r="AR3" s="58"/>
      <c r="AS3" s="58"/>
      <c r="AT3" s="58"/>
      <c r="AU3" s="58"/>
      <c r="AV3" s="58"/>
      <c r="CB3" s="58"/>
      <c r="CF3" s="58"/>
      <c r="CG3" s="58"/>
      <c r="CT3" s="58"/>
      <c r="DG3" s="58"/>
      <c r="DT3" s="58"/>
      <c r="DU3" s="58"/>
      <c r="DV3" s="58"/>
      <c r="DW3" s="58"/>
      <c r="DX3" s="58"/>
      <c r="EP3" s="58"/>
      <c r="EV3" s="58"/>
      <c r="FR3" s="58"/>
      <c r="FT3" s="58"/>
    </row>
    <row r="4" spans="1:176" s="35" customFormat="1">
      <c r="D4" s="58"/>
      <c r="F4" s="58"/>
      <c r="G4" s="58"/>
      <c r="H4" s="58"/>
      <c r="I4" s="58"/>
      <c r="J4" s="58"/>
      <c r="K4" s="58"/>
      <c r="L4" s="58"/>
      <c r="M4" s="58"/>
      <c r="N4" s="58"/>
      <c r="O4" s="58"/>
      <c r="P4" s="58"/>
      <c r="Q4" s="58"/>
      <c r="R4" s="58"/>
      <c r="S4" s="58"/>
      <c r="T4" s="58"/>
      <c r="U4" s="58"/>
      <c r="V4" s="58"/>
      <c r="W4" s="58"/>
      <c r="X4" s="58"/>
      <c r="AA4" s="157"/>
      <c r="AB4" s="157"/>
      <c r="AC4" s="157"/>
      <c r="AQ4" s="58"/>
      <c r="AR4" s="58"/>
      <c r="AS4" s="58"/>
      <c r="AT4" s="58"/>
      <c r="AU4" s="58"/>
      <c r="AV4" s="58"/>
      <c r="CB4" s="58"/>
      <c r="CF4" s="58"/>
      <c r="CG4" s="58"/>
      <c r="CT4" s="58"/>
      <c r="DG4" s="58"/>
      <c r="DT4" s="58"/>
      <c r="DU4" s="58"/>
      <c r="DV4" s="58"/>
      <c r="DW4" s="58"/>
      <c r="DX4" s="58"/>
      <c r="EP4" s="58"/>
      <c r="EV4" s="58"/>
      <c r="FR4" s="58"/>
      <c r="FT4" s="58"/>
    </row>
    <row r="36" spans="1:4" ht="15.75" thickBot="1"/>
    <row r="37" spans="1:4">
      <c r="A37" s="1163"/>
      <c r="B37" s="1164"/>
      <c r="C37" s="1164" t="s">
        <v>309</v>
      </c>
      <c r="D37" s="1165" t="s">
        <v>1225</v>
      </c>
    </row>
    <row r="38" spans="1:4">
      <c r="A38" s="1157">
        <v>43466</v>
      </c>
      <c r="B38">
        <v>2019</v>
      </c>
      <c r="C38" s="1156">
        <f>SUMIFS(RR!$Q:$Q,RR!$N:$N,"&gt;"&amp;A38)</f>
        <v>300000</v>
      </c>
      <c r="D38" s="1158">
        <f>SUMIFS(RR!$Q:$Q,RR!$U:$U,"&gt;"&amp;A38)</f>
        <v>0</v>
      </c>
    </row>
    <row r="39" spans="1:4">
      <c r="A39" s="1157">
        <v>43831</v>
      </c>
      <c r="B39">
        <v>2020</v>
      </c>
      <c r="C39" s="1156">
        <f>SUMIFS(RR!$Q:$Q,RR!$N:$N,"&gt;"&amp;A39)</f>
        <v>300000</v>
      </c>
      <c r="D39" s="1158">
        <f>SUMIFS(RR!$Q:$Q,RR!$U:$U,"&gt;"&amp;A39)</f>
        <v>0</v>
      </c>
    </row>
    <row r="40" spans="1:4">
      <c r="A40" s="1157">
        <v>44197</v>
      </c>
      <c r="B40">
        <v>2021</v>
      </c>
      <c r="C40" s="1156">
        <f>SUMIFS(RR!$Q:$Q,RR!$N:$N,"&gt;"&amp;A40)</f>
        <v>300000</v>
      </c>
      <c r="D40" s="1158">
        <f>SUMIFS(RR!$Q:$Q,RR!$U:$U,"&gt;"&amp;A40)</f>
        <v>0</v>
      </c>
    </row>
    <row r="41" spans="1:4">
      <c r="A41" s="1157">
        <v>44562</v>
      </c>
      <c r="B41">
        <v>2022</v>
      </c>
      <c r="C41" s="1156">
        <f>SUMIFS(RR!$Q:$Q,RR!$N:$N,"&gt;"&amp;A41)</f>
        <v>300000</v>
      </c>
      <c r="D41" s="1158">
        <f>SUMIFS(RR!$Q:$Q,RR!$U:$U,"&gt;"&amp;A41)</f>
        <v>0</v>
      </c>
    </row>
    <row r="42" spans="1:4">
      <c r="A42" s="1157">
        <v>44927</v>
      </c>
      <c r="B42">
        <v>2023</v>
      </c>
      <c r="C42" s="1156">
        <f>SUMIFS(RR!$Q:$Q,RR!$N:$N,"&gt;"&amp;A42)</f>
        <v>300000</v>
      </c>
      <c r="D42" s="1158">
        <f>SUMIFS(RR!$Q:$Q,RR!$U:$U,"&gt;"&amp;A42)</f>
        <v>0</v>
      </c>
    </row>
    <row r="43" spans="1:4">
      <c r="A43" s="1157">
        <v>45292</v>
      </c>
      <c r="B43">
        <v>2024</v>
      </c>
      <c r="C43" s="1156">
        <f>SUMIFS(RR!$Q:$Q,RR!$N:$N,"&gt;"&amp;A43)</f>
        <v>300000</v>
      </c>
      <c r="D43" s="1158">
        <f>SUMIFS(RR!$Q:$Q,RR!$U:$U,"&gt;"&amp;A43)</f>
        <v>0</v>
      </c>
    </row>
    <row r="44" spans="1:4">
      <c r="A44" s="1157">
        <v>45658</v>
      </c>
      <c r="B44">
        <v>2025</v>
      </c>
      <c r="C44" s="1156">
        <f>SUMIFS(RR!$Q:$Q,RR!$N:$N,"&gt;"&amp;A44)</f>
        <v>300000</v>
      </c>
      <c r="D44" s="1158">
        <f>SUMIFS(RR!$Q:$Q,RR!$U:$U,"&gt;"&amp;A44)</f>
        <v>0</v>
      </c>
    </row>
    <row r="45" spans="1:4">
      <c r="A45" s="1157">
        <v>46023</v>
      </c>
      <c r="B45">
        <v>2026</v>
      </c>
      <c r="C45" s="1156">
        <f>SUMIFS(RR!$Q:$Q,RR!$N:$N,"&gt;"&amp;A45)</f>
        <v>300000</v>
      </c>
      <c r="D45" s="1158">
        <f>SUMIFS(RR!$Q:$Q,RR!$U:$U,"&gt;"&amp;A45)</f>
        <v>0</v>
      </c>
    </row>
    <row r="46" spans="1:4">
      <c r="A46" s="1157">
        <v>46388</v>
      </c>
      <c r="B46">
        <v>2027</v>
      </c>
      <c r="C46" s="1156">
        <f>SUMIFS(RR!$Q:$Q,RR!$N:$N,"&gt;"&amp;A46)</f>
        <v>300000</v>
      </c>
      <c r="D46" s="1158">
        <f>SUMIFS(RR!$Q:$Q,RR!$U:$U,"&gt;"&amp;A46)</f>
        <v>0</v>
      </c>
    </row>
    <row r="47" spans="1:4">
      <c r="A47" s="1157">
        <v>46753</v>
      </c>
      <c r="B47">
        <v>2028</v>
      </c>
      <c r="C47" s="1156">
        <f>SUMIFS(RR!$Q:$Q,RR!$N:$N,"&gt;"&amp;A47)</f>
        <v>300000</v>
      </c>
      <c r="D47" s="1158">
        <f>SUMIFS(RR!$Q:$Q,RR!$U:$U,"&gt;"&amp;A47)</f>
        <v>0</v>
      </c>
    </row>
    <row r="48" spans="1:4">
      <c r="A48" s="1157">
        <v>47119</v>
      </c>
      <c r="B48">
        <v>2029</v>
      </c>
      <c r="C48" s="1156">
        <f>SUMIFS(RR!$Q:$Q,RR!$N:$N,"&gt;"&amp;A48)</f>
        <v>300000</v>
      </c>
      <c r="D48" s="1158">
        <f>SUMIFS(RR!$Q:$Q,RR!$U:$U,"&gt;"&amp;A48)</f>
        <v>0</v>
      </c>
    </row>
    <row r="49" spans="1:4">
      <c r="A49" s="1157">
        <v>47484</v>
      </c>
      <c r="B49">
        <v>2030</v>
      </c>
      <c r="C49" s="1156">
        <f>SUMIFS(RR!$Q:$Q,RR!$N:$N,"&gt;"&amp;A49)</f>
        <v>300000</v>
      </c>
      <c r="D49" s="1158">
        <f>SUMIFS(RR!$Q:$Q,RR!$U:$U,"&gt;"&amp;A49)</f>
        <v>0</v>
      </c>
    </row>
    <row r="50" spans="1:4">
      <c r="A50" s="1157">
        <v>47849</v>
      </c>
      <c r="B50">
        <v>2031</v>
      </c>
      <c r="C50" s="1156">
        <f>SUMIFS(RR!$Q:$Q,RR!$N:$N,"&gt;"&amp;A50)</f>
        <v>300000</v>
      </c>
      <c r="D50" s="1158">
        <f>SUMIFS(RR!$Q:$Q,RR!$U:$U,"&gt;"&amp;A50)</f>
        <v>0</v>
      </c>
    </row>
    <row r="51" spans="1:4">
      <c r="A51" s="1157">
        <v>48214</v>
      </c>
      <c r="B51">
        <v>2032</v>
      </c>
      <c r="C51" s="1156">
        <f>SUMIFS(RR!$Q:$Q,RR!$N:$N,"&gt;"&amp;A51)</f>
        <v>300000</v>
      </c>
      <c r="D51" s="1158">
        <f>SUMIFS(RR!$Q:$Q,RR!$U:$U,"&gt;"&amp;A51)</f>
        <v>0</v>
      </c>
    </row>
    <row r="52" spans="1:4">
      <c r="A52" s="1157">
        <v>48580</v>
      </c>
      <c r="B52">
        <v>2033</v>
      </c>
      <c r="C52" s="1156">
        <f>SUMIFS(RR!$Q:$Q,RR!$N:$N,"&gt;"&amp;A52)</f>
        <v>300000</v>
      </c>
      <c r="D52" s="1158">
        <f>SUMIFS(RR!$Q:$Q,RR!$U:$U,"&gt;"&amp;A52)</f>
        <v>0</v>
      </c>
    </row>
    <row r="53" spans="1:4">
      <c r="A53" s="1157">
        <v>48945</v>
      </c>
      <c r="B53">
        <v>2034</v>
      </c>
      <c r="C53" s="1156">
        <f>SUMIFS(RR!$Q:$Q,RR!$N:$N,"&gt;"&amp;A53)</f>
        <v>300000</v>
      </c>
      <c r="D53" s="1158">
        <f>SUMIFS(RR!$Q:$Q,RR!$U:$U,"&gt;"&amp;A53)</f>
        <v>0</v>
      </c>
    </row>
    <row r="54" spans="1:4">
      <c r="A54" s="1157">
        <v>49310</v>
      </c>
      <c r="B54">
        <v>2035</v>
      </c>
      <c r="C54" s="1156">
        <f>SUMIFS(RR!$Q:$Q,RR!$N:$N,"&gt;"&amp;A54)</f>
        <v>300000</v>
      </c>
      <c r="D54" s="1158">
        <f>SUMIFS(RR!$Q:$Q,RR!$U:$U,"&gt;"&amp;A54)</f>
        <v>0</v>
      </c>
    </row>
    <row r="55" spans="1:4">
      <c r="A55" s="1157">
        <v>49675</v>
      </c>
      <c r="B55">
        <v>2036</v>
      </c>
      <c r="C55" s="1156">
        <f>SUMIFS(RR!$Q:$Q,RR!$N:$N,"&gt;"&amp;A55)</f>
        <v>300000</v>
      </c>
      <c r="D55" s="1158">
        <f>SUMIFS(RR!$Q:$Q,RR!$U:$U,"&gt;"&amp;A55)</f>
        <v>0</v>
      </c>
    </row>
    <row r="56" spans="1:4">
      <c r="A56" s="1157">
        <v>50041</v>
      </c>
      <c r="B56">
        <v>2037</v>
      </c>
      <c r="C56" s="1156">
        <f>SUMIFS(RR!$Q:$Q,RR!$N:$N,"&gt;"&amp;A56)</f>
        <v>300000</v>
      </c>
      <c r="D56" s="1158">
        <f>SUMIFS(RR!$Q:$Q,RR!$U:$U,"&gt;"&amp;A56)</f>
        <v>0</v>
      </c>
    </row>
    <row r="57" spans="1:4">
      <c r="A57" s="1157">
        <v>50406</v>
      </c>
      <c r="B57">
        <v>2038</v>
      </c>
      <c r="C57" s="1156">
        <f>SUMIFS(RR!$Q:$Q,RR!$N:$N,"&gt;"&amp;A57)</f>
        <v>300000</v>
      </c>
      <c r="D57" s="1158">
        <f>SUMIFS(RR!$Q:$Q,RR!$U:$U,"&gt;"&amp;A57)</f>
        <v>0</v>
      </c>
    </row>
    <row r="58" spans="1:4">
      <c r="A58" s="1157">
        <v>50771</v>
      </c>
      <c r="B58">
        <v>2039</v>
      </c>
      <c r="C58" s="1156">
        <f>SUMIFS(RR!$Q:$Q,RR!$N:$N,"&gt;"&amp;A58)</f>
        <v>0</v>
      </c>
      <c r="D58" s="1158">
        <f>SUMIFS(RR!$Q:$Q,RR!$U:$U,"&gt;"&amp;A58)</f>
        <v>0</v>
      </c>
    </row>
    <row r="59" spans="1:4" ht="15.75" thickBot="1">
      <c r="A59" s="1159">
        <v>51136</v>
      </c>
      <c r="B59" s="1160">
        <v>2040</v>
      </c>
      <c r="C59" s="1161">
        <f>SUMIFS(RR!$Q:$Q,RR!$N:$N,"&gt;"&amp;A59)</f>
        <v>0</v>
      </c>
      <c r="D59" s="1162">
        <f>SUMIFS(RR!$Q:$Q,RR!$U:$U,"&gt;"&amp;A59)</f>
        <v>0</v>
      </c>
    </row>
  </sheetData>
  <pageMargins left="0.7" right="0.7" top="0.75" bottom="0.75" header="0.3" footer="0.3"/>
  <pageSetup paperSize="9" scale="44" orientation="landscape" r:id="rId1"/>
  <rowBreaks count="1" manualBreakCount="1">
    <brk id="32" max="16383"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43DBE-07D1-4F53-9B6D-CA973E45F711}">
  <sheetPr codeName="Sheet22">
    <tabColor rgb="FF7030A0"/>
  </sheetPr>
  <dimension ref="A1:FT28"/>
  <sheetViews>
    <sheetView workbookViewId="0"/>
  </sheetViews>
  <sheetFormatPr baseColWidth="10" defaultColWidth="8.7109375" defaultRowHeight="15"/>
  <cols>
    <col min="1" max="1" width="2.5703125" customWidth="1"/>
    <col min="7" max="7" width="14.42578125" customWidth="1"/>
    <col min="8" max="9" width="1.42578125" customWidth="1"/>
    <col min="12" max="12" width="12.5703125" customWidth="1"/>
    <col min="15" max="15" width="15.28515625" bestFit="1" customWidth="1"/>
    <col min="16" max="16" width="1.42578125" customWidth="1"/>
    <col min="17" max="17" width="1.28515625" customWidth="1"/>
    <col min="23" max="23" width="15.28515625" bestFit="1" customWidth="1"/>
  </cols>
  <sheetData>
    <row r="1" spans="1:176"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AQ1" s="58"/>
      <c r="AR1" s="58"/>
      <c r="AS1" s="58"/>
      <c r="AT1" s="58"/>
      <c r="AU1" s="58"/>
      <c r="AV1" s="58"/>
      <c r="CB1" s="58"/>
      <c r="CF1" s="58"/>
      <c r="CG1" s="58"/>
      <c r="CT1" s="58"/>
      <c r="DG1" s="58"/>
      <c r="DT1" s="58"/>
      <c r="DU1" s="58"/>
      <c r="DV1" s="58"/>
      <c r="DW1" s="58"/>
      <c r="DX1" s="58"/>
      <c r="EP1" s="58"/>
      <c r="EV1" s="58"/>
      <c r="FR1" s="58"/>
      <c r="FT1" s="58"/>
    </row>
    <row r="2" spans="1:176" s="35" customFormat="1">
      <c r="A2" s="1" t="s">
        <v>1254</v>
      </c>
      <c r="B2" s="1"/>
      <c r="D2" s="58"/>
      <c r="F2" s="58"/>
      <c r="G2" s="58"/>
      <c r="H2" s="58"/>
      <c r="I2" s="58"/>
      <c r="J2" s="58"/>
      <c r="K2" s="58"/>
      <c r="L2" s="58"/>
      <c r="M2" s="58"/>
      <c r="N2" s="58"/>
      <c r="O2" s="58"/>
      <c r="P2" s="58"/>
      <c r="Q2" s="58"/>
      <c r="R2" s="58"/>
      <c r="S2" s="58"/>
      <c r="T2" s="58"/>
      <c r="U2" s="58"/>
      <c r="V2" s="58"/>
      <c r="W2" s="58"/>
      <c r="X2" s="58"/>
      <c r="AQ2" s="58"/>
      <c r="AR2" s="58"/>
      <c r="AS2" s="58"/>
      <c r="AT2" s="58"/>
      <c r="AU2" s="58"/>
      <c r="AV2" s="58"/>
      <c r="CB2" s="58"/>
      <c r="CF2" s="58"/>
      <c r="CG2" s="58"/>
      <c r="CT2" s="58"/>
      <c r="DG2" s="58"/>
      <c r="DT2" s="58"/>
      <c r="DU2" s="58"/>
      <c r="DV2" s="58"/>
      <c r="DW2" s="58"/>
      <c r="DX2" s="58"/>
      <c r="EP2" s="58"/>
      <c r="EV2" s="58"/>
      <c r="FR2" s="58"/>
      <c r="FT2" s="58"/>
    </row>
    <row r="3" spans="1:176" s="35" customFormat="1" ht="17.25">
      <c r="D3" s="58"/>
      <c r="F3" s="58"/>
      <c r="G3" s="58"/>
      <c r="H3" s="58"/>
      <c r="I3" s="58"/>
      <c r="J3" s="58"/>
      <c r="K3" s="58"/>
      <c r="L3" s="58"/>
      <c r="M3" s="58"/>
      <c r="N3" s="58"/>
      <c r="O3" s="58"/>
      <c r="P3" s="58"/>
      <c r="Q3" s="58"/>
      <c r="R3" s="58"/>
      <c r="S3" s="58"/>
      <c r="T3" s="58"/>
      <c r="U3" s="58"/>
      <c r="V3" s="58"/>
      <c r="W3" s="58"/>
      <c r="X3" s="58"/>
      <c r="AA3" s="156"/>
      <c r="AB3" s="156"/>
      <c r="AC3" s="156"/>
      <c r="AQ3" s="58"/>
      <c r="AR3" s="58"/>
      <c r="AS3" s="58"/>
      <c r="AT3" s="58"/>
      <c r="AU3" s="58"/>
      <c r="AV3" s="58"/>
      <c r="CB3" s="58"/>
      <c r="CF3" s="58"/>
      <c r="CG3" s="58"/>
      <c r="CT3" s="58"/>
      <c r="DG3" s="58"/>
      <c r="DT3" s="58"/>
      <c r="DU3" s="58"/>
      <c r="DV3" s="58"/>
      <c r="DW3" s="58"/>
      <c r="DX3" s="58"/>
      <c r="EP3" s="58"/>
      <c r="EV3" s="58"/>
      <c r="FR3" s="58"/>
      <c r="FT3" s="58"/>
    </row>
    <row r="4" spans="1:176" s="35" customFormat="1">
      <c r="D4" s="58"/>
      <c r="F4" s="58"/>
      <c r="G4" s="58"/>
      <c r="H4" s="58"/>
      <c r="I4" s="58"/>
      <c r="J4" s="58"/>
      <c r="K4" s="58"/>
      <c r="L4" s="58"/>
      <c r="M4" s="58"/>
      <c r="N4" s="58"/>
      <c r="O4" s="58"/>
      <c r="P4" s="58"/>
      <c r="Q4" s="58"/>
      <c r="R4" s="58"/>
      <c r="S4" s="58"/>
      <c r="T4" s="58"/>
      <c r="U4" s="58"/>
      <c r="V4" s="58"/>
      <c r="W4" s="58"/>
      <c r="X4" s="58"/>
      <c r="AA4" s="157"/>
      <c r="AB4" s="157"/>
      <c r="AC4" s="157"/>
      <c r="AQ4" s="58"/>
      <c r="AR4" s="58"/>
      <c r="AS4" s="58"/>
      <c r="AT4" s="58"/>
      <c r="AU4" s="58"/>
      <c r="AV4" s="58"/>
      <c r="CB4" s="58"/>
      <c r="CF4" s="58"/>
      <c r="CG4" s="58"/>
      <c r="CT4" s="58"/>
      <c r="DG4" s="58"/>
      <c r="DT4" s="58"/>
      <c r="DU4" s="58"/>
      <c r="DV4" s="58"/>
      <c r="DW4" s="58"/>
      <c r="DX4" s="58"/>
      <c r="EP4" s="58"/>
      <c r="EV4" s="58"/>
      <c r="FR4" s="58"/>
      <c r="FT4" s="58"/>
    </row>
    <row r="7" spans="1:176" s="168" customFormat="1" ht="22.5" customHeight="1">
      <c r="B7" s="1146" t="s">
        <v>1209</v>
      </c>
      <c r="C7" s="1145"/>
      <c r="D7" s="1145"/>
      <c r="E7" s="1147"/>
      <c r="F7" s="1145"/>
      <c r="G7" s="1145"/>
      <c r="I7" s="1150"/>
      <c r="J7" s="1146" t="s">
        <v>1500</v>
      </c>
      <c r="K7" s="1145"/>
      <c r="L7" s="1145"/>
      <c r="M7" s="1147"/>
      <c r="N7" s="1145"/>
      <c r="O7" s="1145"/>
      <c r="Q7" s="1150"/>
      <c r="R7" s="1146" t="s">
        <v>1501</v>
      </c>
      <c r="S7" s="1145"/>
      <c r="T7" s="1145"/>
      <c r="U7" s="1147"/>
      <c r="V7" s="1145"/>
      <c r="W7" s="1145"/>
    </row>
    <row r="8" spans="1:176" ht="22.5" customHeight="1">
      <c r="B8" s="1148" t="s">
        <v>1210</v>
      </c>
      <c r="C8" s="1148"/>
      <c r="D8" s="1148"/>
      <c r="E8" s="1148"/>
      <c r="F8" s="1725">
        <f>GA!G53</f>
        <v>44256</v>
      </c>
      <c r="G8" s="1725"/>
      <c r="I8" s="77"/>
      <c r="J8" s="1148" t="s">
        <v>1432</v>
      </c>
      <c r="O8" s="1464">
        <f>GA!G499*GA!G494</f>
        <v>2500000</v>
      </c>
      <c r="Q8" s="77"/>
      <c r="R8" s="1148" t="s">
        <v>1502</v>
      </c>
      <c r="W8" s="1464">
        <f>GA!G576</f>
        <v>0</v>
      </c>
    </row>
    <row r="9" spans="1:176" ht="22.5" customHeight="1">
      <c r="B9" s="1148" t="s">
        <v>67</v>
      </c>
      <c r="C9" s="1148"/>
      <c r="D9" s="1148"/>
      <c r="E9" s="1148"/>
      <c r="F9" s="1725">
        <f>GA!G56</f>
        <v>44256</v>
      </c>
      <c r="G9" s="1725"/>
      <c r="H9" s="1151"/>
      <c r="I9" s="77"/>
      <c r="J9" s="1148" t="s">
        <v>1216</v>
      </c>
      <c r="K9" s="1148"/>
      <c r="L9" s="1148"/>
      <c r="M9" s="1148"/>
      <c r="N9" s="1148"/>
      <c r="O9" s="1152">
        <f>O8/PP</f>
        <v>0.5</v>
      </c>
      <c r="Q9" s="77"/>
      <c r="R9" s="1148" t="s">
        <v>1433</v>
      </c>
      <c r="S9" s="1148"/>
      <c r="T9" s="1148"/>
      <c r="U9" s="1148"/>
      <c r="V9" s="1151"/>
      <c r="W9" s="1152">
        <f>GA!G578</f>
        <v>1.0604731823487734</v>
      </c>
    </row>
    <row r="10" spans="1:176" ht="22.5" customHeight="1">
      <c r="B10" s="1148" t="s">
        <v>66</v>
      </c>
      <c r="C10" s="1148"/>
      <c r="D10" s="1148"/>
      <c r="E10" s="1148"/>
      <c r="F10" s="1462"/>
      <c r="G10" s="1462">
        <f>GA!G54</f>
        <v>44197</v>
      </c>
      <c r="H10" s="1151"/>
      <c r="I10" s="77"/>
      <c r="J10" s="1148" t="s">
        <v>1433</v>
      </c>
      <c r="O10" s="1152">
        <f>O8/-SUM(DCF!R71:S74)</f>
        <v>1.0604731823487734</v>
      </c>
      <c r="Q10" s="77"/>
      <c r="R10" s="1148"/>
      <c r="W10" s="1465"/>
    </row>
    <row r="11" spans="1:176" ht="22.5" customHeight="1">
      <c r="B11" s="1148" t="s">
        <v>1420</v>
      </c>
      <c r="C11" s="1148"/>
      <c r="D11" s="1148"/>
      <c r="E11" s="1148"/>
      <c r="F11" s="1462"/>
      <c r="G11" s="1463">
        <f>GA!G11</f>
        <v>1000</v>
      </c>
      <c r="H11" s="1151"/>
      <c r="I11" s="77"/>
      <c r="J11" s="1148" t="s">
        <v>1434</v>
      </c>
      <c r="O11" s="1465" t="str">
        <f>IF(COUNT(AA!EN13:EN15)&lt;SUM(AA!E13:E15),"n/a",O8/SUM(AA!EN13:EN15))</f>
        <v>n/a</v>
      </c>
      <c r="Q11" s="77"/>
    </row>
    <row r="12" spans="1:176" ht="3.75" customHeight="1" thickBot="1">
      <c r="B12" s="1149"/>
      <c r="C12" s="1149"/>
      <c r="D12" s="1149"/>
      <c r="E12" s="1149"/>
      <c r="F12" s="1149"/>
      <c r="G12" s="1149"/>
      <c r="I12" s="77"/>
      <c r="J12" s="1149"/>
      <c r="K12" s="1149"/>
      <c r="L12" s="1149"/>
      <c r="M12" s="1149"/>
      <c r="N12" s="1149"/>
      <c r="O12" s="1149"/>
      <c r="Q12" s="77"/>
      <c r="R12" s="1149"/>
      <c r="S12" s="1149"/>
      <c r="T12" s="1149"/>
      <c r="U12" s="1149"/>
      <c r="V12" s="1149"/>
      <c r="W12" s="1149"/>
    </row>
    <row r="13" spans="1:176" ht="22.5" customHeight="1">
      <c r="B13" s="1148" t="s">
        <v>114</v>
      </c>
      <c r="C13" s="1148"/>
      <c r="D13" s="1148"/>
      <c r="E13" s="1148"/>
      <c r="F13" s="1148"/>
      <c r="G13" s="1152">
        <f>SUMPRODUCT(AA!AH13:AH15,AO!AT18:AT20)/AO!AT22</f>
        <v>0.05</v>
      </c>
      <c r="I13" s="77"/>
      <c r="J13" s="1148" t="s">
        <v>718</v>
      </c>
      <c r="K13" s="1148"/>
      <c r="L13" s="1148"/>
      <c r="M13" s="1148"/>
      <c r="N13" s="1148"/>
      <c r="O13" s="1152">
        <f>AVERAGE(GA!L526:L565)</f>
        <v>1.7499999999999995E-2</v>
      </c>
      <c r="Q13" s="77"/>
      <c r="R13" s="1148" t="s">
        <v>718</v>
      </c>
      <c r="S13" s="1148"/>
      <c r="T13" s="1148"/>
      <c r="U13" s="1148"/>
      <c r="V13" s="1148"/>
      <c r="W13" s="1152">
        <f>AVERAGE(GA!G602:G641)</f>
        <v>1.7499999999999995E-2</v>
      </c>
    </row>
    <row r="14" spans="1:176" ht="22.5" customHeight="1">
      <c r="B14" s="1148" t="s">
        <v>1211</v>
      </c>
      <c r="C14" s="1148"/>
      <c r="D14" s="1148"/>
      <c r="E14" s="1148"/>
      <c r="F14" s="1148"/>
      <c r="G14" s="1152">
        <f>GA!G120</f>
        <v>4.2500000000000003E-2</v>
      </c>
      <c r="I14" s="77"/>
      <c r="J14" s="1148" t="s">
        <v>1217</v>
      </c>
      <c r="K14" s="1148"/>
      <c r="L14" s="1148"/>
      <c r="M14" s="1148"/>
      <c r="N14" s="1148"/>
      <c r="O14" s="1152">
        <f>AVERAGE(GA!Q526:Q565)</f>
        <v>2.0000000000000011E-2</v>
      </c>
      <c r="Q14" s="77"/>
      <c r="R14" s="1148" t="s">
        <v>726</v>
      </c>
      <c r="W14" s="1152">
        <f>GA!G586</f>
        <v>0.01</v>
      </c>
    </row>
    <row r="15" spans="1:176" ht="22.5" customHeight="1">
      <c r="B15" s="1148" t="s">
        <v>1503</v>
      </c>
      <c r="G15" s="1148">
        <f>GA!G121*12</f>
        <v>2.25</v>
      </c>
      <c r="I15" s="77"/>
      <c r="J15" s="1148" t="s">
        <v>1218</v>
      </c>
      <c r="K15" s="1148"/>
      <c r="L15" s="1148"/>
      <c r="M15" s="1148"/>
      <c r="N15" s="1148"/>
      <c r="O15" s="1152">
        <f>GA!G505</f>
        <v>7.4999999999999997E-3</v>
      </c>
      <c r="Q15" s="77"/>
      <c r="R15" s="1148" t="s">
        <v>1218</v>
      </c>
      <c r="S15" s="1148"/>
      <c r="T15" s="1148"/>
      <c r="U15" s="1148"/>
      <c r="V15" s="1148"/>
      <c r="W15" s="1152">
        <f>GA!G583</f>
        <v>5.0000000000000001E-3</v>
      </c>
    </row>
    <row r="16" spans="1:176" ht="22.5" customHeight="1">
      <c r="B16" s="1148" t="s">
        <v>1407</v>
      </c>
      <c r="C16" s="1148"/>
      <c r="D16" s="1148"/>
      <c r="E16" s="1148"/>
      <c r="F16" s="1148"/>
      <c r="G16" s="1152">
        <f>GA!G123</f>
        <v>1.7999999999999999E-2</v>
      </c>
      <c r="I16" s="77"/>
      <c r="J16" s="1148" t="s">
        <v>1219</v>
      </c>
      <c r="K16" s="1148"/>
      <c r="L16" s="1148"/>
      <c r="M16" s="1148"/>
      <c r="N16" s="1148"/>
      <c r="O16" s="1153">
        <f>GA!G506</f>
        <v>47000</v>
      </c>
      <c r="Q16" s="77"/>
      <c r="R16" s="1148" t="s">
        <v>1219</v>
      </c>
      <c r="S16" s="1148"/>
      <c r="T16" s="1148"/>
      <c r="U16" s="1148"/>
      <c r="V16" s="1148"/>
      <c r="W16" s="1152">
        <f>GA!G584</f>
        <v>0</v>
      </c>
    </row>
    <row r="17" spans="2:23" ht="22.5" customHeight="1">
      <c r="B17" s="1148" t="s">
        <v>1212</v>
      </c>
      <c r="C17" s="1148"/>
      <c r="D17" s="1148"/>
      <c r="E17" s="1148"/>
      <c r="F17" s="1148"/>
      <c r="G17" s="1153">
        <f>GA!G125</f>
        <v>50000</v>
      </c>
      <c r="I17" s="77"/>
      <c r="J17" s="1148" t="s">
        <v>1220</v>
      </c>
      <c r="K17" s="1148"/>
      <c r="L17" s="1148"/>
      <c r="M17" s="1148"/>
      <c r="N17" s="1148"/>
      <c r="O17" s="1152">
        <f>GA!G516</f>
        <v>1.2</v>
      </c>
      <c r="Q17" s="77"/>
      <c r="R17" s="1148" t="s">
        <v>1220</v>
      </c>
      <c r="S17" s="1148"/>
      <c r="T17" s="1148"/>
      <c r="U17" s="1148"/>
      <c r="V17" s="1549"/>
      <c r="W17" s="1152">
        <f>GA!G592</f>
        <v>1.2</v>
      </c>
    </row>
    <row r="18" spans="2:23" ht="31.15" customHeight="1" thickBot="1">
      <c r="B18" s="1149"/>
      <c r="C18" s="1149"/>
      <c r="D18" s="1149"/>
      <c r="E18" s="1149"/>
      <c r="F18" s="1149"/>
      <c r="G18" s="1149"/>
      <c r="I18" s="77"/>
      <c r="J18" s="1149"/>
      <c r="K18" s="1149"/>
      <c r="L18" s="1149"/>
      <c r="M18" s="1149"/>
      <c r="N18" s="1149"/>
      <c r="O18" s="1149"/>
      <c r="Q18" s="77"/>
      <c r="R18" s="1149"/>
      <c r="S18" s="1149"/>
      <c r="T18" s="1149"/>
      <c r="U18" s="1149"/>
      <c r="V18" s="1149"/>
      <c r="W18" s="1149"/>
    </row>
    <row r="19" spans="2:23" ht="22.5" customHeight="1">
      <c r="B19" s="1148" t="s">
        <v>1213</v>
      </c>
      <c r="C19" s="1148"/>
      <c r="D19" s="1148"/>
      <c r="E19" s="1148"/>
      <c r="F19" s="1148"/>
      <c r="G19" s="1154" t="s">
        <v>1222</v>
      </c>
      <c r="I19" s="77"/>
      <c r="J19" s="1148"/>
      <c r="K19" s="1148"/>
      <c r="L19" s="1148"/>
      <c r="M19" s="1148"/>
      <c r="N19" s="1148"/>
      <c r="O19" s="1148"/>
      <c r="Q19" s="77"/>
      <c r="R19" s="1148"/>
      <c r="S19" s="1148"/>
      <c r="T19" s="1148"/>
      <c r="U19" s="1148"/>
      <c r="V19" s="1148"/>
      <c r="W19" s="1154"/>
    </row>
    <row r="20" spans="2:23" ht="22.5" customHeight="1">
      <c r="B20" s="1148" t="s">
        <v>1408</v>
      </c>
      <c r="C20" s="1148"/>
      <c r="D20" s="1148"/>
      <c r="E20" s="1148"/>
      <c r="F20" s="1148"/>
      <c r="G20" s="1152">
        <f>GA!G145</f>
        <v>7.4999999999999997E-3</v>
      </c>
      <c r="I20" s="77"/>
      <c r="J20" s="1148"/>
      <c r="K20" s="1148"/>
      <c r="L20" s="1148"/>
      <c r="M20" s="1148"/>
      <c r="N20" s="1148"/>
      <c r="O20" s="1148"/>
      <c r="Q20" s="77"/>
      <c r="R20" s="1148"/>
      <c r="S20" s="1148"/>
      <c r="T20" s="1148"/>
      <c r="U20" s="1148"/>
      <c r="V20" s="1148"/>
      <c r="W20" s="1152"/>
    </row>
    <row r="21" spans="2:23" ht="22.5" customHeight="1">
      <c r="B21" s="1148" t="s">
        <v>1223</v>
      </c>
      <c r="C21" s="1148"/>
      <c r="D21" s="1148"/>
      <c r="E21" s="1148"/>
      <c r="F21" s="1148"/>
      <c r="G21" s="1152">
        <f>GA!G146</f>
        <v>0.02</v>
      </c>
      <c r="I21" s="77"/>
      <c r="J21" s="1148"/>
      <c r="K21" s="1148"/>
      <c r="L21" s="1148"/>
      <c r="M21" s="1148"/>
      <c r="N21" s="1148"/>
      <c r="O21" s="1148"/>
      <c r="Q21" s="77"/>
      <c r="R21" s="1148"/>
      <c r="S21" s="1148"/>
      <c r="T21" s="1148"/>
      <c r="U21" s="1148"/>
      <c r="V21" s="1148"/>
      <c r="W21" s="1152"/>
    </row>
    <row r="22" spans="2:23" ht="3.75" customHeight="1" thickBot="1">
      <c r="B22" s="1149"/>
      <c r="C22" s="1149"/>
      <c r="D22" s="1149"/>
      <c r="E22" s="1149"/>
      <c r="F22" s="1149"/>
      <c r="G22" s="1149"/>
      <c r="I22" s="77"/>
      <c r="J22" s="1148"/>
      <c r="K22" s="1148"/>
      <c r="L22" s="1148"/>
      <c r="M22" s="1148"/>
      <c r="N22" s="1148"/>
      <c r="O22" s="1148"/>
      <c r="Q22" s="77"/>
      <c r="R22" s="1149"/>
      <c r="S22" s="1149"/>
      <c r="T22" s="1149"/>
      <c r="U22" s="1149"/>
      <c r="V22" s="1149"/>
      <c r="W22" s="1149"/>
    </row>
    <row r="23" spans="2:23" ht="22.5" customHeight="1">
      <c r="B23" s="1148" t="s">
        <v>1214</v>
      </c>
      <c r="C23" s="1148"/>
      <c r="D23" s="1148"/>
      <c r="E23" s="1148"/>
      <c r="F23" s="1148"/>
      <c r="G23" s="1152">
        <f>GA!G427</f>
        <v>0.1583</v>
      </c>
      <c r="I23" s="77"/>
      <c r="J23" s="1148"/>
      <c r="K23" s="1148"/>
      <c r="L23" s="1148"/>
      <c r="M23" s="1148"/>
      <c r="N23" s="1148"/>
      <c r="O23" s="1148"/>
      <c r="Q23" s="77"/>
      <c r="R23" s="1148"/>
      <c r="S23" s="1148"/>
      <c r="T23" s="1148"/>
      <c r="U23" s="1148"/>
      <c r="V23" s="1148"/>
      <c r="W23" s="1152"/>
    </row>
    <row r="24" spans="2:23" ht="22.5" customHeight="1">
      <c r="B24" s="1148" t="s">
        <v>1215</v>
      </c>
      <c r="C24" s="1148"/>
      <c r="D24" s="1148"/>
      <c r="E24" s="1148"/>
      <c r="F24" s="1148"/>
      <c r="G24" s="1155">
        <f>GA!G444</f>
        <v>1</v>
      </c>
      <c r="I24" s="77"/>
      <c r="J24" s="1148"/>
      <c r="K24" s="1148"/>
      <c r="L24" s="1148"/>
      <c r="M24" s="1148"/>
      <c r="N24" s="1148"/>
      <c r="O24" s="1148"/>
      <c r="Q24" s="77"/>
      <c r="R24" s="1148"/>
      <c r="S24" s="1148"/>
      <c r="T24" s="1148"/>
      <c r="U24" s="1148"/>
      <c r="V24" s="1148"/>
      <c r="W24" s="1148"/>
    </row>
    <row r="25" spans="2:23" ht="22.5" customHeight="1">
      <c r="B25" s="1148"/>
      <c r="C25" s="1148"/>
      <c r="D25" s="1148"/>
      <c r="E25" s="1148"/>
      <c r="F25" s="1148"/>
      <c r="G25" s="1148"/>
    </row>
    <row r="26" spans="2:23" ht="18.75">
      <c r="C26" s="1148"/>
      <c r="D26" s="1148"/>
      <c r="E26" s="1148"/>
      <c r="F26" s="1148"/>
      <c r="G26" s="1148"/>
    </row>
    <row r="27" spans="2:23" ht="22.5" customHeight="1">
      <c r="B27" s="1148"/>
      <c r="C27" s="1148"/>
      <c r="D27" s="1148"/>
      <c r="E27" s="1148"/>
      <c r="F27" s="1148"/>
      <c r="G27" s="1148"/>
    </row>
    <row r="28" spans="2:23" ht="22.5" customHeight="1">
      <c r="B28" s="1148"/>
      <c r="C28" s="1148"/>
      <c r="D28" s="1148"/>
      <c r="E28" s="1148"/>
      <c r="F28" s="1148"/>
      <c r="G28" s="1148"/>
    </row>
  </sheetData>
  <mergeCells count="2">
    <mergeCell ref="F8:G8"/>
    <mergeCell ref="F9:G9"/>
  </mergeCells>
  <pageMargins left="0.7" right="0.7" top="0.75" bottom="0.75" header="0.3" footer="0.3"/>
  <pageSetup paperSize="9" scale="45"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4D05B-4DA4-4163-99CC-4126D4A8DD65}">
  <sheetPr codeName="Sheet23">
    <tabColor rgb="FF7030A0"/>
  </sheetPr>
  <dimension ref="A1:FR34"/>
  <sheetViews>
    <sheetView workbookViewId="0">
      <selection activeCell="H19" sqref="H19:J19"/>
    </sheetView>
  </sheetViews>
  <sheetFormatPr baseColWidth="10" defaultColWidth="8.7109375" defaultRowHeight="15" outlineLevelRow="1"/>
  <cols>
    <col min="1" max="1" width="2.5703125" customWidth="1"/>
    <col min="11" max="11" width="8.7109375" customWidth="1"/>
    <col min="14" max="17" width="6.7109375" customWidth="1"/>
    <col min="22" max="22" width="17.5703125" bestFit="1" customWidth="1"/>
    <col min="23" max="23" width="23.28515625" bestFit="1" customWidth="1"/>
  </cols>
  <sheetData>
    <row r="1" spans="1:174"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AO1" s="58"/>
      <c r="AP1" s="58"/>
      <c r="AQ1" s="58"/>
      <c r="AR1" s="58"/>
      <c r="AS1" s="58"/>
      <c r="AT1" s="58"/>
      <c r="BZ1" s="58"/>
      <c r="CD1" s="58"/>
      <c r="CE1" s="58"/>
      <c r="CR1" s="58"/>
      <c r="DE1" s="58"/>
      <c r="DR1" s="58"/>
      <c r="DS1" s="58"/>
      <c r="DT1" s="58"/>
      <c r="DU1" s="58"/>
      <c r="DV1" s="58"/>
      <c r="EN1" s="58"/>
      <c r="ET1" s="58"/>
      <c r="FP1" s="58"/>
      <c r="FR1" s="58"/>
    </row>
    <row r="2" spans="1:174" s="35" customFormat="1">
      <c r="A2" s="1" t="s">
        <v>1255</v>
      </c>
      <c r="B2" s="1"/>
      <c r="D2" s="58"/>
      <c r="F2" s="58"/>
      <c r="G2" s="58"/>
      <c r="H2" s="58"/>
      <c r="I2" s="58"/>
      <c r="J2" s="58"/>
      <c r="K2" s="58"/>
      <c r="L2" s="58"/>
      <c r="M2" s="58"/>
      <c r="N2" s="58"/>
      <c r="O2" s="58"/>
      <c r="P2" s="58"/>
      <c r="Q2" s="58"/>
      <c r="R2" s="58"/>
      <c r="S2" s="58"/>
      <c r="T2" s="58"/>
      <c r="U2" s="58"/>
      <c r="V2" s="58"/>
      <c r="AO2" s="58"/>
      <c r="AP2" s="58"/>
      <c r="AQ2" s="58"/>
      <c r="AR2" s="58"/>
      <c r="AS2" s="58"/>
      <c r="AT2" s="58"/>
      <c r="BZ2" s="58"/>
      <c r="CD2" s="58"/>
      <c r="CE2" s="58"/>
      <c r="CR2" s="58"/>
      <c r="DE2" s="58"/>
      <c r="DR2" s="58"/>
      <c r="DS2" s="58"/>
      <c r="DT2" s="58"/>
      <c r="DU2" s="58"/>
      <c r="DV2" s="58"/>
      <c r="EN2" s="58"/>
      <c r="ET2" s="58"/>
      <c r="FP2" s="58"/>
      <c r="FR2" s="58"/>
    </row>
    <row r="3" spans="1:174" s="35" customFormat="1" ht="17.25">
      <c r="D3" s="58"/>
      <c r="F3" s="58"/>
      <c r="G3" s="58"/>
      <c r="H3" s="58"/>
      <c r="I3" s="58"/>
      <c r="J3" s="58"/>
      <c r="K3" s="58"/>
      <c r="L3" s="58"/>
      <c r="M3" s="58"/>
      <c r="N3" s="58"/>
      <c r="O3" s="58"/>
      <c r="P3" s="58"/>
      <c r="Q3" s="58"/>
      <c r="R3" s="58"/>
      <c r="S3" s="58"/>
      <c r="T3" s="58"/>
      <c r="U3" s="58"/>
      <c r="V3" s="58"/>
      <c r="Y3" s="156"/>
      <c r="Z3" s="156"/>
      <c r="AA3" s="156"/>
      <c r="AO3" s="58"/>
      <c r="AP3" s="58"/>
      <c r="AQ3" s="58"/>
      <c r="AR3" s="58"/>
      <c r="AS3" s="58"/>
      <c r="AT3" s="58"/>
      <c r="BZ3" s="58"/>
      <c r="CD3" s="58"/>
      <c r="CE3" s="58"/>
      <c r="CR3" s="58"/>
      <c r="DE3" s="58"/>
      <c r="DR3" s="58"/>
      <c r="DS3" s="58"/>
      <c r="DT3" s="58"/>
      <c r="DU3" s="58"/>
      <c r="DV3" s="58"/>
      <c r="EN3" s="58"/>
      <c r="ET3" s="58"/>
      <c r="FP3" s="58"/>
      <c r="FR3" s="58"/>
    </row>
    <row r="4" spans="1:174" s="35" customFormat="1">
      <c r="D4" s="58"/>
      <c r="F4" s="58"/>
      <c r="G4" s="58"/>
      <c r="H4" s="58"/>
      <c r="I4" s="58"/>
      <c r="J4" s="58"/>
      <c r="K4" s="58"/>
      <c r="L4" s="58"/>
      <c r="M4" s="58"/>
      <c r="N4" s="58"/>
      <c r="O4" s="58"/>
      <c r="P4" s="58"/>
      <c r="Q4" s="58"/>
      <c r="R4" s="58"/>
      <c r="S4" s="58"/>
      <c r="T4" s="58"/>
      <c r="U4" s="58"/>
      <c r="V4" s="58"/>
      <c r="Y4" s="157"/>
      <c r="Z4" s="157"/>
      <c r="AA4" s="157"/>
      <c r="AO4" s="58"/>
      <c r="AP4" s="58"/>
      <c r="AQ4" s="58"/>
      <c r="AR4" s="58"/>
      <c r="AS4" s="58"/>
      <c r="AT4" s="58"/>
      <c r="BZ4" s="58"/>
      <c r="CD4" s="58"/>
      <c r="CE4" s="58"/>
      <c r="CR4" s="58"/>
      <c r="DE4" s="58"/>
      <c r="DR4" s="58"/>
      <c r="DS4" s="58"/>
      <c r="DT4" s="58"/>
      <c r="DU4" s="58"/>
      <c r="DV4" s="58"/>
      <c r="EN4" s="58"/>
      <c r="ET4" s="58"/>
      <c r="FP4" s="58"/>
      <c r="FR4" s="58"/>
    </row>
    <row r="5" spans="1:174" ht="15.75" thickBot="1"/>
    <row r="6" spans="1:174">
      <c r="V6" s="1163"/>
      <c r="W6" s="1165" t="s">
        <v>1283</v>
      </c>
    </row>
    <row r="7" spans="1:174" s="168" customFormat="1" ht="16.899999999999999" customHeight="1">
      <c r="B7" s="1146" t="s">
        <v>1230</v>
      </c>
      <c r="C7" s="1169"/>
      <c r="D7" s="1169"/>
      <c r="E7" s="1170" t="s">
        <v>1231</v>
      </c>
      <c r="F7" s="1169"/>
      <c r="G7" s="1169"/>
      <c r="H7" s="1170" t="s">
        <v>1232</v>
      </c>
      <c r="I7" s="1169"/>
      <c r="J7" s="1169"/>
      <c r="K7" s="1170" t="s">
        <v>1233</v>
      </c>
      <c r="L7" s="1169"/>
      <c r="M7" s="1169"/>
      <c r="N7" s="1170" t="s">
        <v>1234</v>
      </c>
      <c r="O7" s="1169"/>
      <c r="P7" s="1169"/>
      <c r="Q7" s="1169"/>
      <c r="V7" s="1183"/>
      <c r="W7" s="1184" t="s">
        <v>1234</v>
      </c>
    </row>
    <row r="8" spans="1:174" ht="16.899999999999999" customHeight="1">
      <c r="B8" s="1171" t="str">
        <f>GA!E15</f>
        <v>Broker Fee</v>
      </c>
      <c r="C8" s="1171"/>
      <c r="D8" s="1171"/>
      <c r="E8" s="1728" t="str">
        <f>GA!J15</f>
        <v>Internal</v>
      </c>
      <c r="F8" s="1728"/>
      <c r="G8" s="1728"/>
      <c r="H8" s="1727">
        <f>SUM(GA!G15:H15)*GA!$G$10</f>
        <v>20000</v>
      </c>
      <c r="I8" s="1727"/>
      <c r="J8" s="1727"/>
      <c r="K8" s="1726">
        <f t="shared" ref="K8:K15" si="0">N8-H8</f>
        <v>-20000</v>
      </c>
      <c r="L8" s="1726"/>
      <c r="M8" s="1726"/>
      <c r="N8" s="1727">
        <f t="shared" ref="N8:N15" si="1">W8</f>
        <v>0</v>
      </c>
      <c r="O8" s="1727"/>
      <c r="P8" s="1727"/>
      <c r="Q8" s="1727"/>
      <c r="V8" s="1185" t="s">
        <v>1235</v>
      </c>
      <c r="W8" s="1186"/>
    </row>
    <row r="9" spans="1:174" ht="16.899999999999999" customHeight="1" outlineLevel="1">
      <c r="B9" s="1171" t="str">
        <f>GA!E16</f>
        <v>Acquisition Fee</v>
      </c>
      <c r="C9" s="1171"/>
      <c r="D9" s="1171"/>
      <c r="E9" s="1728">
        <f>GA!J16</f>
        <v>0</v>
      </c>
      <c r="F9" s="1728"/>
      <c r="G9" s="1728"/>
      <c r="H9" s="1727">
        <f>SUM(GA!G16:H16)*GA!G10</f>
        <v>0</v>
      </c>
      <c r="I9" s="1727"/>
      <c r="J9" s="1727"/>
      <c r="K9" s="1726">
        <f t="shared" si="0"/>
        <v>0</v>
      </c>
      <c r="L9" s="1726"/>
      <c r="M9" s="1726"/>
      <c r="N9" s="1727">
        <f t="shared" si="1"/>
        <v>0</v>
      </c>
      <c r="O9" s="1727"/>
      <c r="P9" s="1727"/>
      <c r="Q9" s="1727"/>
      <c r="V9" s="1185" t="s">
        <v>1236</v>
      </c>
      <c r="W9" s="1186"/>
    </row>
    <row r="10" spans="1:174" ht="16.899999999999999" customHeight="1">
      <c r="B10" s="1729" t="str">
        <f>GA!E17</f>
        <v>Legal DD incl. SPA</v>
      </c>
      <c r="C10" s="1729"/>
      <c r="D10" s="1729"/>
      <c r="E10" s="1728">
        <f>GA!J17</f>
        <v>0</v>
      </c>
      <c r="F10" s="1728"/>
      <c r="G10" s="1728"/>
      <c r="H10" s="1727">
        <f>SUM(GA!G17:H17)</f>
        <v>150000</v>
      </c>
      <c r="I10" s="1727"/>
      <c r="J10" s="1727"/>
      <c r="K10" s="1726">
        <f t="shared" si="0"/>
        <v>-150000</v>
      </c>
      <c r="L10" s="1726"/>
      <c r="M10" s="1726"/>
      <c r="N10" s="1727">
        <f t="shared" si="1"/>
        <v>0</v>
      </c>
      <c r="O10" s="1727"/>
      <c r="P10" s="1727"/>
      <c r="Q10" s="1727"/>
      <c r="V10" s="1208" t="s">
        <v>1237</v>
      </c>
      <c r="W10" s="1186"/>
    </row>
    <row r="11" spans="1:174" ht="16.899999999999999" customHeight="1">
      <c r="B11" s="1729" t="str">
        <f>GA!E18</f>
        <v>Tax DD</v>
      </c>
      <c r="C11" s="1729"/>
      <c r="D11" s="1729"/>
      <c r="E11" s="1728">
        <f>GA!J18</f>
        <v>0</v>
      </c>
      <c r="F11" s="1728"/>
      <c r="G11" s="1728"/>
      <c r="H11" s="1727">
        <f>SUM(GA!G18:H18)</f>
        <v>30000</v>
      </c>
      <c r="I11" s="1727"/>
      <c r="J11" s="1727"/>
      <c r="K11" s="1726">
        <f t="shared" si="0"/>
        <v>-30000</v>
      </c>
      <c r="L11" s="1726"/>
      <c r="M11" s="1726"/>
      <c r="N11" s="1727">
        <f t="shared" ref="N11" si="2">W11</f>
        <v>0</v>
      </c>
      <c r="O11" s="1727"/>
      <c r="P11" s="1727"/>
      <c r="Q11" s="1727"/>
      <c r="V11" s="1208" t="s">
        <v>1302</v>
      </c>
      <c r="W11" s="1186"/>
    </row>
    <row r="12" spans="1:174" ht="16.899999999999999" customHeight="1">
      <c r="B12" s="1171" t="str">
        <f>GA!E19</f>
        <v>Technical DD</v>
      </c>
      <c r="C12" s="1171"/>
      <c r="D12" s="1171"/>
      <c r="E12" s="1728">
        <f>GA!J19</f>
        <v>0</v>
      </c>
      <c r="F12" s="1728"/>
      <c r="G12" s="1728"/>
      <c r="H12" s="1727">
        <f>SUM(GA!G19:H19)</f>
        <v>15000</v>
      </c>
      <c r="I12" s="1727"/>
      <c r="J12" s="1727"/>
      <c r="K12" s="1726">
        <f t="shared" si="0"/>
        <v>-15000</v>
      </c>
      <c r="L12" s="1726"/>
      <c r="M12" s="1726"/>
      <c r="N12" s="1727">
        <f t="shared" si="1"/>
        <v>0</v>
      </c>
      <c r="O12" s="1727"/>
      <c r="P12" s="1727"/>
      <c r="Q12" s="1727"/>
      <c r="V12" s="1185" t="s">
        <v>1238</v>
      </c>
      <c r="W12" s="1186"/>
    </row>
    <row r="13" spans="1:174" ht="16.899999999999999" customHeight="1">
      <c r="B13" s="1171" t="str">
        <f>GA!E20</f>
        <v>Structure Set up</v>
      </c>
      <c r="C13" s="1171"/>
      <c r="D13" s="1171"/>
      <c r="E13" s="1728">
        <f>GA!J20</f>
        <v>0</v>
      </c>
      <c r="F13" s="1728"/>
      <c r="G13" s="1728"/>
      <c r="H13" s="1727">
        <f>SUM(GA!G20:H20)</f>
        <v>30000</v>
      </c>
      <c r="I13" s="1727"/>
      <c r="J13" s="1727"/>
      <c r="K13" s="1726">
        <f t="shared" si="0"/>
        <v>-30000</v>
      </c>
      <c r="L13" s="1726"/>
      <c r="M13" s="1726"/>
      <c r="N13" s="1727">
        <f t="shared" si="1"/>
        <v>0</v>
      </c>
      <c r="O13" s="1727"/>
      <c r="P13" s="1727"/>
      <c r="Q13" s="1727"/>
      <c r="V13" s="1185" t="s">
        <v>1239</v>
      </c>
      <c r="W13" s="1186"/>
    </row>
    <row r="14" spans="1:174" ht="16.899999999999999" customHeight="1">
      <c r="B14" s="1171" t="str">
        <f>GA!E21</f>
        <v>Initial Valuation</v>
      </c>
      <c r="C14" s="1171"/>
      <c r="D14" s="1171"/>
      <c r="E14" s="1728">
        <f>GA!J21</f>
        <v>0</v>
      </c>
      <c r="F14" s="1728"/>
      <c r="G14" s="1728"/>
      <c r="H14" s="1727">
        <f>SUM(GA!G21:H21)</f>
        <v>10500</v>
      </c>
      <c r="I14" s="1727"/>
      <c r="J14" s="1727"/>
      <c r="K14" s="1726">
        <f t="shared" si="0"/>
        <v>-10500</v>
      </c>
      <c r="L14" s="1726"/>
      <c r="M14" s="1726"/>
      <c r="N14" s="1727">
        <f t="shared" si="1"/>
        <v>0</v>
      </c>
      <c r="O14" s="1727"/>
      <c r="P14" s="1727"/>
      <c r="Q14" s="1727"/>
      <c r="V14" s="1185" t="s">
        <v>1240</v>
      </c>
      <c r="W14" s="1186"/>
    </row>
    <row r="15" spans="1:174" ht="16.899999999999999" customHeight="1">
      <c r="B15" s="1171" t="str">
        <f>GA!E22</f>
        <v>Contingency</v>
      </c>
      <c r="C15" s="1171"/>
      <c r="D15" s="1171"/>
      <c r="E15" s="1730"/>
      <c r="F15" s="1730"/>
      <c r="G15" s="1730"/>
      <c r="H15" s="1727">
        <f>SUM(GA!G22:H22)</f>
        <v>23550</v>
      </c>
      <c r="I15" s="1727"/>
      <c r="J15" s="1727"/>
      <c r="K15" s="1726">
        <f t="shared" si="0"/>
        <v>-23550</v>
      </c>
      <c r="L15" s="1726"/>
      <c r="M15" s="1726"/>
      <c r="N15" s="1727">
        <f t="shared" si="1"/>
        <v>0</v>
      </c>
      <c r="O15" s="1727"/>
      <c r="P15" s="1727"/>
      <c r="Q15" s="1727"/>
      <c r="V15" s="1185" t="s">
        <v>1241</v>
      </c>
      <c r="W15" s="1186"/>
    </row>
    <row r="16" spans="1:174" ht="7.5" customHeight="1" thickBot="1">
      <c r="B16" s="1172"/>
      <c r="C16" s="1172"/>
      <c r="D16" s="1172"/>
      <c r="E16" s="1172"/>
      <c r="F16" s="1172"/>
      <c r="G16" s="1172"/>
      <c r="H16" s="1681"/>
      <c r="I16" s="1681"/>
      <c r="J16" s="1681"/>
      <c r="K16" s="1682"/>
      <c r="L16" s="1682"/>
      <c r="M16" s="1682"/>
      <c r="N16" s="1682"/>
      <c r="O16" s="1682"/>
      <c r="P16" s="1682"/>
      <c r="Q16" s="1682"/>
      <c r="V16" s="1185"/>
      <c r="W16" s="1187"/>
    </row>
    <row r="17" spans="2:23" ht="7.5" customHeight="1">
      <c r="B17" s="1171"/>
      <c r="C17" s="1171"/>
      <c r="D17" s="1171"/>
      <c r="E17" s="1171"/>
      <c r="F17" s="1171"/>
      <c r="G17" s="1171"/>
      <c r="H17" s="1683"/>
      <c r="I17" s="1683"/>
      <c r="J17" s="1683"/>
      <c r="K17" s="1154"/>
      <c r="L17" s="1154"/>
      <c r="M17" s="1154"/>
      <c r="N17" s="1154"/>
      <c r="O17" s="1154"/>
      <c r="P17" s="1154"/>
      <c r="Q17" s="1154"/>
      <c r="V17" s="1185"/>
      <c r="W17" s="1187"/>
    </row>
    <row r="18" spans="2:23" ht="16.899999999999999" customHeight="1">
      <c r="B18" s="1171" t="str">
        <f>GA!E505</f>
        <v>Up-Front Financing Fee (%)</v>
      </c>
      <c r="C18" s="1171"/>
      <c r="D18" s="1171"/>
      <c r="E18" s="1171"/>
      <c r="F18" s="1171"/>
      <c r="G18" s="1171"/>
      <c r="H18" s="1727">
        <f>GA!G499*GA!G505*GA!G494</f>
        <v>18750</v>
      </c>
      <c r="I18" s="1727"/>
      <c r="J18" s="1727"/>
      <c r="K18" s="1726">
        <f>N18-H18</f>
        <v>-18750</v>
      </c>
      <c r="L18" s="1726"/>
      <c r="M18" s="1726"/>
      <c r="N18" s="1727">
        <f>W18</f>
        <v>0</v>
      </c>
      <c r="O18" s="1727"/>
      <c r="P18" s="1727"/>
      <c r="Q18" s="1727"/>
      <c r="V18" s="1185" t="s">
        <v>722</v>
      </c>
      <c r="W18" s="1186"/>
    </row>
    <row r="19" spans="2:23" ht="16.899999999999999" customHeight="1">
      <c r="B19" s="1171" t="str">
        <f>GA!E506</f>
        <v>Financing Costs (Valuation, Legal, etc)</v>
      </c>
      <c r="C19" s="1171"/>
      <c r="D19" s="1171"/>
      <c r="E19" s="1171"/>
      <c r="F19" s="1171"/>
      <c r="G19" s="1171"/>
      <c r="H19" s="1727">
        <f>GA!G584*GA!G572+GA!G506*GA!G494+GA!G672*GA!G648</f>
        <v>47000</v>
      </c>
      <c r="I19" s="1727"/>
      <c r="J19" s="1727"/>
      <c r="K19" s="1726">
        <f>N19-H19</f>
        <v>-47000</v>
      </c>
      <c r="L19" s="1726"/>
      <c r="M19" s="1726"/>
      <c r="N19" s="1727">
        <f>W19</f>
        <v>0</v>
      </c>
      <c r="O19" s="1727"/>
      <c r="P19" s="1727"/>
      <c r="Q19" s="1727"/>
      <c r="V19" s="1185" t="s">
        <v>729</v>
      </c>
      <c r="W19" s="1186"/>
    </row>
    <row r="20" spans="2:23" ht="16.899999999999999" customHeight="1" outlineLevel="1">
      <c r="B20" s="1171" t="s">
        <v>1242</v>
      </c>
      <c r="C20" s="1171"/>
      <c r="D20" s="1171"/>
      <c r="E20" s="1171"/>
      <c r="F20" s="1171"/>
      <c r="G20" s="1171"/>
      <c r="H20" s="1727">
        <f>GA!G671*GA!G649*GA!G648</f>
        <v>0</v>
      </c>
      <c r="I20" s="1727"/>
      <c r="J20" s="1727"/>
      <c r="K20" s="1726">
        <f>N20-H20</f>
        <v>0</v>
      </c>
      <c r="L20" s="1726"/>
      <c r="M20" s="1726"/>
      <c r="N20" s="1727">
        <f>W20</f>
        <v>0</v>
      </c>
      <c r="O20" s="1727"/>
      <c r="P20" s="1727"/>
      <c r="Q20" s="1727"/>
      <c r="V20" s="1185" t="s">
        <v>1242</v>
      </c>
      <c r="W20" s="1186"/>
    </row>
    <row r="21" spans="2:23" ht="16.899999999999999" customHeight="1">
      <c r="B21" s="1171" t="s">
        <v>1243</v>
      </c>
      <c r="C21" s="1171"/>
      <c r="D21" s="1171"/>
      <c r="E21" s="1171"/>
      <c r="F21" s="1171"/>
      <c r="G21" s="1171"/>
      <c r="H21" s="1727">
        <f>GA!G23</f>
        <v>125000</v>
      </c>
      <c r="I21" s="1727"/>
      <c r="J21" s="1727"/>
      <c r="K21" s="1726">
        <f>N21-H21</f>
        <v>-125000</v>
      </c>
      <c r="L21" s="1726"/>
      <c r="M21" s="1726"/>
      <c r="N21" s="1727">
        <f>W21</f>
        <v>0</v>
      </c>
      <c r="O21" s="1727"/>
      <c r="P21" s="1727"/>
      <c r="Q21" s="1727"/>
      <c r="V21" s="1185" t="s">
        <v>1243</v>
      </c>
      <c r="W21" s="1186"/>
    </row>
    <row r="22" spans="2:23" ht="7.5" customHeight="1" thickBot="1">
      <c r="B22" s="1172"/>
      <c r="C22" s="1172"/>
      <c r="D22" s="1172"/>
      <c r="E22" s="1172"/>
      <c r="F22" s="1172"/>
      <c r="G22" s="1172"/>
      <c r="H22" s="1681"/>
      <c r="I22" s="1681"/>
      <c r="J22" s="1681"/>
      <c r="K22" s="1682"/>
      <c r="L22" s="1682"/>
      <c r="M22" s="1682"/>
      <c r="N22" s="1682"/>
      <c r="O22" s="1682"/>
      <c r="P22" s="1682"/>
      <c r="Q22" s="1682"/>
      <c r="V22" s="1185"/>
      <c r="W22" s="1187"/>
    </row>
    <row r="23" spans="2:23" ht="7.5" customHeight="1">
      <c r="B23" s="1171"/>
      <c r="C23" s="1171"/>
      <c r="D23" s="1171"/>
      <c r="E23" s="1171"/>
      <c r="F23" s="1171"/>
      <c r="G23" s="1171"/>
      <c r="H23" s="1683"/>
      <c r="I23" s="1683"/>
      <c r="J23" s="1683"/>
      <c r="K23" s="1154"/>
      <c r="L23" s="1154"/>
      <c r="M23" s="1154"/>
      <c r="N23" s="1154"/>
      <c r="O23" s="1154"/>
      <c r="P23" s="1154"/>
      <c r="Q23" s="1154"/>
      <c r="V23" s="1185"/>
      <c r="W23" s="1187"/>
    </row>
    <row r="24" spans="2:23" ht="16.899999999999999" customHeight="1">
      <c r="B24" s="1173" t="s">
        <v>1244</v>
      </c>
      <c r="C24" s="1171"/>
      <c r="D24" s="1171"/>
      <c r="E24" s="1171"/>
      <c r="F24" s="1171"/>
      <c r="G24" s="1171"/>
      <c r="H24" s="1727">
        <f>SUM(H8:J23)</f>
        <v>469800</v>
      </c>
      <c r="I24" s="1727"/>
      <c r="J24" s="1727"/>
      <c r="K24" s="1726">
        <f>SUM(K8:M23)</f>
        <v>-469800</v>
      </c>
      <c r="L24" s="1726"/>
      <c r="M24" s="1726"/>
      <c r="N24" s="1727">
        <f>SUM(N8:Q23)</f>
        <v>0</v>
      </c>
      <c r="O24" s="1727"/>
      <c r="P24" s="1727"/>
      <c r="Q24" s="1727"/>
      <c r="V24" s="1185"/>
      <c r="W24" s="1187"/>
    </row>
    <row r="25" spans="2:23" ht="7.5" customHeight="1" thickBot="1">
      <c r="B25" s="1172"/>
      <c r="C25" s="1172"/>
      <c r="D25" s="1172"/>
      <c r="E25" s="1172"/>
      <c r="F25" s="1172"/>
      <c r="G25" s="1172"/>
      <c r="H25" s="1681"/>
      <c r="I25" s="1681"/>
      <c r="J25" s="1681"/>
      <c r="K25" s="1682"/>
      <c r="L25" s="1682"/>
      <c r="M25" s="1682"/>
      <c r="N25" s="1682"/>
      <c r="O25" s="1682"/>
      <c r="P25" s="1682"/>
      <c r="Q25" s="1682"/>
      <c r="V25" s="1185"/>
      <c r="W25" s="1187"/>
    </row>
    <row r="26" spans="2:23" ht="7.5" customHeight="1">
      <c r="B26" s="1171"/>
      <c r="C26" s="1171"/>
      <c r="D26" s="1171"/>
      <c r="E26" s="1171"/>
      <c r="F26" s="1171"/>
      <c r="G26" s="1171"/>
      <c r="H26" s="1683"/>
      <c r="I26" s="1683"/>
      <c r="J26" s="1683"/>
      <c r="K26" s="1154"/>
      <c r="L26" s="1154"/>
      <c r="M26" s="1154"/>
      <c r="N26" s="1154"/>
      <c r="O26" s="1154"/>
      <c r="P26" s="1154"/>
      <c r="Q26" s="1154"/>
      <c r="V26" s="1185"/>
      <c r="W26" s="1187"/>
    </row>
    <row r="27" spans="2:23" ht="16.899999999999999" customHeight="1">
      <c r="B27" s="1171" t="str">
        <f>GA!D293</f>
        <v>Real Estate Transfer Tax (RETT)</v>
      </c>
      <c r="C27" s="1171"/>
      <c r="D27" s="1171"/>
      <c r="E27" s="1171"/>
      <c r="F27" s="1171"/>
      <c r="G27" s="1171"/>
      <c r="H27" s="1727">
        <f>DCF!P330</f>
        <v>250000</v>
      </c>
      <c r="I27" s="1727"/>
      <c r="J27" s="1727"/>
      <c r="K27" s="1726">
        <f>N27-H27</f>
        <v>-250000</v>
      </c>
      <c r="L27" s="1726"/>
      <c r="M27" s="1726"/>
      <c r="N27" s="1727"/>
      <c r="O27" s="1727"/>
      <c r="P27" s="1727"/>
      <c r="Q27" s="1727"/>
      <c r="V27" s="1185" t="s">
        <v>114</v>
      </c>
      <c r="W27" s="1186"/>
    </row>
    <row r="28" spans="2:23" ht="7.5" customHeight="1" thickBot="1">
      <c r="B28" s="1172"/>
      <c r="C28" s="1172"/>
      <c r="D28" s="1172"/>
      <c r="E28" s="1172"/>
      <c r="F28" s="1172"/>
      <c r="G28" s="1172"/>
      <c r="H28" s="1681"/>
      <c r="I28" s="1681"/>
      <c r="J28" s="1681"/>
      <c r="K28" s="1682"/>
      <c r="L28" s="1682"/>
      <c r="M28" s="1682"/>
      <c r="N28" s="1682"/>
      <c r="O28" s="1682"/>
      <c r="P28" s="1682"/>
      <c r="Q28" s="1682"/>
      <c r="V28" s="1131"/>
      <c r="W28" s="1188"/>
    </row>
    <row r="29" spans="2:23" ht="7.5" customHeight="1">
      <c r="B29" s="1171"/>
      <c r="C29" s="1171"/>
      <c r="D29" s="1171"/>
      <c r="E29" s="1171"/>
      <c r="F29" s="1171"/>
      <c r="G29" s="1171"/>
      <c r="H29" s="1683"/>
      <c r="I29" s="1683"/>
      <c r="J29" s="1683"/>
      <c r="K29" s="1154"/>
      <c r="L29" s="1154"/>
      <c r="M29" s="1154"/>
      <c r="N29" s="1154"/>
      <c r="O29" s="1154"/>
      <c r="P29" s="1154"/>
      <c r="Q29" s="1154"/>
    </row>
    <row r="30" spans="2:23" ht="16.899999999999999" customHeight="1">
      <c r="B30" s="1173" t="s">
        <v>152</v>
      </c>
      <c r="C30" s="1171"/>
      <c r="D30" s="1171"/>
      <c r="E30" s="1171"/>
      <c r="F30" s="1171"/>
      <c r="G30" s="1171"/>
      <c r="H30" s="1727">
        <f>SUM(H8:J21,H27)</f>
        <v>719800</v>
      </c>
      <c r="I30" s="1727"/>
      <c r="J30" s="1727"/>
      <c r="K30" s="1726">
        <f>SUM(K8:M21,K27)</f>
        <v>-719800</v>
      </c>
      <c r="L30" s="1726"/>
      <c r="M30" s="1726"/>
      <c r="N30" s="1727">
        <f>SUM(N8:Q23,N27)</f>
        <v>0</v>
      </c>
      <c r="O30" s="1727"/>
      <c r="P30" s="1727"/>
      <c r="Q30" s="1727"/>
    </row>
    <row r="31" spans="2:23" ht="22.5" customHeight="1">
      <c r="B31" s="1148"/>
      <c r="C31" s="1148"/>
      <c r="D31" s="1148"/>
      <c r="E31" s="1148"/>
      <c r="F31" s="1148"/>
      <c r="G31" s="1148"/>
      <c r="H31" s="1148"/>
      <c r="I31" s="1148"/>
      <c r="J31" s="1148"/>
      <c r="K31" s="1148"/>
      <c r="L31" s="1148"/>
      <c r="M31" s="1148"/>
      <c r="N31" s="1148"/>
      <c r="O31" s="1148"/>
      <c r="P31" s="1148"/>
      <c r="Q31" s="1148"/>
    </row>
    <row r="32" spans="2:23" ht="22.5" customHeight="1">
      <c r="K32" s="1156"/>
    </row>
    <row r="33" ht="22.5" customHeight="1"/>
    <row r="34" ht="22.5" customHeight="1"/>
  </sheetData>
  <mergeCells count="55">
    <mergeCell ref="N21:Q21"/>
    <mergeCell ref="N24:Q24"/>
    <mergeCell ref="N27:Q27"/>
    <mergeCell ref="N30:Q30"/>
    <mergeCell ref="N13:Q13"/>
    <mergeCell ref="N14:Q14"/>
    <mergeCell ref="N15:Q15"/>
    <mergeCell ref="N18:Q18"/>
    <mergeCell ref="N19:Q19"/>
    <mergeCell ref="N20:Q20"/>
    <mergeCell ref="K20:M20"/>
    <mergeCell ref="K21:M21"/>
    <mergeCell ref="K24:M24"/>
    <mergeCell ref="K27:M27"/>
    <mergeCell ref="K30:M30"/>
    <mergeCell ref="N8:Q8"/>
    <mergeCell ref="N9:Q9"/>
    <mergeCell ref="N10:Q10"/>
    <mergeCell ref="N12:Q12"/>
    <mergeCell ref="H30:J30"/>
    <mergeCell ref="K8:M8"/>
    <mergeCell ref="K9:M9"/>
    <mergeCell ref="K10:M10"/>
    <mergeCell ref="K12:M12"/>
    <mergeCell ref="K13:M13"/>
    <mergeCell ref="K14:M14"/>
    <mergeCell ref="K15:M15"/>
    <mergeCell ref="K18:M18"/>
    <mergeCell ref="K19:M19"/>
    <mergeCell ref="H18:J18"/>
    <mergeCell ref="H19:J19"/>
    <mergeCell ref="H20:J20"/>
    <mergeCell ref="H21:J21"/>
    <mergeCell ref="H24:J24"/>
    <mergeCell ref="H27:J27"/>
    <mergeCell ref="E14:G14"/>
    <mergeCell ref="E15:G15"/>
    <mergeCell ref="H14:J14"/>
    <mergeCell ref="H15:J15"/>
    <mergeCell ref="K11:M11"/>
    <mergeCell ref="N11:Q11"/>
    <mergeCell ref="E13:G13"/>
    <mergeCell ref="B10:D10"/>
    <mergeCell ref="E8:G8"/>
    <mergeCell ref="E9:G9"/>
    <mergeCell ref="E10:G10"/>
    <mergeCell ref="E12:G12"/>
    <mergeCell ref="B11:D11"/>
    <mergeCell ref="E11:G11"/>
    <mergeCell ref="H8:J8"/>
    <mergeCell ref="H9:J9"/>
    <mergeCell ref="H10:J10"/>
    <mergeCell ref="H12:J12"/>
    <mergeCell ref="H13:J13"/>
    <mergeCell ref="H11:J11"/>
  </mergeCells>
  <pageMargins left="0.7" right="0.7" top="0.75" bottom="0.75" header="0.3" footer="0.3"/>
  <pageSetup paperSize="9" scale="58"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B8B33-B0B1-42A3-998A-A942CC154F0C}">
  <sheetPr codeName="Sheet24">
    <tabColor rgb="FF7030A0"/>
  </sheetPr>
  <dimension ref="A1:FX87"/>
  <sheetViews>
    <sheetView topLeftCell="EI64" workbookViewId="0">
      <selection activeCell="BX74" sqref="BX74"/>
    </sheetView>
  </sheetViews>
  <sheetFormatPr baseColWidth="10" defaultColWidth="8.7109375" defaultRowHeight="15" outlineLevelCol="1"/>
  <cols>
    <col min="1" max="1" width="3.42578125" customWidth="1"/>
    <col min="3" max="3" width="11.5703125" bestFit="1" customWidth="1"/>
    <col min="9" max="9" width="11.5703125" bestFit="1" customWidth="1"/>
    <col min="11" max="11" width="4.7109375" customWidth="1"/>
    <col min="12" max="12" width="31.5703125" bestFit="1" customWidth="1"/>
    <col min="14" max="14" width="11.5703125" bestFit="1" customWidth="1"/>
    <col min="19" max="19" width="11.5703125" bestFit="1" customWidth="1"/>
    <col min="20" max="20" width="11.5703125" customWidth="1"/>
    <col min="22" max="22" width="10.7109375" bestFit="1" customWidth="1"/>
    <col min="24" max="24" width="27.5703125" bestFit="1" customWidth="1"/>
    <col min="26" max="26" width="11.5703125" bestFit="1" customWidth="1"/>
    <col min="31" max="31" width="14.42578125" bestFit="1" customWidth="1"/>
    <col min="36" max="36" width="15.42578125" bestFit="1" customWidth="1"/>
    <col min="42" max="42" width="14.42578125" bestFit="1" customWidth="1"/>
    <col min="50" max="50" width="10.28515625" bestFit="1" customWidth="1"/>
    <col min="54" max="54" width="14.42578125" bestFit="1" customWidth="1"/>
    <col min="56" max="56" width="11.5703125" bestFit="1" customWidth="1"/>
    <col min="57" max="57" width="11.5703125" customWidth="1"/>
    <col min="66" max="66" width="9.7109375" bestFit="1" customWidth="1"/>
    <col min="71" max="71" width="5.5703125" bestFit="1" customWidth="1"/>
    <col min="72" max="72" width="4" bestFit="1" customWidth="1"/>
    <col min="73" max="73" width="12.42578125" bestFit="1" customWidth="1"/>
    <col min="74" max="74" width="10.28515625" bestFit="1" customWidth="1"/>
    <col min="75" max="75" width="7.5703125" bestFit="1" customWidth="1"/>
    <col min="76" max="76" width="11.28515625" bestFit="1" customWidth="1"/>
    <col min="77" max="77" width="8.5703125" bestFit="1" customWidth="1"/>
    <col min="78" max="78" width="11.7109375" bestFit="1" customWidth="1" outlineLevel="1"/>
    <col min="79" max="79" width="10.7109375" bestFit="1" customWidth="1" outlineLevel="1"/>
    <col min="80" max="80" width="9.28515625" outlineLevel="1"/>
    <col min="81" max="81" width="12.5703125" bestFit="1" customWidth="1" outlineLevel="1"/>
    <col min="82" max="82" width="11.28515625" bestFit="1" customWidth="1" outlineLevel="1"/>
    <col min="83" max="83" width="11.28515625" bestFit="1" customWidth="1"/>
    <col min="84" max="84" width="10.28515625" bestFit="1" customWidth="1"/>
    <col min="85" max="85" width="11.28515625" bestFit="1" customWidth="1"/>
    <col min="86" max="86" width="13.140625" customWidth="1"/>
    <col min="87" max="87" width="11.140625" bestFit="1" customWidth="1"/>
  </cols>
  <sheetData>
    <row r="1" spans="1:180"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Y1" s="58"/>
      <c r="Z1" s="58"/>
      <c r="AT1" s="58"/>
      <c r="AU1" s="58"/>
      <c r="AV1" s="58"/>
      <c r="AW1" s="58"/>
      <c r="AX1" s="58"/>
      <c r="AY1" s="58"/>
      <c r="CF1" s="58"/>
      <c r="CJ1" s="58"/>
      <c r="CK1" s="58"/>
      <c r="CX1" s="58"/>
      <c r="DK1" s="58"/>
      <c r="DX1" s="58"/>
      <c r="DY1" s="58"/>
      <c r="DZ1" s="58"/>
      <c r="EA1" s="58"/>
      <c r="EB1" s="58"/>
      <c r="ET1" s="58"/>
      <c r="EZ1" s="58"/>
      <c r="FV1" s="58"/>
      <c r="FX1" s="58"/>
    </row>
    <row r="2" spans="1:180" s="35" customFormat="1">
      <c r="A2" s="1" t="s">
        <v>1256</v>
      </c>
      <c r="B2" s="1"/>
      <c r="D2" s="58"/>
      <c r="F2" s="58"/>
      <c r="G2" s="58"/>
      <c r="H2" s="58"/>
      <c r="I2" s="58"/>
      <c r="J2" s="58"/>
      <c r="K2" s="58"/>
      <c r="L2" s="58"/>
      <c r="M2" s="58"/>
      <c r="N2" s="58"/>
      <c r="O2" s="58"/>
      <c r="P2" s="58"/>
      <c r="Q2" s="58"/>
      <c r="R2" s="58"/>
      <c r="S2" s="58"/>
      <c r="T2" s="58"/>
      <c r="U2" s="58"/>
      <c r="V2" s="58"/>
      <c r="W2" s="58"/>
      <c r="X2" s="58"/>
      <c r="Y2" s="58"/>
      <c r="Z2" s="58"/>
      <c r="AT2" s="58"/>
      <c r="AU2" s="58"/>
      <c r="AV2" s="58"/>
      <c r="AW2" s="58"/>
      <c r="AX2" s="58"/>
      <c r="AY2" s="58"/>
      <c r="CF2" s="58"/>
      <c r="CJ2" s="58"/>
      <c r="CK2" s="58"/>
      <c r="CX2" s="58"/>
      <c r="DK2" s="58"/>
      <c r="DX2" s="58"/>
      <c r="DY2" s="58"/>
      <c r="DZ2" s="58"/>
      <c r="EA2" s="58"/>
      <c r="EB2" s="58"/>
      <c r="ET2" s="58"/>
      <c r="EZ2" s="58"/>
      <c r="FV2" s="58"/>
      <c r="FX2" s="58"/>
    </row>
    <row r="3" spans="1:180" s="35" customFormat="1" ht="17.25">
      <c r="D3" s="58"/>
      <c r="F3" s="58"/>
      <c r="G3" s="58"/>
      <c r="H3" s="58"/>
      <c r="I3" s="58"/>
      <c r="J3" s="58"/>
      <c r="K3" s="58"/>
      <c r="L3" s="58"/>
      <c r="M3" s="58"/>
      <c r="N3" s="58"/>
      <c r="O3" s="58"/>
      <c r="P3" s="58"/>
      <c r="Q3" s="58"/>
      <c r="R3" s="58"/>
      <c r="S3" s="58"/>
      <c r="T3" s="58"/>
      <c r="U3" s="58"/>
      <c r="V3" s="58"/>
      <c r="W3" s="58"/>
      <c r="X3" s="58"/>
      <c r="Y3" s="58"/>
      <c r="Z3" s="58"/>
      <c r="AC3" s="156"/>
      <c r="AD3" s="156"/>
      <c r="AE3" s="156"/>
      <c r="AT3" s="58"/>
      <c r="AU3" s="58"/>
      <c r="AV3" s="58"/>
      <c r="AW3" s="58"/>
      <c r="AX3" s="58"/>
      <c r="AY3" s="58"/>
      <c r="CF3" s="58"/>
      <c r="CJ3" s="58"/>
      <c r="CK3" s="58"/>
      <c r="CX3" s="58"/>
      <c r="DK3" s="58"/>
      <c r="DX3" s="58"/>
      <c r="DY3" s="58"/>
      <c r="DZ3" s="58"/>
      <c r="EA3" s="58"/>
      <c r="EB3" s="58"/>
      <c r="ET3" s="58"/>
      <c r="EZ3" s="58"/>
      <c r="FV3" s="58"/>
      <c r="FX3" s="58"/>
    </row>
    <row r="4" spans="1:180" s="35" customFormat="1">
      <c r="D4" s="58"/>
      <c r="F4" s="58"/>
      <c r="G4" s="58"/>
      <c r="H4" s="58"/>
      <c r="I4" s="58"/>
      <c r="J4" s="58"/>
      <c r="K4" s="58"/>
      <c r="L4" s="58"/>
      <c r="M4" s="58"/>
      <c r="N4" s="58"/>
      <c r="O4" s="58"/>
      <c r="P4" s="58"/>
      <c r="Q4" s="58"/>
      <c r="R4" s="58"/>
      <c r="S4" s="58"/>
      <c r="T4" s="58"/>
      <c r="U4" s="58"/>
      <c r="V4" s="58"/>
      <c r="W4" s="58"/>
      <c r="X4" s="58"/>
      <c r="Y4" s="58"/>
      <c r="Z4" s="58"/>
      <c r="AC4" s="157"/>
      <c r="AD4" s="157"/>
      <c r="AE4" s="157"/>
      <c r="AT4" s="58"/>
      <c r="AU4" s="58"/>
      <c r="AV4" s="58"/>
      <c r="AW4" s="58"/>
      <c r="AX4" s="58"/>
      <c r="AY4" s="58"/>
      <c r="CF4" s="58"/>
      <c r="CJ4" s="58"/>
      <c r="CK4" s="58"/>
      <c r="CX4" s="58"/>
      <c r="DK4" s="58"/>
      <c r="DX4" s="58"/>
      <c r="DY4" s="58"/>
      <c r="DZ4" s="58"/>
      <c r="EA4" s="58"/>
      <c r="EB4" s="58"/>
      <c r="ET4" s="58"/>
      <c r="EZ4" s="58"/>
      <c r="FV4" s="58"/>
      <c r="FX4" s="58"/>
    </row>
    <row r="7" spans="1:180">
      <c r="B7" s="389" t="s">
        <v>1245</v>
      </c>
      <c r="C7" s="1142"/>
      <c r="D7" s="1"/>
      <c r="E7" s="1"/>
      <c r="G7" s="389" t="s">
        <v>1249</v>
      </c>
      <c r="H7" s="1142"/>
      <c r="I7" s="1"/>
      <c r="J7" s="1"/>
      <c r="M7" s="389" t="s">
        <v>1623</v>
      </c>
      <c r="N7" s="1142"/>
      <c r="O7" s="1"/>
      <c r="P7" s="1"/>
    </row>
    <row r="23" spans="2:22">
      <c r="B23" t="s">
        <v>1247</v>
      </c>
      <c r="C23" s="1156">
        <f>SUMIFS(AO!$Y:$Y,AO!$H:$H,$B23)</f>
        <v>0</v>
      </c>
      <c r="E23" t="s">
        <v>1180</v>
      </c>
      <c r="F23" t="s">
        <v>1181</v>
      </c>
      <c r="G23" t="s">
        <v>1107</v>
      </c>
      <c r="H23" s="1156">
        <f>SUMIFS(TA!$AJ:$AJ,TA!$U:$U,$E$23)+SUMIFS(TA!$AJ:$AJ,TA!$U:$U,$F$23)</f>
        <v>300000</v>
      </c>
    </row>
    <row r="24" spans="2:22">
      <c r="B24" t="s">
        <v>1246</v>
      </c>
      <c r="C24" s="1156">
        <f>SUMIFS(AO!$Y:$Y,AO!$H:$H,$B24)</f>
        <v>300000</v>
      </c>
      <c r="G24" t="s">
        <v>1250</v>
      </c>
      <c r="H24" s="1156">
        <f>SUM(TA!AJ:AJ)-H23</f>
        <v>0</v>
      </c>
    </row>
    <row r="25" spans="2:22">
      <c r="N25" s="259"/>
    </row>
    <row r="26" spans="2:22" ht="15.75" thickBot="1">
      <c r="N26" s="259"/>
    </row>
    <row r="27" spans="2:22" ht="30">
      <c r="B27" s="1250" t="s">
        <v>1339</v>
      </c>
      <c r="C27" s="1248"/>
      <c r="D27" s="1182"/>
      <c r="L27" s="1253"/>
      <c r="M27" s="1253" t="s">
        <v>1334</v>
      </c>
      <c r="N27" s="1254" t="s">
        <v>1335</v>
      </c>
      <c r="O27" s="1253" t="s">
        <v>303</v>
      </c>
      <c r="P27" s="1253" t="s">
        <v>1336</v>
      </c>
      <c r="Q27" s="1253" t="s">
        <v>894</v>
      </c>
      <c r="R27" s="1253" t="s">
        <v>1338</v>
      </c>
      <c r="S27" s="1253" t="s">
        <v>1337</v>
      </c>
      <c r="T27" s="1253" t="s">
        <v>1341</v>
      </c>
      <c r="U27" s="1255" t="s">
        <v>1340</v>
      </c>
      <c r="V27" s="1255" t="s">
        <v>300</v>
      </c>
    </row>
    <row r="28" spans="2:22">
      <c r="B28" s="1185" t="str">
        <f>GA!E296</f>
        <v>Baden-Wuerttemberg</v>
      </c>
      <c r="C28" s="259">
        <f>SUMIFS(AA!$BB$13:$BB$15,AA!$AG$13:$AG$15,B28)</f>
        <v>300000</v>
      </c>
      <c r="D28" s="1187">
        <f>RANK(C28,$C$28:$C$43,0)+COUNTIF($C$28:C28,C28)-1</f>
        <v>1</v>
      </c>
      <c r="J28" t="str">
        <f>INDEX(GA!$H$296:$H$311,MATCH($L28,GA!$E$296:$E$311,0))</f>
        <v>West</v>
      </c>
      <c r="K28" s="1179">
        <v>1</v>
      </c>
      <c r="L28" t="str">
        <f>INDEX($B$28:$B$43,MATCH(K28,$D$28:$D$43,0))</f>
        <v>Baden-Wuerttemberg</v>
      </c>
      <c r="M28" s="261">
        <f>COUNTIFS(AA!$AG:$AG,$L28,AA!$E:$E,1)</f>
        <v>3</v>
      </c>
      <c r="N28" s="261">
        <f>COUNTIFS(TA!$K:$K,$L28,TA!G:G,1,TA!$F:$F,1)</f>
        <v>3</v>
      </c>
      <c r="O28" s="261">
        <f>SUMIFS(TA!$V:$V,TA!G:G,1,TA!$K:$K,$L28,TA!$F:$F,1)</f>
        <v>3000</v>
      </c>
      <c r="P28" s="1251">
        <f>O28/$O$44</f>
        <v>1</v>
      </c>
      <c r="Q28" s="261">
        <f>SUMIFS(AO!$T:$T,AO!$G:$G,$L28,AO!$B:$B,1)</f>
        <v>0</v>
      </c>
      <c r="R28" s="1251">
        <f>IFERROR(Q28/O28,0)</f>
        <v>0</v>
      </c>
      <c r="S28" s="261">
        <f>SUMIFS(TA!$AJ:$AJ,TA!G:G,1,TA!$K:$K,$L28,TA!$F:$F,1)</f>
        <v>300000</v>
      </c>
      <c r="T28" s="1251">
        <f>S28/$S$44</f>
        <v>1</v>
      </c>
      <c r="U28" s="1252">
        <f>IFERROR(S28/(O28-Q28)/12,0)</f>
        <v>8.3333333333333339</v>
      </c>
      <c r="V28" s="1289">
        <f>IFERROR(SUMIFS(TA!$GM:$GM,TA!$K:$K,$L28,TA!$G:$G,1,TA!$F:$F,1)/SUMIFS(TA!$AJ:$AJ,TA!$K:$K,$L28),0)</f>
        <v>17.846575342465758</v>
      </c>
    </row>
    <row r="29" spans="2:22">
      <c r="B29" s="1185" t="str">
        <f>GA!E297</f>
        <v>Bavaria</v>
      </c>
      <c r="C29" s="259">
        <f>SUMIFS(AA!$BB$13:$BB$15,AA!$AG$13:$AG$15,B29)</f>
        <v>0</v>
      </c>
      <c r="D29" s="1187">
        <f>RANK(C29,$C$28:$C$43,0)+COUNTIF($C$28:C29,C29)-1</f>
        <v>2</v>
      </c>
      <c r="J29" t="str">
        <f>INDEX(GA!$H$296:$H$311,MATCH($L29,GA!$E$296:$E$311,0))</f>
        <v>West</v>
      </c>
      <c r="K29" s="1179">
        <v>2</v>
      </c>
      <c r="L29" s="1256" t="str">
        <f t="shared" ref="L29:L43" si="0">INDEX($B$28:$B$43,MATCH(K29,$D$28:$D$43,0))</f>
        <v>Bavaria</v>
      </c>
      <c r="M29" s="1257">
        <f>COUNTIFS(AA!$AG:$AG,$L29,AA!$E:$E,1)</f>
        <v>0</v>
      </c>
      <c r="N29" s="1257">
        <f>COUNTIFS(TA!$K:$K,$L29,TA!G:G,1,TA!$F:$F,1)</f>
        <v>0</v>
      </c>
      <c r="O29" s="1257">
        <f>SUMIFS(TA!$V:$V,TA!G:G,1,TA!$K:$K,$L29,TA!$F:$F,1)</f>
        <v>0</v>
      </c>
      <c r="P29" s="1258">
        <f t="shared" ref="P29:P43" si="1">O29/$O$44</f>
        <v>0</v>
      </c>
      <c r="Q29" s="1257">
        <f>SUMIFS(AO!$T:$T,AO!$G:$G,$L29,AO!$B:$B,1)</f>
        <v>0</v>
      </c>
      <c r="R29" s="1258">
        <f t="shared" ref="R29:R43" si="2">IFERROR(Q29/O29,0)</f>
        <v>0</v>
      </c>
      <c r="S29" s="1257">
        <f>SUMIFS(TA!$AJ:$AJ,TA!G:G,1,TA!$K:$K,$L29,TA!$F:$F,1)</f>
        <v>0</v>
      </c>
      <c r="T29" s="1258">
        <f t="shared" ref="T29:T43" si="3">S29/$S$44</f>
        <v>0</v>
      </c>
      <c r="U29" s="1259">
        <f t="shared" ref="U29:U43" si="4">IFERROR(S29/(O29-Q29)/12,0)</f>
        <v>0</v>
      </c>
      <c r="V29" s="1492">
        <f>IFERROR(SUMIFS(TA!$GM:$GM,TA!$K:$K,$L29,TA!$G:$G,1,TA!$F:$F,1)/SUMIFS(TA!$AJ:$AJ,TA!$K:$K,$L29),0)</f>
        <v>0</v>
      </c>
    </row>
    <row r="30" spans="2:22">
      <c r="B30" s="1185" t="str">
        <f>GA!E298</f>
        <v>Berlin</v>
      </c>
      <c r="C30" s="259">
        <f>SUMIFS(AA!$BB$13:$BB$15,AA!$AG$13:$AG$15,B30)</f>
        <v>0</v>
      </c>
      <c r="D30" s="1187">
        <f>RANK(C30,$C$28:$C$43,0)+COUNTIF($C$28:C30,C30)-1</f>
        <v>3</v>
      </c>
      <c r="J30" t="str">
        <f>INDEX(GA!$H$296:$H$311,MATCH($L30,GA!$E$296:$E$311,0))</f>
        <v>West</v>
      </c>
      <c r="K30" s="1179">
        <v>3</v>
      </c>
      <c r="L30" t="str">
        <f t="shared" si="0"/>
        <v>Berlin</v>
      </c>
      <c r="M30" s="261">
        <f>COUNTIFS(AA!$AG:$AG,$L30,AA!$E:$E,1)</f>
        <v>0</v>
      </c>
      <c r="N30" s="261">
        <f>COUNTIFS(TA!$K:$K,$L30,TA!G:G,1,TA!$F:$F,1)</f>
        <v>0</v>
      </c>
      <c r="O30" s="261">
        <f>SUMIFS(TA!$V:$V,TA!G:G,1,TA!$K:$K,$L30,TA!$F:$F,1)</f>
        <v>0</v>
      </c>
      <c r="P30" s="1251">
        <f t="shared" si="1"/>
        <v>0</v>
      </c>
      <c r="Q30" s="261">
        <f>SUMIFS(AO!$T:$T,AO!$G:$G,$L30,AO!$B:$B,1)</f>
        <v>0</v>
      </c>
      <c r="R30" s="1251">
        <f t="shared" si="2"/>
        <v>0</v>
      </c>
      <c r="S30" s="261">
        <f>SUMIFS(TA!$AJ:$AJ,TA!G:G,1,TA!$K:$K,$L30,TA!$F:$F,1)</f>
        <v>0</v>
      </c>
      <c r="T30" s="1251">
        <f t="shared" si="3"/>
        <v>0</v>
      </c>
      <c r="U30" s="1252">
        <f t="shared" si="4"/>
        <v>0</v>
      </c>
      <c r="V30" s="1289">
        <f>IFERROR(SUMIFS(TA!$GM:$GM,TA!$K:$K,$L30,TA!$G:$G,1,TA!$F:$F,1)/SUMIFS(TA!$AJ:$AJ,TA!$K:$K,$L30),0)</f>
        <v>0</v>
      </c>
    </row>
    <row r="31" spans="2:22">
      <c r="B31" s="1185" t="str">
        <f>GA!E299</f>
        <v>Brandenburg</v>
      </c>
      <c r="C31" s="259">
        <f>SUMIFS(AA!$BB$13:$BB$15,AA!$AG$13:$AG$15,B31)</f>
        <v>0</v>
      </c>
      <c r="D31" s="1187">
        <f>RANK(C31,$C$28:$C$43,0)+COUNTIF($C$28:C31,C31)-1</f>
        <v>4</v>
      </c>
      <c r="J31" t="str">
        <f>INDEX(GA!$H$296:$H$311,MATCH($L31,GA!$E$296:$E$311,0))</f>
        <v>East</v>
      </c>
      <c r="K31" s="1179">
        <v>4</v>
      </c>
      <c r="L31" s="1256" t="str">
        <f t="shared" si="0"/>
        <v>Brandenburg</v>
      </c>
      <c r="M31" s="1257">
        <f>COUNTIFS(AA!$AG:$AG,$L31,AA!$E:$E,1)</f>
        <v>0</v>
      </c>
      <c r="N31" s="1257">
        <f>COUNTIFS(TA!$K:$K,$L31,TA!G:G,1,TA!$F:$F,1)</f>
        <v>0</v>
      </c>
      <c r="O31" s="1257">
        <f>SUMIFS(TA!$V:$V,TA!G:G,1,TA!$K:$K,$L31,TA!$F:$F,1)</f>
        <v>0</v>
      </c>
      <c r="P31" s="1258">
        <f t="shared" si="1"/>
        <v>0</v>
      </c>
      <c r="Q31" s="1257">
        <f>SUMIFS(AO!$T:$T,AO!$G:$G,$L31,AO!$B:$B,1)</f>
        <v>0</v>
      </c>
      <c r="R31" s="1258">
        <f t="shared" si="2"/>
        <v>0</v>
      </c>
      <c r="S31" s="1257">
        <f>SUMIFS(TA!$AJ:$AJ,TA!G:G,1,TA!$K:$K,$L31,TA!$F:$F,1)</f>
        <v>0</v>
      </c>
      <c r="T31" s="1258">
        <f t="shared" si="3"/>
        <v>0</v>
      </c>
      <c r="U31" s="1259">
        <f t="shared" si="4"/>
        <v>0</v>
      </c>
      <c r="V31" s="1492">
        <f>IFERROR(SUMIFS(TA!$GM:$GM,TA!$K:$K,$L31,TA!$G:$G,1,TA!$F:$F,1)/SUMIFS(TA!$AJ:$AJ,TA!$K:$K,$L31),0)</f>
        <v>0</v>
      </c>
    </row>
    <row r="32" spans="2:22">
      <c r="B32" s="1185" t="str">
        <f>GA!E300</f>
        <v>Bremen</v>
      </c>
      <c r="C32" s="259">
        <f>SUMIFS(AA!$BB$13:$BB$15,AA!$AG$13:$AG$15,B32)</f>
        <v>0</v>
      </c>
      <c r="D32" s="1187">
        <f>RANK(C32,$C$28:$C$43,0)+COUNTIF($C$28:C32,C32)-1</f>
        <v>5</v>
      </c>
      <c r="J32" t="str">
        <f>INDEX(GA!$H$296:$H$311,MATCH($L32,GA!$E$296:$E$311,0))</f>
        <v>West</v>
      </c>
      <c r="K32" s="1179">
        <v>5</v>
      </c>
      <c r="L32" t="str">
        <f t="shared" si="0"/>
        <v>Bremen</v>
      </c>
      <c r="M32" s="261">
        <f>COUNTIFS(AA!$AG:$AG,$L32,AA!$E:$E,1)</f>
        <v>0</v>
      </c>
      <c r="N32" s="261">
        <f>COUNTIFS(TA!$K:$K,$L32,TA!G:G,1,TA!$F:$F,1)</f>
        <v>0</v>
      </c>
      <c r="O32" s="261">
        <f>SUMIFS(TA!$V:$V,TA!G:G,1,TA!$K:$K,$L32,TA!$F:$F,1)</f>
        <v>0</v>
      </c>
      <c r="P32" s="1251">
        <f t="shared" si="1"/>
        <v>0</v>
      </c>
      <c r="Q32" s="261">
        <f>SUMIFS(AO!$T:$T,AO!$G:$G,$L32,AO!$B:$B,1)</f>
        <v>0</v>
      </c>
      <c r="R32" s="1251">
        <f t="shared" si="2"/>
        <v>0</v>
      </c>
      <c r="S32" s="261">
        <f>SUMIFS(TA!$AJ:$AJ,TA!G:G,1,TA!$K:$K,$L32,TA!$F:$F,1)</f>
        <v>0</v>
      </c>
      <c r="T32" s="1251">
        <f t="shared" si="3"/>
        <v>0</v>
      </c>
      <c r="U32" s="1252">
        <f t="shared" si="4"/>
        <v>0</v>
      </c>
      <c r="V32" s="1289">
        <f>IFERROR(SUMIFS(TA!$GM:$GM,TA!$K:$K,$L32,TA!$G:$G,1,TA!$F:$F,1)/SUMIFS(TA!$AJ:$AJ,TA!$K:$K,$L32),0)</f>
        <v>0</v>
      </c>
    </row>
    <row r="33" spans="2:34">
      <c r="B33" s="1185" t="str">
        <f>GA!E301</f>
        <v>Hamburg</v>
      </c>
      <c r="C33" s="259">
        <f>SUMIFS(AA!$BB$13:$BB$15,AA!$AG$13:$AG$15,B33)</f>
        <v>0</v>
      </c>
      <c r="D33" s="1187">
        <f>RANK(C33,$C$28:$C$43,0)+COUNTIF($C$28:C33,C33)-1</f>
        <v>6</v>
      </c>
      <c r="J33" t="str">
        <f>INDEX(GA!$H$296:$H$311,MATCH($L33,GA!$E$296:$E$311,0))</f>
        <v>West</v>
      </c>
      <c r="K33" s="1179">
        <v>6</v>
      </c>
      <c r="L33" s="1256" t="str">
        <f t="shared" si="0"/>
        <v>Hamburg</v>
      </c>
      <c r="M33" s="1257">
        <f>COUNTIFS(AA!$AG:$AG,$L33,AA!$E:$E,1)</f>
        <v>0</v>
      </c>
      <c r="N33" s="1257">
        <f>COUNTIFS(TA!$K:$K,$L33,TA!G:G,1,TA!$F:$F,1)</f>
        <v>0</v>
      </c>
      <c r="O33" s="1257">
        <f>SUMIFS(TA!$V:$V,TA!G:G,1,TA!$K:$K,$L33,TA!$F:$F,1)</f>
        <v>0</v>
      </c>
      <c r="P33" s="1258">
        <f t="shared" si="1"/>
        <v>0</v>
      </c>
      <c r="Q33" s="1257">
        <f>SUMIFS(AO!$T:$T,AO!$G:$G,$L33,AO!$B:$B,1)</f>
        <v>0</v>
      </c>
      <c r="R33" s="1258">
        <f t="shared" si="2"/>
        <v>0</v>
      </c>
      <c r="S33" s="1257">
        <f>SUMIFS(TA!$AJ:$AJ,TA!G:G,1,TA!$K:$K,$L33,TA!$F:$F,1)</f>
        <v>0</v>
      </c>
      <c r="T33" s="1258">
        <f t="shared" si="3"/>
        <v>0</v>
      </c>
      <c r="U33" s="1259">
        <f t="shared" si="4"/>
        <v>0</v>
      </c>
      <c r="V33" s="1492">
        <f>IFERROR(SUMIFS(TA!$GM:$GM,TA!$K:$K,$L33,TA!$G:$G,1,TA!$F:$F,1)/SUMIFS(TA!$AJ:$AJ,TA!$K:$K,$L33),0)</f>
        <v>0</v>
      </c>
    </row>
    <row r="34" spans="2:34">
      <c r="B34" s="1185" t="str">
        <f>GA!E302</f>
        <v>Hesse</v>
      </c>
      <c r="C34" s="259">
        <f>SUMIFS(AA!$BB$13:$BB$15,AA!$AG$13:$AG$15,B34)</f>
        <v>0</v>
      </c>
      <c r="D34" s="1187">
        <f>RANK(C34,$C$28:$C$43,0)+COUNTIF($C$28:C34,C34)-1</f>
        <v>7</v>
      </c>
      <c r="J34" t="str">
        <f>INDEX(GA!$H$296:$H$311,MATCH($L34,GA!$E$296:$E$311,0))</f>
        <v>West</v>
      </c>
      <c r="K34" s="1179">
        <v>7</v>
      </c>
      <c r="L34" t="str">
        <f t="shared" si="0"/>
        <v>Hesse</v>
      </c>
      <c r="M34" s="261">
        <f>COUNTIFS(AA!$AG:$AG,$L34,AA!$E:$E,1)</f>
        <v>0</v>
      </c>
      <c r="N34" s="261">
        <f>COUNTIFS(TA!$K:$K,$L34,TA!G:G,1,TA!$F:$F,1)</f>
        <v>0</v>
      </c>
      <c r="O34" s="261">
        <f>SUMIFS(TA!$V:$V,TA!G:G,1,TA!$K:$K,$L34,TA!$F:$F,1)</f>
        <v>0</v>
      </c>
      <c r="P34" s="1251">
        <f t="shared" si="1"/>
        <v>0</v>
      </c>
      <c r="Q34" s="261">
        <f>SUMIFS(AO!$T:$T,AO!$G:$G,$L34,AO!$B:$B,1)</f>
        <v>0</v>
      </c>
      <c r="R34" s="1251">
        <f t="shared" si="2"/>
        <v>0</v>
      </c>
      <c r="S34" s="261">
        <f>SUMIFS(TA!$AJ:$AJ,TA!G:G,1,TA!$K:$K,$L34,TA!$F:$F,1)</f>
        <v>0</v>
      </c>
      <c r="T34" s="1251">
        <f t="shared" si="3"/>
        <v>0</v>
      </c>
      <c r="U34" s="1252">
        <f t="shared" si="4"/>
        <v>0</v>
      </c>
      <c r="V34" s="1289">
        <f>IFERROR(SUMIFS(TA!$GM:$GM,TA!$K:$K,$L34,TA!$G:$G,1,TA!$F:$F,1)/SUMIFS(TA!$AJ:$AJ,TA!$K:$K,$L34),0)</f>
        <v>0</v>
      </c>
    </row>
    <row r="35" spans="2:34">
      <c r="B35" s="1185" t="str">
        <f>GA!E303</f>
        <v>Mecklenburg-Western Pomerania</v>
      </c>
      <c r="C35" s="259">
        <f>SUMIFS(AA!$BB$13:$BB$15,AA!$AG$13:$AG$15,B35)</f>
        <v>0</v>
      </c>
      <c r="D35" s="1187">
        <f>RANK(C35,$C$28:$C$43,0)+COUNTIF($C$28:C35,C35)-1</f>
        <v>8</v>
      </c>
      <c r="J35" t="str">
        <f>INDEX(GA!$H$296:$H$311,MATCH($L35,GA!$E$296:$E$311,0))</f>
        <v>East</v>
      </c>
      <c r="K35" s="1179">
        <v>8</v>
      </c>
      <c r="L35" s="1256" t="str">
        <f t="shared" si="0"/>
        <v>Mecklenburg-Western Pomerania</v>
      </c>
      <c r="M35" s="1257">
        <f>COUNTIFS(AA!$AG:$AG,$L35,AA!$E:$E,1)</f>
        <v>0</v>
      </c>
      <c r="N35" s="1257">
        <f>COUNTIFS(TA!$K:$K,$L35,TA!G:G,1,TA!$F:$F,1)</f>
        <v>0</v>
      </c>
      <c r="O35" s="1257">
        <f>SUMIFS(TA!$V:$V,TA!G:G,1,TA!$K:$K,$L35,TA!$F:$F,1)</f>
        <v>0</v>
      </c>
      <c r="P35" s="1258">
        <f t="shared" si="1"/>
        <v>0</v>
      </c>
      <c r="Q35" s="1257">
        <f>SUMIFS(AO!$T:$T,AO!$G:$G,$L35,AO!$B:$B,1)</f>
        <v>0</v>
      </c>
      <c r="R35" s="1258">
        <f t="shared" si="2"/>
        <v>0</v>
      </c>
      <c r="S35" s="1257">
        <f>SUMIFS(TA!$AJ:$AJ,TA!G:G,1,TA!$K:$K,$L35,TA!$F:$F,1)</f>
        <v>0</v>
      </c>
      <c r="T35" s="1258">
        <f t="shared" si="3"/>
        <v>0</v>
      </c>
      <c r="U35" s="1259">
        <f t="shared" si="4"/>
        <v>0</v>
      </c>
      <c r="V35" s="1492">
        <f>IFERROR(SUMIFS(TA!$GM:$GM,TA!$K:$K,$L35,TA!$G:$G,1,TA!$F:$F,1)/SUMIFS(TA!$AJ:$AJ,TA!$K:$K,$L35),0)</f>
        <v>0</v>
      </c>
    </row>
    <row r="36" spans="2:34">
      <c r="B36" s="1185" t="str">
        <f>GA!E304</f>
        <v>Lower-Saxony</v>
      </c>
      <c r="C36" s="259">
        <f>SUMIFS(AA!$BB$13:$BB$15,AA!$AG$13:$AG$15,B36)</f>
        <v>0</v>
      </c>
      <c r="D36" s="1187">
        <f>RANK(C36,$C$28:$C$43,0)+COUNTIF($C$28:C36,C36)-1</f>
        <v>9</v>
      </c>
      <c r="J36" t="str">
        <f>INDEX(GA!$H$296:$H$311,MATCH($L36,GA!$E$296:$E$311,0))</f>
        <v>West</v>
      </c>
      <c r="K36" s="1179">
        <v>9</v>
      </c>
      <c r="L36" t="str">
        <f t="shared" si="0"/>
        <v>Lower-Saxony</v>
      </c>
      <c r="M36" s="261">
        <f>COUNTIFS(AA!$AG:$AG,$L36,AA!$E:$E,1)</f>
        <v>0</v>
      </c>
      <c r="N36" s="261">
        <f>COUNTIFS(TA!$K:$K,$L36,TA!G:G,1,TA!$F:$F,1)</f>
        <v>0</v>
      </c>
      <c r="O36" s="261">
        <f>SUMIFS(TA!$V:$V,TA!G:G,1,TA!$K:$K,$L36,TA!$F:$F,1)</f>
        <v>0</v>
      </c>
      <c r="P36" s="1251">
        <f t="shared" si="1"/>
        <v>0</v>
      </c>
      <c r="Q36" s="261">
        <f>SUMIFS(AO!$T:$T,AO!$G:$G,$L36,AO!$B:$B,1)</f>
        <v>0</v>
      </c>
      <c r="R36" s="1251">
        <f t="shared" si="2"/>
        <v>0</v>
      </c>
      <c r="S36" s="261">
        <f>SUMIFS(TA!$AJ:$AJ,TA!G:G,1,TA!$K:$K,$L36,TA!$F:$F,1)</f>
        <v>0</v>
      </c>
      <c r="T36" s="1251">
        <f t="shared" si="3"/>
        <v>0</v>
      </c>
      <c r="U36" s="1252">
        <f t="shared" si="4"/>
        <v>0</v>
      </c>
      <c r="V36" s="1289">
        <f>IFERROR(SUMIFS(TA!$GM:$GM,TA!$K:$K,$L36,TA!$G:$G,1,TA!$F:$F,1)/SUMIFS(TA!$AJ:$AJ,TA!$K:$K,$L36),0)</f>
        <v>0</v>
      </c>
    </row>
    <row r="37" spans="2:34">
      <c r="B37" s="1185" t="str">
        <f>GA!E305</f>
        <v>North Rhine-Westphalia</v>
      </c>
      <c r="C37" s="259">
        <f>SUMIFS(AA!$BB$13:$BB$15,AA!$AG$13:$AG$15,B37)</f>
        <v>0</v>
      </c>
      <c r="D37" s="1187">
        <f>RANK(C37,$C$28:$C$43,0)+COUNTIF($C$28:C37,C37)-1</f>
        <v>10</v>
      </c>
      <c r="J37" t="str">
        <f>INDEX(GA!$H$296:$H$311,MATCH($L37,GA!$E$296:$E$311,0))</f>
        <v>West</v>
      </c>
      <c r="K37" s="1179">
        <v>10</v>
      </c>
      <c r="L37" s="1256" t="str">
        <f t="shared" si="0"/>
        <v>North Rhine-Westphalia</v>
      </c>
      <c r="M37" s="1257">
        <f>COUNTIFS(AA!$AG:$AG,$L37,AA!$E:$E,1)</f>
        <v>0</v>
      </c>
      <c r="N37" s="1257">
        <f>COUNTIFS(TA!$K:$K,$L37,TA!G:G,1,TA!$F:$F,1)</f>
        <v>0</v>
      </c>
      <c r="O37" s="1257">
        <f>SUMIFS(TA!$V:$V,TA!G:G,1,TA!$K:$K,$L37,TA!$F:$F,1)</f>
        <v>0</v>
      </c>
      <c r="P37" s="1258">
        <f t="shared" si="1"/>
        <v>0</v>
      </c>
      <c r="Q37" s="1257">
        <f>SUMIFS(AO!$T:$T,AO!$G:$G,$L37,AO!$B:$B,1)</f>
        <v>0</v>
      </c>
      <c r="R37" s="1258">
        <f t="shared" si="2"/>
        <v>0</v>
      </c>
      <c r="S37" s="1257">
        <f>SUMIFS(TA!$AJ:$AJ,TA!G:G,1,TA!$K:$K,$L37,TA!$F:$F,1)</f>
        <v>0</v>
      </c>
      <c r="T37" s="1258">
        <f t="shared" si="3"/>
        <v>0</v>
      </c>
      <c r="U37" s="1259">
        <f t="shared" si="4"/>
        <v>0</v>
      </c>
      <c r="V37" s="1492">
        <f>IFERROR(SUMIFS(TA!$GM:$GM,TA!$K:$K,$L37,TA!$G:$G,1,TA!$F:$F,1)/SUMIFS(TA!$AJ:$AJ,TA!$K:$K,$L37),0)</f>
        <v>0</v>
      </c>
    </row>
    <row r="38" spans="2:34">
      <c r="B38" s="1185" t="str">
        <f>GA!E306</f>
        <v>Rhineland-Palatinate</v>
      </c>
      <c r="C38" s="259">
        <f>SUMIFS(AA!$BB$13:$BB$15,AA!$AG$13:$AG$15,B38)</f>
        <v>0</v>
      </c>
      <c r="D38" s="1187">
        <f>RANK(C38,$C$28:$C$43,0)+COUNTIF($C$28:C38,C38)-1</f>
        <v>11</v>
      </c>
      <c r="J38" t="str">
        <f>INDEX(GA!$H$296:$H$311,MATCH($L38,GA!$E$296:$E$311,0))</f>
        <v>West</v>
      </c>
      <c r="K38" s="1179">
        <v>11</v>
      </c>
      <c r="L38" t="str">
        <f t="shared" si="0"/>
        <v>Rhineland-Palatinate</v>
      </c>
      <c r="M38" s="261">
        <f>COUNTIFS(AA!$AG:$AG,$L38,AA!$E:$E,1)</f>
        <v>0</v>
      </c>
      <c r="N38" s="261">
        <f>COUNTIFS(TA!$K:$K,$L38,TA!G:G,1,TA!$F:$F,1)</f>
        <v>0</v>
      </c>
      <c r="O38" s="261">
        <f>SUMIFS(TA!$V:$V,TA!G:G,1,TA!$K:$K,$L38,TA!$F:$F,1)</f>
        <v>0</v>
      </c>
      <c r="P38" s="1251">
        <f t="shared" si="1"/>
        <v>0</v>
      </c>
      <c r="Q38" s="261">
        <f>SUMIFS(AO!$T:$T,AO!$G:$G,$L38,AO!$B:$B,1)</f>
        <v>0</v>
      </c>
      <c r="R38" s="1251">
        <f t="shared" si="2"/>
        <v>0</v>
      </c>
      <c r="S38" s="261">
        <f>SUMIFS(TA!$AJ:$AJ,TA!G:G,1,TA!$K:$K,$L38,TA!$F:$F,1)</f>
        <v>0</v>
      </c>
      <c r="T38" s="1251">
        <f t="shared" si="3"/>
        <v>0</v>
      </c>
      <c r="U38" s="1252">
        <f t="shared" si="4"/>
        <v>0</v>
      </c>
      <c r="V38" s="1289">
        <f>IFERROR(SUMIFS(TA!$GM:$GM,TA!$K:$K,$L38,TA!$G:$G,1,TA!$F:$F,1)/SUMIFS(TA!$AJ:$AJ,TA!$K:$K,$L38),0)</f>
        <v>0</v>
      </c>
    </row>
    <row r="39" spans="2:34">
      <c r="B39" s="1185" t="str">
        <f>GA!E307</f>
        <v>Saarland</v>
      </c>
      <c r="C39" s="259">
        <f>SUMIFS(AA!$BB$13:$BB$15,AA!$AG$13:$AG$15,B39)</f>
        <v>0</v>
      </c>
      <c r="D39" s="1187">
        <f>RANK(C39,$C$28:$C$43,0)+COUNTIF($C$28:C39,C39)-1</f>
        <v>12</v>
      </c>
      <c r="J39" t="str">
        <f>INDEX(GA!$H$296:$H$311,MATCH($L39,GA!$E$296:$E$311,0))</f>
        <v>West</v>
      </c>
      <c r="K39" s="1179">
        <v>12</v>
      </c>
      <c r="L39" s="1256" t="str">
        <f t="shared" si="0"/>
        <v>Saarland</v>
      </c>
      <c r="M39" s="1257">
        <f>COUNTIFS(AA!$AG:$AG,$L39,AA!$E:$E,1)</f>
        <v>0</v>
      </c>
      <c r="N39" s="1257">
        <f>COUNTIFS(TA!$K:$K,$L39,TA!G:G,1,TA!$F:$F,1)</f>
        <v>0</v>
      </c>
      <c r="O39" s="1257">
        <f>SUMIFS(TA!$V:$V,TA!G:G,1,TA!$K:$K,$L39,TA!$F:$F,1)</f>
        <v>0</v>
      </c>
      <c r="P39" s="1258">
        <f t="shared" si="1"/>
        <v>0</v>
      </c>
      <c r="Q39" s="1257">
        <f>SUMIFS(AO!$T:$T,AO!$G:$G,$L39,AO!$B:$B,1)</f>
        <v>0</v>
      </c>
      <c r="R39" s="1258">
        <f t="shared" si="2"/>
        <v>0</v>
      </c>
      <c r="S39" s="1257">
        <f>SUMIFS(TA!$AJ:$AJ,TA!G:G,1,TA!$K:$K,$L39,TA!$F:$F,1)</f>
        <v>0</v>
      </c>
      <c r="T39" s="1258">
        <f t="shared" si="3"/>
        <v>0</v>
      </c>
      <c r="U39" s="1259">
        <f t="shared" si="4"/>
        <v>0</v>
      </c>
      <c r="V39" s="1492">
        <f>IFERROR(SUMIFS(TA!$GM:$GM,TA!$K:$K,$L39,TA!$G:$G,1,TA!$F:$F,1)/SUMIFS(TA!$AJ:$AJ,TA!$K:$K,$L39),0)</f>
        <v>0</v>
      </c>
    </row>
    <row r="40" spans="2:34">
      <c r="B40" s="1185" t="str">
        <f>GA!E308</f>
        <v>Saxony</v>
      </c>
      <c r="C40" s="259">
        <f>SUMIFS(AA!$BB$13:$BB$15,AA!$AG$13:$AG$15,B40)</f>
        <v>0</v>
      </c>
      <c r="D40" s="1187">
        <f>RANK(C40,$C$28:$C$43,0)+COUNTIF($C$28:C40,C40)-1</f>
        <v>13</v>
      </c>
      <c r="J40" t="str">
        <f>INDEX(GA!$H$296:$H$311,MATCH($L40,GA!$E$296:$E$311,0))</f>
        <v>East</v>
      </c>
      <c r="K40" s="1179">
        <v>13</v>
      </c>
      <c r="L40" t="str">
        <f t="shared" si="0"/>
        <v>Saxony</v>
      </c>
      <c r="M40" s="261">
        <f>COUNTIFS(AA!$AG:$AG,$L40,AA!$E:$E,1)</f>
        <v>0</v>
      </c>
      <c r="N40" s="261">
        <f>COUNTIFS(TA!$K:$K,$L40,TA!G:G,1,TA!$F:$F,1)</f>
        <v>0</v>
      </c>
      <c r="O40" s="261">
        <f>SUMIFS(TA!$V:$V,TA!G:G,1,TA!$K:$K,$L40,TA!$F:$F,1)</f>
        <v>0</v>
      </c>
      <c r="P40" s="1251">
        <f t="shared" si="1"/>
        <v>0</v>
      </c>
      <c r="Q40" s="261">
        <f>SUMIFS(AO!$T:$T,AO!$G:$G,$L40,AO!$B:$B,1)</f>
        <v>0</v>
      </c>
      <c r="R40" s="1251">
        <f t="shared" si="2"/>
        <v>0</v>
      </c>
      <c r="S40" s="261">
        <f>SUMIFS(TA!$AJ:$AJ,TA!G:G,1,TA!$K:$K,$L40,TA!$F:$F,1)</f>
        <v>0</v>
      </c>
      <c r="T40" s="1251">
        <f t="shared" si="3"/>
        <v>0</v>
      </c>
      <c r="U40" s="1252">
        <f t="shared" si="4"/>
        <v>0</v>
      </c>
      <c r="V40" s="1289">
        <f>IFERROR(SUMIFS(TA!$GM:$GM,TA!$K:$K,$L40,TA!$G:$G,1,TA!$F:$F,1)/SUMIFS(TA!$AJ:$AJ,TA!$K:$K,$L40),0)</f>
        <v>0</v>
      </c>
    </row>
    <row r="41" spans="2:34">
      <c r="B41" s="1185" t="str">
        <f>GA!E309</f>
        <v>Saxony-Anhalt</v>
      </c>
      <c r="C41" s="259">
        <f>SUMIFS(AA!$BB$13:$BB$15,AA!$AG$13:$AG$15,B41)</f>
        <v>0</v>
      </c>
      <c r="D41" s="1187">
        <f>RANK(C41,$C$28:$C$43,0)+COUNTIF($C$28:C41,C41)-1</f>
        <v>14</v>
      </c>
      <c r="J41" t="str">
        <f>INDEX(GA!$H$296:$H$311,MATCH($L41,GA!$E$296:$E$311,0))</f>
        <v>East</v>
      </c>
      <c r="K41" s="1179">
        <v>14</v>
      </c>
      <c r="L41" s="1256" t="str">
        <f t="shared" si="0"/>
        <v>Saxony-Anhalt</v>
      </c>
      <c r="M41" s="1257">
        <f>COUNTIFS(AA!$AG:$AG,$L41,AA!$E:$E,1)</f>
        <v>0</v>
      </c>
      <c r="N41" s="1257">
        <f>COUNTIFS(TA!$K:$K,$L41,TA!G:G,1,TA!$F:$F,1)</f>
        <v>0</v>
      </c>
      <c r="O41" s="1257">
        <f>SUMIFS(TA!$V:$V,TA!G:G,1,TA!$K:$K,$L41,TA!$F:$F,1)</f>
        <v>0</v>
      </c>
      <c r="P41" s="1258">
        <f t="shared" si="1"/>
        <v>0</v>
      </c>
      <c r="Q41" s="1257">
        <f>SUMIFS(AO!$T:$T,AO!$G:$G,$L41,AO!$B:$B,1)</f>
        <v>0</v>
      </c>
      <c r="R41" s="1258">
        <f t="shared" si="2"/>
        <v>0</v>
      </c>
      <c r="S41" s="1257">
        <f>SUMIFS(TA!$AJ:$AJ,TA!G:G,1,TA!$K:$K,$L41,TA!$F:$F,1)</f>
        <v>0</v>
      </c>
      <c r="T41" s="1258">
        <f t="shared" si="3"/>
        <v>0</v>
      </c>
      <c r="U41" s="1259">
        <f t="shared" si="4"/>
        <v>0</v>
      </c>
      <c r="V41" s="1492">
        <f>IFERROR(SUMIFS(TA!$GM:$GM,TA!$K:$K,$L41,TA!$G:$G,1,TA!$F:$F,1)/SUMIFS(TA!$AJ:$AJ,TA!$K:$K,$L41),0)</f>
        <v>0</v>
      </c>
    </row>
    <row r="42" spans="2:34">
      <c r="B42" s="1185" t="str">
        <f>GA!E310</f>
        <v>Schleswig-Holstein</v>
      </c>
      <c r="C42" s="259">
        <f>SUMIFS(AA!$BB$13:$BB$15,AA!$AG$13:$AG$15,B42)</f>
        <v>0</v>
      </c>
      <c r="D42" s="1187">
        <f>RANK(C42,$C$28:$C$43,0)+COUNTIF($C$28:C42,C42)-1</f>
        <v>15</v>
      </c>
      <c r="J42" t="str">
        <f>INDEX(GA!$H$296:$H$311,MATCH($L42,GA!$E$296:$E$311,0))</f>
        <v>West</v>
      </c>
      <c r="K42" s="1179">
        <v>15</v>
      </c>
      <c r="L42" t="str">
        <f t="shared" si="0"/>
        <v>Schleswig-Holstein</v>
      </c>
      <c r="M42" s="261">
        <f>COUNTIFS(AA!$AG:$AG,$L42,AA!$E:$E,1)</f>
        <v>0</v>
      </c>
      <c r="N42" s="261">
        <f>COUNTIFS(TA!$K:$K,$L42,TA!G:G,1,TA!$F:$F,1)</f>
        <v>0</v>
      </c>
      <c r="O42" s="261">
        <f>SUMIFS(TA!$V:$V,TA!G:G,1,TA!$K:$K,$L42,TA!$F:$F,1)</f>
        <v>0</v>
      </c>
      <c r="P42" s="1251">
        <f t="shared" si="1"/>
        <v>0</v>
      </c>
      <c r="Q42" s="261">
        <f>SUMIFS(AO!$T:$T,AO!$G:$G,$L42,AO!$B:$B,1)</f>
        <v>0</v>
      </c>
      <c r="R42" s="1251">
        <f t="shared" si="2"/>
        <v>0</v>
      </c>
      <c r="S42" s="261">
        <f>SUMIFS(TA!$AJ:$AJ,TA!G:G,1,TA!$K:$K,$L42,TA!$F:$F,1)</f>
        <v>0</v>
      </c>
      <c r="T42" s="1251">
        <f t="shared" si="3"/>
        <v>0</v>
      </c>
      <c r="U42" s="1252">
        <f t="shared" si="4"/>
        <v>0</v>
      </c>
      <c r="V42" s="1289">
        <f>IFERROR(SUMIFS(TA!$GM:$GM,TA!$K:$K,$L42,TA!$G:$G,1,TA!$F:$F,1)/SUMIFS(TA!$AJ:$AJ,TA!$K:$K,$L42),0)</f>
        <v>0</v>
      </c>
    </row>
    <row r="43" spans="2:34" ht="15.75" thickBot="1">
      <c r="B43" s="1131" t="str">
        <f>GA!E311</f>
        <v>Thuringia</v>
      </c>
      <c r="C43" s="1249">
        <f>SUMIFS(AA!$BB$13:$BB$15,AA!$AG$13:$AG$15,B43)</f>
        <v>0</v>
      </c>
      <c r="D43" s="1132">
        <f>RANK(C43,$C$28:$C$43,0)+COUNTIF($C$28:C43,C43)-1</f>
        <v>16</v>
      </c>
      <c r="J43" t="str">
        <f>INDEX(GA!$H$296:$H$311,MATCH($L43,GA!$E$296:$E$311,0))</f>
        <v>East</v>
      </c>
      <c r="K43" s="1179">
        <v>16</v>
      </c>
      <c r="L43" s="1256" t="str">
        <f t="shared" si="0"/>
        <v>Thuringia</v>
      </c>
      <c r="M43" s="1257">
        <f>COUNTIFS(AA!$AG:$AG,$L43,AA!$E:$E,1)</f>
        <v>0</v>
      </c>
      <c r="N43" s="1257">
        <f>COUNTIFS(TA!$K:$K,$L43,TA!G:G,1,TA!$F:$F,1)</f>
        <v>0</v>
      </c>
      <c r="O43" s="1257">
        <f>SUMIFS(TA!$V:$V,TA!G:G,1,TA!$K:$K,$L43,TA!$F:$F,1)</f>
        <v>0</v>
      </c>
      <c r="P43" s="1258">
        <f t="shared" si="1"/>
        <v>0</v>
      </c>
      <c r="Q43" s="1257">
        <f>SUMIFS(AO!$T:$T,AO!$G:$G,$L43,AO!$B:$B,1)</f>
        <v>0</v>
      </c>
      <c r="R43" s="1258">
        <f t="shared" si="2"/>
        <v>0</v>
      </c>
      <c r="S43" s="1257">
        <f>SUMIFS(TA!$AJ:$AJ,TA!G:G,1,TA!$K:$K,$L43,TA!$F:$F,1)</f>
        <v>0</v>
      </c>
      <c r="T43" s="1258">
        <f t="shared" si="3"/>
        <v>0</v>
      </c>
      <c r="U43" s="1259">
        <f t="shared" si="4"/>
        <v>0</v>
      </c>
      <c r="V43" s="1492">
        <f>IFERROR(SUMIFS(TA!$GM:$GM,TA!$K:$K,$L43,TA!$G:$G,1,TA!$F:$F,1)/SUMIFS(TA!$AJ:$AJ,TA!$K:$K,$L43),0)</f>
        <v>0</v>
      </c>
    </row>
    <row r="44" spans="2:34" ht="15.75" thickBot="1">
      <c r="L44" s="1260" t="s">
        <v>152</v>
      </c>
      <c r="M44" s="1261">
        <f>SUM(M28:M43)</f>
        <v>3</v>
      </c>
      <c r="N44" s="1261">
        <f t="shared" ref="N44:O44" si="5">SUM(N28:N43)</f>
        <v>3</v>
      </c>
      <c r="O44" s="1261">
        <f t="shared" si="5"/>
        <v>3000</v>
      </c>
      <c r="P44" s="1262">
        <f t="shared" ref="P44" si="6">SUM(P28:P43)</f>
        <v>1</v>
      </c>
      <c r="Q44" s="1261">
        <f t="shared" ref="Q44" si="7">SUM(Q28:Q43)</f>
        <v>0</v>
      </c>
      <c r="R44" s="1542">
        <f>IFERROR(Q44/O44,0)</f>
        <v>0</v>
      </c>
      <c r="S44" s="1261">
        <f>SUM(S28:S43)</f>
        <v>300000</v>
      </c>
      <c r="T44" s="1262">
        <f>SUM(T28:T43)</f>
        <v>1</v>
      </c>
      <c r="U44" s="1263">
        <f>(SUMPRODUCT(U28:U43,O28:O43)-SUMPRODUCT(U28:U43,Q28:Q43))/(O44-Q44)</f>
        <v>8.3333333333333339</v>
      </c>
      <c r="V44" s="1493">
        <f>SUMPRODUCT(V28:V43,S28:S43)/S44</f>
        <v>17.846575342465758</v>
      </c>
    </row>
    <row r="45" spans="2:34" ht="31.5" thickTop="1" thickBot="1">
      <c r="X45" s="1253"/>
      <c r="Y45" s="1253" t="s">
        <v>1334</v>
      </c>
      <c r="Z45" s="1254" t="s">
        <v>1335</v>
      </c>
      <c r="AA45" s="1253" t="s">
        <v>303</v>
      </c>
      <c r="AB45" s="1253" t="s">
        <v>1336</v>
      </c>
      <c r="AC45" s="1253" t="s">
        <v>894</v>
      </c>
      <c r="AD45" s="1253" t="s">
        <v>1338</v>
      </c>
      <c r="AE45" s="1253" t="s">
        <v>1337</v>
      </c>
      <c r="AF45" s="1253" t="s">
        <v>1341</v>
      </c>
      <c r="AG45" s="1255" t="s">
        <v>1340</v>
      </c>
      <c r="AH45" s="1255" t="s">
        <v>300</v>
      </c>
    </row>
    <row r="46" spans="2:34">
      <c r="B46" s="1129" t="str">
        <f>GA!E61</f>
        <v>Discounter</v>
      </c>
      <c r="C46" s="1264">
        <f>SUMIFS(AA!$BB:$BB,AA!$AI:$AI,$B46)</f>
        <v>100000</v>
      </c>
      <c r="D46" s="1130">
        <f>RANK(C46,$C$46:$C$57,0)+COUNTIF($C$46:C46,C46)-1</f>
        <v>1</v>
      </c>
      <c r="W46" s="1179">
        <v>1</v>
      </c>
      <c r="X46" t="str">
        <f>INDEX($B$46:$B$57,MATCH(W46,$D$46:$D$57,0))</f>
        <v>Discounter</v>
      </c>
      <c r="Y46" s="261">
        <f>COUNTIFS(AA!$E:$E,1,AA!$AI:$AI,$X46)</f>
        <v>1</v>
      </c>
      <c r="Z46" s="261">
        <f>COUNTIFS(TA!$G:$G,1,TA!$F:$F,1,TA!$L:$L,$X46)</f>
        <v>1</v>
      </c>
      <c r="AA46" s="261">
        <f>SUMIFS(TA!$V:$V,TA!$L:$L,$X46,TA!$G:$G,1,TA!$F:$F,1)</f>
        <v>1000</v>
      </c>
      <c r="AB46" s="1251">
        <f>AA46/$AA$58</f>
        <v>0.33333333333333331</v>
      </c>
      <c r="AC46" s="261">
        <f>SUMIFS(AO!$T:$T,AO!$K:$K,$X46)</f>
        <v>0</v>
      </c>
      <c r="AD46" s="1251">
        <f>IFERROR(AC46/AA46,0)</f>
        <v>0</v>
      </c>
      <c r="AE46" s="261">
        <f>SUMIFS(TA!$AJ:$AJ,TA!$L:$L,$X46,TA!$G:$G,1,TA!$F:$F,1)</f>
        <v>100000</v>
      </c>
      <c r="AF46" s="1251">
        <f>AE46/$AE$58</f>
        <v>0.33333333333333331</v>
      </c>
      <c r="AG46" s="1252">
        <f>IFERROR(AE46/(AA46-AC46)/12,0)</f>
        <v>8.3333333333333339</v>
      </c>
      <c r="AH46" s="1289">
        <f>IFERROR(SUMIFS(TA!$GM:$GM,TA!$L:$L,$X46,TA!$F:$F,1,TA!$G:$G,1)/SUMIFS(TA!$AJ:$AJ,TA!$L:$L,$X46,TA!$F:$F,1,TA!$G:$G,1),0)</f>
        <v>17.846575342465755</v>
      </c>
    </row>
    <row r="47" spans="2:34">
      <c r="B47" s="1185" t="str">
        <f>GA!E62</f>
        <v>Supermarket</v>
      </c>
      <c r="C47" s="259">
        <f>SUMIFS(AA!$BB:$BB,AA!$AI:$AI,$B47)</f>
        <v>100000</v>
      </c>
      <c r="D47" s="1187">
        <f>RANK(C47,$C$46:$C$57,0)+COUNTIF($C$46:C47,C47)-1</f>
        <v>2</v>
      </c>
      <c r="W47" s="1179">
        <v>2</v>
      </c>
      <c r="X47" s="1256" t="str">
        <f t="shared" ref="X47:X57" si="8">INDEX($B$46:$B$57,MATCH(W47,$D$46:$D$57,0))</f>
        <v>Supermarket</v>
      </c>
      <c r="Y47" s="1257">
        <f>COUNTIFS(AA!$E:$E,1,AA!$AI:$AI,$X47)</f>
        <v>1</v>
      </c>
      <c r="Z47" s="1257">
        <f>COUNTIFS(TA!$G:$G,1,TA!$F:$F,1,TA!$L:$L,$X47)</f>
        <v>1</v>
      </c>
      <c r="AA47" s="1257">
        <f>SUMIFS(TA!$V:$V,TA!$L:$L,$X47,TA!$G:$G,1,TA!$F:$F,1)</f>
        <v>1000</v>
      </c>
      <c r="AB47" s="1258">
        <f t="shared" ref="AB47:AB57" si="9">AA47/$AA$58</f>
        <v>0.33333333333333331</v>
      </c>
      <c r="AC47" s="1257">
        <f>SUMIFS(AO!$T:$T,AO!$K:$K,$X47)</f>
        <v>0</v>
      </c>
      <c r="AD47" s="1258">
        <f t="shared" ref="AD47:AD57" si="10">IFERROR(AC47/AA47,0)</f>
        <v>0</v>
      </c>
      <c r="AE47" s="1257">
        <f>SUMIFS(TA!$AJ:$AJ,TA!$L:$L,$X47,TA!$G:$G,1,TA!$F:$F,1)</f>
        <v>100000</v>
      </c>
      <c r="AF47" s="1258">
        <f t="shared" ref="AF47:AF57" si="11">AE47/$AE$58</f>
        <v>0.33333333333333331</v>
      </c>
      <c r="AG47" s="1259">
        <f t="shared" ref="AG47:AG57" si="12">IFERROR(AE47/(AA47-AC47)/12,0)</f>
        <v>8.3333333333333339</v>
      </c>
      <c r="AH47" s="1492">
        <f>IFERROR(SUMIFS(TA!$GM:$GM,TA!$L:$L,$X47,TA!$F:$F,1,TA!$G:$G,1)/SUMIFS(TA!$AJ:$AJ,TA!$L:$L,$X47,TA!$F:$F,1,TA!$G:$G,1),0)</f>
        <v>17.846575342465755</v>
      </c>
    </row>
    <row r="48" spans="2:34">
      <c r="B48" s="1185" t="str">
        <f>GA!E63</f>
        <v>Hypermarket</v>
      </c>
      <c r="C48" s="259">
        <f>SUMIFS(AA!$BB:$BB,AA!$AI:$AI,$B48)</f>
        <v>0</v>
      </c>
      <c r="D48" s="1187">
        <f>RANK(C48,$C$46:$C$57,0)+COUNTIF($C$46:C48,C48)-1</f>
        <v>4</v>
      </c>
      <c r="W48" s="1179">
        <v>3</v>
      </c>
      <c r="X48" t="str">
        <f t="shared" si="8"/>
        <v>Cash &amp; Carry</v>
      </c>
      <c r="Y48" s="261">
        <f>COUNTIFS(AA!$E:$E,1,AA!$AI:$AI,$X48)</f>
        <v>1</v>
      </c>
      <c r="Z48" s="261">
        <f>COUNTIFS(TA!$G:$G,1,TA!$F:$F,1,TA!$L:$L,$X48)</f>
        <v>1</v>
      </c>
      <c r="AA48" s="261">
        <f>SUMIFS(TA!$V:$V,TA!$L:$L,$X48,TA!$G:$G,1,TA!$F:$F,1)</f>
        <v>1000</v>
      </c>
      <c r="AB48" s="1251">
        <f t="shared" si="9"/>
        <v>0.33333333333333331</v>
      </c>
      <c r="AC48" s="261">
        <f>SUMIFS(AO!$T:$T,AO!$K:$K,$X48)</f>
        <v>0</v>
      </c>
      <c r="AD48" s="1251">
        <f t="shared" si="10"/>
        <v>0</v>
      </c>
      <c r="AE48" s="261">
        <f>SUMIFS(TA!$AJ:$AJ,TA!$L:$L,$X48,TA!$G:$G,1,TA!$F:$F,1)</f>
        <v>100000</v>
      </c>
      <c r="AF48" s="1251">
        <f t="shared" si="11"/>
        <v>0.33333333333333331</v>
      </c>
      <c r="AG48" s="1252">
        <f t="shared" si="12"/>
        <v>8.3333333333333339</v>
      </c>
      <c r="AH48" s="1289">
        <f>IFERROR(SUMIFS(TA!$GM:$GM,TA!$L:$L,$X48,TA!$F:$F,1,TA!$G:$G,1)/SUMIFS(TA!$AJ:$AJ,TA!$L:$L,$X48,TA!$F:$F,1,TA!$G:$G,1),0)</f>
        <v>17.846575342465755</v>
      </c>
    </row>
    <row r="49" spans="2:45">
      <c r="B49" s="1185" t="str">
        <f>GA!E64</f>
        <v>Cash &amp; Carry</v>
      </c>
      <c r="C49" s="259">
        <f>SUMIFS(AA!$BB:$BB,AA!$AI:$AI,$B49)</f>
        <v>100000</v>
      </c>
      <c r="D49" s="1187">
        <f>RANK(C49,$C$46:$C$57,0)+COUNTIF($C$46:C49,C49)-1</f>
        <v>3</v>
      </c>
      <c r="W49" s="1179">
        <v>4</v>
      </c>
      <c r="X49" s="1256" t="str">
        <f t="shared" si="8"/>
        <v>Hypermarket</v>
      </c>
      <c r="Y49" s="1257">
        <f>COUNTIFS(AA!$E:$E,1,AA!$AI:$AI,$X49)</f>
        <v>0</v>
      </c>
      <c r="Z49" s="1257">
        <f>COUNTIFS(TA!$G:$G,1,TA!$F:$F,1,TA!$L:$L,$X49)</f>
        <v>0</v>
      </c>
      <c r="AA49" s="1257">
        <f>SUMIFS(TA!$V:$V,TA!$L:$L,$X49,TA!$G:$G,1,TA!$F:$F,1)</f>
        <v>0</v>
      </c>
      <c r="AB49" s="1258">
        <f t="shared" si="9"/>
        <v>0</v>
      </c>
      <c r="AC49" s="1257">
        <f>SUMIFS(AO!$T:$T,AO!$K:$K,$X49)</f>
        <v>0</v>
      </c>
      <c r="AD49" s="1258">
        <f t="shared" si="10"/>
        <v>0</v>
      </c>
      <c r="AE49" s="1257">
        <f>SUMIFS(TA!$AJ:$AJ,TA!$L:$L,$X49,TA!$G:$G,1,TA!$F:$F,1)</f>
        <v>0</v>
      </c>
      <c r="AF49" s="1258">
        <f t="shared" si="11"/>
        <v>0</v>
      </c>
      <c r="AG49" s="1259">
        <f t="shared" si="12"/>
        <v>0</v>
      </c>
      <c r="AH49" s="1492">
        <f>IFERROR(SUMIFS(TA!$GM:$GM,TA!$L:$L,$X49,TA!$F:$F,1,TA!$G:$G,1)/SUMIFS(TA!$AJ:$AJ,TA!$L:$L,$X49,TA!$F:$F,1,TA!$G:$G,1),0)</f>
        <v>0</v>
      </c>
    </row>
    <row r="50" spans="2:45">
      <c r="B50" s="1185" t="str">
        <f>GA!E65</f>
        <v>DIY</v>
      </c>
      <c r="C50" s="259">
        <f>SUMIFS(AA!$BB:$BB,AA!$AI:$AI,$B50)</f>
        <v>0</v>
      </c>
      <c r="D50" s="1187">
        <f>RANK(C50,$C$46:$C$57,0)+COUNTIF($C$46:C50,C50)-1</f>
        <v>5</v>
      </c>
      <c r="W50" s="1179">
        <v>5</v>
      </c>
      <c r="X50" t="str">
        <f t="shared" si="8"/>
        <v>DIY</v>
      </c>
      <c r="Y50" s="261">
        <f>COUNTIFS(AA!$E:$E,1,AA!$AI:$AI,$X50)</f>
        <v>0</v>
      </c>
      <c r="Z50" s="261">
        <f>COUNTIFS(TA!$G:$G,1,TA!$F:$F,1,TA!$L:$L,$X50)</f>
        <v>0</v>
      </c>
      <c r="AA50" s="261">
        <f>SUMIFS(TA!$V:$V,TA!$L:$L,$X50,TA!$G:$G,1,TA!$F:$F,1)</f>
        <v>0</v>
      </c>
      <c r="AB50" s="1251">
        <f t="shared" si="9"/>
        <v>0</v>
      </c>
      <c r="AC50" s="261">
        <f>SUMIFS(AO!$T:$T,AO!$K:$K,$X50)</f>
        <v>0</v>
      </c>
      <c r="AD50" s="1251">
        <f t="shared" si="10"/>
        <v>0</v>
      </c>
      <c r="AE50" s="261">
        <f>SUMIFS(TA!$AJ:$AJ,TA!$L:$L,$X50,TA!$G:$G,1,TA!$F:$F,1)</f>
        <v>0</v>
      </c>
      <c r="AF50" s="1251">
        <f t="shared" si="11"/>
        <v>0</v>
      </c>
      <c r="AG50" s="1252">
        <f t="shared" si="12"/>
        <v>0</v>
      </c>
      <c r="AH50" s="1289">
        <f>IFERROR(SUMIFS(TA!$GM:$GM,TA!$L:$L,$X50,TA!$F:$F,1,TA!$G:$G,1)/SUMIFS(TA!$AJ:$AJ,TA!$L:$L,$X50,TA!$F:$F,1,TA!$G:$G,1),0)</f>
        <v>0</v>
      </c>
    </row>
    <row r="51" spans="2:45">
      <c r="B51" s="1185" t="str">
        <f>GA!E66</f>
        <v>Retail Park</v>
      </c>
      <c r="C51" s="259">
        <f>SUMIFS(AA!$BB:$BB,AA!$AI:$AI,$B51)</f>
        <v>0</v>
      </c>
      <c r="D51" s="1187">
        <f>RANK(C51,$C$46:$C$57,0)+COUNTIF($C$46:C51,C51)-1</f>
        <v>6</v>
      </c>
      <c r="W51" s="1179">
        <v>6</v>
      </c>
      <c r="X51" s="1256" t="str">
        <f t="shared" si="8"/>
        <v>Retail Park</v>
      </c>
      <c r="Y51" s="1257">
        <f>COUNTIFS(AA!$E:$E,1,AA!$AI:$AI,$X51)</f>
        <v>0</v>
      </c>
      <c r="Z51" s="1257">
        <f>COUNTIFS(TA!$G:$G,1,TA!$F:$F,1,TA!$L:$L,$X51)</f>
        <v>0</v>
      </c>
      <c r="AA51" s="1257">
        <f>SUMIFS(TA!$V:$V,TA!$L:$L,$X51,TA!$G:$G,1,TA!$F:$F,1)</f>
        <v>0</v>
      </c>
      <c r="AB51" s="1258">
        <f t="shared" si="9"/>
        <v>0</v>
      </c>
      <c r="AC51" s="1257">
        <f>SUMIFS(AO!$T:$T,AO!$K:$K,$X51)</f>
        <v>0</v>
      </c>
      <c r="AD51" s="1258">
        <f t="shared" si="10"/>
        <v>0</v>
      </c>
      <c r="AE51" s="1257">
        <f>SUMIFS(TA!$AJ:$AJ,TA!$L:$L,$X51,TA!$G:$G,1,TA!$F:$F,1)</f>
        <v>0</v>
      </c>
      <c r="AF51" s="1258">
        <f t="shared" si="11"/>
        <v>0</v>
      </c>
      <c r="AG51" s="1259">
        <f t="shared" si="12"/>
        <v>0</v>
      </c>
      <c r="AH51" s="1492">
        <f>IFERROR(SUMIFS(TA!$GM:$GM,TA!$L:$L,$X51,TA!$F:$F,1,TA!$G:$G,1)/SUMIFS(TA!$AJ:$AJ,TA!$L:$L,$X51,TA!$F:$F,1,TA!$G:$G,1),0)</f>
        <v>0</v>
      </c>
    </row>
    <row r="52" spans="2:45">
      <c r="B52" s="1185" t="str">
        <f>GA!E67</f>
        <v>Retail Warehose</v>
      </c>
      <c r="C52" s="259">
        <f>SUMIFS(AA!$BB:$BB,AA!$AI:$AI,$B52)</f>
        <v>0</v>
      </c>
      <c r="D52" s="1187">
        <f>RANK(C52,$C$46:$C$57,0)+COUNTIF($C$46:C52,C52)-1</f>
        <v>7</v>
      </c>
      <c r="W52" s="1179">
        <v>7</v>
      </c>
      <c r="X52" t="str">
        <f t="shared" si="8"/>
        <v>Retail Warehose</v>
      </c>
      <c r="Y52" s="261">
        <f>COUNTIFS(AA!$E:$E,1,AA!$AI:$AI,$X52)</f>
        <v>0</v>
      </c>
      <c r="Z52" s="261">
        <f>COUNTIFS(TA!$G:$G,1,TA!$F:$F,1,TA!$L:$L,$X52)</f>
        <v>0</v>
      </c>
      <c r="AA52" s="261">
        <f>SUMIFS(TA!$V:$V,TA!$L:$L,$X52,TA!$G:$G,1,TA!$F:$F,1)</f>
        <v>0</v>
      </c>
      <c r="AB52" s="1251">
        <f t="shared" si="9"/>
        <v>0</v>
      </c>
      <c r="AC52" s="261">
        <f>SUMIFS(AO!$T:$T,AO!$K:$K,$X52)</f>
        <v>0</v>
      </c>
      <c r="AD52" s="1251">
        <f t="shared" si="10"/>
        <v>0</v>
      </c>
      <c r="AE52" s="261">
        <f>SUMIFS(TA!$AJ:$AJ,TA!$L:$L,$X52,TA!$G:$G,1,TA!$F:$F,1)</f>
        <v>0</v>
      </c>
      <c r="AF52" s="1251">
        <f t="shared" si="11"/>
        <v>0</v>
      </c>
      <c r="AG52" s="1252">
        <f t="shared" si="12"/>
        <v>0</v>
      </c>
      <c r="AH52" s="1289">
        <f>IFERROR(SUMIFS(TA!$GM:$GM,TA!$L:$L,$X52,TA!$F:$F,1,TA!$G:$G,1)/SUMIFS(TA!$AJ:$AJ,TA!$L:$L,$X52,TA!$F:$F,1,TA!$G:$G,1),0)</f>
        <v>0</v>
      </c>
    </row>
    <row r="53" spans="2:45">
      <c r="B53" s="1185" t="str">
        <f>GA!E68</f>
        <v>Office</v>
      </c>
      <c r="C53" s="259">
        <f>SUMIFS(AA!$BB:$BB,AA!$AI:$AI,$B53)</f>
        <v>0</v>
      </c>
      <c r="D53" s="1187">
        <f>RANK(C53,$C$46:$C$57,0)+COUNTIF($C$46:C53,C53)-1</f>
        <v>8</v>
      </c>
      <c r="W53" s="1179">
        <v>8</v>
      </c>
      <c r="X53" s="1256" t="str">
        <f t="shared" si="8"/>
        <v>Office</v>
      </c>
      <c r="Y53" s="1257">
        <f>COUNTIFS(AA!$E:$E,1,AA!$AI:$AI,$X53)</f>
        <v>0</v>
      </c>
      <c r="Z53" s="1257">
        <f>COUNTIFS(TA!$G:$G,1,TA!$F:$F,1,TA!$L:$L,$X53)</f>
        <v>0</v>
      </c>
      <c r="AA53" s="1257">
        <f>SUMIFS(TA!$V:$V,TA!$L:$L,$X53,TA!$G:$G,1,TA!$F:$F,1)</f>
        <v>0</v>
      </c>
      <c r="AB53" s="1258">
        <f t="shared" si="9"/>
        <v>0</v>
      </c>
      <c r="AC53" s="1257">
        <f>SUMIFS(AO!$T:$T,AO!$K:$K,$X53)</f>
        <v>0</v>
      </c>
      <c r="AD53" s="1258">
        <f t="shared" si="10"/>
        <v>0</v>
      </c>
      <c r="AE53" s="1257">
        <f>SUMIFS(TA!$AJ:$AJ,TA!$L:$L,$X53,TA!$G:$G,1,TA!$F:$F,1)</f>
        <v>0</v>
      </c>
      <c r="AF53" s="1258">
        <f t="shared" si="11"/>
        <v>0</v>
      </c>
      <c r="AG53" s="1259">
        <f t="shared" si="12"/>
        <v>0</v>
      </c>
      <c r="AH53" s="1492">
        <f>IFERROR(SUMIFS(TA!$GM:$GM,TA!$L:$L,$X53,TA!$F:$F,1,TA!$G:$G,1)/SUMIFS(TA!$AJ:$AJ,TA!$L:$L,$X53,TA!$F:$F,1,TA!$G:$G,1),0)</f>
        <v>0</v>
      </c>
    </row>
    <row r="54" spans="2:45">
      <c r="B54" s="1185" t="str">
        <f>GA!E69</f>
        <v>Residential</v>
      </c>
      <c r="C54" s="259">
        <f>SUMIFS(AA!$BB:$BB,AA!$AI:$AI,$B54)</f>
        <v>0</v>
      </c>
      <c r="D54" s="1187">
        <f>RANK(C54,$C$46:$C$57,0)+COUNTIF($C$46:C54,C54)-1</f>
        <v>9</v>
      </c>
      <c r="W54" s="1179">
        <v>9</v>
      </c>
      <c r="X54" t="str">
        <f t="shared" si="8"/>
        <v>Residential</v>
      </c>
      <c r="Y54" s="261">
        <f>COUNTIFS(AA!$E:$E,1,AA!$AI:$AI,$X54)</f>
        <v>0</v>
      </c>
      <c r="Z54" s="261">
        <f>COUNTIFS(TA!$G:$G,1,TA!$F:$F,1,TA!$L:$L,$X54)</f>
        <v>0</v>
      </c>
      <c r="AA54" s="261">
        <f>SUMIFS(TA!$V:$V,TA!$L:$L,$X54,TA!$G:$G,1,TA!$F:$F,1)</f>
        <v>0</v>
      </c>
      <c r="AB54" s="1251">
        <f t="shared" si="9"/>
        <v>0</v>
      </c>
      <c r="AC54" s="261">
        <f>SUMIFS(AO!$T:$T,AO!$K:$K,$X54)</f>
        <v>0</v>
      </c>
      <c r="AD54" s="1251">
        <f t="shared" si="10"/>
        <v>0</v>
      </c>
      <c r="AE54" s="261">
        <f>SUMIFS(TA!$AJ:$AJ,TA!$L:$L,$X54,TA!$G:$G,1,TA!$F:$F,1)</f>
        <v>0</v>
      </c>
      <c r="AF54" s="1251">
        <f t="shared" si="11"/>
        <v>0</v>
      </c>
      <c r="AG54" s="1252">
        <f t="shared" si="12"/>
        <v>0</v>
      </c>
      <c r="AH54" s="1289">
        <f>IFERROR(SUMIFS(TA!$GM:$GM,TA!$L:$L,$X54,TA!$F:$F,1,TA!$G:$G,1)/SUMIFS(TA!$AJ:$AJ,TA!$L:$L,$X54,TA!$F:$F,1,TA!$G:$G,1),0)</f>
        <v>0</v>
      </c>
    </row>
    <row r="55" spans="2:45">
      <c r="B55" s="1185" t="str">
        <f>GA!E70</f>
        <v>Parking</v>
      </c>
      <c r="C55" s="259">
        <f>SUMIFS(AA!$BB:$BB,AA!$AI:$AI,$B55)</f>
        <v>0</v>
      </c>
      <c r="D55" s="1187">
        <f>RANK(C55,$C$46:$C$57,0)+COUNTIF($C$46:C55,C55)-1</f>
        <v>10</v>
      </c>
      <c r="W55" s="1179">
        <v>10</v>
      </c>
      <c r="X55" s="1256" t="str">
        <f t="shared" si="8"/>
        <v>Parking</v>
      </c>
      <c r="Y55" s="1257">
        <f>COUNTIFS(AA!$E:$E,1,AA!$AI:$AI,$X55)</f>
        <v>0</v>
      </c>
      <c r="Z55" s="1257">
        <f>COUNTIFS(TA!$G:$G,1,TA!$F:$F,1,TA!$L:$L,$X55)</f>
        <v>0</v>
      </c>
      <c r="AA55" s="1257">
        <f>SUMIFS(TA!$V:$V,TA!$L:$L,$X55,TA!$G:$G,1,TA!$F:$F,1)</f>
        <v>0</v>
      </c>
      <c r="AB55" s="1258">
        <f t="shared" si="9"/>
        <v>0</v>
      </c>
      <c r="AC55" s="1257">
        <f>SUMIFS(AO!$T:$T,AO!$K:$K,$X55)</f>
        <v>0</v>
      </c>
      <c r="AD55" s="1258">
        <f t="shared" si="10"/>
        <v>0</v>
      </c>
      <c r="AE55" s="1257">
        <f>SUMIFS(TA!$AJ:$AJ,TA!$L:$L,$X55,TA!$G:$G,1,TA!$F:$F,1)</f>
        <v>0</v>
      </c>
      <c r="AF55" s="1258">
        <f t="shared" si="11"/>
        <v>0</v>
      </c>
      <c r="AG55" s="1259">
        <f t="shared" si="12"/>
        <v>0</v>
      </c>
      <c r="AH55" s="1492">
        <f>IFERROR(SUMIFS(TA!$GM:$GM,TA!$L:$L,$X55,TA!$F:$F,1,TA!$G:$G,1)/SUMIFS(TA!$AJ:$AJ,TA!$L:$L,$X55,TA!$F:$F,1,TA!$G:$G,1),0)</f>
        <v>0</v>
      </c>
    </row>
    <row r="56" spans="2:45">
      <c r="B56" s="1185" t="str">
        <f>GA!E71</f>
        <v>Shopping Center</v>
      </c>
      <c r="C56" s="259">
        <f>SUMIFS(AA!$BB:$BB,AA!$AI:$AI,$B56)</f>
        <v>0</v>
      </c>
      <c r="D56" s="1187">
        <f>RANK(C56,$C$46:$C$57,0)+COUNTIF($C$46:C56,C56)-1</f>
        <v>11</v>
      </c>
      <c r="W56" s="1179">
        <v>11</v>
      </c>
      <c r="X56" t="str">
        <f t="shared" si="8"/>
        <v>Shopping Center</v>
      </c>
      <c r="Y56" s="261">
        <f>COUNTIFS(AA!$E:$E,1,AA!$AI:$AI,$X56)</f>
        <v>0</v>
      </c>
      <c r="Z56" s="261">
        <f>COUNTIFS(TA!$G:$G,1,TA!$F:$F,1,TA!$L:$L,$X56)</f>
        <v>0</v>
      </c>
      <c r="AA56" s="261">
        <f>SUMIFS(TA!$V:$V,TA!$L:$L,$X56,TA!$G:$G,1,TA!$F:$F,1)</f>
        <v>0</v>
      </c>
      <c r="AB56" s="1251">
        <f t="shared" si="9"/>
        <v>0</v>
      </c>
      <c r="AC56" s="261">
        <f>SUMIFS(AO!$T:$T,AO!$K:$K,$X56)</f>
        <v>0</v>
      </c>
      <c r="AD56" s="1251">
        <f t="shared" si="10"/>
        <v>0</v>
      </c>
      <c r="AE56" s="261">
        <f>SUMIFS(TA!$AJ:$AJ,TA!$L:$L,$X56,TA!$G:$G,1,TA!$F:$F,1)</f>
        <v>0</v>
      </c>
      <c r="AF56" s="1251">
        <f t="shared" si="11"/>
        <v>0</v>
      </c>
      <c r="AG56" s="1252">
        <f t="shared" si="12"/>
        <v>0</v>
      </c>
      <c r="AH56" s="1289">
        <f>IFERROR(SUMIFS(TA!$GM:$GM,TA!$L:$L,$X56,TA!$F:$F,1,TA!$G:$G,1)/SUMIFS(TA!$AJ:$AJ,TA!$L:$L,$X56,TA!$F:$F,1,TA!$G:$G,1),0)</f>
        <v>0</v>
      </c>
    </row>
    <row r="57" spans="2:45" ht="15.75" thickBot="1">
      <c r="B57" s="1131" t="str">
        <f>GA!E72</f>
        <v>Other</v>
      </c>
      <c r="C57" s="1249">
        <f>SUMIFS(AA!$BB:$BB,AA!$AI:$AI,$B57)</f>
        <v>0</v>
      </c>
      <c r="D57" s="1132">
        <f>RANK(C57,$C$46:$C$57,0)+COUNTIF($C$46:C57,C57)-1</f>
        <v>12</v>
      </c>
      <c r="W57" s="1179">
        <v>12</v>
      </c>
      <c r="X57" s="1256" t="str">
        <f t="shared" si="8"/>
        <v>Other</v>
      </c>
      <c r="Y57" s="1257">
        <f>COUNTIFS(AA!$E:$E,1,AA!$AI:$AI,$X57)</f>
        <v>0</v>
      </c>
      <c r="Z57" s="1257">
        <f>COUNTIFS(TA!$G:$G,1,TA!$F:$F,1,TA!$L:$L,$X57)</f>
        <v>0</v>
      </c>
      <c r="AA57" s="1257">
        <f>SUMIFS(TA!$V:$V,TA!$L:$L,$X57,TA!$G:$G,1,TA!$F:$F,1)</f>
        <v>0</v>
      </c>
      <c r="AB57" s="1258">
        <f t="shared" si="9"/>
        <v>0</v>
      </c>
      <c r="AC57" s="1257">
        <f>SUMIFS(AO!$T:$T,AO!$K:$K,$X57)</f>
        <v>0</v>
      </c>
      <c r="AD57" s="1258">
        <f t="shared" si="10"/>
        <v>0</v>
      </c>
      <c r="AE57" s="1257">
        <f>SUMIFS(TA!$AJ:$AJ,TA!$L:$L,$X57,TA!$G:$G,1,TA!$F:$F,1)</f>
        <v>0</v>
      </c>
      <c r="AF57" s="1258">
        <f t="shared" si="11"/>
        <v>0</v>
      </c>
      <c r="AG57" s="1259">
        <f t="shared" si="12"/>
        <v>0</v>
      </c>
      <c r="AH57" s="1492">
        <f>IFERROR(SUMIFS(TA!$GM:$GM,TA!$L:$L,$X57,TA!$F:$F,1,TA!$G:$G,1)/SUMIFS(TA!$AJ:$AJ,TA!$L:$L,$X57,TA!$F:$F,1,TA!$G:$G,1),0)</f>
        <v>0</v>
      </c>
    </row>
    <row r="58" spans="2:45" ht="15.75" thickBot="1">
      <c r="X58" s="1261" t="s">
        <v>152</v>
      </c>
      <c r="Y58" s="1261">
        <f>SUM(Y46:Y57)</f>
        <v>3</v>
      </c>
      <c r="Z58" s="1261">
        <f>SUM(Z46:Z57)</f>
        <v>3</v>
      </c>
      <c r="AA58" s="1261">
        <f>SUM(AA46:AA57)</f>
        <v>3000</v>
      </c>
      <c r="AB58" s="1262">
        <f>SUM(AB46:AB57)</f>
        <v>1</v>
      </c>
      <c r="AC58" s="1261">
        <f>SUM(AC46:AC57)</f>
        <v>0</v>
      </c>
      <c r="AD58" s="1542">
        <f>IFERROR(AC58/AA58,0)</f>
        <v>0</v>
      </c>
      <c r="AE58" s="1261">
        <f>SUM(AE46:AE57)</f>
        <v>300000</v>
      </c>
      <c r="AF58" s="1262">
        <f>SUM(AF46:AF57)</f>
        <v>1</v>
      </c>
      <c r="AG58" s="1263">
        <f>(SUMPRODUCT(AG46:AG57,AA46:AA57)-SUMPRODUCT(AG46:AG57,AC46:AC57))/(AA58-AC58)</f>
        <v>8.3333333333333339</v>
      </c>
      <c r="AH58" s="1493">
        <f>SUMPRODUCT(AH46:AH57,AE46:AE57)/AE58</f>
        <v>17.846575342465758</v>
      </c>
    </row>
    <row r="59" spans="2:45" ht="31.5" thickTop="1" thickBot="1">
      <c r="AJ59" s="1253"/>
      <c r="AK59" s="1254" t="s">
        <v>1335</v>
      </c>
      <c r="AL59" s="1253" t="s">
        <v>303</v>
      </c>
      <c r="AM59" s="1253" t="s">
        <v>1336</v>
      </c>
      <c r="AN59" s="1253" t="s">
        <v>894</v>
      </c>
      <c r="AO59" s="1253" t="s">
        <v>1338</v>
      </c>
      <c r="AP59" s="1253" t="s">
        <v>1337</v>
      </c>
      <c r="AQ59" s="1253" t="s">
        <v>1341</v>
      </c>
      <c r="AR59" s="1255" t="s">
        <v>1340</v>
      </c>
      <c r="AS59" s="1255" t="s">
        <v>300</v>
      </c>
    </row>
    <row r="60" spans="2:45">
      <c r="B60" s="1129" t="str">
        <f>GA!E76</f>
        <v>FMCG-F</v>
      </c>
      <c r="C60" s="1264">
        <f>SUMIFS(TA!$AJ:$AJ,TA!$U:$U,$B60)</f>
        <v>300000</v>
      </c>
      <c r="D60" s="1130">
        <f>RANK(C60,$C$60:$C$69,0)+COUNTIF($C$60:C60,C60)-1</f>
        <v>1</v>
      </c>
      <c r="AI60" s="1179">
        <v>1</v>
      </c>
      <c r="AJ60" t="str">
        <f>INDEX($B$60:$B$69,MATCH(AI60,$D$60:$D$69,0))</f>
        <v>FMCG-F</v>
      </c>
      <c r="AK60" s="261">
        <f>COUNTIFS(TA!$U:$U,$AJ60,TA!$F:$F,1,TA!$G:$G,1)</f>
        <v>3</v>
      </c>
      <c r="AL60" s="261">
        <f>SUMIFS(TA!$V:$V,TA!$U:$U,$AJ60,TA!$F:$F,1,TA!$G:$G,1)</f>
        <v>3000</v>
      </c>
      <c r="AM60" s="1251">
        <f>AL60/$AL$70</f>
        <v>1</v>
      </c>
      <c r="AN60" s="261">
        <f>SUMIFS(TA!$V:$V,TA!$U:$U,$AJ60,TA!$R:$R,"vacant",TA!$F:$F,1,TA!$G:$G,1)</f>
        <v>0</v>
      </c>
      <c r="AO60" s="1251">
        <f>IFERROR(AN60/AL60,0)</f>
        <v>0</v>
      </c>
      <c r="AP60" s="261">
        <f>SUMIFS(TA!$AJ:$AJ,TA!$U:$U,$AJ60,TA!$F:$F,1,TA!$G:$G,1)</f>
        <v>300000</v>
      </c>
      <c r="AQ60" s="1251">
        <f>AP60/$AP$70</f>
        <v>1</v>
      </c>
      <c r="AR60" s="1252">
        <f>IFERROR(AP60/(AL60-AN60)/12,0)</f>
        <v>8.3333333333333339</v>
      </c>
      <c r="AS60" s="1289">
        <f>IFERROR(SUMIFS(TA!$GM:$GM,TA!$U:$U,$AJ60,TA!$F:$F,1,TA!$G:$G,1)/SUMIFS(TA!$AJ:$AJ,TA!$U:$U,$AJ60,TA!$F:$F,1,TA!$G:$G,1),0)</f>
        <v>17.846575342465758</v>
      </c>
    </row>
    <row r="61" spans="2:45">
      <c r="B61" s="1185" t="str">
        <f>GA!E77</f>
        <v>FMCG-N</v>
      </c>
      <c r="C61" s="259">
        <f>SUMIFS(TA!$AJ:$AJ,TA!$U:$U,$B61)</f>
        <v>0</v>
      </c>
      <c r="D61" s="1203">
        <f>RANK(C61,$C$60:$C$69,0)+COUNTIF($C$60:C61,C61)-1</f>
        <v>2</v>
      </c>
      <c r="AI61" s="1179">
        <v>2</v>
      </c>
      <c r="AJ61" s="1256" t="str">
        <f t="shared" ref="AJ61:AJ69" si="13">INDEX($B$60:$B$69,MATCH(AI61,$D$60:$D$69,0))</f>
        <v>FMCG-N</v>
      </c>
      <c r="AK61" s="1257">
        <f>COUNTIFS(TA!$U:$U,$AJ61,TA!$F:$F,1,TA!$G:$G,1)</f>
        <v>0</v>
      </c>
      <c r="AL61" s="1257">
        <f>SUMIFS(TA!$V:$V,TA!$U:$U,$AJ61,TA!$F:$F,1,TA!$G:$G,1)</f>
        <v>0</v>
      </c>
      <c r="AM61" s="1258">
        <f t="shared" ref="AM61:AM69" si="14">AL61/$AL$70</f>
        <v>0</v>
      </c>
      <c r="AN61" s="1257">
        <f>SUMIFS(TA!$V:$V,TA!$U:$U,$AJ61,TA!$R:$R,"vacant",TA!$F:$F,1,TA!$G:$G,1)</f>
        <v>0</v>
      </c>
      <c r="AO61" s="1258">
        <f t="shared" ref="AO61:AO69" si="15">IFERROR(AN61/AL61,0)</f>
        <v>0</v>
      </c>
      <c r="AP61" s="1257">
        <f>SUMIFS(TA!$AJ:$AJ,TA!$U:$U,$AJ61,TA!$F:$F,1,TA!$G:$G,1)</f>
        <v>0</v>
      </c>
      <c r="AQ61" s="1258">
        <f t="shared" ref="AQ61:AQ69" si="16">AP61/$AP$70</f>
        <v>0</v>
      </c>
      <c r="AR61" s="1259">
        <f t="shared" ref="AR61:AR69" si="17">IFERROR(AP61/(AL61-AN61)/12,0)</f>
        <v>0</v>
      </c>
      <c r="AS61" s="1492">
        <f>IFERROR(SUMIFS(TA!$GM:$GM,TA!$U:$U,$AJ61,TA!$F:$F,1,TA!$G:$G,1)/SUMIFS(TA!$AJ:$AJ,TA!$U:$U,$AJ61,TA!$F:$F,1,TA!$G:$G,1),0)</f>
        <v>0</v>
      </c>
    </row>
    <row r="62" spans="2:45">
      <c r="B62" s="1185" t="str">
        <f>GA!E78</f>
        <v>Non-food retail</v>
      </c>
      <c r="C62" s="259">
        <f>SUMIFS(TA!$AJ:$AJ,TA!$U:$U,$B62)</f>
        <v>0</v>
      </c>
      <c r="D62" s="1203">
        <f>RANK(C62,$C$60:$C$69,0)+COUNTIF($C$60:C62,C62)-1</f>
        <v>3</v>
      </c>
      <c r="AI62" s="1179">
        <v>3</v>
      </c>
      <c r="AJ62" t="str">
        <f t="shared" si="13"/>
        <v>Non-food retail</v>
      </c>
      <c r="AK62" s="261">
        <f>COUNTIFS(TA!$U:$U,$AJ62,TA!$F:$F,1,TA!$G:$G,1)</f>
        <v>0</v>
      </c>
      <c r="AL62" s="261">
        <f>SUMIFS(TA!$V:$V,TA!$U:$U,$AJ62,TA!$F:$F,1,TA!$G:$G,1)</f>
        <v>0</v>
      </c>
      <c r="AM62" s="1251">
        <f t="shared" si="14"/>
        <v>0</v>
      </c>
      <c r="AN62" s="261">
        <f>SUMIFS(TA!$V:$V,TA!$U:$U,$AJ62,TA!$R:$R,"vacant",TA!$F:$F,1,TA!$G:$G,1)</f>
        <v>0</v>
      </c>
      <c r="AO62" s="1251">
        <f t="shared" si="15"/>
        <v>0</v>
      </c>
      <c r="AP62" s="261">
        <f>SUMIFS(TA!$AJ:$AJ,TA!$U:$U,$AJ62,TA!$F:$F,1,TA!$G:$G,1)</f>
        <v>0</v>
      </c>
      <c r="AQ62" s="1251">
        <f t="shared" si="16"/>
        <v>0</v>
      </c>
      <c r="AR62" s="1252">
        <f t="shared" si="17"/>
        <v>0</v>
      </c>
      <c r="AS62" s="1289">
        <f>IFERROR(SUMIFS(TA!$GM:$GM,TA!$U:$U,$AJ62,TA!$F:$F,1,TA!$G:$G,1)/SUMIFS(TA!$AJ:$AJ,TA!$U:$U,$AJ62,TA!$F:$F,1,TA!$G:$G,1),0)</f>
        <v>0</v>
      </c>
    </row>
    <row r="63" spans="2:45">
      <c r="B63" s="1185" t="str">
        <f>GA!E79</f>
        <v>Gastronomy</v>
      </c>
      <c r="C63" s="259">
        <f>SUMIFS(TA!$AJ:$AJ,TA!$U:$U,$B63)</f>
        <v>0</v>
      </c>
      <c r="D63" s="1203">
        <f>RANK(C63,$C$60:$C$69,0)+COUNTIF($C$60:C63,C63)-1</f>
        <v>4</v>
      </c>
      <c r="AI63" s="1179">
        <v>4</v>
      </c>
      <c r="AJ63" s="1256" t="str">
        <f t="shared" ref="AJ63:AJ66" si="18">INDEX($B$60:$B$69,MATCH(AI63,$D$60:$D$69,0))</f>
        <v>Gastronomy</v>
      </c>
      <c r="AK63" s="1257">
        <f>COUNTIFS(TA!$U:$U,$AJ63,TA!$F:$F,1,TA!$G:$G,1)</f>
        <v>0</v>
      </c>
      <c r="AL63" s="1257">
        <f>SUMIFS(TA!$V:$V,TA!$U:$U,$AJ63,TA!$F:$F,1,TA!$G:$G,1)</f>
        <v>0</v>
      </c>
      <c r="AM63" s="1258">
        <f t="shared" ref="AM63:AM66" si="19">AL63/$AL$70</f>
        <v>0</v>
      </c>
      <c r="AN63" s="1257">
        <f>SUMIFS(TA!$V:$V,TA!$U:$U,$AJ63,TA!$R:$R,"vacant",TA!$F:$F,1,TA!$G:$G,1)</f>
        <v>0</v>
      </c>
      <c r="AO63" s="1258">
        <f t="shared" ref="AO63:AO66" si="20">IFERROR(AN63/AL63,0)</f>
        <v>0</v>
      </c>
      <c r="AP63" s="1257">
        <f>SUMIFS(TA!$AJ:$AJ,TA!$U:$U,$AJ63,TA!$F:$F,1,TA!$G:$G,1)</f>
        <v>0</v>
      </c>
      <c r="AQ63" s="1258">
        <f t="shared" ref="AQ63:AQ66" si="21">AP63/$AP$70</f>
        <v>0</v>
      </c>
      <c r="AR63" s="1259">
        <f t="shared" ref="AR63:AR66" si="22">IFERROR(AP63/(AL63-AN63)/12,0)</f>
        <v>0</v>
      </c>
      <c r="AS63" s="1492">
        <f>IFERROR(SUMIFS(TA!$GM:$GM,TA!$U:$U,$AJ63,TA!$F:$F,1,TA!$G:$G,1)/SUMIFS(TA!$AJ:$AJ,TA!$U:$U,$AJ63,TA!$F:$F,1,TA!$G:$G,1),0)</f>
        <v>0</v>
      </c>
    </row>
    <row r="64" spans="2:45">
      <c r="B64" s="1185" t="str">
        <f>GA!E80</f>
        <v>Bank</v>
      </c>
      <c r="C64" s="259">
        <f>SUMIFS(TA!$AJ:$AJ,TA!$U:$U,$B64)</f>
        <v>0</v>
      </c>
      <c r="D64" s="1203">
        <f>RANK(C64,$C$60:$C$69,0)+COUNTIF($C$60:C64,C64)-1</f>
        <v>5</v>
      </c>
      <c r="AI64" s="1179">
        <v>5</v>
      </c>
      <c r="AJ64" t="str">
        <f t="shared" si="18"/>
        <v>Bank</v>
      </c>
      <c r="AK64" s="261">
        <f>COUNTIFS(TA!$U:$U,$AJ64,TA!$F:$F,1,TA!$G:$G,1)</f>
        <v>0</v>
      </c>
      <c r="AL64" s="261">
        <f>SUMIFS(TA!$V:$V,TA!$U:$U,$AJ64,TA!$F:$F,1,TA!$G:$G,1)</f>
        <v>0</v>
      </c>
      <c r="AM64" s="1251">
        <f t="shared" si="19"/>
        <v>0</v>
      </c>
      <c r="AN64" s="261">
        <f>SUMIFS(TA!$V:$V,TA!$U:$U,$AJ64,TA!$R:$R,"vacant",TA!$F:$F,1,TA!$G:$G,1)</f>
        <v>0</v>
      </c>
      <c r="AO64" s="1251">
        <f t="shared" si="20"/>
        <v>0</v>
      </c>
      <c r="AP64" s="261">
        <f>SUMIFS(TA!$AJ:$AJ,TA!$U:$U,$AJ64,TA!$F:$F,1,TA!$G:$G,1)</f>
        <v>0</v>
      </c>
      <c r="AQ64" s="1251">
        <f t="shared" si="21"/>
        <v>0</v>
      </c>
      <c r="AR64" s="1252">
        <f t="shared" si="22"/>
        <v>0</v>
      </c>
      <c r="AS64" s="1289">
        <f>IFERROR(SUMIFS(TA!$GM:$GM,TA!$U:$U,$AJ64,TA!$F:$F,1,TA!$G:$G,1)/SUMIFS(TA!$AJ:$AJ,TA!$U:$U,$AJ64,TA!$F:$F,1,TA!$G:$G,1),0)</f>
        <v>0</v>
      </c>
    </row>
    <row r="65" spans="2:69">
      <c r="B65" s="1185" t="str">
        <f>GA!E81</f>
        <v>Storage</v>
      </c>
      <c r="C65" s="259">
        <f>SUMIFS(TA!$AJ:$AJ,TA!$U:$U,$B65)</f>
        <v>0</v>
      </c>
      <c r="D65" s="1203">
        <f>RANK(C65,$C$60:$C$69,0)+COUNTIF($C$60:C65,C65)-1</f>
        <v>6</v>
      </c>
      <c r="AI65" s="1179">
        <v>6</v>
      </c>
      <c r="AJ65" s="1256" t="str">
        <f t="shared" si="18"/>
        <v>Storage</v>
      </c>
      <c r="AK65" s="1257">
        <f>COUNTIFS(TA!$U:$U,$AJ65,TA!$F:$F,1,TA!$G:$G,1)</f>
        <v>0</v>
      </c>
      <c r="AL65" s="1257">
        <f>SUMIFS(TA!$V:$V,TA!$U:$U,$AJ65,TA!$F:$F,1,TA!$G:$G,1)</f>
        <v>0</v>
      </c>
      <c r="AM65" s="1258">
        <f t="shared" si="19"/>
        <v>0</v>
      </c>
      <c r="AN65" s="1257">
        <f>SUMIFS(TA!$V:$V,TA!$U:$U,$AJ65,TA!$R:$R,"vacant",TA!$F:$F,1,TA!$G:$G,1)</f>
        <v>0</v>
      </c>
      <c r="AO65" s="1258">
        <f t="shared" si="20"/>
        <v>0</v>
      </c>
      <c r="AP65" s="1257">
        <f>SUMIFS(TA!$AJ:$AJ,TA!$U:$U,$AJ65,TA!$F:$F,1,TA!$G:$G,1)</f>
        <v>0</v>
      </c>
      <c r="AQ65" s="1258">
        <f t="shared" si="21"/>
        <v>0</v>
      </c>
      <c r="AR65" s="1259">
        <f t="shared" si="22"/>
        <v>0</v>
      </c>
      <c r="AS65" s="1492">
        <f>IFERROR(SUMIFS(TA!$GM:$GM,TA!$U:$U,$AJ65,TA!$F:$F,1,TA!$G:$G,1)/SUMIFS(TA!$AJ:$AJ,TA!$U:$U,$AJ65,TA!$F:$F,1,TA!$G:$G,1),0)</f>
        <v>0</v>
      </c>
    </row>
    <row r="66" spans="2:69">
      <c r="B66" s="1185" t="str">
        <f>GA!E82</f>
        <v>Parking</v>
      </c>
      <c r="C66" s="259">
        <f>SUMIFS(TA!$AJ:$AJ,TA!$U:$U,$B66)</f>
        <v>0</v>
      </c>
      <c r="D66" s="1203">
        <f>RANK(C66,$C$60:$C$69,0)+COUNTIF($C$60:C66,C66)-1</f>
        <v>7</v>
      </c>
      <c r="AI66" s="1179">
        <v>7</v>
      </c>
      <c r="AJ66" t="str">
        <f t="shared" si="18"/>
        <v>Parking</v>
      </c>
      <c r="AK66" s="261">
        <f>COUNTIFS(TA!$U:$U,$AJ66,TA!$F:$F,1,TA!$G:$G,1)</f>
        <v>0</v>
      </c>
      <c r="AL66" s="261">
        <f>SUMIFS(TA!$V:$V,TA!$U:$U,$AJ66,TA!$F:$F,1,TA!$G:$G,1)</f>
        <v>0</v>
      </c>
      <c r="AM66" s="1251">
        <f t="shared" si="19"/>
        <v>0</v>
      </c>
      <c r="AN66" s="261">
        <f>SUMIFS(TA!$V:$V,TA!$U:$U,$AJ66,TA!$R:$R,"vacant",TA!$F:$F,1,TA!$G:$G,1)</f>
        <v>0</v>
      </c>
      <c r="AO66" s="1251">
        <f t="shared" si="20"/>
        <v>0</v>
      </c>
      <c r="AP66" s="261">
        <f>SUMIFS(TA!$AJ:$AJ,TA!$U:$U,$AJ66,TA!$F:$F,1,TA!$G:$G,1)</f>
        <v>0</v>
      </c>
      <c r="AQ66" s="1251">
        <f t="shared" si="21"/>
        <v>0</v>
      </c>
      <c r="AR66" s="1252">
        <f t="shared" si="22"/>
        <v>0</v>
      </c>
      <c r="AS66" s="1289">
        <f>IFERROR(SUMIFS(TA!$GM:$GM,TA!$U:$U,$AJ66,TA!$F:$F,1,TA!$G:$G,1)/SUMIFS(TA!$AJ:$AJ,TA!$U:$U,$AJ66,TA!$F:$F,1,TA!$G:$G,1),0)</f>
        <v>0</v>
      </c>
    </row>
    <row r="67" spans="2:69">
      <c r="B67" s="1185" t="str">
        <f>GA!E83</f>
        <v>Residential</v>
      </c>
      <c r="C67" s="259">
        <f>SUMIFS(TA!$AJ:$AJ,TA!$U:$U,$B67)</f>
        <v>0</v>
      </c>
      <c r="D67" s="1203">
        <f>RANK(C67,$C$60:$C$69,0)+COUNTIF($C$60:C67,C67)-1</f>
        <v>8</v>
      </c>
      <c r="AI67" s="1179">
        <v>8</v>
      </c>
      <c r="AJ67" s="1256" t="str">
        <f t="shared" si="13"/>
        <v>Residential</v>
      </c>
      <c r="AK67" s="1257">
        <f>COUNTIFS(TA!$U:$U,$AJ67,TA!$F:$F,1,TA!$G:$G,1)</f>
        <v>0</v>
      </c>
      <c r="AL67" s="1257">
        <f>SUMIFS(TA!$V:$V,TA!$U:$U,$AJ67,TA!$F:$F,1,TA!$G:$G,1)</f>
        <v>0</v>
      </c>
      <c r="AM67" s="1258">
        <f t="shared" si="14"/>
        <v>0</v>
      </c>
      <c r="AN67" s="1257">
        <f>SUMIFS(TA!$V:$V,TA!$U:$U,$AJ67,TA!$R:$R,"vacant",TA!$F:$F,1,TA!$G:$G,1)</f>
        <v>0</v>
      </c>
      <c r="AO67" s="1258">
        <f t="shared" si="15"/>
        <v>0</v>
      </c>
      <c r="AP67" s="1257">
        <f>SUMIFS(TA!$AJ:$AJ,TA!$U:$U,$AJ67,TA!$F:$F,1,TA!$G:$G,1)</f>
        <v>0</v>
      </c>
      <c r="AQ67" s="1258">
        <f t="shared" si="16"/>
        <v>0</v>
      </c>
      <c r="AR67" s="1259">
        <f t="shared" si="17"/>
        <v>0</v>
      </c>
      <c r="AS67" s="1492">
        <f>IFERROR(SUMIFS(TA!$GM:$GM,TA!$U:$U,$AJ67,TA!$F:$F,1,TA!$G:$G,1)/SUMIFS(TA!$AJ:$AJ,TA!$U:$U,$AJ67,TA!$F:$F,1,TA!$G:$G,1),0)</f>
        <v>0</v>
      </c>
    </row>
    <row r="68" spans="2:69">
      <c r="B68" s="1185" t="str">
        <f>GA!E84</f>
        <v>Office</v>
      </c>
      <c r="C68" s="259">
        <f>SUMIFS(TA!$AJ:$AJ,TA!$U:$U,$B68)</f>
        <v>0</v>
      </c>
      <c r="D68" s="1203">
        <f>RANK(C68,$C$60:$C$69,0)+COUNTIF($C$60:C68,C68)-1</f>
        <v>9</v>
      </c>
      <c r="AI68" s="1179">
        <v>9</v>
      </c>
      <c r="AJ68" t="str">
        <f t="shared" si="13"/>
        <v>Office</v>
      </c>
      <c r="AK68" s="261">
        <f>COUNTIFS(TA!$U:$U,$AJ68,TA!$F:$F,1,TA!$G:$G,1)</f>
        <v>0</v>
      </c>
      <c r="AL68" s="261">
        <f>SUMIFS(TA!$V:$V,TA!$U:$U,$AJ68,TA!$F:$F,1,TA!$G:$G,1)</f>
        <v>0</v>
      </c>
      <c r="AM68" s="1251">
        <f t="shared" si="14"/>
        <v>0</v>
      </c>
      <c r="AN68" s="261">
        <f>SUMIFS(TA!$V:$V,TA!$U:$U,$AJ68,TA!$R:$R,"vacant",TA!$F:$F,1,TA!$G:$G,1)</f>
        <v>0</v>
      </c>
      <c r="AO68" s="1251">
        <f t="shared" si="15"/>
        <v>0</v>
      </c>
      <c r="AP68" s="261">
        <f>SUMIFS(TA!$AJ:$AJ,TA!$U:$U,$AJ68,TA!$F:$F,1,TA!$G:$G,1)</f>
        <v>0</v>
      </c>
      <c r="AQ68" s="1251">
        <f t="shared" si="16"/>
        <v>0</v>
      </c>
      <c r="AR68" s="1252">
        <f t="shared" si="17"/>
        <v>0</v>
      </c>
      <c r="AS68" s="1289">
        <f>IFERROR(SUMIFS(TA!$GM:$GM,TA!$U:$U,$AJ68,TA!$F:$F,1,TA!$G:$G,1)/SUMIFS(TA!$AJ:$AJ,TA!$U:$U,$AJ68,TA!$F:$F,1,TA!$G:$G,1),0)</f>
        <v>0</v>
      </c>
    </row>
    <row r="69" spans="2:69" ht="15.75" thickBot="1">
      <c r="B69" s="1131" t="str">
        <f>GA!E85</f>
        <v>Other</v>
      </c>
      <c r="C69" s="1249">
        <f>SUMIFS(TA!$AJ:$AJ,TA!$U:$U,$B69)</f>
        <v>0</v>
      </c>
      <c r="D69" s="1188">
        <f>RANK(C69,$C$60:$C$69,0)+COUNTIF($C$60:C69,C69)-1</f>
        <v>10</v>
      </c>
      <c r="AI69" s="1179">
        <v>10</v>
      </c>
      <c r="AJ69" s="1256" t="str">
        <f t="shared" si="13"/>
        <v>Other</v>
      </c>
      <c r="AK69" s="1257">
        <f>COUNTIFS(TA!$U:$U,$AJ69,TA!$F:$F,1,TA!$G:$G,1)</f>
        <v>0</v>
      </c>
      <c r="AL69" s="1257">
        <f>SUMIFS(TA!$V:$V,TA!$U:$U,$AJ69,TA!$F:$F,1,TA!$G:$G,1)</f>
        <v>0</v>
      </c>
      <c r="AM69" s="1258">
        <f t="shared" si="14"/>
        <v>0</v>
      </c>
      <c r="AN69" s="1257">
        <f>SUMIFS(TA!$V:$V,TA!$U:$U,$AJ69,TA!$R:$R,"vacant",TA!$F:$F,1,TA!$G:$G,1)</f>
        <v>0</v>
      </c>
      <c r="AO69" s="1258">
        <f t="shared" si="15"/>
        <v>0</v>
      </c>
      <c r="AP69" s="1257">
        <f>SUMIFS(TA!$AJ:$AJ,TA!$U:$U,$AJ69,TA!$F:$F,1,TA!$G:$G,1)</f>
        <v>0</v>
      </c>
      <c r="AQ69" s="1258">
        <f t="shared" si="16"/>
        <v>0</v>
      </c>
      <c r="AR69" s="1259">
        <f t="shared" si="17"/>
        <v>0</v>
      </c>
      <c r="AS69" s="1492">
        <f>IFERROR(SUMIFS(TA!$GM:$GM,TA!$U:$U,$AJ69,TA!$F:$F,1,TA!$G:$G,1)/SUMIFS(TA!$AJ:$AJ,TA!$U:$U,$AJ69,TA!$F:$F,1,TA!$G:$G,1),0)</f>
        <v>0</v>
      </c>
    </row>
    <row r="70" spans="2:69" ht="15.75" thickBot="1">
      <c r="AJ70" s="1261" t="s">
        <v>152</v>
      </c>
      <c r="AK70" s="1261">
        <f>SUM(AK60:AK69)</f>
        <v>3</v>
      </c>
      <c r="AL70" s="1261">
        <f>SUM(AL60:AL69)</f>
        <v>3000</v>
      </c>
      <c r="AM70" s="1262">
        <f>SUM(AM60:AM69)</f>
        <v>1</v>
      </c>
      <c r="AN70" s="1261">
        <f>SUM(AN60:AN69)</f>
        <v>0</v>
      </c>
      <c r="AO70" s="1542">
        <f>IFERROR(AN70/AL70,0)</f>
        <v>0</v>
      </c>
      <c r="AP70" s="1261">
        <f>SUM(AP60:AP69)</f>
        <v>300000</v>
      </c>
      <c r="AQ70" s="1262">
        <f>SUM(AQ60:AQ69)</f>
        <v>1</v>
      </c>
      <c r="AR70" s="1263">
        <f>(SUMPRODUCT(AR60:AR69,AL60:AL69)-SUMPRODUCT(AR60:AR69,AN60:AN69))/(AL70-AN70)</f>
        <v>8.3333333333333339</v>
      </c>
      <c r="AS70" s="1493">
        <f>SUMPRODUCT(AS60:AS69,AP60:AP69)/AP70</f>
        <v>17.846575342465758</v>
      </c>
    </row>
    <row r="71" spans="2:69" ht="31.5" thickTop="1" thickBot="1">
      <c r="AU71" s="1253"/>
      <c r="AV71" s="1253" t="s">
        <v>1334</v>
      </c>
      <c r="AW71" s="1254" t="s">
        <v>1335</v>
      </c>
      <c r="AX71" s="1253" t="s">
        <v>303</v>
      </c>
      <c r="AY71" s="1253" t="s">
        <v>1336</v>
      </c>
      <c r="AZ71" s="1253" t="s">
        <v>894</v>
      </c>
      <c r="BA71" s="1253" t="s">
        <v>1338</v>
      </c>
      <c r="BB71" s="1253" t="s">
        <v>1337</v>
      </c>
      <c r="BC71" s="1253" t="s">
        <v>1341</v>
      </c>
      <c r="BD71" s="1255" t="s">
        <v>1340</v>
      </c>
      <c r="BE71" s="1255" t="s">
        <v>300</v>
      </c>
    </row>
    <row r="72" spans="2:69">
      <c r="B72" s="1129" t="s">
        <v>1481</v>
      </c>
      <c r="C72" s="1264">
        <f>SUMIFS(TA!$AJ:$AJ,TA!$M:$M,$B72)</f>
        <v>100000</v>
      </c>
      <c r="D72" s="1130">
        <f>RANK(C72,$C$72:$C$75,0)+COUNTIF($C$72:C72,C72)-1</f>
        <v>1</v>
      </c>
      <c r="AT72" s="1179">
        <v>1</v>
      </c>
      <c r="AU72" t="str">
        <f>INDEX($B$72:$B$75,MATCH(AT72,$D$72:$D$75,0))</f>
        <v>AVC1</v>
      </c>
      <c r="AV72" s="261">
        <f>COUNTIFS(AA!$AL:$AL,$AU72,AA!$E:$E,1)</f>
        <v>1</v>
      </c>
      <c r="AW72" s="261">
        <f>COUNTIFS(TA!$F:$F,1,TA!$G:$G,1,TA!$M:$M,$AU72)</f>
        <v>1</v>
      </c>
      <c r="AX72" s="261">
        <f>SUMIFS(TA!$V:$V,TA!$M:$M,$AU72,TA!$F:$F,1,TA!$G:$G,1)</f>
        <v>1000</v>
      </c>
      <c r="AY72" s="1251">
        <f>AX72/$AX$76</f>
        <v>0.33333333333333331</v>
      </c>
      <c r="AZ72" s="261">
        <f>SUMIFS(AO!$T:$T,AO!$I:$I,$AU72,AO!$B:$B,1)</f>
        <v>0</v>
      </c>
      <c r="BA72" s="1251">
        <f>IFERROR(AZ72/AX72,0)</f>
        <v>0</v>
      </c>
      <c r="BB72" s="261">
        <f>SUMIFS(TA!$AJ:$AJ,TA!$F:$F,1,TA!$G:$G,1,TA!$M:$M,$AU72)</f>
        <v>100000</v>
      </c>
      <c r="BC72" s="1251">
        <f>BB72/$BB$76</f>
        <v>0.33333333333333331</v>
      </c>
      <c r="BD72" s="1252">
        <f>IFERROR(BB72/(AX72-AZ72)/12,0)</f>
        <v>8.3333333333333339</v>
      </c>
      <c r="BE72" s="1289">
        <f>IFERROR(SUMIFS(TA!$GM:$GM,TA!$M:$M,$AU72,TA!$F:$F,1,TA!$G:$G,1)/SUMIFS(TA!$AJ:$AJ,TA!$M:$M,$AU72,TA!$F:$F,1,TA!$G:$G,1),0)</f>
        <v>17.846575342465755</v>
      </c>
    </row>
    <row r="73" spans="2:69">
      <c r="B73" s="1185" t="s">
        <v>1482</v>
      </c>
      <c r="C73" s="259">
        <f>SUMIFS(TA!$AJ:$AJ,TA!$M:$M,$B73)</f>
        <v>0</v>
      </c>
      <c r="D73" s="1187">
        <f>RANK(C73,$C$72:$C$75,0)+COUNTIF($C$72:C73,C73)-1</f>
        <v>4</v>
      </c>
      <c r="AT73" s="1179">
        <v>2</v>
      </c>
      <c r="AU73" s="1256" t="str">
        <f t="shared" ref="AU73:AU75" si="23">INDEX($B$72:$B$75,MATCH(AT73,$D$72:$D$75,0))</f>
        <v>PTS</v>
      </c>
      <c r="AV73" s="1257">
        <f>COUNTIFS(AA!$AL:$AL,$AU73,AA!$E:$E,1)</f>
        <v>1</v>
      </c>
      <c r="AW73" s="1257">
        <f>COUNTIFS(TA!$F:$F,1,TA!$G:$G,1,TA!$M:$M,$AU73)</f>
        <v>1</v>
      </c>
      <c r="AX73" s="1257">
        <f>SUMIFS(TA!$V:$V,TA!$M:$M,$AU73,TA!$F:$F,1,TA!$G:$G,1)</f>
        <v>1000</v>
      </c>
      <c r="AY73" s="1258">
        <f t="shared" ref="AY73:AY75" si="24">AX73/$AX$76</f>
        <v>0.33333333333333331</v>
      </c>
      <c r="AZ73" s="1257">
        <f>SUMIFS(AO!$T:$T,AO!$I:$I,$AU73,AO!$B:$B,1)</f>
        <v>0</v>
      </c>
      <c r="BA73" s="1258">
        <f t="shared" ref="BA73:BA75" si="25">IFERROR(AZ73/AX73,0)</f>
        <v>0</v>
      </c>
      <c r="BB73" s="1257">
        <f>SUMIFS(TA!$AJ:$AJ,TA!$F:$F,1,TA!$G:$G,1,TA!$M:$M,$AU73)</f>
        <v>100000</v>
      </c>
      <c r="BC73" s="1258">
        <f t="shared" ref="BC73:BC75" si="26">BB73/$BB$76</f>
        <v>0.33333333333333331</v>
      </c>
      <c r="BD73" s="1259">
        <f t="shared" ref="BD73:BD75" si="27">IFERROR(BB73/(AX73-AZ73)/12,0)</f>
        <v>8.3333333333333339</v>
      </c>
      <c r="BE73" s="1492">
        <f>IFERROR(SUMIFS(TA!$GM:$GM,TA!$M:$M,$AU73,TA!$F:$F,1,TA!$G:$G,1)/SUMIFS(TA!$AJ:$AJ,TA!$M:$M,$AU73,TA!$F:$F,1,TA!$G:$G,1),0)</f>
        <v>17.846575342465755</v>
      </c>
    </row>
    <row r="74" spans="2:69">
      <c r="B74" s="1185" t="s">
        <v>133</v>
      </c>
      <c r="C74">
        <f>SUMIFS(TA!$AJ:$AJ,TA!$M:$M,$B74)</f>
        <v>100000</v>
      </c>
      <c r="D74" s="1203">
        <f>RANK(C74,$C$72:$C$75,0)+COUNTIF($C$72:C74,C74)-1</f>
        <v>2</v>
      </c>
      <c r="AT74" s="1179">
        <v>3</v>
      </c>
      <c r="AU74" t="str">
        <f t="shared" si="23"/>
        <v>LTS</v>
      </c>
      <c r="AV74" s="261">
        <f>COUNTIFS(AA!$AL:$AL,$AU74,AA!$E:$E,1)</f>
        <v>1</v>
      </c>
      <c r="AW74" s="261">
        <f>COUNTIFS(TA!$F:$F,1,TA!$G:$G,1,TA!$M:$M,$AU74)</f>
        <v>1</v>
      </c>
      <c r="AX74" s="261">
        <f>SUMIFS(TA!$V:$V,TA!$M:$M,$AU74,TA!$F:$F,1,TA!$G:$G,1)</f>
        <v>1000</v>
      </c>
      <c r="AY74" s="1251">
        <f t="shared" si="24"/>
        <v>0.33333333333333331</v>
      </c>
      <c r="AZ74" s="261">
        <f>SUMIFS(AO!$T:$T,AO!$I:$I,$AU74,AO!$B:$B,1)</f>
        <v>0</v>
      </c>
      <c r="BA74" s="1251">
        <f t="shared" si="25"/>
        <v>0</v>
      </c>
      <c r="BB74" s="261">
        <f>SUMIFS(TA!$AJ:$AJ,TA!$F:$F,1,TA!$G:$G,1,TA!$M:$M,$AU74)</f>
        <v>100000</v>
      </c>
      <c r="BC74" s="1251">
        <f t="shared" si="26"/>
        <v>0.33333333333333331</v>
      </c>
      <c r="BD74" s="1252">
        <f t="shared" si="27"/>
        <v>8.3333333333333339</v>
      </c>
      <c r="BE74" s="1289">
        <f>IFERROR(SUMIFS(TA!$GM:$GM,TA!$M:$M,$AU74,TA!$F:$F,1,TA!$G:$G,1)/SUMIFS(TA!$AJ:$AJ,TA!$M:$M,$AU74,TA!$F:$F,1,TA!$G:$G,1),0)</f>
        <v>17.846575342465755</v>
      </c>
    </row>
    <row r="75" spans="2:69" ht="15.75" thickBot="1">
      <c r="B75" s="1131" t="s">
        <v>134</v>
      </c>
      <c r="C75" s="1160">
        <f>SUMIFS(TA!$AJ:$AJ,TA!$M:$M,$B75)</f>
        <v>100000</v>
      </c>
      <c r="D75" s="1188">
        <f>RANK(C75,$C$72:$C$75,0)+COUNTIF($C$72:C75,C75)-1</f>
        <v>3</v>
      </c>
      <c r="AT75" s="1179">
        <v>4</v>
      </c>
      <c r="AU75" s="1256" t="str">
        <f t="shared" si="23"/>
        <v>AVC2</v>
      </c>
      <c r="AV75" s="1257">
        <f>COUNTIFS(AA!$AL:$AL,$AU75,AA!$E:$E,1)</f>
        <v>0</v>
      </c>
      <c r="AW75" s="1257">
        <f>COUNTIFS(TA!$F:$F,1,TA!$G:$G,1,TA!$M:$M,$AU75)</f>
        <v>0</v>
      </c>
      <c r="AX75" s="1257">
        <f>SUMIFS(TA!$V:$V,TA!$M:$M,$AU75,TA!$F:$F,1,TA!$G:$G,1)</f>
        <v>0</v>
      </c>
      <c r="AY75" s="1258">
        <f t="shared" si="24"/>
        <v>0</v>
      </c>
      <c r="AZ75" s="1257">
        <f>SUMIFS(AO!$T:$T,AO!$I:$I,$AU75,AO!$B:$B,1)</f>
        <v>0</v>
      </c>
      <c r="BA75" s="1258">
        <f t="shared" si="25"/>
        <v>0</v>
      </c>
      <c r="BB75" s="1257">
        <f>SUMIFS(TA!$AJ:$AJ,TA!$F:$F,1,TA!$G:$G,1,TA!$M:$M,$AU75)</f>
        <v>0</v>
      </c>
      <c r="BC75" s="1258">
        <f t="shared" si="26"/>
        <v>0</v>
      </c>
      <c r="BD75" s="1259">
        <f t="shared" si="27"/>
        <v>0</v>
      </c>
      <c r="BE75" s="1492">
        <f>IFERROR(SUMIFS(TA!$GM:$GM,TA!$M:$M,$AU75,TA!$F:$F,1,TA!$G:$G,1)/SUMIFS(TA!$AJ:$AJ,TA!$M:$M,$AU75,TA!$F:$F,1,TA!$G:$G,1),0)</f>
        <v>0</v>
      </c>
    </row>
    <row r="76" spans="2:69" ht="15.75" thickBot="1">
      <c r="AU76" s="1261" t="s">
        <v>152</v>
      </c>
      <c r="AV76" s="1261">
        <f>SUM(AV72:AV75)</f>
        <v>3</v>
      </c>
      <c r="AW76" s="1261">
        <f>SUM(AW72:AW75)</f>
        <v>3</v>
      </c>
      <c r="AX76" s="1261">
        <f>SUM(AX72:AX75)</f>
        <v>3000</v>
      </c>
      <c r="AY76" s="1262">
        <f>SUM(AY72:AY75)</f>
        <v>1</v>
      </c>
      <c r="AZ76" s="1261">
        <f>SUM(AZ72:AZ75)</f>
        <v>0</v>
      </c>
      <c r="BA76" s="1542">
        <f>IFERROR(AZ76/AX76,0)</f>
        <v>0</v>
      </c>
      <c r="BB76" s="1261">
        <f>SUM(BB72:BB75)</f>
        <v>300000</v>
      </c>
      <c r="BC76" s="1262">
        <f>SUM(BC72:BC75)</f>
        <v>1</v>
      </c>
      <c r="BD76" s="1263">
        <f>(SUMPRODUCT(BD72:BD75,AX72:AX75)-SUMPRODUCT(BD72:BD75,AZ72:AZ75))/(AX76-AZ76)</f>
        <v>8.3333333333333339</v>
      </c>
      <c r="BE76" s="1493">
        <f>SUMPRODUCT(BE72:BE75,BB72:BB75)/BB76</f>
        <v>17.846575342465758</v>
      </c>
    </row>
    <row r="77" spans="2:69" ht="30.75" thickTop="1">
      <c r="BG77" s="1253"/>
      <c r="BH77" s="1253" t="s">
        <v>1334</v>
      </c>
      <c r="BI77" s="1254" t="s">
        <v>1335</v>
      </c>
      <c r="BJ77" s="1253" t="s">
        <v>303</v>
      </c>
      <c r="BK77" s="1253" t="s">
        <v>1336</v>
      </c>
      <c r="BL77" s="1253" t="s">
        <v>894</v>
      </c>
      <c r="BM77" s="1253" t="s">
        <v>1338</v>
      </c>
      <c r="BN77" s="1253" t="s">
        <v>1337</v>
      </c>
      <c r="BO77" s="1253" t="s">
        <v>1341</v>
      </c>
      <c r="BP77" s="1255" t="s">
        <v>1340</v>
      </c>
      <c r="BQ77" s="1255" t="s">
        <v>300</v>
      </c>
    </row>
    <row r="78" spans="2:69">
      <c r="BG78" t="s">
        <v>1246</v>
      </c>
      <c r="BH78" s="261">
        <f t="shared" ref="BH78:BJ79" si="28">SUMIFS(M$28:M$43,$J$28:$J$43,$BG78)</f>
        <v>3</v>
      </c>
      <c r="BI78" s="261">
        <f t="shared" si="28"/>
        <v>3</v>
      </c>
      <c r="BJ78" s="261">
        <f t="shared" si="28"/>
        <v>3000</v>
      </c>
      <c r="BK78" s="1251">
        <f>BJ78/$BJ$80</f>
        <v>1</v>
      </c>
      <c r="BL78" s="261">
        <f>SUMIFS(Q$28:Q$43,$J$28:$J$43,$BG78)</f>
        <v>0</v>
      </c>
      <c r="BM78" s="1251">
        <f>IFERROR(BL78/BJ78,0)</f>
        <v>0</v>
      </c>
      <c r="BN78" s="261">
        <f>SUMIFS(S$28:S$43,$J$28:$J$43,$BG78)</f>
        <v>300000</v>
      </c>
      <c r="BO78" s="1251">
        <f>BN78/$BN$80</f>
        <v>1</v>
      </c>
      <c r="BP78" s="1252">
        <f>IFERROR(BN78/(BJ78-BL78)/12,0)</f>
        <v>8.3333333333333339</v>
      </c>
      <c r="BQ78" s="1289">
        <f>IFERROR(SUMPRODUCT(($V$28:$V$43)*($J$28:$J$43=$BG78)*($S$28:$S$43))/SUMPRODUCT(($J$28:$J$43=$BG78)*($S$28:$S$43)),0)</f>
        <v>17.846575342465758</v>
      </c>
    </row>
    <row r="79" spans="2:69">
      <c r="BG79" s="1256" t="s">
        <v>1247</v>
      </c>
      <c r="BH79" s="1257">
        <f t="shared" si="28"/>
        <v>0</v>
      </c>
      <c r="BI79" s="1257">
        <f t="shared" si="28"/>
        <v>0</v>
      </c>
      <c r="BJ79" s="1257">
        <f t="shared" si="28"/>
        <v>0</v>
      </c>
      <c r="BK79" s="1258">
        <f>BJ79/$BJ$80</f>
        <v>0</v>
      </c>
      <c r="BL79" s="1257">
        <f>SUMIFS(Q$28:Q$43,$J$28:$J$43,$BG79)</f>
        <v>0</v>
      </c>
      <c r="BM79" s="1258">
        <f t="shared" ref="BM79" si="29">IFERROR(BL79/BJ79,0)</f>
        <v>0</v>
      </c>
      <c r="BN79" s="1257">
        <f>SUMIFS(S$28:S$43,$J$28:$J$43,$BG79)</f>
        <v>0</v>
      </c>
      <c r="BO79" s="1258">
        <f>BN79/$BN$80</f>
        <v>0</v>
      </c>
      <c r="BP79" s="1259">
        <f t="shared" ref="BP79" si="30">IFERROR(BN79/(BJ79-BL79)/12,0)</f>
        <v>0</v>
      </c>
      <c r="BQ79" s="1492">
        <f>IFERROR(SUMPRODUCT(($V$28:$V$43)*($J$28:$J$43=$BG79)*($S$28:$S$43))/SUMPRODUCT(($J$28:$J$43=$BG79)*($S$28:$S$43)),0)</f>
        <v>0</v>
      </c>
    </row>
    <row r="80" spans="2:69" ht="15.75" thickBot="1">
      <c r="BG80" s="1261" t="s">
        <v>152</v>
      </c>
      <c r="BH80" s="1261">
        <f>SUM(BH77:BH79)</f>
        <v>3</v>
      </c>
      <c r="BI80" s="1261">
        <f>SUM(BI77:BI79)</f>
        <v>3</v>
      </c>
      <c r="BJ80" s="1261">
        <f>SUM(BJ77:BJ79)</f>
        <v>3000</v>
      </c>
      <c r="BK80" s="1262">
        <f>SUM(BK77:BK79)</f>
        <v>1</v>
      </c>
      <c r="BL80" s="1261">
        <f>SUM(BL77:BL79)</f>
        <v>0</v>
      </c>
      <c r="BM80" s="1542">
        <f>IFERROR(BL80/BJ80,0)</f>
        <v>0</v>
      </c>
      <c r="BN80" s="1261">
        <f>SUM(BN77:BN79)</f>
        <v>300000</v>
      </c>
      <c r="BO80" s="1262">
        <f>SUM(BO77:BO79)</f>
        <v>1</v>
      </c>
      <c r="BP80" s="1263">
        <f>(SUMPRODUCT(BP77:BP79,BJ77:BJ79)-SUMPRODUCT(BP77:BP79,BL77:BL79))/(BJ80-BL80)</f>
        <v>8.3333333333333339</v>
      </c>
      <c r="BQ80" s="1493">
        <f>SUMPRODUCT(BQ77:BQ79,BN77:BN79)/BN80</f>
        <v>17.846575342465758</v>
      </c>
    </row>
    <row r="81" spans="71:94" ht="45.75" thickTop="1">
      <c r="BS81" s="1"/>
      <c r="BT81" s="1442" t="s">
        <v>37</v>
      </c>
      <c r="BU81" s="1442" t="s">
        <v>1516</v>
      </c>
      <c r="BV81" s="1442" t="s">
        <v>1517</v>
      </c>
      <c r="BW81" s="1442" t="s">
        <v>303</v>
      </c>
      <c r="BX81" s="1442" t="s">
        <v>474</v>
      </c>
      <c r="BY81" s="1442" t="s">
        <v>745</v>
      </c>
      <c r="BZ81" s="1442" t="s">
        <v>442</v>
      </c>
      <c r="CA81" s="1442" t="s">
        <v>1043</v>
      </c>
      <c r="CB81" s="1569" t="s">
        <v>1758</v>
      </c>
      <c r="CC81" s="1442" t="s">
        <v>1417</v>
      </c>
      <c r="CD81" s="1442" t="s">
        <v>936</v>
      </c>
      <c r="CE81" s="1569" t="s">
        <v>1518</v>
      </c>
      <c r="CF81" s="1569" t="s">
        <v>1519</v>
      </c>
      <c r="CG81" s="1569" t="s">
        <v>1520</v>
      </c>
      <c r="CI81" s="1"/>
      <c r="CJ81" s="1442" t="s">
        <v>37</v>
      </c>
      <c r="CK81" s="1569" t="s">
        <v>1610</v>
      </c>
      <c r="CL81" s="1569" t="s">
        <v>1608</v>
      </c>
      <c r="CM81" s="1442" t="s">
        <v>881</v>
      </c>
      <c r="CN81" s="1442" t="s">
        <v>318</v>
      </c>
      <c r="CO81" s="1569" t="s">
        <v>1611</v>
      </c>
      <c r="CP81" s="1569" t="s">
        <v>1609</v>
      </c>
    </row>
    <row r="82" spans="71:94">
      <c r="BS82" t="s">
        <v>134</v>
      </c>
      <c r="BT82" s="1571">
        <f>COUNTIFS(AA!$AL$13:$AL$15,$BS82,AA!$E$13:$E$15,1)</f>
        <v>1</v>
      </c>
      <c r="BU82" s="1571">
        <f>SUMIFS(AO!$Y$18:$Y$20,AO!$I$18:$I$20,$BS82)</f>
        <v>100000</v>
      </c>
      <c r="BV82" s="1571">
        <f>SUMIFS(AO!$CE$18:$CE$20,AO!$I$18:$I$20,$BS82)</f>
        <v>102266.91718749992</v>
      </c>
      <c r="BW82" s="1571">
        <f>SUMIFS(AO!$Q$18:$Q$20,AO!$I$18:$I$20,$BS82)</f>
        <v>1000</v>
      </c>
      <c r="BX82" s="1571">
        <f>SUMIFS(AO!$DJ$18:$DJ$20,AO!$I$18:$I$20,$BS82)</f>
        <v>1227203.0062499989</v>
      </c>
      <c r="BY82" s="1668">
        <f>IFERROR(BX82/BV82,0)</f>
        <v>12</v>
      </c>
      <c r="BZ82" s="1571">
        <f>-SUMIFS(AO!$AZ$18:$AZ$20,AO!$I$18:$I$20,$BS82)</f>
        <v>-1849150.8977256261</v>
      </c>
      <c r="CA82" s="1571">
        <f>SUMIFS(AO!$DF$18:$DF$20,AO!$I$18:$I$20,$BS82)-SUMIFS(AO!$DE$18:$DE$20,AO!$I$18:$I$20,$BS82)-SUMIFS(AO!$DA$18:$DA$20,AO!$I$18:$I$20,$BS82)</f>
        <v>0</v>
      </c>
      <c r="CB82" s="1571">
        <f>SUMIFS(AO!$EY$18:$EY$47,AO!$I$18:$I$47,$BS82)+SUMIFS(AO!$EZ$18:$EZ$47,AO!$I$18:$I$47,$BS82)</f>
        <v>-57115.830909889097</v>
      </c>
      <c r="CC82" s="1571">
        <f>SUMIFS(AO!$ED$18:$ED$20,AO!$I$18:$I$20,$BS82)</f>
        <v>232353.82064425788</v>
      </c>
      <c r="CD82" s="1571">
        <f>SUMIFS(AO!$DS$18:$DS$20,AO!$I$18:$I$20,$BS82)</f>
        <v>1225607.6423418738</v>
      </c>
      <c r="CE82" s="1571">
        <f>SUM(BZ82:CD82)</f>
        <v>-448305.26564938365</v>
      </c>
      <c r="CF82" s="1571">
        <f>CB82+CC82</f>
        <v>175237.98973436878</v>
      </c>
      <c r="CG82" s="1571">
        <f>CE82-CF82</f>
        <v>-623543.2553837524</v>
      </c>
      <c r="CI82" t="str">
        <f>BS82</f>
        <v>LTS</v>
      </c>
      <c r="CJ82" s="1571">
        <f>COUNTIFS(AA!$AL$13:$AL$15,$BS82,AA!$E$13:$E$15,1)</f>
        <v>1</v>
      </c>
      <c r="CK82" s="1571">
        <f>SUMIFS(TA!$AJ:$AJ,TA!$F:$F,1,TA!$G:$G,1,TA!$M:$M,$BS82)</f>
        <v>100000</v>
      </c>
      <c r="CL82" s="1669">
        <f>IFERROR(SUMIFS(TA!$GM:$GM,TA!$M:$M,$BS82,TA!$F:$F,1,TA!$G:$G,1)/SUMIFS(TA!$AJ:$AJ,TA!$M:$M,$BS82,TA!$F:$F,1,TA!$G:$G,1),0)</f>
        <v>17.846575342465755</v>
      </c>
      <c r="CM82" s="1571">
        <f>CA82</f>
        <v>0</v>
      </c>
      <c r="CN82" s="1571">
        <f>SUMIFS(IC!AD:AD,IC!G:G,BS82)</f>
        <v>0</v>
      </c>
      <c r="CO82" s="1571">
        <f>BV82</f>
        <v>102266.91718749992</v>
      </c>
      <c r="CP82" s="1669" cm="1">
        <f t="array" ref="CP82">IFERROR(SUMPRODUCT(IC!T:T,IC!V:V,(IC!G:G=BS82)*1)/(SUMIFS(IC!V:V,IC!G:G,BS82)),0)</f>
        <v>14.846575342465753</v>
      </c>
    </row>
    <row r="83" spans="71:94">
      <c r="BS83" t="s">
        <v>1481</v>
      </c>
      <c r="BT83" s="1571">
        <f>COUNTIFS(AA!$AL$13:$AL$15,$BS83,AA!$E$13:$E$15,1)</f>
        <v>1</v>
      </c>
      <c r="BU83" s="1571">
        <f>SUMIFS(AO!$Y$18:$Y$20,AO!$I$18:$I$20,$BS83)</f>
        <v>100000</v>
      </c>
      <c r="BV83" s="1571">
        <f>SUMIFS(AO!$CE$18:$CE$20,AO!$I$18:$I$20,$BS83)</f>
        <v>102266.91718749992</v>
      </c>
      <c r="BW83" s="1571">
        <f>SUMIFS(AO!$Q$18:$Q$20,AO!$I$18:$I$20,$BS83)</f>
        <v>1000</v>
      </c>
      <c r="BX83" s="1571">
        <f>SUMIFS(AO!$DJ$18:$DJ$20,AO!$I$18:$I$20,$BS83)</f>
        <v>1227203.0062499989</v>
      </c>
      <c r="BY83" s="1668">
        <f t="shared" ref="BY83:BY86" si="31">IFERROR(BX83/BV83,0)</f>
        <v>12</v>
      </c>
      <c r="BZ83" s="1571">
        <f>-SUMIFS(AO!$AZ$18:$AZ$20,AO!$I$18:$I$20,$BS83)</f>
        <v>-1925462.7034918049</v>
      </c>
      <c r="CA83" s="1571">
        <f>SUMIFS(AO!$DF$18:$DF$20,AO!$I$18:$I$20,$BS83)-SUMIFS(AO!$DE$18:$DE$20,AO!$I$18:$I$20,$BS83)-SUMIFS(AO!$DA$18:$DA$20,AO!$I$18:$I$20,$BS83)</f>
        <v>0</v>
      </c>
      <c r="CB83" s="1571">
        <f>SUMIFS(AO!$EY$18:$EY$47,AO!$I$18:$I$47,$BS83)+SUMIFS(AO!$EZ$18:$EZ$47,AO!$I$18:$I$47,$BS83)</f>
        <v>-79450.59073951449</v>
      </c>
      <c r="CC83" s="1571">
        <f>SUMIFS(AO!$ED$18:$ED$20,AO!$I$18:$I$20,$BS83)</f>
        <v>280270.50433344883</v>
      </c>
      <c r="CD83" s="1571">
        <f>SUMIFS(AO!$DS$18:$DS$20,AO!$I$18:$I$20,$BS83)</f>
        <v>1225607.6423418738</v>
      </c>
      <c r="CE83" s="1571">
        <f t="shared" ref="CE83:CE85" si="32">SUM(BZ83:CD83)</f>
        <v>-499035.14755599666</v>
      </c>
      <c r="CF83" s="1571">
        <f t="shared" ref="CF83:CF85" si="33">CB83+CC83</f>
        <v>200819.91359393433</v>
      </c>
      <c r="CG83" s="1571">
        <f t="shared" ref="CG83:CG85" si="34">CE83-CF83</f>
        <v>-699855.06114993105</v>
      </c>
      <c r="CI83" t="str">
        <f t="shared" ref="CI83:CI85" si="35">BS83</f>
        <v>AVC1</v>
      </c>
      <c r="CJ83" s="1571">
        <f>COUNTIFS(AA!$AL$13:$AL$15,$BS83,AA!$E$13:$E$15,1)</f>
        <v>1</v>
      </c>
      <c r="CK83" s="1571">
        <f>SUMIFS(TA!$AJ:$AJ,TA!$F:$F,1,TA!$G:$G,1,TA!$M:$M,$BS83)</f>
        <v>100000</v>
      </c>
      <c r="CL83" s="1669">
        <f>IFERROR(SUMIFS(TA!$GM:$GM,TA!$M:$M,$BS83,TA!$F:$F,1,TA!$G:$G,1)/SUMIFS(TA!$AJ:$AJ,TA!$M:$M,$BS83,TA!$F:$F,1,TA!$G:$G,1),0)</f>
        <v>17.846575342465755</v>
      </c>
      <c r="CM83" s="1571">
        <f>CA83</f>
        <v>0</v>
      </c>
      <c r="CN83" s="1571">
        <f>SUMIFS(IC!AD:AD,IC!G:G,BS83)</f>
        <v>0</v>
      </c>
      <c r="CO83" s="1571">
        <f>BV83</f>
        <v>102266.91718749992</v>
      </c>
      <c r="CP83" s="1669" cm="1">
        <f t="array" ref="CP83">IFERROR(SUMPRODUCT(IC!T:T,IC!V:V,(IC!G:G=BS83)*1)/(SUMIFS(IC!V:V,IC!G:G,BS83)),0)</f>
        <v>14.846575342465753</v>
      </c>
    </row>
    <row r="84" spans="71:94">
      <c r="BS84" t="s">
        <v>1482</v>
      </c>
      <c r="BT84" s="1571">
        <f>COUNTIFS(AA!$AL$13:$AL$15,$BS84,AA!$E$13:$E$15,1)</f>
        <v>0</v>
      </c>
      <c r="BU84" s="1571">
        <f>SUMIFS(AO!$Y$18:$Y$20,AO!$I$18:$I$20,$BS84)</f>
        <v>0</v>
      </c>
      <c r="BV84" s="1571">
        <f>SUMIFS(AO!$CE$18:$CE$20,AO!$I$18:$I$20,$BS84)</f>
        <v>0</v>
      </c>
      <c r="BW84" s="1571">
        <f>SUMIFS(AO!$Q$18:$Q$20,AO!$I$18:$I$20,$BS84)</f>
        <v>0</v>
      </c>
      <c r="BX84" s="1571">
        <f>SUMIFS(AO!$DJ$18:$DJ$20,AO!$I$18:$I$20,$BS84)</f>
        <v>0</v>
      </c>
      <c r="BY84" s="1668">
        <f t="shared" si="31"/>
        <v>0</v>
      </c>
      <c r="BZ84" s="1571">
        <f>-SUMIFS(AO!$AZ$18:$AZ$20,AO!$I$18:$I$20,$BS84)</f>
        <v>0</v>
      </c>
      <c r="CA84" s="1571">
        <f>SUMIFS(AO!$DF$18:$DF$20,AO!$I$18:$I$20,$BS84)-SUMIFS(AO!$DE$18:$DE$20,AO!$I$18:$I$20,$BS84)-SUMIFS(AO!$DA$18:$DA$20,AO!$I$18:$I$20,$BS84)</f>
        <v>0</v>
      </c>
      <c r="CB84" s="1571">
        <f>SUMIFS(AO!$EY$18:$EY$47,AO!$I$18:$I$47,$BS84)+SUMIFS(AO!$EZ$18:$EZ$47,AO!$I$18:$I$47,$BS84)</f>
        <v>0</v>
      </c>
      <c r="CC84" s="1571">
        <f>SUMIFS(AO!$ED$18:$ED$20,AO!$I$18:$I$20,$BS84)</f>
        <v>0</v>
      </c>
      <c r="CD84" s="1571">
        <f>SUMIFS(AO!$DS$18:$DS$20,AO!$I$18:$I$20,$BS84)</f>
        <v>0</v>
      </c>
      <c r="CE84" s="1571">
        <f t="shared" si="32"/>
        <v>0</v>
      </c>
      <c r="CF84" s="1571">
        <f t="shared" si="33"/>
        <v>0</v>
      </c>
      <c r="CG84" s="1571">
        <f t="shared" si="34"/>
        <v>0</v>
      </c>
      <c r="CI84" t="str">
        <f t="shared" si="35"/>
        <v>AVC2</v>
      </c>
      <c r="CJ84" s="1571">
        <f>COUNTIFS(AA!$AL$13:$AL$15,$BS84,AA!$E$13:$E$15,1)</f>
        <v>0</v>
      </c>
      <c r="CK84" s="1571">
        <f>SUMIFS(TA!$AJ:$AJ,TA!$F:$F,1,TA!$G:$G,1,TA!$M:$M,$BS84)</f>
        <v>0</v>
      </c>
      <c r="CL84" s="1669">
        <f>IFERROR(SUMIFS(TA!$GM:$GM,TA!$M:$M,$BS84,TA!$F:$F,1,TA!$G:$G,1)/SUMIFS(TA!$AJ:$AJ,TA!$M:$M,$BS84,TA!$F:$F,1,TA!$G:$G,1),0)</f>
        <v>0</v>
      </c>
      <c r="CM84" s="1571">
        <f>CA84</f>
        <v>0</v>
      </c>
      <c r="CN84" s="1571">
        <f>SUMIFS(IC!AD:AD,IC!G:G,BS84)</f>
        <v>0</v>
      </c>
      <c r="CO84" s="1571">
        <f>BV84</f>
        <v>0</v>
      </c>
      <c r="CP84" s="1669" cm="1">
        <f t="array" ref="CP84">IFERROR(SUMPRODUCT(IC!T:T,IC!V:V,(IC!G:G=BS84)*1)/(SUMIFS(IC!V:V,IC!G:G,BS84)),0)</f>
        <v>0</v>
      </c>
    </row>
    <row r="85" spans="71:94">
      <c r="BS85" t="s">
        <v>133</v>
      </c>
      <c r="BT85" s="1571">
        <f>COUNTIFS(AA!$AL$13:$AL$15,$BS85,AA!$E$13:$E$15,1)</f>
        <v>1</v>
      </c>
      <c r="BU85" s="1571">
        <f>SUMIFS(AO!$Y$18:$Y$20,AO!$I$18:$I$20,$BS85)</f>
        <v>100000</v>
      </c>
      <c r="BV85" s="1571">
        <f>SUMIFS(AO!$CE$18:$CE$20,AO!$I$18:$I$20,$BS85)</f>
        <v>102266.91718749992</v>
      </c>
      <c r="BW85" s="1571">
        <f>SUMIFS(AO!$Q$18:$Q$20,AO!$I$18:$I$20,$BS85)</f>
        <v>1000</v>
      </c>
      <c r="BX85" s="1571">
        <f>SUMIFS(AO!$DJ$18:$DJ$20,AO!$I$18:$I$20,$BS85)</f>
        <v>1227203.0062499989</v>
      </c>
      <c r="BY85" s="1668">
        <f t="shared" si="31"/>
        <v>12</v>
      </c>
      <c r="BZ85" s="1571">
        <f>-SUMIFS(AO!$AZ$18:$AZ$20,AO!$I$18:$I$20,$BS85)</f>
        <v>-1879436.3987825688</v>
      </c>
      <c r="CA85" s="1571">
        <f>SUMIFS(AO!$DF$18:$DF$20,AO!$I$18:$I$20,$BS85)-SUMIFS(AO!$DE$18:$DE$20,AO!$I$18:$I$20,$BS85)-SUMIFS(AO!$DA$18:$DA$20,AO!$I$18:$I$20,$BS85)</f>
        <v>0</v>
      </c>
      <c r="CB85" s="1571">
        <f>SUMIFS(AO!$EY$18:$EY$47,AO!$I$18:$I$47,$BS85)+SUMIFS(AO!$EZ$18:$EZ$47,AO!$I$18:$I$47,$BS85)</f>
        <v>-65064.740053379399</v>
      </c>
      <c r="CC85" s="1571">
        <f>SUMIFS(AO!$ED$18:$ED$20,AO!$I$18:$I$20,$BS85)</f>
        <v>251038.24332743947</v>
      </c>
      <c r="CD85" s="1571">
        <f>SUMIFS(AO!$DS$18:$DS$20,AO!$I$18:$I$20,$BS85)</f>
        <v>1225607.6423418738</v>
      </c>
      <c r="CE85" s="1571">
        <f t="shared" si="32"/>
        <v>-467855.25316663482</v>
      </c>
      <c r="CF85" s="1571">
        <f t="shared" si="33"/>
        <v>185973.50327406009</v>
      </c>
      <c r="CG85" s="1571">
        <f t="shared" si="34"/>
        <v>-653828.75644069491</v>
      </c>
      <c r="CI85" t="str">
        <f t="shared" si="35"/>
        <v>PTS</v>
      </c>
      <c r="CJ85" s="1571">
        <f>COUNTIFS(AA!$AL$13:$AL$15,$BS85,AA!$E$13:$E$15,1)</f>
        <v>1</v>
      </c>
      <c r="CK85" s="1571">
        <f>SUMIFS(TA!$AJ:$AJ,TA!$F:$F,1,TA!$G:$G,1,TA!$M:$M,$BS85)</f>
        <v>100000</v>
      </c>
      <c r="CL85" s="1669">
        <f>IFERROR(SUMIFS(TA!$GM:$GM,TA!$M:$M,$BS85,TA!$F:$F,1,TA!$G:$G,1)/SUMIFS(TA!$AJ:$AJ,TA!$M:$M,$BS85,TA!$F:$F,1,TA!$G:$G,1),0)</f>
        <v>17.846575342465755</v>
      </c>
      <c r="CM85" s="1571">
        <f>CA85</f>
        <v>0</v>
      </c>
      <c r="CN85" s="1571">
        <f>SUMIFS(IC!AD:AD,IC!G:G,BS85)</f>
        <v>0</v>
      </c>
      <c r="CO85" s="1571">
        <f>BV85</f>
        <v>102266.91718749992</v>
      </c>
      <c r="CP85" s="1669" cm="1">
        <f t="array" ref="CP85">IFERROR(SUMPRODUCT(IC!T:T,IC!V:V,(IC!G:G=BS85)*1)/(SUMIFS(IC!V:V,IC!G:G,BS85)),0)</f>
        <v>14.846575342465753</v>
      </c>
    </row>
    <row r="86" spans="71:94" ht="15.75" thickBot="1">
      <c r="BS86" s="1265"/>
      <c r="BT86" s="1572">
        <f>SUM(BT82:BT85)</f>
        <v>3</v>
      </c>
      <c r="BU86" s="1572">
        <f>SUM(BU82:BU85)</f>
        <v>300000</v>
      </c>
      <c r="BV86" s="1572">
        <f t="shared" ref="BV86:BX86" si="36">SUM(BV82:BV85)</f>
        <v>306800.75156249973</v>
      </c>
      <c r="BW86" s="1572">
        <f t="shared" si="36"/>
        <v>3000</v>
      </c>
      <c r="BX86" s="1572">
        <f t="shared" si="36"/>
        <v>3681609.018749997</v>
      </c>
      <c r="BY86" s="1570">
        <f t="shared" si="31"/>
        <v>12</v>
      </c>
      <c r="BZ86" s="1572">
        <f t="shared" ref="BZ86" si="37">SUM(BZ82:BZ85)</f>
        <v>-5654050</v>
      </c>
      <c r="CA86" s="1572">
        <f t="shared" ref="CA86" si="38">SUM(CA82:CA85)</f>
        <v>0</v>
      </c>
      <c r="CB86" s="1572">
        <f t="shared" ref="CB86" si="39">SUM(CB82:CB85)</f>
        <v>-201631.16170278296</v>
      </c>
      <c r="CC86" s="1572">
        <f t="shared" ref="CC86" si="40">SUM(CC82:CC85)</f>
        <v>763662.56830514618</v>
      </c>
      <c r="CD86" s="1572">
        <f t="shared" ref="CD86" si="41">SUM(CD82:CD85)</f>
        <v>3676822.9270256218</v>
      </c>
      <c r="CE86" s="1572">
        <f t="shared" ref="CE86" si="42">SUM(CE82:CE85)</f>
        <v>-1415195.6663720151</v>
      </c>
      <c r="CF86" s="1572">
        <f t="shared" ref="CF86" si="43">SUM(CF82:CF85)</f>
        <v>562031.40660236322</v>
      </c>
      <c r="CG86" s="1572">
        <f t="shared" ref="CG86" si="44">SUM(CG82:CG85)</f>
        <v>-1977227.0729743782</v>
      </c>
      <c r="CI86" s="1265"/>
      <c r="CJ86" s="1572">
        <f>SUM(CJ82:CJ85)</f>
        <v>3</v>
      </c>
      <c r="CK86" s="1572">
        <f>SUM(CK82:CK85)</f>
        <v>300000</v>
      </c>
      <c r="CL86" s="1670">
        <f>SUMPRODUCT(CK82:CK85,CL82:CL85)/CK86</f>
        <v>17.846575342465758</v>
      </c>
      <c r="CM86" s="1572">
        <f>CA86</f>
        <v>0</v>
      </c>
      <c r="CN86" s="1572">
        <f>SUM(CN82:CN85)</f>
        <v>0</v>
      </c>
      <c r="CO86" s="1572">
        <f>SUM(CO82:CO85)</f>
        <v>306800.75156249973</v>
      </c>
      <c r="CP86" s="1670">
        <f>SUMPRODUCT(CO82:CO85,CP82:CP85)/CO86</f>
        <v>14.846575342465755</v>
      </c>
    </row>
    <row r="87" spans="71:94" ht="15.75" thickTop="1"/>
  </sheetData>
  <pageMargins left="0.7" right="0.7" top="0.75" bottom="0.75" header="0.3" footer="0.3"/>
  <pageSetup paperSize="9" scale="66" orientation="portrait" r:id="rId1"/>
  <ignoredErrors>
    <ignoredError sqref="BK78:BK79 BM78:BM80 R44 AD58 AO70 BA76 BY86" formula="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FC9DF-8761-471A-B3DA-B1C1CA633E2E}">
  <sheetPr codeName="Sheet25">
    <tabColor rgb="FF7030A0"/>
  </sheetPr>
  <dimension ref="A1:FT23"/>
  <sheetViews>
    <sheetView workbookViewId="0"/>
  </sheetViews>
  <sheetFormatPr baseColWidth="10" defaultColWidth="8.7109375" defaultRowHeight="15"/>
  <cols>
    <col min="1" max="1" width="3" customWidth="1"/>
    <col min="5" max="5" width="11.42578125" bestFit="1" customWidth="1"/>
    <col min="6" max="6" width="4.28515625" customWidth="1"/>
    <col min="7" max="7" width="10.28515625" style="49" bestFit="1" customWidth="1"/>
    <col min="8" max="8" width="15" bestFit="1" customWidth="1"/>
    <col min="9" max="9" width="37.7109375" customWidth="1"/>
    <col min="10" max="10" width="12.5703125" bestFit="1" customWidth="1"/>
    <col min="11" max="11" width="18.42578125" customWidth="1"/>
  </cols>
  <sheetData>
    <row r="1" spans="1:176" s="35" customFormat="1">
      <c r="A1" s="1" t="str">
        <f ca="1">UPPER(MID(CELL("filename",A1),FIND("[",CELL("filename",A1))+1,FIND("]",CELL("filename",A1))-FIND("[",CELL("filename",A1))-5))</f>
        <v>VORLAGE.</v>
      </c>
      <c r="B1" s="1"/>
      <c r="D1" s="58"/>
      <c r="F1" s="58"/>
      <c r="G1" s="58"/>
      <c r="H1" s="58"/>
      <c r="I1" s="58"/>
      <c r="J1" s="58"/>
      <c r="K1" s="58"/>
      <c r="L1" s="58"/>
      <c r="M1" s="58"/>
      <c r="N1" s="58"/>
      <c r="O1" s="58"/>
      <c r="P1" s="58"/>
      <c r="Q1" s="58"/>
      <c r="R1" s="58"/>
      <c r="S1" s="58"/>
      <c r="T1" s="58"/>
      <c r="U1" s="58"/>
      <c r="V1" s="58"/>
      <c r="W1" s="58"/>
      <c r="X1" s="58"/>
      <c r="AQ1" s="58"/>
      <c r="AR1" s="58"/>
      <c r="AS1" s="58"/>
      <c r="AT1" s="58"/>
      <c r="AU1" s="58"/>
      <c r="AV1" s="58"/>
      <c r="CB1" s="58"/>
      <c r="CF1" s="58"/>
      <c r="CG1" s="58"/>
      <c r="CT1" s="58"/>
      <c r="DG1" s="58"/>
      <c r="DT1" s="58"/>
      <c r="DU1" s="58"/>
      <c r="DV1" s="58"/>
      <c r="DW1" s="58"/>
      <c r="DX1" s="58"/>
      <c r="EP1" s="58"/>
      <c r="EV1" s="58"/>
      <c r="FR1" s="58"/>
      <c r="FT1" s="58"/>
    </row>
    <row r="2" spans="1:176" s="35" customFormat="1">
      <c r="A2" s="1" t="s">
        <v>1257</v>
      </c>
      <c r="B2" s="1"/>
      <c r="D2" s="58"/>
      <c r="F2" s="58"/>
      <c r="G2" s="58"/>
      <c r="H2" s="58"/>
      <c r="I2" s="58"/>
      <c r="J2" s="58"/>
      <c r="K2" s="58"/>
      <c r="L2" s="58"/>
      <c r="M2" s="58"/>
      <c r="N2" s="58"/>
      <c r="O2" s="58"/>
      <c r="P2" s="58"/>
      <c r="Q2" s="58"/>
      <c r="R2" s="58"/>
      <c r="S2" s="58"/>
      <c r="T2" s="58"/>
      <c r="U2" s="58"/>
      <c r="V2" s="58"/>
      <c r="W2" s="58"/>
      <c r="X2" s="58"/>
      <c r="AQ2" s="58"/>
      <c r="AR2" s="58"/>
      <c r="AS2" s="58"/>
      <c r="AT2" s="58"/>
      <c r="AU2" s="58"/>
      <c r="AV2" s="58"/>
      <c r="CB2" s="58"/>
      <c r="CF2" s="58"/>
      <c r="CG2" s="58"/>
      <c r="CT2" s="58"/>
      <c r="DG2" s="58"/>
      <c r="DT2" s="58"/>
      <c r="DU2" s="58"/>
      <c r="DV2" s="58"/>
      <c r="DW2" s="58"/>
      <c r="DX2" s="58"/>
      <c r="EP2" s="58"/>
      <c r="EV2" s="58"/>
      <c r="FR2" s="58"/>
      <c r="FT2" s="58"/>
    </row>
    <row r="3" spans="1:176" s="35" customFormat="1" ht="17.25">
      <c r="D3" s="58"/>
      <c r="F3" s="58"/>
      <c r="G3" s="58"/>
      <c r="H3" s="58"/>
      <c r="I3" s="58"/>
      <c r="J3" s="58"/>
      <c r="K3" s="58"/>
      <c r="L3" s="58"/>
      <c r="M3" s="58"/>
      <c r="N3" s="58"/>
      <c r="O3" s="58"/>
      <c r="P3" s="58"/>
      <c r="Q3" s="58"/>
      <c r="R3" s="58"/>
      <c r="S3" s="58"/>
      <c r="T3" s="58"/>
      <c r="U3" s="58"/>
      <c r="V3" s="58"/>
      <c r="W3" s="58"/>
      <c r="X3" s="58"/>
      <c r="AA3" s="156"/>
      <c r="AB3" s="156"/>
      <c r="AC3" s="156"/>
      <c r="AQ3" s="58"/>
      <c r="AR3" s="58"/>
      <c r="AS3" s="58"/>
      <c r="AT3" s="58"/>
      <c r="AU3" s="58"/>
      <c r="AV3" s="58"/>
      <c r="CB3" s="58"/>
      <c r="CF3" s="58"/>
      <c r="CG3" s="58"/>
      <c r="CT3" s="58"/>
      <c r="DG3" s="58"/>
      <c r="DT3" s="58"/>
      <c r="DU3" s="58"/>
      <c r="DV3" s="58"/>
      <c r="DW3" s="58"/>
      <c r="DX3" s="58"/>
      <c r="EP3" s="58"/>
      <c r="EV3" s="58"/>
      <c r="FR3" s="58"/>
      <c r="FT3" s="58"/>
    </row>
    <row r="4" spans="1:176" s="35" customFormat="1">
      <c r="D4" s="58"/>
      <c r="F4" s="58"/>
      <c r="G4" s="58"/>
      <c r="H4" s="58"/>
      <c r="I4" s="58"/>
      <c r="J4" s="58"/>
      <c r="K4" s="58"/>
      <c r="L4" s="58"/>
      <c r="M4" s="58"/>
      <c r="N4" s="58"/>
      <c r="O4" s="58"/>
      <c r="P4" s="58"/>
      <c r="Q4" s="58"/>
      <c r="R4" s="58"/>
      <c r="S4" s="58"/>
      <c r="T4" s="58"/>
      <c r="U4" s="58"/>
      <c r="V4" s="58"/>
      <c r="W4" s="58"/>
      <c r="X4" s="58"/>
      <c r="AA4" s="157"/>
      <c r="AB4" s="157"/>
      <c r="AC4" s="157"/>
      <c r="AQ4" s="58"/>
      <c r="AR4" s="58"/>
      <c r="AS4" s="58"/>
      <c r="AT4" s="58"/>
      <c r="AU4" s="58"/>
      <c r="AV4" s="58"/>
      <c r="CB4" s="58"/>
      <c r="CF4" s="58"/>
      <c r="CG4" s="58"/>
      <c r="CT4" s="58"/>
      <c r="DG4" s="58"/>
      <c r="DT4" s="58"/>
      <c r="DU4" s="58"/>
      <c r="DV4" s="58"/>
      <c r="DW4" s="58"/>
      <c r="DX4" s="58"/>
      <c r="EP4" s="58"/>
      <c r="EV4" s="58"/>
      <c r="FR4" s="58"/>
      <c r="FT4" s="58"/>
    </row>
    <row r="6" spans="1:176" ht="18.75">
      <c r="B6" s="1146" t="s">
        <v>1258</v>
      </c>
      <c r="C6" s="1146"/>
      <c r="D6" s="1146"/>
      <c r="E6" s="1146" t="s">
        <v>1259</v>
      </c>
      <c r="F6" s="1146"/>
      <c r="G6" s="1169" t="s">
        <v>1260</v>
      </c>
      <c r="H6" s="1146" t="s">
        <v>1261</v>
      </c>
      <c r="I6" s="1146" t="s">
        <v>1262</v>
      </c>
      <c r="J6" s="1169" t="s">
        <v>1260</v>
      </c>
      <c r="K6" s="1146" t="s">
        <v>1261</v>
      </c>
    </row>
    <row r="7" spans="1:176" ht="18.75" customHeight="1">
      <c r="B7" t="s">
        <v>754</v>
      </c>
      <c r="E7" s="117">
        <f>G7/$G$21</f>
        <v>0.43734910701806534</v>
      </c>
      <c r="G7" s="1415">
        <f>GA!G499</f>
        <v>2500000</v>
      </c>
      <c r="H7" s="1190">
        <f>G7/AO!$Y$22</f>
        <v>8.3333333333333339</v>
      </c>
      <c r="I7" t="str">
        <f>GA!E10</f>
        <v>Purchase Price (EUR)</v>
      </c>
      <c r="J7" s="1156">
        <f>PP</f>
        <v>5000000</v>
      </c>
      <c r="K7" s="1190">
        <f>J7/AO!$Y$22</f>
        <v>16.666666666666668</v>
      </c>
    </row>
    <row r="8" spans="1:176" ht="18.75" customHeight="1">
      <c r="B8" t="s">
        <v>755</v>
      </c>
      <c r="E8" s="117">
        <f t="shared" ref="E8:E9" si="0">G8/$G$21</f>
        <v>0</v>
      </c>
      <c r="G8" s="1415">
        <f>DCF!X341</f>
        <v>0</v>
      </c>
      <c r="H8" s="1190">
        <f>G8/AO!$Y$22</f>
        <v>0</v>
      </c>
      <c r="I8" t="str">
        <f>GA!E23</f>
        <v>Notary</v>
      </c>
      <c r="J8" s="1156">
        <f>SUM(GA!G23:H23)</f>
        <v>125000</v>
      </c>
      <c r="K8" s="1190">
        <f>J8/AO!$Y$22</f>
        <v>0.41666666666666669</v>
      </c>
      <c r="M8" s="1156"/>
    </row>
    <row r="9" spans="1:176" ht="18.75" customHeight="1">
      <c r="B9" t="s">
        <v>1265</v>
      </c>
      <c r="E9" s="117">
        <f t="shared" si="0"/>
        <v>0.56265089298193471</v>
      </c>
      <c r="G9" s="1415">
        <f>DCF!X339</f>
        <v>3216257.241372929</v>
      </c>
      <c r="H9" s="1190">
        <f>G9/AO!$Y$22</f>
        <v>10.720857471243097</v>
      </c>
      <c r="I9" t="str">
        <f>GA!E17</f>
        <v>Legal DD incl. SPA</v>
      </c>
      <c r="J9" s="1156">
        <f>SUM(GA!G17:H17)</f>
        <v>150000</v>
      </c>
      <c r="K9" s="1190">
        <f>J9/AO!$Y$22</f>
        <v>0.5</v>
      </c>
    </row>
    <row r="10" spans="1:176" ht="18.75" customHeight="1">
      <c r="E10" s="117"/>
      <c r="G10" s="227"/>
      <c r="I10" t="s">
        <v>1302</v>
      </c>
      <c r="J10" s="1156">
        <f>SUM(GA!G18:H18)</f>
        <v>30000</v>
      </c>
      <c r="K10" s="1190">
        <f>J10/AO!$Y$22</f>
        <v>0.1</v>
      </c>
    </row>
    <row r="11" spans="1:176" ht="18.75" customHeight="1">
      <c r="I11" t="str">
        <f>GA!E19</f>
        <v>Technical DD</v>
      </c>
      <c r="J11" s="1156">
        <f>SUM(GA!G19:H19)</f>
        <v>15000</v>
      </c>
      <c r="K11" s="1190">
        <f>J11/AO!$Y$22</f>
        <v>0.05</v>
      </c>
    </row>
    <row r="12" spans="1:176" ht="18.75" customHeight="1">
      <c r="I12" t="str">
        <f>GA!E20</f>
        <v>Structure Set up</v>
      </c>
      <c r="J12" s="1156">
        <f>SUM(GA!G20:H20)</f>
        <v>30000</v>
      </c>
      <c r="K12" s="1190">
        <f>J12/AO!$Y$22</f>
        <v>0.1</v>
      </c>
    </row>
    <row r="13" spans="1:176" ht="18.75" customHeight="1">
      <c r="I13" t="s">
        <v>1263</v>
      </c>
      <c r="J13" s="1156">
        <f>GA!G505*GA!G499*GA!G494+GA!G671*GA!G649*GA!G648</f>
        <v>18750</v>
      </c>
      <c r="K13" s="1190">
        <f>J13/AO!$Y$22</f>
        <v>6.25E-2</v>
      </c>
    </row>
    <row r="14" spans="1:176" ht="18.75" customHeight="1">
      <c r="I14" t="s">
        <v>1365</v>
      </c>
      <c r="J14" s="1156">
        <f>GA!G506*GA!G494+GA!G672*GA!G648</f>
        <v>47000</v>
      </c>
      <c r="K14" s="1190">
        <f>J14/AO!$Y$22</f>
        <v>0.15666666666666668</v>
      </c>
    </row>
    <row r="15" spans="1:176" ht="18.75" customHeight="1">
      <c r="I15" t="s">
        <v>1264</v>
      </c>
      <c r="J15" s="1156">
        <f>SUM(GA!G15:H15)*PP</f>
        <v>20000</v>
      </c>
      <c r="K15" s="1190">
        <f>J15/AO!$Y$22</f>
        <v>6.6666666666666666E-2</v>
      </c>
    </row>
    <row r="16" spans="1:176" ht="18.75" customHeight="1">
      <c r="I16" t="s">
        <v>1236</v>
      </c>
      <c r="J16" s="1156">
        <f>SUM(GA!G16:H16)*PP</f>
        <v>0</v>
      </c>
      <c r="K16" s="1190">
        <f>J16/AO!$Y$22</f>
        <v>0</v>
      </c>
    </row>
    <row r="17" spans="2:11" ht="18.75" customHeight="1">
      <c r="I17" t="s">
        <v>1240</v>
      </c>
      <c r="J17" s="1156">
        <f>SUM(GA!G21:H21)</f>
        <v>10500</v>
      </c>
      <c r="K17" s="1190">
        <f>J17/AO!$Y$22</f>
        <v>3.5000000000000003E-2</v>
      </c>
    </row>
    <row r="18" spans="2:11" ht="18.75" customHeight="1">
      <c r="I18" t="str">
        <f>GA!E22</f>
        <v>Contingency</v>
      </c>
      <c r="J18" s="1156">
        <f>SUM(GA!G22:H22)</f>
        <v>23550</v>
      </c>
      <c r="K18" s="1190">
        <f>J18/AO!$Y$22</f>
        <v>7.85E-2</v>
      </c>
    </row>
    <row r="19" spans="2:11" ht="18.75" customHeight="1">
      <c r="I19" t="str">
        <f>GA!D293</f>
        <v>Real Estate Transfer Tax (RETT)</v>
      </c>
      <c r="J19" s="1156">
        <f>CC!H27</f>
        <v>250000</v>
      </c>
      <c r="K19" s="1190">
        <f>J19/AO!$Y$22</f>
        <v>0.83333333333333337</v>
      </c>
    </row>
    <row r="20" spans="2:11" ht="18.75" customHeight="1" thickBot="1">
      <c r="I20" t="s">
        <v>756</v>
      </c>
      <c r="J20" s="1156">
        <f>IF(DCF!P235&lt;&gt;0,DCF!P235,DCF!O235)*DCF!O234+IF(DCF!P299&lt;&gt;0,DCF!P299,DCF!O299)*DCF!O298+IF(DCF!P165&lt;&gt;0,DCF!P165,DCF!O165)*DCF!O164</f>
        <v>811819.03207949619</v>
      </c>
      <c r="K20" s="1190">
        <f>J20/AO!$Y$22</f>
        <v>2.7060634402649875</v>
      </c>
    </row>
    <row r="21" spans="2:11" ht="15.75" thickBot="1">
      <c r="B21" s="1191" t="s">
        <v>442</v>
      </c>
      <c r="C21" s="1191"/>
      <c r="D21" s="1191"/>
      <c r="E21" s="1191"/>
      <c r="F21" s="1191"/>
      <c r="G21" s="1192">
        <f>SUM(G7:G19)</f>
        <v>5716257.241372929</v>
      </c>
      <c r="H21" s="1194">
        <f>G21/AO!$Y$22</f>
        <v>19.054190804576429</v>
      </c>
      <c r="I21" s="1191"/>
      <c r="J21" s="1193">
        <f>SUM(J7:J20)</f>
        <v>6531619.0320794964</v>
      </c>
      <c r="K21" s="1194">
        <f>J21/AO!$Y$22</f>
        <v>21.772063440264986</v>
      </c>
    </row>
    <row r="23" spans="2:11">
      <c r="J23" s="155"/>
    </row>
  </sheetData>
  <pageMargins left="0.7" right="0.7" top="0.75" bottom="0.75" header="0.3" footer="0.3"/>
  <pageSetup paperSize="9" scale="62"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53CB5-82A7-4FD2-B492-F0A7BED76285}">
  <sheetPr codeName="Sheet30">
    <tabColor rgb="FF7030A0"/>
  </sheetPr>
  <dimension ref="A1:FI29"/>
  <sheetViews>
    <sheetView workbookViewId="0"/>
  </sheetViews>
  <sheetFormatPr baseColWidth="10" defaultColWidth="8.7109375" defaultRowHeight="15"/>
  <cols>
    <col min="1" max="1" width="3" customWidth="1"/>
    <col min="5" max="5" width="9.7109375" bestFit="1" customWidth="1"/>
    <col min="6" max="6" width="9.42578125" bestFit="1" customWidth="1"/>
    <col min="8" max="8" width="13.42578125" bestFit="1" customWidth="1"/>
    <col min="9" max="9" width="10.5703125" bestFit="1" customWidth="1"/>
    <col min="10" max="10" width="6" customWidth="1"/>
    <col min="11" max="11" width="6.5703125" customWidth="1"/>
    <col min="12" max="12" width="36.7109375" customWidth="1"/>
    <col min="13" max="13" width="3.42578125" customWidth="1"/>
    <col min="16" max="16" width="64" customWidth="1"/>
  </cols>
  <sheetData>
    <row r="1" spans="1:165" s="35" customFormat="1">
      <c r="A1" s="1" t="str">
        <f ca="1">UPPER(MID(CELL("filename",A1),FIND("[",CELL("filename",A1))+1,FIND("]",CELL("filename",A1))-FIND("[",CELL("filename",A1))-5))</f>
        <v>VORLAGE.</v>
      </c>
      <c r="B1" s="1"/>
      <c r="D1" s="58"/>
      <c r="F1" s="58"/>
      <c r="G1" s="58"/>
      <c r="H1" s="58"/>
      <c r="I1" s="58"/>
      <c r="J1" s="58"/>
      <c r="K1" s="58"/>
      <c r="L1" s="58"/>
      <c r="M1" s="58"/>
      <c r="AF1" s="58"/>
      <c r="AG1" s="58"/>
      <c r="AH1" s="58"/>
      <c r="AI1" s="58"/>
      <c r="AJ1" s="58"/>
      <c r="AK1" s="58"/>
      <c r="BQ1" s="58"/>
      <c r="BU1" s="58"/>
      <c r="BV1" s="58"/>
      <c r="CI1" s="58"/>
      <c r="CV1" s="58"/>
      <c r="DI1" s="58"/>
      <c r="DJ1" s="58"/>
      <c r="DK1" s="58"/>
      <c r="DL1" s="58"/>
      <c r="DM1" s="58"/>
      <c r="EE1" s="58"/>
      <c r="EK1" s="58"/>
      <c r="FG1" s="58"/>
      <c r="FI1" s="58"/>
    </row>
    <row r="2" spans="1:165" s="35" customFormat="1">
      <c r="A2" s="1" t="s">
        <v>1284</v>
      </c>
      <c r="B2" s="1"/>
      <c r="D2" s="58"/>
      <c r="F2" s="58"/>
      <c r="G2" s="58"/>
      <c r="H2" s="58"/>
      <c r="I2" s="58"/>
      <c r="J2" s="58"/>
      <c r="K2" s="58"/>
      <c r="L2" s="58"/>
      <c r="M2" s="58"/>
      <c r="AF2" s="58"/>
      <c r="AG2" s="58"/>
      <c r="AH2" s="58"/>
      <c r="AI2" s="58"/>
      <c r="AJ2" s="58"/>
      <c r="AK2" s="58"/>
      <c r="BQ2" s="58"/>
      <c r="BU2" s="58"/>
      <c r="BV2" s="58"/>
      <c r="CI2" s="58"/>
      <c r="CV2" s="58"/>
      <c r="DI2" s="58"/>
      <c r="DJ2" s="58"/>
      <c r="DK2" s="58"/>
      <c r="DL2" s="58"/>
      <c r="DM2" s="58"/>
      <c r="EE2" s="58"/>
      <c r="EK2" s="58"/>
      <c r="FG2" s="58"/>
      <c r="FI2" s="58"/>
    </row>
    <row r="3" spans="1:165" s="35" customFormat="1" ht="17.25">
      <c r="D3" s="58"/>
      <c r="F3" s="58"/>
      <c r="G3" s="58"/>
      <c r="H3" s="58"/>
      <c r="I3" s="58"/>
      <c r="J3" s="58"/>
      <c r="K3" s="58"/>
      <c r="L3" s="58"/>
      <c r="M3" s="58"/>
      <c r="P3" s="156"/>
      <c r="Q3" s="156"/>
      <c r="R3" s="156"/>
      <c r="AF3" s="58"/>
      <c r="AG3" s="58"/>
      <c r="AH3" s="58"/>
      <c r="AI3" s="58"/>
      <c r="AJ3" s="58"/>
      <c r="AK3" s="58"/>
      <c r="BQ3" s="58"/>
      <c r="BU3" s="58"/>
      <c r="BV3" s="58"/>
      <c r="CI3" s="58"/>
      <c r="CV3" s="58"/>
      <c r="DI3" s="58"/>
      <c r="DJ3" s="58"/>
      <c r="DK3" s="58"/>
      <c r="DL3" s="58"/>
      <c r="DM3" s="58"/>
      <c r="EE3" s="58"/>
      <c r="EK3" s="58"/>
      <c r="FG3" s="58"/>
      <c r="FI3" s="58"/>
    </row>
    <row r="4" spans="1:165" s="35" customFormat="1" ht="15.75" thickBot="1">
      <c r="D4" s="58"/>
      <c r="F4" s="58"/>
      <c r="G4" s="58"/>
      <c r="H4" s="58"/>
      <c r="I4" s="58"/>
      <c r="J4" s="58"/>
      <c r="K4" s="58"/>
      <c r="L4" s="58"/>
      <c r="M4" s="58"/>
      <c r="P4" s="157"/>
      <c r="Q4" s="157"/>
      <c r="R4" s="157"/>
      <c r="AF4" s="58"/>
      <c r="AG4" s="58"/>
      <c r="AH4" s="58"/>
      <c r="AI4" s="58"/>
      <c r="AJ4" s="58"/>
      <c r="AK4" s="58"/>
      <c r="BQ4" s="58"/>
      <c r="BU4" s="58"/>
      <c r="BV4" s="58"/>
      <c r="CI4" s="58"/>
      <c r="CV4" s="58"/>
      <c r="DI4" s="58"/>
      <c r="DJ4" s="58"/>
      <c r="DK4" s="58"/>
      <c r="DL4" s="58"/>
      <c r="DM4" s="58"/>
      <c r="EE4" s="58"/>
      <c r="EK4" s="58"/>
      <c r="FG4" s="58"/>
      <c r="FI4" s="58"/>
    </row>
    <row r="5" spans="1:165">
      <c r="O5" s="1129"/>
      <c r="P5" s="1189" t="s">
        <v>1283</v>
      </c>
      <c r="Q5" s="1182"/>
    </row>
    <row r="6" spans="1:165">
      <c r="O6" s="1185"/>
      <c r="P6" s="39" t="s">
        <v>1288</v>
      </c>
      <c r="Q6" s="1203"/>
    </row>
    <row r="7" spans="1:165">
      <c r="B7" s="1" t="s">
        <v>1267</v>
      </c>
      <c r="C7" s="1"/>
      <c r="D7" s="1"/>
      <c r="E7" s="1"/>
      <c r="F7" s="1" t="s">
        <v>1266</v>
      </c>
      <c r="G7" s="1"/>
      <c r="H7" s="1" t="str">
        <f>RR!E7</f>
        <v>TEST</v>
      </c>
      <c r="I7" s="1" t="s">
        <v>1287</v>
      </c>
      <c r="J7" s="1"/>
      <c r="K7" s="1" t="s">
        <v>39</v>
      </c>
      <c r="L7" s="1" t="s">
        <v>562</v>
      </c>
      <c r="O7" s="1185"/>
      <c r="Q7" s="1203"/>
    </row>
    <row r="8" spans="1:165" ht="15" customHeight="1">
      <c r="B8" t="s">
        <v>746</v>
      </c>
      <c r="F8" s="319">
        <v>0.23</v>
      </c>
      <c r="H8" s="319">
        <f>DCF!Y324</f>
        <v>2.9802322387695314E-9</v>
      </c>
      <c r="I8" s="319">
        <f>H8-F8</f>
        <v>-0.22999999701976778</v>
      </c>
      <c r="K8" s="1198" t="str">
        <f>IF(H8&gt;=F8,CHAR(252),CHAR(251))</f>
        <v>û</v>
      </c>
      <c r="L8" s="1199">
        <f>P8</f>
        <v>0</v>
      </c>
      <c r="O8" s="1185"/>
      <c r="P8" s="1202"/>
      <c r="Q8" s="1203"/>
    </row>
    <row r="9" spans="1:165" ht="15" customHeight="1">
      <c r="B9" s="418" t="s">
        <v>1268</v>
      </c>
      <c r="C9" s="418"/>
      <c r="D9" s="418"/>
      <c r="E9" s="418"/>
      <c r="F9" s="1196">
        <v>9.5000000000000001E-2</v>
      </c>
      <c r="G9" s="418"/>
      <c r="H9" s="1196">
        <f>(AO!AI22-GA!G125-GA!G499*(AVERAGE(GA!M526:M529)+AVERAGE(GA!H526:H529))+SUM(DCF!T132:W132)-GA!G126*AO!AZ22)/-SUM(DCF!R231:S231)</f>
        <v>6.8035788720922002E-2</v>
      </c>
      <c r="I9" s="1196">
        <f>H9-F9</f>
        <v>-2.6964211279077999E-2</v>
      </c>
      <c r="J9" s="418"/>
      <c r="K9" s="1197" t="str">
        <f>IF(H9&gt;=F9,CHAR(252),CHAR(251))</f>
        <v>û</v>
      </c>
      <c r="L9" s="1200">
        <f t="shared" ref="L9:L10" si="0">P9</f>
        <v>0</v>
      </c>
      <c r="O9" s="1185"/>
      <c r="P9" s="1202"/>
      <c r="Q9" s="1203"/>
    </row>
    <row r="10" spans="1:165" ht="15" customHeight="1">
      <c r="B10" t="s">
        <v>1285</v>
      </c>
      <c r="F10" s="1195">
        <v>1.79</v>
      </c>
      <c r="H10" s="1195">
        <f>DCF!Y323</f>
        <v>0.50186743331641059</v>
      </c>
      <c r="I10" s="1195">
        <f>H10-F10</f>
        <v>-1.2881325666835894</v>
      </c>
      <c r="K10" s="1198" t="str">
        <f>IF(H10&gt;=F10,CHAR(252),CHAR(251))</f>
        <v>û</v>
      </c>
      <c r="L10" s="1199">
        <f t="shared" si="0"/>
        <v>0</v>
      </c>
      <c r="O10" s="1185"/>
      <c r="P10" s="1202"/>
      <c r="Q10" s="1203"/>
    </row>
    <row r="11" spans="1:165">
      <c r="L11" s="1199"/>
      <c r="O11" s="1185"/>
      <c r="P11" s="341"/>
      <c r="Q11" s="1203"/>
    </row>
    <row r="12" spans="1:165">
      <c r="B12" s="1"/>
      <c r="C12" s="1"/>
      <c r="D12" s="1"/>
      <c r="E12" s="1" t="s">
        <v>1266</v>
      </c>
      <c r="F12" s="1"/>
      <c r="G12" s="1"/>
      <c r="H12" s="1" t="str">
        <f>RR!E7</f>
        <v>TEST</v>
      </c>
      <c r="I12" s="1"/>
      <c r="J12" s="1"/>
      <c r="K12" s="1" t="s">
        <v>39</v>
      </c>
      <c r="L12" s="1201" t="s">
        <v>562</v>
      </c>
      <c r="O12" s="1185"/>
      <c r="P12" s="341"/>
      <c r="Q12" s="1203"/>
    </row>
    <row r="13" spans="1:165">
      <c r="K13" s="49"/>
      <c r="L13" s="1199"/>
      <c r="O13" s="1185"/>
      <c r="P13" s="341"/>
      <c r="Q13" s="1203"/>
    </row>
    <row r="14" spans="1:165" ht="15" customHeight="1">
      <c r="B14" s="1508" t="s">
        <v>1458</v>
      </c>
      <c r="C14" s="1508"/>
      <c r="D14" s="1508"/>
      <c r="E14" s="1509">
        <v>0.5</v>
      </c>
      <c r="F14" s="1510"/>
      <c r="G14" s="1508"/>
      <c r="H14" s="1509">
        <f>PD!H23/SUM(PD!H23:H24)</f>
        <v>1</v>
      </c>
      <c r="I14" s="1511"/>
      <c r="J14" s="1508"/>
      <c r="K14" s="1574" t="str">
        <f>IF(H14&gt;=E14,CHAR(252),CHAR(251))</f>
        <v>ü</v>
      </c>
      <c r="L14" s="1512">
        <f>P14</f>
        <v>0</v>
      </c>
      <c r="O14" s="1185"/>
      <c r="P14" s="1202"/>
      <c r="Q14" s="1203"/>
    </row>
    <row r="15" spans="1:165" ht="15" customHeight="1">
      <c r="B15" s="95" t="s">
        <v>1459</v>
      </c>
      <c r="C15" s="95"/>
      <c r="D15" s="95"/>
      <c r="E15" s="1513" t="s">
        <v>1460</v>
      </c>
      <c r="F15" s="95"/>
      <c r="G15" s="95"/>
      <c r="H15" s="1514">
        <f>PD!C23/SUM(PD!C23:C24)</f>
        <v>0</v>
      </c>
      <c r="I15" s="95"/>
      <c r="J15" s="95"/>
      <c r="K15" s="1575"/>
      <c r="L15" s="1515">
        <f t="shared" ref="L15:L27" si="1">P15</f>
        <v>0</v>
      </c>
      <c r="O15" s="1185"/>
      <c r="P15" s="1202"/>
      <c r="Q15" s="1203"/>
    </row>
    <row r="16" spans="1:165" ht="15" customHeight="1">
      <c r="B16" s="1508" t="s">
        <v>300</v>
      </c>
      <c r="C16" s="1508"/>
      <c r="D16" s="1508"/>
      <c r="E16" s="1516" t="s">
        <v>1460</v>
      </c>
      <c r="F16" s="1508"/>
      <c r="G16" s="1508"/>
      <c r="H16" s="1511">
        <f>AO!AP22</f>
        <v>17.846575342465758</v>
      </c>
      <c r="I16" s="1510"/>
      <c r="J16" s="1508"/>
      <c r="K16" s="1574"/>
      <c r="L16" s="1512">
        <f t="shared" si="1"/>
        <v>0</v>
      </c>
      <c r="O16" s="1185"/>
      <c r="P16" s="1202"/>
      <c r="Q16" s="1203"/>
    </row>
    <row r="17" spans="2:17" ht="15" customHeight="1">
      <c r="B17" s="95" t="s">
        <v>301</v>
      </c>
      <c r="C17" s="95"/>
      <c r="D17" s="95"/>
      <c r="E17" s="1514">
        <v>0.8</v>
      </c>
      <c r="F17" s="1517"/>
      <c r="G17" s="95"/>
      <c r="H17" s="1518">
        <f>AO!U22</f>
        <v>1</v>
      </c>
      <c r="I17" s="1519"/>
      <c r="J17" s="95"/>
      <c r="K17" s="1575" t="str">
        <f>IF(H17&gt;=E17,CHAR(252),CHAR(251))</f>
        <v>ü</v>
      </c>
      <c r="L17" s="1515">
        <f t="shared" si="1"/>
        <v>0</v>
      </c>
      <c r="O17" s="1185"/>
      <c r="P17" s="1202"/>
      <c r="Q17" s="1203"/>
    </row>
    <row r="18" spans="2:17" ht="15" customHeight="1">
      <c r="B18" s="1508" t="s">
        <v>1461</v>
      </c>
      <c r="C18" s="1508"/>
      <c r="D18" s="1508"/>
      <c r="E18" s="1516" t="s">
        <v>1460</v>
      </c>
      <c r="F18" s="1508"/>
      <c r="G18" s="1508"/>
      <c r="H18" s="1520">
        <f>GA!G145</f>
        <v>7.4999999999999997E-3</v>
      </c>
      <c r="I18" s="1508"/>
      <c r="J18" s="1508"/>
      <c r="K18" s="1574"/>
      <c r="L18" s="1512">
        <f t="shared" si="1"/>
        <v>0</v>
      </c>
      <c r="O18" s="1185"/>
      <c r="P18" s="1202"/>
      <c r="Q18" s="1203"/>
    </row>
    <row r="19" spans="2:17" ht="15" customHeight="1">
      <c r="B19" s="95" t="s">
        <v>1462</v>
      </c>
      <c r="C19" s="95"/>
      <c r="D19" s="95"/>
      <c r="E19" s="1518">
        <v>0.02</v>
      </c>
      <c r="F19" s="95"/>
      <c r="G19" s="95"/>
      <c r="H19" s="1518">
        <f>SUM(GA!G24:H24)</f>
        <v>8.0809999999999993E-2</v>
      </c>
      <c r="I19" s="1517"/>
      <c r="J19" s="95"/>
      <c r="K19" s="1575" t="str">
        <f t="shared" ref="K19:K25" si="2">IF(H19&lt;=E19,CHAR(252),CHAR(251))</f>
        <v>û</v>
      </c>
      <c r="L19" s="1515">
        <f t="shared" si="1"/>
        <v>0</v>
      </c>
      <c r="O19" s="1185"/>
      <c r="P19" s="1202"/>
      <c r="Q19" s="1203"/>
    </row>
    <row r="20" spans="2:17" ht="15" customHeight="1">
      <c r="B20" s="1508" t="s">
        <v>1463</v>
      </c>
      <c r="C20" s="1508"/>
      <c r="D20" s="1508"/>
      <c r="E20" s="1521">
        <v>0.1</v>
      </c>
      <c r="F20" s="1508"/>
      <c r="G20" s="1508"/>
      <c r="H20" s="1521">
        <f>ES!E44/-ES!J9</f>
        <v>0</v>
      </c>
      <c r="I20" s="1511"/>
      <c r="J20" s="1508"/>
      <c r="K20" s="1574" t="str">
        <f t="shared" si="2"/>
        <v>ü</v>
      </c>
      <c r="L20" s="1522">
        <f t="shared" si="1"/>
        <v>0</v>
      </c>
      <c r="O20" s="1185"/>
      <c r="P20" s="1202"/>
      <c r="Q20" s="1203"/>
    </row>
    <row r="21" spans="2:17" ht="15" customHeight="1">
      <c r="B21" s="95" t="s">
        <v>573</v>
      </c>
      <c r="C21" s="95"/>
      <c r="D21" s="95"/>
      <c r="E21" s="1518">
        <v>0.65</v>
      </c>
      <c r="F21" s="1523"/>
      <c r="G21" s="95"/>
      <c r="H21" s="1518">
        <f>GA!G500</f>
        <v>0.5</v>
      </c>
      <c r="I21" s="1519"/>
      <c r="J21" s="95"/>
      <c r="K21" s="1575" t="str">
        <f t="shared" si="2"/>
        <v>ü</v>
      </c>
      <c r="L21" s="1515">
        <f t="shared" si="1"/>
        <v>0</v>
      </c>
      <c r="O21" s="1185"/>
      <c r="P21" s="1202"/>
      <c r="Q21" s="1203"/>
    </row>
    <row r="22" spans="2:17" ht="15" customHeight="1">
      <c r="B22" s="1508" t="s">
        <v>1464</v>
      </c>
      <c r="C22" s="1508"/>
      <c r="D22" s="1508"/>
      <c r="E22" s="1521">
        <v>3.5000000000000003E-2</v>
      </c>
      <c r="F22" s="1511"/>
      <c r="G22" s="1508"/>
      <c r="H22" s="1524">
        <f>GA!L526+GA!Q526</f>
        <v>3.7500000000000006E-2</v>
      </c>
      <c r="I22" s="1508"/>
      <c r="J22" s="1508"/>
      <c r="K22" s="1574" t="str">
        <f t="shared" si="2"/>
        <v>û</v>
      </c>
      <c r="L22" s="1522">
        <f t="shared" si="1"/>
        <v>0</v>
      </c>
      <c r="O22" s="1185"/>
      <c r="P22" s="1202"/>
      <c r="Q22" s="1203"/>
    </row>
    <row r="23" spans="2:17" ht="15" customHeight="1">
      <c r="B23" s="95" t="s">
        <v>1360</v>
      </c>
      <c r="C23" s="95"/>
      <c r="D23" s="95"/>
      <c r="E23" s="1525">
        <v>1.7500000000000002E-2</v>
      </c>
      <c r="F23" s="95"/>
      <c r="G23" s="95"/>
      <c r="H23" s="1525">
        <f>GA!L526</f>
        <v>1.7500000000000002E-2</v>
      </c>
      <c r="I23" s="95"/>
      <c r="J23" s="95"/>
      <c r="K23" s="1575" t="str">
        <f t="shared" si="2"/>
        <v>ü</v>
      </c>
      <c r="L23" s="1515">
        <f t="shared" si="1"/>
        <v>0</v>
      </c>
      <c r="O23" s="1185"/>
      <c r="P23" s="1202"/>
      <c r="Q23" s="1203"/>
    </row>
    <row r="24" spans="2:17" ht="15" customHeight="1">
      <c r="B24" s="1508" t="s">
        <v>1286</v>
      </c>
      <c r="C24" s="1508"/>
      <c r="D24" s="1508"/>
      <c r="E24" s="1521">
        <v>0.02</v>
      </c>
      <c r="F24" s="1508"/>
      <c r="G24" s="1508"/>
      <c r="H24" s="1521">
        <f>GA!Q526</f>
        <v>0.02</v>
      </c>
      <c r="I24" s="1508"/>
      <c r="J24" s="1508"/>
      <c r="K24" s="1574" t="str">
        <f t="shared" si="2"/>
        <v>ü</v>
      </c>
      <c r="L24" s="1512">
        <f t="shared" si="1"/>
        <v>0</v>
      </c>
      <c r="O24" s="1185"/>
      <c r="P24" s="1202"/>
      <c r="Q24" s="1203"/>
    </row>
    <row r="25" spans="2:17" ht="15" customHeight="1">
      <c r="B25" s="95" t="s">
        <v>1221</v>
      </c>
      <c r="C25" s="95"/>
      <c r="D25" s="95"/>
      <c r="E25" s="1518">
        <v>0.01</v>
      </c>
      <c r="F25" s="95"/>
      <c r="G25" s="95"/>
      <c r="H25" s="1518">
        <f>GA!G505</f>
        <v>7.4999999999999997E-3</v>
      </c>
      <c r="I25" s="95"/>
      <c r="J25" s="95"/>
      <c r="K25" s="1575" t="str">
        <f t="shared" si="2"/>
        <v>ü</v>
      </c>
      <c r="L25" s="1515">
        <f t="shared" si="1"/>
        <v>0</v>
      </c>
      <c r="O25" s="1185"/>
      <c r="P25" s="1202"/>
      <c r="Q25" s="1203"/>
    </row>
    <row r="26" spans="2:17" ht="15" customHeight="1">
      <c r="B26" s="1508" t="s">
        <v>1465</v>
      </c>
      <c r="C26" s="1508"/>
      <c r="D26" s="1508"/>
      <c r="E26" s="1521">
        <v>5.1999999999999998E-2</v>
      </c>
      <c r="F26" s="1508"/>
      <c r="G26" s="1508"/>
      <c r="H26" s="1521">
        <f>ES!L15</f>
        <v>5.4859999999999999E-2</v>
      </c>
      <c r="I26" s="1508"/>
      <c r="J26" s="1508"/>
      <c r="K26" s="1574" t="str">
        <f t="shared" ref="K26:K27" si="3">IF(H26&gt;=E26,CHAR(252),CHAR(251))</f>
        <v>ü</v>
      </c>
      <c r="L26" s="1512">
        <f t="shared" si="1"/>
        <v>0</v>
      </c>
      <c r="O26" s="1185"/>
      <c r="P26" s="1202"/>
      <c r="Q26" s="1203"/>
    </row>
    <row r="27" spans="2:17" ht="15" customHeight="1">
      <c r="B27" s="95" t="s">
        <v>1466</v>
      </c>
      <c r="C27" s="95"/>
      <c r="D27" s="95"/>
      <c r="E27" s="1518">
        <v>0.1</v>
      </c>
      <c r="F27" s="95"/>
      <c r="G27" s="95"/>
      <c r="H27" s="1518">
        <f>PCA!I22</f>
        <v>-0.43471778710487985</v>
      </c>
      <c r="I27" s="95"/>
      <c r="J27" s="95"/>
      <c r="K27" s="1575" t="str">
        <f t="shared" si="3"/>
        <v>û</v>
      </c>
      <c r="L27" s="1515">
        <f t="shared" si="1"/>
        <v>0</v>
      </c>
      <c r="O27" s="1185"/>
      <c r="P27" s="1202"/>
      <c r="Q27" s="1203"/>
    </row>
    <row r="28" spans="2:17" ht="15" customHeight="1">
      <c r="B28" s="1508" t="s">
        <v>1497</v>
      </c>
      <c r="C28" s="1508"/>
      <c r="D28" s="1508"/>
      <c r="E28" s="1541">
        <v>1.75</v>
      </c>
      <c r="F28" s="1508"/>
      <c r="G28" s="1508"/>
      <c r="H28" s="1541">
        <f>IM!P16</f>
        <v>0</v>
      </c>
      <c r="I28" s="1508"/>
      <c r="J28" s="1508"/>
      <c r="K28" s="1574" t="str">
        <f t="shared" ref="K28" si="4">IF(H28&gt;=E28,CHAR(252),CHAR(251))</f>
        <v>û</v>
      </c>
      <c r="L28" s="1512">
        <f>P28</f>
        <v>0</v>
      </c>
      <c r="O28" s="1185"/>
      <c r="P28" s="1202"/>
      <c r="Q28" s="1203"/>
    </row>
    <row r="29" spans="2:17" ht="15.75" thickBot="1">
      <c r="O29" s="1131"/>
      <c r="P29" s="1160"/>
      <c r="Q29" s="1188"/>
    </row>
  </sheetData>
  <conditionalFormatting sqref="K8:K10">
    <cfRule type="cellIs" dxfId="31" priority="9" operator="equal">
      <formula>"ü"</formula>
    </cfRule>
    <cfRule type="cellIs" dxfId="30" priority="10" operator="equal">
      <formula>"û"</formula>
    </cfRule>
  </conditionalFormatting>
  <conditionalFormatting sqref="K14:K25">
    <cfRule type="cellIs" dxfId="29" priority="7" operator="equal">
      <formula>"ü"</formula>
    </cfRule>
    <cfRule type="cellIs" dxfId="28" priority="8" operator="equal">
      <formula>"û"</formula>
    </cfRule>
  </conditionalFormatting>
  <conditionalFormatting sqref="K26">
    <cfRule type="cellIs" dxfId="27" priority="3" operator="equal">
      <formula>"ü"</formula>
    </cfRule>
    <cfRule type="cellIs" dxfId="26" priority="4" operator="equal">
      <formula>"û"</formula>
    </cfRule>
  </conditionalFormatting>
  <conditionalFormatting sqref="K27">
    <cfRule type="cellIs" dxfId="25" priority="5" operator="equal">
      <formula>"ü"</formula>
    </cfRule>
    <cfRule type="cellIs" dxfId="24" priority="6" operator="equal">
      <formula>"û"</formula>
    </cfRule>
  </conditionalFormatting>
  <conditionalFormatting sqref="K28">
    <cfRule type="cellIs" dxfId="23" priority="1" operator="equal">
      <formula>"ü"</formula>
    </cfRule>
    <cfRule type="cellIs" dxfId="22" priority="2" operator="equal">
      <formula>"û"</formula>
    </cfRule>
  </conditionalFormatting>
  <pageMargins left="0.7" right="0.7" top="0.75" bottom="0.75" header="0.3" footer="0.3"/>
  <pageSetup paperSize="9" scale="66" orientation="landscape" r:id="rId1"/>
  <ignoredErrors>
    <ignoredError xmlns:x16r3="http://schemas.microsoft.com/office/spreadsheetml/2018/08/main" sqref="L14:L28 L8:L10" x16r3:misleadingFormat="1"/>
    <ignoredError sqref="H8 I8:I10 K8:K10 H10 H18 K14:K20 K22:K27" evalError="1"/>
    <ignoredError sqref="H9" evalError="1"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25806-1E2E-4D89-B219-8E45E832B8E6}">
  <sheetPr codeName="Sheet26">
    <tabColor rgb="FF7030A0"/>
  </sheetPr>
  <dimension ref="A1:Z34"/>
  <sheetViews>
    <sheetView workbookViewId="0"/>
  </sheetViews>
  <sheetFormatPr baseColWidth="10" defaultColWidth="8.7109375" defaultRowHeight="15"/>
  <cols>
    <col min="4" max="4" width="20.5703125" customWidth="1"/>
    <col min="5" max="5" width="18.42578125" bestFit="1" customWidth="1"/>
    <col min="6" max="6" width="2.7109375" customWidth="1"/>
    <col min="7" max="7" width="16.28515625" bestFit="1" customWidth="1"/>
    <col min="8" max="8" width="2.7109375" customWidth="1"/>
    <col min="9" max="9" width="15.42578125" bestFit="1" customWidth="1"/>
    <col min="10" max="10" width="2.7109375" customWidth="1"/>
    <col min="11" max="11" width="15.42578125" bestFit="1" customWidth="1"/>
    <col min="12" max="12" width="2.7109375" customWidth="1"/>
    <col min="13" max="13" width="8.7109375" style="341"/>
    <col min="14" max="14" width="9.5703125" bestFit="1" customWidth="1"/>
    <col min="15" max="15" width="37" customWidth="1"/>
    <col min="21" max="21" width="65.42578125" customWidth="1"/>
  </cols>
  <sheetData>
    <row r="1" spans="1:26">
      <c r="A1" s="1" t="str">
        <f ca="1">UPPER(MID(CELL("filename",A1),FIND("[",CELL("filename",A1))+1,FIND("]",CELL("filename",A1))-FIND("[",CELL("filename",A1))-5))</f>
        <v>VORLAGE.</v>
      </c>
      <c r="B1" s="1"/>
      <c r="C1" s="35"/>
      <c r="D1" s="58"/>
      <c r="E1" s="35"/>
      <c r="F1" s="58"/>
      <c r="G1" s="58"/>
      <c r="H1" s="58"/>
      <c r="I1" s="58"/>
      <c r="J1" s="58"/>
      <c r="K1" s="58"/>
      <c r="L1" s="58"/>
      <c r="M1" s="1675"/>
      <c r="N1" s="58"/>
      <c r="O1" s="58"/>
      <c r="P1" s="58"/>
      <c r="Q1" s="35"/>
      <c r="R1" s="35"/>
      <c r="S1" s="35"/>
      <c r="T1" s="35"/>
      <c r="U1" s="35"/>
      <c r="V1" s="35"/>
      <c r="W1" s="35"/>
      <c r="X1" s="35"/>
      <c r="Y1" s="35"/>
      <c r="Z1" s="35"/>
    </row>
    <row r="2" spans="1:26">
      <c r="A2" s="1" t="s">
        <v>1284</v>
      </c>
      <c r="B2" s="1"/>
      <c r="C2" s="35"/>
      <c r="D2" s="58"/>
      <c r="E2" s="35"/>
      <c r="F2" s="58"/>
      <c r="G2" s="58"/>
      <c r="H2" s="58"/>
      <c r="I2" s="58"/>
      <c r="J2" s="58"/>
      <c r="K2" s="58"/>
      <c r="L2" s="58"/>
      <c r="M2" s="1675"/>
      <c r="N2" s="58"/>
      <c r="O2" s="58"/>
      <c r="P2" s="58"/>
      <c r="Q2" s="35"/>
      <c r="R2" s="35"/>
      <c r="S2" s="35"/>
      <c r="T2" s="35"/>
      <c r="U2" s="35"/>
      <c r="V2" s="35"/>
      <c r="W2" s="35"/>
      <c r="X2" s="35"/>
      <c r="Y2" s="35"/>
      <c r="Z2" s="35"/>
    </row>
    <row r="3" spans="1:26" ht="17.25">
      <c r="A3" s="35"/>
      <c r="B3" s="35"/>
      <c r="C3" s="35"/>
      <c r="D3" s="58"/>
      <c r="E3" s="35"/>
      <c r="F3" s="58"/>
      <c r="G3" s="58"/>
      <c r="H3" s="58"/>
      <c r="I3" s="58"/>
      <c r="J3" s="58"/>
      <c r="K3" s="58"/>
      <c r="L3" s="58"/>
      <c r="M3" s="1675"/>
      <c r="N3" s="58"/>
      <c r="O3" s="58"/>
      <c r="P3" s="58"/>
      <c r="Q3" s="35"/>
      <c r="R3" s="35"/>
      <c r="S3" s="35"/>
      <c r="T3" s="35"/>
      <c r="U3" s="156"/>
      <c r="V3" s="156"/>
      <c r="W3" s="156"/>
      <c r="X3" s="35"/>
      <c r="Y3" s="35"/>
      <c r="Z3" s="35"/>
    </row>
    <row r="4" spans="1:26" ht="15.75" thickBot="1">
      <c r="A4" s="35"/>
      <c r="B4" s="35"/>
      <c r="C4" s="35"/>
      <c r="D4" s="58"/>
      <c r="E4" s="35"/>
      <c r="F4" s="58"/>
      <c r="G4" s="58"/>
      <c r="H4" s="58"/>
      <c r="I4" s="58"/>
      <c r="J4" s="58"/>
      <c r="K4" s="58"/>
      <c r="L4" s="58"/>
      <c r="M4" s="1675"/>
      <c r="N4" s="58"/>
      <c r="O4" s="58"/>
      <c r="P4" s="58"/>
      <c r="Q4" s="35"/>
      <c r="R4" s="35"/>
      <c r="S4" s="35"/>
      <c r="T4" s="35"/>
      <c r="U4" s="157"/>
      <c r="V4" s="157"/>
      <c r="W4" s="157"/>
      <c r="X4" s="35"/>
      <c r="Y4" s="35"/>
      <c r="Z4" s="35"/>
    </row>
    <row r="5" spans="1:26">
      <c r="R5" s="1129"/>
      <c r="S5" s="1248"/>
      <c r="T5" s="1189" t="s">
        <v>1283</v>
      </c>
      <c r="U5" s="1189"/>
      <c r="V5" s="1182"/>
    </row>
    <row r="6" spans="1:26">
      <c r="R6" s="1185"/>
      <c r="S6" s="39"/>
      <c r="T6" s="39"/>
      <c r="U6" s="39"/>
      <c r="V6" s="1203"/>
    </row>
    <row r="7" spans="1:26">
      <c r="B7" s="1"/>
      <c r="C7" s="1"/>
      <c r="D7" s="1"/>
      <c r="E7" s="1671" t="s">
        <v>1521</v>
      </c>
      <c r="F7" s="1"/>
      <c r="G7" s="1671" t="s">
        <v>1757</v>
      </c>
      <c r="H7" s="1"/>
      <c r="I7" s="1671" t="str">
        <f>RR!E7 &amp; " Portfolio"</f>
        <v>TEST Portfolio</v>
      </c>
      <c r="J7" s="1671"/>
      <c r="K7" s="1671" t="s">
        <v>1468</v>
      </c>
      <c r="L7" s="1"/>
      <c r="M7" s="389" t="s">
        <v>39</v>
      </c>
      <c r="N7" s="1" t="s">
        <v>1526</v>
      </c>
      <c r="O7" s="1201" t="s">
        <v>562</v>
      </c>
      <c r="R7" s="1185"/>
      <c r="S7" s="39" t="s">
        <v>1612</v>
      </c>
      <c r="T7" s="39" t="str">
        <f>I7</f>
        <v>TEST Portfolio</v>
      </c>
      <c r="U7" s="39" t="s">
        <v>1288</v>
      </c>
      <c r="V7" s="1203"/>
    </row>
    <row r="8" spans="1:26">
      <c r="B8" s="1580" t="s">
        <v>1534</v>
      </c>
      <c r="C8" s="1256"/>
      <c r="D8" s="1256"/>
      <c r="E8" s="1256"/>
      <c r="F8" s="1256"/>
      <c r="G8" s="1256"/>
      <c r="H8" s="1256"/>
      <c r="I8" s="1256"/>
      <c r="J8" s="1256"/>
      <c r="K8" s="1256"/>
      <c r="L8" s="1256"/>
      <c r="M8" s="1676"/>
      <c r="N8" s="1256"/>
      <c r="O8" s="1581"/>
      <c r="R8" s="1185"/>
      <c r="U8" s="341"/>
      <c r="V8" s="1203"/>
    </row>
    <row r="9" spans="1:26" ht="27">
      <c r="B9" s="95" t="s">
        <v>1458</v>
      </c>
      <c r="C9" s="95"/>
      <c r="D9" s="95"/>
      <c r="E9" s="1514">
        <v>0.7</v>
      </c>
      <c r="F9" s="1523"/>
      <c r="G9" s="1514">
        <f>S9</f>
        <v>0.7811670619253831</v>
      </c>
      <c r="H9" s="95"/>
      <c r="I9" s="1514">
        <f>T9</f>
        <v>1</v>
      </c>
      <c r="J9" s="95"/>
      <c r="K9" s="1514">
        <f>((G9*$G$32)+(I9*$I$32))/$K$32</f>
        <v>0.78178676252677182</v>
      </c>
      <c r="L9" s="1517"/>
      <c r="M9" s="1677" t="str">
        <f>IF(K9&gt;E9,CHAR(252),CHAR(251))</f>
        <v>ü</v>
      </c>
      <c r="N9" s="1518">
        <f>(I9-E9)/E9</f>
        <v>0.42857142857142866</v>
      </c>
      <c r="O9" s="1515">
        <f>U9</f>
        <v>0</v>
      </c>
      <c r="R9" s="1185"/>
      <c r="S9" s="1498">
        <v>0.7811670619253831</v>
      </c>
      <c r="T9" s="1498">
        <f>OV!C30/SUM(OV!C30:C31)</f>
        <v>1</v>
      </c>
      <c r="U9" s="1202"/>
      <c r="V9" s="1203"/>
    </row>
    <row r="10" spans="1:26" ht="27">
      <c r="B10" s="1508" t="s">
        <v>1459</v>
      </c>
      <c r="C10" s="1508"/>
      <c r="D10" s="1508"/>
      <c r="E10" s="1586">
        <v>0.4</v>
      </c>
      <c r="F10" s="1508"/>
      <c r="G10" s="1509">
        <f t="shared" ref="G10:G11" si="0">S10</f>
        <v>0.31396344857015485</v>
      </c>
      <c r="H10" s="1508"/>
      <c r="I10" s="1509">
        <f t="shared" ref="I10:I13" si="1">T10</f>
        <v>0</v>
      </c>
      <c r="J10" s="1508"/>
      <c r="K10" s="1509">
        <f t="shared" ref="K10:K11" si="2">((G10*$G$32)+(I10*$I$32))/$K$32</f>
        <v>0.31307435326482813</v>
      </c>
      <c r="L10" s="1508"/>
      <c r="M10" s="1678" t="str">
        <f>IF(K10&lt;E10,CHAR(252),CHAR(251))</f>
        <v>ü</v>
      </c>
      <c r="N10" s="1521">
        <f>(E10-I10)/E10</f>
        <v>1</v>
      </c>
      <c r="O10" s="1522">
        <f t="shared" ref="O10:O11" si="3">U10</f>
        <v>0</v>
      </c>
      <c r="R10" s="1185"/>
      <c r="S10" s="1498">
        <v>0.31396344857015485</v>
      </c>
      <c r="T10" s="1498">
        <f>PD!C23/SUM(PD!C23:C24)</f>
        <v>0</v>
      </c>
      <c r="U10" s="1202"/>
      <c r="V10" s="1203"/>
    </row>
    <row r="11" spans="1:26" ht="27">
      <c r="B11" s="95" t="s">
        <v>300</v>
      </c>
      <c r="C11" s="95"/>
      <c r="D11" s="95"/>
      <c r="E11" s="1583">
        <v>6.5</v>
      </c>
      <c r="F11" s="95"/>
      <c r="G11" s="1517">
        <f t="shared" si="0"/>
        <v>10.29715361878926</v>
      </c>
      <c r="H11" s="95"/>
      <c r="I11" s="1517">
        <f t="shared" si="1"/>
        <v>17.846575342465758</v>
      </c>
      <c r="J11" s="95"/>
      <c r="K11" s="1517">
        <f t="shared" si="2"/>
        <v>10.318532398526267</v>
      </c>
      <c r="L11" s="1523"/>
      <c r="M11" s="1677" t="str">
        <f>IF(K11&gt;E11,CHAR(252),CHAR(251))</f>
        <v>ü</v>
      </c>
      <c r="N11" s="1518">
        <f>(I11-E11)/E11</f>
        <v>1.7456269757639629</v>
      </c>
      <c r="O11" s="1515">
        <f t="shared" si="3"/>
        <v>0</v>
      </c>
      <c r="R11" s="1185"/>
      <c r="S11" s="1499">
        <v>10.29715361878926</v>
      </c>
      <c r="T11" s="1499">
        <f>ES!E15</f>
        <v>17.846575342465758</v>
      </c>
      <c r="U11" s="1202"/>
      <c r="V11" s="1203"/>
    </row>
    <row r="12" spans="1:26" ht="27">
      <c r="B12" s="1508" t="s">
        <v>301</v>
      </c>
      <c r="C12" s="1508"/>
      <c r="D12" s="1508"/>
      <c r="E12" s="1509">
        <v>0.9</v>
      </c>
      <c r="F12" s="1511"/>
      <c r="G12" s="1521">
        <f t="shared" ref="G12:G15" si="4">S12</f>
        <v>0.93846614957960905</v>
      </c>
      <c r="H12" s="1508"/>
      <c r="I12" s="1521">
        <f t="shared" si="1"/>
        <v>1</v>
      </c>
      <c r="J12" s="1508"/>
      <c r="K12" s="1521">
        <f>((G12*$G$33)+(I12*$I$33))/$K$33</f>
        <v>0.93865838179840699</v>
      </c>
      <c r="L12" s="1587"/>
      <c r="M12" s="1678" t="str">
        <f>IF(K12&gt;E12,CHAR(252),CHAR(251))</f>
        <v>ü</v>
      </c>
      <c r="N12" s="1521">
        <f>(I12-E12)/E12</f>
        <v>0.11111111111111108</v>
      </c>
      <c r="O12" s="1512">
        <f t="shared" ref="O12:O24" si="5">U12</f>
        <v>0</v>
      </c>
      <c r="R12" s="1185"/>
      <c r="S12" s="1578">
        <v>0.93846614957960905</v>
      </c>
      <c r="T12" s="1578">
        <f>OV!S38</f>
        <v>1</v>
      </c>
      <c r="U12" s="1202"/>
      <c r="V12" s="1203"/>
    </row>
    <row r="13" spans="1:26" ht="27">
      <c r="B13" s="95" t="s">
        <v>1462</v>
      </c>
      <c r="C13" s="95"/>
      <c r="D13" s="95"/>
      <c r="E13" s="1518">
        <v>0.02</v>
      </c>
      <c r="F13" s="95"/>
      <c r="G13" s="1518">
        <f t="shared" si="4"/>
        <v>2.0125135934177866E-2</v>
      </c>
      <c r="H13" s="95"/>
      <c r="I13" s="1518">
        <f t="shared" si="1"/>
        <v>8.0810000000000007E-2</v>
      </c>
      <c r="J13" s="95"/>
      <c r="K13" s="1518">
        <f>((G13*$G$30)+(I13*$I$30))/$K$30</f>
        <v>2.0333802035287035E-2</v>
      </c>
      <c r="L13" s="95"/>
      <c r="M13" s="1677" t="str">
        <f>IF(K13&lt;E13,CHAR(252),CHAR(251))</f>
        <v>û</v>
      </c>
      <c r="N13" s="1518">
        <f>(E13-I13)/E13</f>
        <v>-3.0405000000000002</v>
      </c>
      <c r="O13" s="1582">
        <f t="shared" si="5"/>
        <v>0</v>
      </c>
      <c r="R13" s="1185"/>
      <c r="S13" s="1578">
        <v>2.0125135934177866E-2</v>
      </c>
      <c r="T13" s="1578">
        <f>ES!J35/ES!J33</f>
        <v>8.0810000000000007E-2</v>
      </c>
      <c r="U13" s="1202"/>
      <c r="V13" s="1203"/>
    </row>
    <row r="14" spans="1:26">
      <c r="B14" s="1580" t="s">
        <v>1535</v>
      </c>
      <c r="C14" s="1256"/>
      <c r="D14" s="1256"/>
      <c r="E14" s="1256"/>
      <c r="F14" s="1256"/>
      <c r="G14" s="1256"/>
      <c r="H14" s="1256"/>
      <c r="I14" s="1256"/>
      <c r="J14" s="1256"/>
      <c r="K14" s="1256"/>
      <c r="L14" s="1256"/>
      <c r="M14" s="1676"/>
      <c r="N14" s="1256"/>
      <c r="O14" s="1581"/>
      <c r="R14" s="1185"/>
      <c r="V14" s="1203"/>
    </row>
    <row r="15" spans="1:26" ht="27">
      <c r="B15" s="95" t="s">
        <v>1536</v>
      </c>
      <c r="C15" s="95"/>
      <c r="D15" s="95"/>
      <c r="E15" s="1584">
        <v>0.65</v>
      </c>
      <c r="F15" s="95"/>
      <c r="G15" s="1518">
        <f t="shared" si="4"/>
        <v>0.63036542385565797</v>
      </c>
      <c r="H15" s="95"/>
      <c r="I15" s="1518">
        <f t="shared" ref="I15:I19" si="6">T15</f>
        <v>0.5</v>
      </c>
      <c r="J15" s="95"/>
      <c r="K15" s="1518">
        <f>((G15*$G$29)+(I15*$I$29))/$K$29</f>
        <v>0.629986179846454</v>
      </c>
      <c r="L15" s="1523"/>
      <c r="M15" s="1677" t="str">
        <f>IF(K15&lt;E15,CHAR(252),CHAR(251))</f>
        <v>ü</v>
      </c>
      <c r="N15" s="1518">
        <f>(I15-E15)/E15</f>
        <v>-0.23076923076923078</v>
      </c>
      <c r="O15" s="1515">
        <f t="shared" si="5"/>
        <v>0</v>
      </c>
      <c r="R15" s="1185"/>
      <c r="S15" s="1578">
        <v>0.63036542385565797</v>
      </c>
      <c r="T15" s="1578">
        <f>GA!G500</f>
        <v>0.5</v>
      </c>
      <c r="U15" s="1202"/>
      <c r="V15" s="1203"/>
    </row>
    <row r="16" spans="1:26" ht="27">
      <c r="B16" s="1508" t="s">
        <v>1527</v>
      </c>
      <c r="C16" s="1508"/>
      <c r="D16" s="1508"/>
      <c r="E16" s="1577">
        <v>3.5000000000000003E-2</v>
      </c>
      <c r="F16" s="1508"/>
      <c r="G16" s="1577">
        <f t="shared" ref="G16" si="7">S16</f>
        <v>2.7292521947231259E-2</v>
      </c>
      <c r="H16" s="1577"/>
      <c r="I16" s="1577">
        <f t="shared" si="6"/>
        <v>3.7500000000000006E-2</v>
      </c>
      <c r="J16" s="1577"/>
      <c r="K16" s="1577">
        <f t="shared" ref="K16:K24" si="8">((G16*$G$29)+(I16*$I$29))/$K$29</f>
        <v>2.7322216361486986E-2</v>
      </c>
      <c r="L16" s="1508"/>
      <c r="M16" s="1678" t="str">
        <f>IF(K16&lt;E16,CHAR(252),CHAR(251))</f>
        <v>ü</v>
      </c>
      <c r="N16" s="1516">
        <f>(E16-I16)/E16</f>
        <v>-7.142857142857148E-2</v>
      </c>
      <c r="O16" s="1522">
        <f t="shared" si="5"/>
        <v>0</v>
      </c>
      <c r="R16" s="1185"/>
      <c r="S16" s="1579">
        <v>2.7292521947231259E-2</v>
      </c>
      <c r="T16" s="1579">
        <f>I17+I18</f>
        <v>3.7500000000000006E-2</v>
      </c>
      <c r="U16" s="1202"/>
      <c r="V16" s="1203"/>
    </row>
    <row r="17" spans="2:22" ht="27">
      <c r="B17" s="95" t="s">
        <v>1528</v>
      </c>
      <c r="C17" s="95"/>
      <c r="D17" s="95"/>
      <c r="E17" s="1585">
        <v>1.7500000000000002E-2</v>
      </c>
      <c r="F17" s="1525"/>
      <c r="G17" s="1525">
        <f t="shared" ref="G17:G18" si="9">S17</f>
        <v>1.405041139740411E-2</v>
      </c>
      <c r="H17" s="1525"/>
      <c r="I17" s="1525">
        <f t="shared" si="6"/>
        <v>1.7499999999999995E-2</v>
      </c>
      <c r="J17" s="1525"/>
      <c r="K17" s="1525">
        <f t="shared" si="8"/>
        <v>1.4060446541486497E-2</v>
      </c>
      <c r="L17" s="1523"/>
      <c r="M17" s="1677" t="str">
        <f>IF(K17&lt;E17,CHAR(252),CHAR(251))</f>
        <v>ü</v>
      </c>
      <c r="N17" s="1518">
        <f>(E17-I17)/E17</f>
        <v>3.9650822308041302E-16</v>
      </c>
      <c r="O17" s="1515">
        <f t="shared" si="5"/>
        <v>0</v>
      </c>
      <c r="R17" s="1185"/>
      <c r="S17" s="1579">
        <v>1.405041139740411E-2</v>
      </c>
      <c r="T17" s="1579">
        <f>AVERAGE(GA!L526:L565)</f>
        <v>1.7499999999999995E-2</v>
      </c>
      <c r="U17" s="1202"/>
      <c r="V17" s="1203"/>
    </row>
    <row r="18" spans="2:22" ht="27">
      <c r="B18" s="1508" t="s">
        <v>1529</v>
      </c>
      <c r="C18" s="1508"/>
      <c r="D18" s="1508"/>
      <c r="E18" s="1577">
        <v>0.02</v>
      </c>
      <c r="F18" s="1508"/>
      <c r="G18" s="1577">
        <f t="shared" si="9"/>
        <v>1.3242110549827147E-2</v>
      </c>
      <c r="H18" s="1577"/>
      <c r="I18" s="1577">
        <f t="shared" si="6"/>
        <v>2.0000000000000011E-2</v>
      </c>
      <c r="J18" s="1577"/>
      <c r="K18" s="1577">
        <f t="shared" si="8"/>
        <v>1.3261769820000492E-2</v>
      </c>
      <c r="L18" s="1508"/>
      <c r="M18" s="1678" t="str">
        <f>IF(K18&lt;E18,CHAR(252),CHAR(251))</f>
        <v>ü</v>
      </c>
      <c r="N18" s="1516">
        <f>(E18-I18)/E18</f>
        <v>-5.2041704279304213E-16</v>
      </c>
      <c r="O18" s="1512">
        <f t="shared" si="5"/>
        <v>0</v>
      </c>
      <c r="R18" s="1185"/>
      <c r="S18" s="1579">
        <v>1.3242110549827147E-2</v>
      </c>
      <c r="T18" s="1579">
        <f>AVERAGE(GA!Q526:Q565)</f>
        <v>2.0000000000000011E-2</v>
      </c>
      <c r="U18" s="1202"/>
      <c r="V18" s="1203"/>
    </row>
    <row r="19" spans="2:22" ht="27">
      <c r="B19" s="95" t="s">
        <v>1530</v>
      </c>
      <c r="C19" s="95"/>
      <c r="D19" s="95"/>
      <c r="E19" s="1585">
        <v>0.01</v>
      </c>
      <c r="F19" s="1525"/>
      <c r="G19" s="1525">
        <f t="shared" ref="G19:G22" si="10">S19</f>
        <v>7.0518216974886257E-3</v>
      </c>
      <c r="H19" s="1525"/>
      <c r="I19" s="1525">
        <f t="shared" si="6"/>
        <v>7.4999999999999997E-3</v>
      </c>
      <c r="J19" s="1525"/>
      <c r="K19" s="1525">
        <f t="shared" si="8"/>
        <v>7.0531254859568845E-3</v>
      </c>
      <c r="L19" s="1523"/>
      <c r="M19" s="1677" t="str">
        <f>IF(K19&lt;E19,CHAR(252),CHAR(251))</f>
        <v>ü</v>
      </c>
      <c r="N19" s="1518">
        <f>(I19-E19)/E19</f>
        <v>-0.25000000000000006</v>
      </c>
      <c r="O19" s="1582">
        <f t="shared" si="5"/>
        <v>0</v>
      </c>
      <c r="R19" s="1185"/>
      <c r="S19" s="1579">
        <v>7.0518216974886257E-3</v>
      </c>
      <c r="T19" s="1579">
        <f>GA!G505</f>
        <v>7.4999999999999997E-3</v>
      </c>
      <c r="U19" s="1202"/>
      <c r="V19" s="1203"/>
    </row>
    <row r="20" spans="2:22">
      <c r="B20" s="1580" t="s">
        <v>1537</v>
      </c>
      <c r="C20" s="1256"/>
      <c r="D20" s="1256"/>
      <c r="E20" s="1256"/>
      <c r="F20" s="1256"/>
      <c r="G20" s="1256"/>
      <c r="H20" s="1256"/>
      <c r="I20" s="1256"/>
      <c r="J20" s="1256"/>
      <c r="K20" s="1256"/>
      <c r="L20" s="1256"/>
      <c r="M20" s="1676"/>
      <c r="N20" s="1256"/>
      <c r="O20" s="1581"/>
      <c r="R20" s="1185"/>
      <c r="V20" s="1203"/>
    </row>
    <row r="21" spans="2:22" ht="27">
      <c r="B21" s="95" t="s">
        <v>1465</v>
      </c>
      <c r="C21" s="95"/>
      <c r="D21" s="95"/>
      <c r="E21" s="1584">
        <v>6.2E-2</v>
      </c>
      <c r="F21" s="95"/>
      <c r="G21" s="1584">
        <f>S21</f>
        <v>5.64477341787884E-2</v>
      </c>
      <c r="H21" s="95"/>
      <c r="I21" s="1584">
        <f t="shared" ref="I21:I24" si="11">T21</f>
        <v>5.4859999999999999E-2</v>
      </c>
      <c r="J21" s="95"/>
      <c r="K21" s="1584">
        <f>((G21*$G$29)+(I21*$I$29))/$K$29</f>
        <v>5.6443115326199229E-2</v>
      </c>
      <c r="L21" s="95"/>
      <c r="M21" s="1677" t="str">
        <f>IF(K21&gt;E21,CHAR(252),CHAR(251))</f>
        <v>û</v>
      </c>
      <c r="N21" s="1584">
        <f>(I21-E21)/E21</f>
        <v>-0.11516129032258066</v>
      </c>
      <c r="O21" s="1582">
        <f>U21</f>
        <v>0</v>
      </c>
      <c r="R21" s="1185"/>
      <c r="S21" s="1578">
        <v>5.64477341787884E-2</v>
      </c>
      <c r="T21" s="1578">
        <f>ES!L15</f>
        <v>5.4859999999999999E-2</v>
      </c>
      <c r="U21" s="1202"/>
      <c r="V21" s="1203"/>
    </row>
    <row r="22" spans="2:22" ht="27">
      <c r="B22" s="1508" t="s">
        <v>1531</v>
      </c>
      <c r="C22" s="1508"/>
      <c r="D22" s="1508"/>
      <c r="E22" s="1521">
        <v>0.2</v>
      </c>
      <c r="F22" s="1511"/>
      <c r="G22" s="1516">
        <f t="shared" si="10"/>
        <v>0.21077231861457713</v>
      </c>
      <c r="H22" s="1516"/>
      <c r="I22" s="1516">
        <f t="shared" si="11"/>
        <v>-0.43471778710487985</v>
      </c>
      <c r="J22" s="1516"/>
      <c r="K22" s="1516">
        <f>((G22*$G$30)+(I22*$I$30))/$K$30</f>
        <v>0.20855278816429998</v>
      </c>
      <c r="L22" s="1508"/>
      <c r="M22" s="1678" t="str">
        <f>IF(K22&gt;E22,CHAR(252),CHAR(251))</f>
        <v>ü</v>
      </c>
      <c r="N22" s="1516">
        <f>(I22-E22)/E22</f>
        <v>-3.1735889355243994</v>
      </c>
      <c r="O22" s="1512">
        <f t="shared" si="5"/>
        <v>0</v>
      </c>
      <c r="R22" s="1185"/>
      <c r="S22" s="1578">
        <v>0.21077231861457713</v>
      </c>
      <c r="T22" s="1578">
        <f>S34</f>
        <v>-0.43471778710487985</v>
      </c>
      <c r="U22" s="1202"/>
      <c r="V22" s="1203"/>
    </row>
    <row r="23" spans="2:22" ht="27" customHeight="1">
      <c r="B23" s="95" t="s">
        <v>1532</v>
      </c>
      <c r="C23" s="95"/>
      <c r="D23" s="95"/>
      <c r="E23" s="1584" t="s">
        <v>1460</v>
      </c>
      <c r="F23" s="95"/>
      <c r="G23" s="1525">
        <f t="shared" ref="G23:G24" si="12">S23</f>
        <v>4.2982797232332039E-2</v>
      </c>
      <c r="H23" s="1525"/>
      <c r="I23" s="1525">
        <f t="shared" si="11"/>
        <v>7.606830587933848E-2</v>
      </c>
      <c r="J23" s="1525"/>
      <c r="K23" s="1525">
        <f>((G23*$G$29)+(I23*$I$29))/$K$29</f>
        <v>4.3079045766450545E-2</v>
      </c>
      <c r="L23" s="95"/>
      <c r="M23" s="1674" t="s">
        <v>1460</v>
      </c>
      <c r="N23" s="1584" t="s">
        <v>1460</v>
      </c>
      <c r="O23" s="1582">
        <f t="shared" si="5"/>
        <v>0</v>
      </c>
      <c r="R23" s="1185"/>
      <c r="S23" s="1579">
        <v>4.2982797232332039E-2</v>
      </c>
      <c r="T23" s="1579">
        <f>ES!E29</f>
        <v>7.606830587933848E-2</v>
      </c>
      <c r="U23" s="1202"/>
      <c r="V23" s="1203"/>
    </row>
    <row r="24" spans="2:22" ht="27">
      <c r="B24" s="1508" t="s">
        <v>1533</v>
      </c>
      <c r="C24" s="1508"/>
      <c r="D24" s="1508"/>
      <c r="E24" s="1577">
        <v>5.5E-2</v>
      </c>
      <c r="F24" s="1511"/>
      <c r="G24" s="1577">
        <f t="shared" si="12"/>
        <v>6.8079902505469164E-2</v>
      </c>
      <c r="H24" s="1577"/>
      <c r="I24" s="1577">
        <f t="shared" si="11"/>
        <v>7.4385689189320578E-2</v>
      </c>
      <c r="J24" s="1577"/>
      <c r="K24" s="1577">
        <f t="shared" si="8"/>
        <v>6.8098246570578155E-2</v>
      </c>
      <c r="L24" s="1508"/>
      <c r="M24" s="1678" t="str">
        <f>IF(K24&gt;E24,CHAR(252),CHAR(251))</f>
        <v>ü</v>
      </c>
      <c r="N24" s="1516">
        <f>(I24-E24)/E24</f>
        <v>0.35246707616946504</v>
      </c>
      <c r="O24" s="1512">
        <f t="shared" si="5"/>
        <v>0</v>
      </c>
      <c r="R24" s="1185"/>
      <c r="S24" s="1579">
        <v>6.8079902505469164E-2</v>
      </c>
      <c r="T24" s="1579">
        <f>ES!E24</f>
        <v>7.4385689189320578E-2</v>
      </c>
      <c r="U24" s="1202"/>
      <c r="V24" s="1203"/>
    </row>
    <row r="25" spans="2:22" ht="15.75" thickBot="1">
      <c r="R25" s="1131"/>
      <c r="S25" s="1160"/>
      <c r="T25" s="1160"/>
      <c r="U25" s="1160"/>
      <c r="V25" s="1188"/>
    </row>
    <row r="29" spans="2:22">
      <c r="B29" t="s">
        <v>977</v>
      </c>
      <c r="G29" s="1672">
        <v>1713753898.4371805</v>
      </c>
      <c r="I29" s="259">
        <f>+ES!T33</f>
        <v>5000000</v>
      </c>
      <c r="K29" s="1673">
        <f>I29+G29</f>
        <v>1718753898.4371805</v>
      </c>
    </row>
    <row r="30" spans="2:22">
      <c r="B30" t="s">
        <v>442</v>
      </c>
      <c r="G30" s="1672">
        <v>1887578072.378077</v>
      </c>
      <c r="I30" s="259">
        <f>+ES!T40</f>
        <v>6512869.0320794964</v>
      </c>
      <c r="K30" s="1673">
        <f t="shared" ref="K30:K33" si="13">I30+G30</f>
        <v>1894090941.4101565</v>
      </c>
      <c r="R30" t="s">
        <v>936</v>
      </c>
      <c r="S30" s="259">
        <f>+ES!E25+ES!E34</f>
        <v>3681609.018749997</v>
      </c>
    </row>
    <row r="31" spans="2:22">
      <c r="B31" t="s">
        <v>1506</v>
      </c>
      <c r="G31" s="1672">
        <v>2179000000</v>
      </c>
      <c r="I31" s="1672">
        <f>I30</f>
        <v>6512869.0320794964</v>
      </c>
      <c r="K31" s="1673">
        <f t="shared" si="13"/>
        <v>2185512869.0320797</v>
      </c>
      <c r="R31" t="s">
        <v>442</v>
      </c>
      <c r="S31" s="259">
        <f>+ES!O40</f>
        <v>6512869.0320794964</v>
      </c>
    </row>
    <row r="32" spans="2:22">
      <c r="B32" t="s">
        <v>309</v>
      </c>
      <c r="G32" s="1672">
        <v>105638063.11510482</v>
      </c>
      <c r="I32" s="259">
        <f>+ES!E12</f>
        <v>300000</v>
      </c>
      <c r="K32" s="1673">
        <f t="shared" si="13"/>
        <v>105938063.11510482</v>
      </c>
      <c r="R32" t="s">
        <v>1613</v>
      </c>
      <c r="S32" s="259">
        <f>ES!E40</f>
        <v>0</v>
      </c>
    </row>
    <row r="33" spans="2:19">
      <c r="B33" t="s">
        <v>303</v>
      </c>
      <c r="G33" s="1672">
        <v>957304.95000000042</v>
      </c>
      <c r="I33" s="259">
        <f>+ES!E10</f>
        <v>3000</v>
      </c>
      <c r="K33" s="1673">
        <f t="shared" si="13"/>
        <v>960304.95000000042</v>
      </c>
      <c r="R33" t="s">
        <v>1614</v>
      </c>
      <c r="S33" s="259">
        <f>SUM(S31:S32)</f>
        <v>6512869.0320794964</v>
      </c>
    </row>
    <row r="34" spans="2:19">
      <c r="B34" t="s">
        <v>1511</v>
      </c>
      <c r="G34" s="1672">
        <v>47187039.585762456</v>
      </c>
      <c r="R34" t="s">
        <v>1466</v>
      </c>
      <c r="S34" s="117">
        <f>+S30/S33-1</f>
        <v>-0.43471778710487985</v>
      </c>
    </row>
  </sheetData>
  <conditionalFormatting sqref="N9 N11 N13 N15 N17 N19 N23 N21">
    <cfRule type="cellIs" dxfId="21" priority="21" operator="lessThan">
      <formula>-0.25</formula>
    </cfRule>
  </conditionalFormatting>
  <conditionalFormatting sqref="M9:M11 M15 M17">
    <cfRule type="cellIs" dxfId="20" priority="18" operator="equal">
      <formula>"ü"</formula>
    </cfRule>
    <cfRule type="cellIs" dxfId="19" priority="19" operator="equal">
      <formula>"û"</formula>
    </cfRule>
  </conditionalFormatting>
  <conditionalFormatting sqref="M16">
    <cfRule type="cellIs" dxfId="18" priority="14" operator="equal">
      <formula>"ü"</formula>
    </cfRule>
    <cfRule type="cellIs" dxfId="17" priority="15" operator="equal">
      <formula>"û"</formula>
    </cfRule>
  </conditionalFormatting>
  <conditionalFormatting sqref="M21">
    <cfRule type="cellIs" dxfId="16" priority="16" operator="equal">
      <formula>"ü"</formula>
    </cfRule>
    <cfRule type="cellIs" dxfId="15" priority="17" operator="equal">
      <formula>"û"</formula>
    </cfRule>
  </conditionalFormatting>
  <conditionalFormatting sqref="M12">
    <cfRule type="cellIs" dxfId="14" priority="12" operator="equal">
      <formula>"ü"</formula>
    </cfRule>
    <cfRule type="cellIs" dxfId="13" priority="13" operator="equal">
      <formula>"û"</formula>
    </cfRule>
  </conditionalFormatting>
  <conditionalFormatting sqref="M13">
    <cfRule type="cellIs" dxfId="12" priority="10" operator="equal">
      <formula>"ü"</formula>
    </cfRule>
    <cfRule type="cellIs" dxfId="11" priority="11" operator="equal">
      <formula>"û"</formula>
    </cfRule>
  </conditionalFormatting>
  <conditionalFormatting sqref="M18">
    <cfRule type="cellIs" dxfId="10" priority="8" operator="equal">
      <formula>"ü"</formula>
    </cfRule>
    <cfRule type="cellIs" dxfId="9" priority="9" operator="equal">
      <formula>"û"</formula>
    </cfRule>
  </conditionalFormatting>
  <conditionalFormatting sqref="M19 M21">
    <cfRule type="cellIs" dxfId="8" priority="6" operator="equal">
      <formula>"ü"</formula>
    </cfRule>
    <cfRule type="cellIs" dxfId="7" priority="7" operator="equal">
      <formula>"û"</formula>
    </cfRule>
  </conditionalFormatting>
  <conditionalFormatting sqref="M22">
    <cfRule type="cellIs" dxfId="6" priority="4" operator="equal">
      <formula>"ü"</formula>
    </cfRule>
    <cfRule type="cellIs" dxfId="5" priority="5" operator="equal">
      <formula>"û"</formula>
    </cfRule>
  </conditionalFormatting>
  <conditionalFormatting sqref="M24">
    <cfRule type="cellIs" dxfId="4" priority="2" operator="equal">
      <formula>"ü"</formula>
    </cfRule>
    <cfRule type="cellIs" dxfId="3" priority="3" operator="equal">
      <formula>"û"</formula>
    </cfRule>
  </conditionalFormatting>
  <conditionalFormatting sqref="M23">
    <cfRule type="cellIs" dxfId="2" priority="1" operator="lessThan">
      <formula>-0.25</formula>
    </cfRule>
  </conditionalFormatting>
  <pageMargins left="0.7" right="0.7" top="0.75" bottom="0.75" header="0.3" footer="0.3"/>
  <ignoredErrors>
    <ignoredError xmlns:x16r3="http://schemas.microsoft.com/office/spreadsheetml/2018/08/main" sqref="O21:O24 O9:O13 O15:O19" x16r3:misleadingFormat="1"/>
    <ignoredError sqref="N22:N24 N10:N13 N15:N19 K22 M10" formula="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285AB-438B-4B63-9268-886BA5FE4971}">
  <sheetPr codeName="Sheet32">
    <tabColor rgb="FF7030A0"/>
  </sheetPr>
  <dimension ref="A1:FK14"/>
  <sheetViews>
    <sheetView workbookViewId="0"/>
  </sheetViews>
  <sheetFormatPr baseColWidth="10" defaultColWidth="8.7109375" defaultRowHeight="15"/>
  <cols>
    <col min="2" max="2" width="3.5703125" customWidth="1"/>
    <col min="3" max="4" width="14" customWidth="1"/>
    <col min="5" max="5" width="10.7109375" customWidth="1"/>
    <col min="6" max="7" width="14" customWidth="1"/>
    <col min="9" max="9" width="87.42578125" customWidth="1"/>
    <col min="10" max="10" width="7.5703125" bestFit="1" customWidth="1"/>
    <col min="11" max="11" width="10.5703125" customWidth="1"/>
    <col min="12" max="12" width="14.42578125" customWidth="1"/>
  </cols>
  <sheetData>
    <row r="1" spans="1:167" s="35" customFormat="1">
      <c r="A1" s="1" t="str">
        <f ca="1">UPPER(MID(CELL("filename",A1),FIND("[",CELL("filename",A1))+1,FIND("]",CELL("filename",A1))-FIND("[",CELL("filename",A1))-5))</f>
        <v>VORLAGE.</v>
      </c>
      <c r="B1" s="1"/>
      <c r="E1" s="58"/>
      <c r="F1" s="58"/>
      <c r="H1" s="58"/>
      <c r="I1" s="58"/>
      <c r="J1" s="58"/>
      <c r="K1" s="58"/>
      <c r="L1" s="58"/>
      <c r="M1" s="58"/>
      <c r="N1" s="58"/>
      <c r="O1" s="58"/>
      <c r="AH1" s="58"/>
      <c r="AI1" s="58"/>
      <c r="AJ1" s="58"/>
      <c r="AK1" s="58"/>
      <c r="AL1" s="58"/>
      <c r="AM1" s="58"/>
      <c r="BS1" s="58"/>
      <c r="BW1" s="58"/>
      <c r="BX1" s="58"/>
      <c r="CK1" s="58"/>
      <c r="CX1" s="58"/>
      <c r="DK1" s="58"/>
      <c r="DL1" s="58"/>
      <c r="DM1" s="58"/>
      <c r="DN1" s="58"/>
      <c r="DO1" s="58"/>
      <c r="EG1" s="58"/>
      <c r="EM1" s="58"/>
      <c r="FI1" s="58"/>
      <c r="FK1" s="58"/>
    </row>
    <row r="2" spans="1:167" s="35" customFormat="1">
      <c r="A2" s="1" t="s">
        <v>1306</v>
      </c>
      <c r="B2" s="1"/>
      <c r="E2" s="58"/>
      <c r="F2" s="58"/>
      <c r="H2" s="58"/>
      <c r="I2" s="58"/>
      <c r="J2" s="58"/>
      <c r="K2" s="58"/>
      <c r="L2" s="58"/>
      <c r="M2" s="58"/>
      <c r="N2" s="58"/>
      <c r="O2" s="58"/>
      <c r="AH2" s="58"/>
      <c r="AI2" s="58"/>
      <c r="AJ2" s="58"/>
      <c r="AK2" s="58"/>
      <c r="AL2" s="58"/>
      <c r="AM2" s="58"/>
      <c r="BS2" s="58"/>
      <c r="BW2" s="58"/>
      <c r="BX2" s="58"/>
      <c r="CK2" s="58"/>
      <c r="CX2" s="58"/>
      <c r="DK2" s="58"/>
      <c r="DL2" s="58"/>
      <c r="DM2" s="58"/>
      <c r="DN2" s="58"/>
      <c r="DO2" s="58"/>
      <c r="EG2" s="58"/>
      <c r="EM2" s="58"/>
      <c r="FI2" s="58"/>
      <c r="FK2" s="58"/>
    </row>
    <row r="3" spans="1:167" s="35" customFormat="1" ht="17.25">
      <c r="E3" s="58"/>
      <c r="F3" s="58"/>
      <c r="H3" s="58"/>
      <c r="I3" s="58"/>
      <c r="J3" s="58"/>
      <c r="K3" s="58"/>
      <c r="L3" s="58"/>
      <c r="M3" s="58"/>
      <c r="N3" s="58"/>
      <c r="O3" s="58"/>
      <c r="R3" s="156"/>
      <c r="S3" s="156"/>
      <c r="T3" s="156"/>
      <c r="AH3" s="58"/>
      <c r="AI3" s="58"/>
      <c r="AJ3" s="58"/>
      <c r="AK3" s="58"/>
      <c r="AL3" s="58"/>
      <c r="AM3" s="58"/>
      <c r="BS3" s="58"/>
      <c r="BW3" s="58"/>
      <c r="BX3" s="58"/>
      <c r="CK3" s="58"/>
      <c r="CX3" s="58"/>
      <c r="DK3" s="58"/>
      <c r="DL3" s="58"/>
      <c r="DM3" s="58"/>
      <c r="DN3" s="58"/>
      <c r="DO3" s="58"/>
      <c r="EG3" s="58"/>
      <c r="EM3" s="58"/>
      <c r="FI3" s="58"/>
      <c r="FK3" s="58"/>
    </row>
    <row r="4" spans="1:167" s="35" customFormat="1">
      <c r="E4" s="58"/>
      <c r="F4" s="58"/>
      <c r="H4" s="58"/>
      <c r="I4" s="58"/>
      <c r="J4" s="58"/>
      <c r="K4" s="58"/>
      <c r="L4" s="58"/>
      <c r="M4" s="58"/>
      <c r="N4" s="58"/>
      <c r="O4" s="58"/>
      <c r="R4" s="157"/>
      <c r="S4" s="157"/>
      <c r="T4" s="157"/>
      <c r="AH4" s="58"/>
      <c r="AI4" s="58"/>
      <c r="AJ4" s="58"/>
      <c r="AK4" s="58"/>
      <c r="AL4" s="58"/>
      <c r="AM4" s="58"/>
      <c r="BS4" s="58"/>
      <c r="BW4" s="58"/>
      <c r="BX4" s="58"/>
      <c r="CK4" s="58"/>
      <c r="CX4" s="58"/>
      <c r="DK4" s="58"/>
      <c r="DL4" s="58"/>
      <c r="DM4" s="58"/>
      <c r="DN4" s="58"/>
      <c r="DO4" s="58"/>
      <c r="EG4" s="58"/>
      <c r="EM4" s="58"/>
      <c r="FI4" s="58"/>
      <c r="FK4" s="58"/>
    </row>
    <row r="6" spans="1:167" ht="30">
      <c r="C6" s="1274" t="s">
        <v>1346</v>
      </c>
      <c r="D6" s="1275" t="s">
        <v>1347</v>
      </c>
      <c r="E6" s="1275" t="s">
        <v>1348</v>
      </c>
      <c r="F6" s="1276" t="str">
        <f>"NRI expiring within "&amp;TA!GP8&amp;" years"</f>
        <v>NRI expiring within 5 years</v>
      </c>
    </row>
    <row r="7" spans="1:167">
      <c r="C7" s="1277">
        <f>AO!Y22</f>
        <v>300000</v>
      </c>
      <c r="D7" s="1213">
        <f>SUM(TA!G15:G17)</f>
        <v>3</v>
      </c>
      <c r="E7" s="1213">
        <f>COUNTIFS(TA!AB15:AB17,"&lt;"&amp;TA!$GP$9,TA!AB15:AB17,"&lt;&gt;"&amp;0)</f>
        <v>0</v>
      </c>
      <c r="F7" s="378">
        <f>SUMIFS(TA!$AJ$15:$AJ$17,TA!$AB$15:$AB$17,"&lt;"&amp;TA!$GP$9)</f>
        <v>0</v>
      </c>
      <c r="K7" t="s">
        <v>1349</v>
      </c>
      <c r="L7" s="259">
        <f>F7</f>
        <v>0</v>
      </c>
    </row>
    <row r="8" spans="1:167">
      <c r="K8" t="s">
        <v>1350</v>
      </c>
      <c r="L8" s="259">
        <f>C7-L7</f>
        <v>300000</v>
      </c>
    </row>
    <row r="10" spans="1:167">
      <c r="B10" s="1214" t="str">
        <f>"Top 3 Leases Expiring within the next "&amp;TA!GP8&amp;" years"</f>
        <v>Top 3 Leases Expiring within the next 5 years</v>
      </c>
      <c r="C10" s="1215"/>
      <c r="D10" s="1215"/>
      <c r="E10" s="1215"/>
      <c r="F10" s="1215"/>
      <c r="G10" s="1215"/>
      <c r="H10" s="1215"/>
      <c r="I10" s="1216"/>
    </row>
    <row r="11" spans="1:167">
      <c r="B11" s="1441" t="s">
        <v>37</v>
      </c>
      <c r="C11" s="1442" t="s">
        <v>149</v>
      </c>
      <c r="D11" s="1442" t="s">
        <v>6</v>
      </c>
      <c r="E11" s="1442" t="s">
        <v>303</v>
      </c>
      <c r="F11" s="1442" t="s">
        <v>309</v>
      </c>
      <c r="G11" s="1442" t="s">
        <v>1307</v>
      </c>
      <c r="H11" s="1442" t="s">
        <v>1405</v>
      </c>
      <c r="I11" s="1443" t="s">
        <v>1406</v>
      </c>
    </row>
    <row r="12" spans="1:167">
      <c r="B12" s="1150">
        <v>1</v>
      </c>
      <c r="C12" s="168" t="e">
        <f>INDEX(TA!$R:$R,MATCH($B12,TA!$GO:$GO,0))</f>
        <v>#N/A</v>
      </c>
      <c r="D12" s="168" t="e">
        <f>INDEX(TA!$I:$I,MATCH($B12,TA!$GO:$GO,0))</f>
        <v>#N/A</v>
      </c>
      <c r="E12" s="1444" t="e">
        <f>INDEX(TA!$V:$V,MATCH($B12,TA!$GO:$GO,0))</f>
        <v>#N/A</v>
      </c>
      <c r="F12" s="1444" t="e">
        <f>INDEX(TA!$AJ:$AJ,MATCH($B12,TA!$GO:$GO,0))</f>
        <v>#N/A</v>
      </c>
      <c r="G12" s="1445" t="e">
        <f>INDEX(TA!$AF:$AF,MATCH($B12,TA!$GO:$GO,0))</f>
        <v>#N/A</v>
      </c>
      <c r="H12" s="168" t="e">
        <f>INDEX(TA!$M:$M,MATCH($B12,TA!$GO:$GO,0))</f>
        <v>#N/A</v>
      </c>
      <c r="I12" s="1453" t="e">
        <f>INDEX(AA!$FX:$FX,MATCH(INDEX(TA!$C:$C,MATCH($B12,TA!$GO:$GO,0)),AA!$C:$C,0))</f>
        <v>#N/A</v>
      </c>
    </row>
    <row r="13" spans="1:167">
      <c r="B13" s="1446">
        <v>2</v>
      </c>
      <c r="C13" s="1447" t="e">
        <f>INDEX(TA!$R:$R,MATCH($B13,TA!$GO:$GO,0))</f>
        <v>#N/A</v>
      </c>
      <c r="D13" s="1447" t="e">
        <f>INDEX(TA!$I:$I,MATCH($B13,TA!$GO:$GO,0))</f>
        <v>#N/A</v>
      </c>
      <c r="E13" s="1448" t="e">
        <f>INDEX(TA!$V:$V,MATCH($B13,TA!$GO:$GO,0))</f>
        <v>#N/A</v>
      </c>
      <c r="F13" s="1448" t="e">
        <f>INDEX(TA!$AJ:$AJ,MATCH($B13,TA!$GO:$GO,0))</f>
        <v>#N/A</v>
      </c>
      <c r="G13" s="1488" t="e">
        <f>INDEX(TA!$AF:$AF,MATCH($B13,TA!$GO:$GO,0))</f>
        <v>#N/A</v>
      </c>
      <c r="H13" s="1448" t="e">
        <f>INDEX(TA!$M:$M,MATCH($B13,TA!$GO:$GO,0))</f>
        <v>#N/A</v>
      </c>
      <c r="I13" s="1454" t="e">
        <f>INDEX(AA!$FX:$FX,MATCH(INDEX(TA!$C:$C,MATCH($B13,TA!$GO:$GO,0)),AA!$C:$C,0))</f>
        <v>#N/A</v>
      </c>
    </row>
    <row r="14" spans="1:167">
      <c r="B14" s="1449">
        <v>3</v>
      </c>
      <c r="C14" s="1450" t="e">
        <f>INDEX(TA!$R:$R,MATCH($B14,TA!$GO:$GO,0))</f>
        <v>#N/A</v>
      </c>
      <c r="D14" s="1450" t="e">
        <f>INDEX(TA!$I:$I,MATCH($B14,TA!$GO:$GO,0))</f>
        <v>#N/A</v>
      </c>
      <c r="E14" s="1451" t="e">
        <f>INDEX(TA!$V:$V,MATCH($B14,TA!$GO:$GO,0))</f>
        <v>#N/A</v>
      </c>
      <c r="F14" s="1451" t="e">
        <f>INDEX(TA!$AJ:$AJ,MATCH($B14,TA!$GO:$GO,0))</f>
        <v>#N/A</v>
      </c>
      <c r="G14" s="1452" t="e">
        <f>INDEX(TA!$AF:$AF,MATCH($B14,TA!$GO:$GO,0))</f>
        <v>#N/A</v>
      </c>
      <c r="H14" s="1450" t="e">
        <f>INDEX(TA!$M:$M,MATCH($B14,TA!$GO:$GO,0))</f>
        <v>#N/A</v>
      </c>
      <c r="I14" s="1455" t="e">
        <f>INDEX(AA!$FX:$FX,MATCH(INDEX(TA!$C:$C,MATCH($B14,TA!$GO:$GO,0)),AA!$C:$C,0))</f>
        <v>#N/A</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1F4DC-9418-4B49-8F46-2E098DA45A47}">
  <sheetPr codeName="Sheet33">
    <tabColor rgb="FF7030A0"/>
  </sheetPr>
  <dimension ref="A1:FM23"/>
  <sheetViews>
    <sheetView showGridLines="0" topLeftCell="A4" workbookViewId="0">
      <selection activeCell="M13" sqref="M13"/>
    </sheetView>
  </sheetViews>
  <sheetFormatPr baseColWidth="10" defaultColWidth="8.7109375" defaultRowHeight="15"/>
  <cols>
    <col min="1" max="1" width="2.28515625" customWidth="1"/>
    <col min="2" max="2" width="3" bestFit="1" customWidth="1"/>
    <col min="3" max="3" width="19.7109375" bestFit="1" customWidth="1"/>
    <col min="4" max="4" width="15.42578125" bestFit="1" customWidth="1"/>
    <col min="5" max="5" width="19.5703125" bestFit="1" customWidth="1"/>
    <col min="6" max="6" width="8.7109375" bestFit="1" customWidth="1"/>
    <col min="7" max="7" width="11.5703125" bestFit="1" customWidth="1"/>
    <col min="8" max="8" width="10.5703125" bestFit="1" customWidth="1"/>
    <col min="9" max="9" width="13.42578125" bestFit="1" customWidth="1"/>
    <col min="11" max="11" width="2.42578125" customWidth="1"/>
  </cols>
  <sheetData>
    <row r="1" spans="1:169" s="35" customFormat="1">
      <c r="A1" s="1" t="str">
        <f ca="1">UPPER(MID(CELL("filename",A1),FIND("[",CELL("filename",A1))+1,FIND("]",CELL("filename",A1))-FIND("[",CELL("filename",A1))-5))</f>
        <v>VORLAGE.</v>
      </c>
      <c r="B1" s="1"/>
      <c r="E1" s="58"/>
      <c r="F1" s="58"/>
      <c r="G1" s="58"/>
      <c r="H1" s="58"/>
      <c r="J1" s="58"/>
      <c r="K1" s="58"/>
      <c r="L1" s="58"/>
      <c r="M1" s="58"/>
      <c r="N1" s="58"/>
      <c r="O1" s="58"/>
      <c r="P1" s="58"/>
      <c r="Q1" s="58"/>
      <c r="AJ1" s="58"/>
      <c r="AK1" s="58"/>
      <c r="AL1" s="58"/>
      <c r="AM1" s="58"/>
      <c r="AN1" s="58"/>
      <c r="AO1" s="58"/>
      <c r="BU1" s="58"/>
      <c r="BY1" s="58"/>
      <c r="BZ1" s="58"/>
      <c r="CM1" s="58"/>
      <c r="CZ1" s="58"/>
      <c r="DM1" s="58"/>
      <c r="DN1" s="58"/>
      <c r="DO1" s="58"/>
      <c r="DP1" s="58"/>
      <c r="DQ1" s="58"/>
      <c r="EI1" s="58"/>
      <c r="EO1" s="58"/>
      <c r="FK1" s="58"/>
      <c r="FM1" s="58"/>
    </row>
    <row r="2" spans="1:169" s="35" customFormat="1">
      <c r="A2" s="1" t="s">
        <v>1034</v>
      </c>
      <c r="B2" s="1"/>
      <c r="E2" s="58"/>
      <c r="F2" s="58"/>
      <c r="G2" s="58"/>
      <c r="H2" s="58"/>
      <c r="J2" s="58"/>
      <c r="K2" s="58"/>
      <c r="L2" s="58"/>
      <c r="M2" s="58"/>
      <c r="N2" s="58"/>
      <c r="O2" s="58"/>
      <c r="P2" s="58"/>
      <c r="Q2" s="58"/>
      <c r="AJ2" s="58"/>
      <c r="AK2" s="58"/>
      <c r="AL2" s="58"/>
      <c r="AM2" s="58"/>
      <c r="AN2" s="58"/>
      <c r="AO2" s="58"/>
      <c r="BU2" s="58"/>
      <c r="BY2" s="58"/>
      <c r="BZ2" s="58"/>
      <c r="CM2" s="58"/>
      <c r="CZ2" s="58"/>
      <c r="DM2" s="58"/>
      <c r="DN2" s="58"/>
      <c r="DO2" s="58"/>
      <c r="DP2" s="58"/>
      <c r="DQ2" s="58"/>
      <c r="EI2" s="58"/>
      <c r="EO2" s="58"/>
      <c r="FK2" s="58"/>
      <c r="FM2" s="58"/>
    </row>
    <row r="3" spans="1:169" s="35" customFormat="1" ht="17.25">
      <c r="E3" s="58"/>
      <c r="F3" s="58"/>
      <c r="G3" s="58"/>
      <c r="H3" s="58"/>
      <c r="J3" s="58"/>
      <c r="K3" s="58"/>
      <c r="L3" s="58"/>
      <c r="M3" s="58"/>
      <c r="N3" s="58"/>
      <c r="O3" s="58"/>
      <c r="P3" s="58"/>
      <c r="Q3" s="58"/>
      <c r="T3" s="156"/>
      <c r="U3" s="156"/>
      <c r="V3" s="156"/>
      <c r="AJ3" s="58"/>
      <c r="AK3" s="58"/>
      <c r="AL3" s="58"/>
      <c r="AM3" s="58"/>
      <c r="AN3" s="58"/>
      <c r="AO3" s="58"/>
      <c r="BU3" s="58"/>
      <c r="BY3" s="58"/>
      <c r="BZ3" s="58"/>
      <c r="CM3" s="58"/>
      <c r="CZ3" s="58"/>
      <c r="DM3" s="58"/>
      <c r="DN3" s="58"/>
      <c r="DO3" s="58"/>
      <c r="DP3" s="58"/>
      <c r="DQ3" s="58"/>
      <c r="EI3" s="58"/>
      <c r="EO3" s="58"/>
      <c r="FK3" s="58"/>
      <c r="FM3" s="58"/>
    </row>
    <row r="4" spans="1:169" s="35" customFormat="1">
      <c r="E4" s="58"/>
      <c r="F4" s="58"/>
      <c r="G4" s="58"/>
      <c r="H4" s="58"/>
      <c r="J4" s="58"/>
      <c r="K4" s="58"/>
      <c r="L4" s="58"/>
      <c r="M4" s="58"/>
      <c r="N4" s="58"/>
      <c r="O4" s="58"/>
      <c r="P4" s="58"/>
      <c r="Q4" s="58"/>
      <c r="T4" s="157"/>
      <c r="U4" s="157"/>
      <c r="V4" s="157"/>
      <c r="AJ4" s="58"/>
      <c r="AK4" s="58"/>
      <c r="AL4" s="58"/>
      <c r="AM4" s="58"/>
      <c r="AN4" s="58"/>
      <c r="AO4" s="58"/>
      <c r="BU4" s="58"/>
      <c r="BY4" s="58"/>
      <c r="BZ4" s="58"/>
      <c r="CM4" s="58"/>
      <c r="CZ4" s="58"/>
      <c r="DM4" s="58"/>
      <c r="DN4" s="58"/>
      <c r="DO4" s="58"/>
      <c r="DP4" s="58"/>
      <c r="DQ4" s="58"/>
      <c r="EI4" s="58"/>
      <c r="EO4" s="58"/>
      <c r="FK4" s="58"/>
      <c r="FM4" s="58"/>
    </row>
    <row r="7" spans="1:169">
      <c r="B7" s="1"/>
      <c r="C7" s="1"/>
      <c r="D7" s="1"/>
      <c r="E7" s="1"/>
      <c r="F7" s="1"/>
      <c r="G7" s="1" t="s">
        <v>1034</v>
      </c>
      <c r="H7" s="1"/>
      <c r="I7" s="1"/>
      <c r="J7" s="1"/>
    </row>
    <row r="8" spans="1:169" ht="45">
      <c r="B8" s="89" t="s">
        <v>37</v>
      </c>
      <c r="C8" s="89" t="s">
        <v>149</v>
      </c>
      <c r="D8" s="89" t="s">
        <v>1342</v>
      </c>
      <c r="E8" s="89" t="s">
        <v>1541</v>
      </c>
      <c r="F8" s="157" t="s">
        <v>1542</v>
      </c>
      <c r="G8" s="89" t="s">
        <v>1309</v>
      </c>
      <c r="H8" s="157" t="s">
        <v>1344</v>
      </c>
      <c r="I8" s="89" t="s">
        <v>1310</v>
      </c>
      <c r="J8" s="89" t="s">
        <v>300</v>
      </c>
    </row>
    <row r="9" spans="1:169">
      <c r="B9" s="49">
        <v>1</v>
      </c>
      <c r="C9" s="1710" t="str">
        <f>IFERROR(INDEX(TA!$R:$R,MATCH($B9,TA!$GU:$GU,0)),0)</f>
        <v>backup</v>
      </c>
      <c r="D9" s="1415">
        <f>COUNTIFS(TA!$R:$R,$C9)*(C9&lt;&gt;0)</f>
        <v>3</v>
      </c>
      <c r="E9" s="1415">
        <f>SUMIFS(TA!$V:$V,TA!$R:$R,$C9)</f>
        <v>3000</v>
      </c>
      <c r="F9" s="1417">
        <f t="shared" ref="F9:F18" si="0">E9/$E$23</f>
        <v>1</v>
      </c>
      <c r="G9" s="1415">
        <f>IFERROR(INDEX(TA!$GT:$GT,MATCH($B9,TA!$GU:$GU,0)),0)</f>
        <v>300000</v>
      </c>
      <c r="H9" s="1419">
        <f>IFERROR(G9/$G$23,0)</f>
        <v>1</v>
      </c>
      <c r="I9" s="1421">
        <f>IFERROR(G9/E9/12,0)</f>
        <v>8.3333333333333339</v>
      </c>
      <c r="J9" s="1494">
        <f>IFERROR(SUMIFS(TA!$GM:$GM,TA!$R:$R,$C9)/SUMIFS(TA!$AJ:$AJ,TA!$R:$R,$C9),0)</f>
        <v>17.846575342465758</v>
      </c>
    </row>
    <row r="10" spans="1:169">
      <c r="B10" s="1212">
        <v>2</v>
      </c>
      <c r="C10" s="1713">
        <f>IFERROR(INDEX(TA!$R:$R,MATCH($B10,TA!$GU:$GU,0)),0)</f>
        <v>0</v>
      </c>
      <c r="D10" s="1416">
        <f>COUNTIFS(TA!$R:$R,$C10)*(C10&lt;&gt;0)</f>
        <v>0</v>
      </c>
      <c r="E10" s="1416">
        <f>SUMIFS(TA!$V:$V,TA!$R:$R,$C10)</f>
        <v>0</v>
      </c>
      <c r="F10" s="1418">
        <f t="shared" si="0"/>
        <v>0</v>
      </c>
      <c r="G10" s="1416">
        <f>IFERROR(INDEX(TA!$GT:$GT,MATCH($B10,TA!$GU:$GU,0)),0)</f>
        <v>0</v>
      </c>
      <c r="H10" s="1420">
        <f t="shared" ref="H10:H18" si="1">IFERROR(G10/$G$23,0)</f>
        <v>0</v>
      </c>
      <c r="I10" s="1422">
        <f t="shared" ref="I10:I18" si="2">IFERROR(G10/E10/12,0)</f>
        <v>0</v>
      </c>
      <c r="J10" s="1495">
        <f>IFERROR(SUMIFS(TA!$GM:$GM,TA!$R:$R,$C10)/SUMIFS(TA!$AJ:$AJ,TA!$R:$R,$C10),0)</f>
        <v>0</v>
      </c>
    </row>
    <row r="11" spans="1:169">
      <c r="B11" s="49">
        <v>3</v>
      </c>
      <c r="C11" s="1710">
        <f>IFERROR(INDEX(TA!$R:$R,MATCH($B11,TA!$GU:$GU,0)),0)</f>
        <v>0</v>
      </c>
      <c r="D11" s="1415">
        <f>COUNTIFS(TA!$R:$R,$C11)*(C11&lt;&gt;0)</f>
        <v>0</v>
      </c>
      <c r="E11" s="1415">
        <f>SUMIFS(TA!$V:$V,TA!$R:$R,$C11)</f>
        <v>0</v>
      </c>
      <c r="F11" s="1417">
        <f t="shared" si="0"/>
        <v>0</v>
      </c>
      <c r="G11" s="1415">
        <f>IFERROR(INDEX(TA!$GT:$GT,MATCH($B11,TA!$GU:$GU,0)),0)</f>
        <v>0</v>
      </c>
      <c r="H11" s="1419">
        <f t="shared" si="1"/>
        <v>0</v>
      </c>
      <c r="I11" s="1421">
        <f t="shared" si="2"/>
        <v>0</v>
      </c>
      <c r="J11" s="1494">
        <f>IFERROR(SUMIFS(TA!$GM:$GM,TA!$R:$R,$C11)/SUMIFS(TA!$AJ:$AJ,TA!$R:$R,$C11),0)</f>
        <v>0</v>
      </c>
    </row>
    <row r="12" spans="1:169">
      <c r="B12" s="1212">
        <v>4</v>
      </c>
      <c r="C12" s="1713">
        <f>IFERROR(INDEX(TA!$R:$R,MATCH($B12,TA!$GU:$GU,0)),0)</f>
        <v>0</v>
      </c>
      <c r="D12" s="1416">
        <f>COUNTIFS(TA!$R:$R,$C12)*(C12&lt;&gt;0)</f>
        <v>0</v>
      </c>
      <c r="E12" s="1416">
        <f>SUMIFS(TA!$V:$V,TA!$R:$R,$C12)</f>
        <v>0</v>
      </c>
      <c r="F12" s="1418">
        <f t="shared" si="0"/>
        <v>0</v>
      </c>
      <c r="G12" s="1416">
        <f>IFERROR(INDEX(TA!$GT:$GT,MATCH($B12,TA!$GU:$GU,0)),0)</f>
        <v>0</v>
      </c>
      <c r="H12" s="1420">
        <f t="shared" si="1"/>
        <v>0</v>
      </c>
      <c r="I12" s="1422">
        <f t="shared" si="2"/>
        <v>0</v>
      </c>
      <c r="J12" s="1495">
        <f>IFERROR(SUMIFS(TA!$GM:$GM,TA!$R:$R,$C12)/SUMIFS(TA!$AJ:$AJ,TA!$R:$R,$C12),0)</f>
        <v>0</v>
      </c>
    </row>
    <row r="13" spans="1:169">
      <c r="B13" s="49">
        <v>5</v>
      </c>
      <c r="C13" s="1710">
        <f>IFERROR(INDEX(TA!$R:$R,MATCH($B13,TA!$GU:$GU,0)),0)</f>
        <v>0</v>
      </c>
      <c r="D13" s="1415">
        <f>COUNTIFS(TA!$R:$R,$C13)*(C13&lt;&gt;0)</f>
        <v>0</v>
      </c>
      <c r="E13" s="1415">
        <f>SUMIFS(TA!$V:$V,TA!$R:$R,$C13)</f>
        <v>0</v>
      </c>
      <c r="F13" s="1417">
        <f t="shared" si="0"/>
        <v>0</v>
      </c>
      <c r="G13" s="1415">
        <f>IFERROR(INDEX(TA!$GT:$GT,MATCH($B13,TA!$GU:$GU,0)),0)</f>
        <v>0</v>
      </c>
      <c r="H13" s="1419">
        <f t="shared" si="1"/>
        <v>0</v>
      </c>
      <c r="I13" s="1421">
        <f t="shared" si="2"/>
        <v>0</v>
      </c>
      <c r="J13" s="1494">
        <f>IFERROR(SUMIFS(TA!$GM:$GM,TA!$R:$R,$C13)/SUMIFS(TA!$AJ:$AJ,TA!$R:$R,$C13),0)</f>
        <v>0</v>
      </c>
    </row>
    <row r="14" spans="1:169">
      <c r="B14" s="1212">
        <v>6</v>
      </c>
      <c r="C14" s="1713">
        <f>IFERROR(INDEX(TA!$R:$R,MATCH($B14,TA!$GU:$GU,0)),0)</f>
        <v>0</v>
      </c>
      <c r="D14" s="1416">
        <f>COUNTIFS(TA!$R:$R,$C14)*(C14&lt;&gt;0)</f>
        <v>0</v>
      </c>
      <c r="E14" s="1416">
        <f>SUMIFS(TA!$V:$V,TA!$R:$R,$C14)</f>
        <v>0</v>
      </c>
      <c r="F14" s="1418">
        <f t="shared" si="0"/>
        <v>0</v>
      </c>
      <c r="G14" s="1416">
        <f>IFERROR(INDEX(TA!$GT:$GT,MATCH($B14,TA!$GU:$GU,0)),0)</f>
        <v>0</v>
      </c>
      <c r="H14" s="1420">
        <f t="shared" si="1"/>
        <v>0</v>
      </c>
      <c r="I14" s="1422">
        <f t="shared" si="2"/>
        <v>0</v>
      </c>
      <c r="J14" s="1495">
        <f>IFERROR(SUMIFS(TA!$GM:$GM,TA!$R:$R,$C14)/SUMIFS(TA!$AJ:$AJ,TA!$R:$R,$C14),0)</f>
        <v>0</v>
      </c>
    </row>
    <row r="15" spans="1:169">
      <c r="B15" s="49">
        <v>7</v>
      </c>
      <c r="C15" s="1710">
        <f>IFERROR(INDEX(TA!$R:$R,MATCH($B15,TA!$GU:$GU,0)),0)</f>
        <v>0</v>
      </c>
      <c r="D15" s="1415">
        <f>COUNTIFS(TA!$R:$R,$C15)*(C15&lt;&gt;0)</f>
        <v>0</v>
      </c>
      <c r="E15" s="1415">
        <f>SUMIFS(TA!$V:$V,TA!$R:$R,$C15)</f>
        <v>0</v>
      </c>
      <c r="F15" s="1417">
        <f t="shared" si="0"/>
        <v>0</v>
      </c>
      <c r="G15" s="1415">
        <f>IFERROR(INDEX(TA!$GT:$GT,MATCH($B15,TA!$GU:$GU,0)),0)</f>
        <v>0</v>
      </c>
      <c r="H15" s="1419">
        <f t="shared" si="1"/>
        <v>0</v>
      </c>
      <c r="I15" s="1421">
        <f t="shared" si="2"/>
        <v>0</v>
      </c>
      <c r="J15" s="1494">
        <f>IFERROR(SUMIFS(TA!$GM:$GM,TA!$R:$R,$C15)/SUMIFS(TA!$AJ:$AJ,TA!$R:$R,$C15),0)</f>
        <v>0</v>
      </c>
    </row>
    <row r="16" spans="1:169">
      <c r="B16" s="1212">
        <v>8</v>
      </c>
      <c r="C16" s="1713">
        <f>IFERROR(INDEX(TA!$R:$R,MATCH($B16,TA!$GU:$GU,0)),0)</f>
        <v>0</v>
      </c>
      <c r="D16" s="1416">
        <f>COUNTIFS(TA!$R:$R,$C16)*(C16&lt;&gt;0)</f>
        <v>0</v>
      </c>
      <c r="E16" s="1416">
        <f>SUMIFS(TA!$V:$V,TA!$R:$R,$C16)</f>
        <v>0</v>
      </c>
      <c r="F16" s="1418">
        <f t="shared" si="0"/>
        <v>0</v>
      </c>
      <c r="G16" s="1416">
        <f>IFERROR(INDEX(TA!$GT:$GT,MATCH($B16,TA!$GU:$GU,0)),0)</f>
        <v>0</v>
      </c>
      <c r="H16" s="1420">
        <f t="shared" si="1"/>
        <v>0</v>
      </c>
      <c r="I16" s="1422">
        <f t="shared" si="2"/>
        <v>0</v>
      </c>
      <c r="J16" s="1495">
        <f>IFERROR(SUMIFS(TA!$GM:$GM,TA!$R:$R,$C16)/SUMIFS(TA!$AJ:$AJ,TA!$R:$R,$C16),0)</f>
        <v>0</v>
      </c>
    </row>
    <row r="17" spans="2:10">
      <c r="B17" s="49">
        <v>9</v>
      </c>
      <c r="C17" s="1710">
        <f>IFERROR(INDEX(TA!$R:$R,MATCH($B17,TA!$GU:$GU,0)),0)</f>
        <v>0</v>
      </c>
      <c r="D17" s="1415">
        <f>COUNTIFS(TA!$R:$R,$C17)*(C17&lt;&gt;0)</f>
        <v>0</v>
      </c>
      <c r="E17" s="1415">
        <f>SUMIFS(TA!$V:$V,TA!$R:$R,$C17)</f>
        <v>0</v>
      </c>
      <c r="F17" s="1417">
        <f t="shared" si="0"/>
        <v>0</v>
      </c>
      <c r="G17" s="1415">
        <f>IFERROR(INDEX(TA!$GT:$GT,MATCH($B17,TA!$GU:$GU,0)),0)</f>
        <v>0</v>
      </c>
      <c r="H17" s="1419">
        <f t="shared" si="1"/>
        <v>0</v>
      </c>
      <c r="I17" s="1421">
        <f t="shared" si="2"/>
        <v>0</v>
      </c>
      <c r="J17" s="1494">
        <f>IFERROR(SUMIFS(TA!$GM:$GM,TA!$R:$R,$C17)/SUMIFS(TA!$AJ:$AJ,TA!$R:$R,$C17),0)</f>
        <v>0</v>
      </c>
    </row>
    <row r="18" spans="2:10">
      <c r="B18" s="1212">
        <v>10</v>
      </c>
      <c r="C18" s="1713">
        <f>IFERROR(INDEX(TA!$R:$R,MATCH($B18,TA!$GU:$GU,0)),0)</f>
        <v>0</v>
      </c>
      <c r="D18" s="1416">
        <f>COUNTIFS(TA!$R:$R,$C18)*(C18&lt;&gt;0)</f>
        <v>0</v>
      </c>
      <c r="E18" s="1416">
        <f>SUMIFS(TA!$V:$V,TA!$R:$R,$C18)</f>
        <v>0</v>
      </c>
      <c r="F18" s="1418">
        <f t="shared" si="0"/>
        <v>0</v>
      </c>
      <c r="G18" s="1416">
        <f>IFERROR(INDEX(TA!$GT:$GT,MATCH($B18,TA!$GU:$GU,0)),0)</f>
        <v>0</v>
      </c>
      <c r="H18" s="1420">
        <f t="shared" si="1"/>
        <v>0</v>
      </c>
      <c r="I18" s="1422">
        <f t="shared" si="2"/>
        <v>0</v>
      </c>
      <c r="J18" s="1495">
        <f>IFERROR(SUMIFS(TA!$GM:$GM,TA!$R:$R,$C18)/SUMIFS(TA!$AJ:$AJ,TA!$R:$R,$C18),0)</f>
        <v>0</v>
      </c>
    </row>
    <row r="19" spans="2:10" ht="15.75" thickBot="1">
      <c r="B19" s="1265"/>
      <c r="C19" s="1260" t="s">
        <v>1345</v>
      </c>
      <c r="D19" s="1268">
        <f>SUM(D9:D18)</f>
        <v>3</v>
      </c>
      <c r="E19" s="1269">
        <f>SUM(E9:E18)</f>
        <v>3000</v>
      </c>
      <c r="F19" s="1270">
        <f>SUM(F9:F18)</f>
        <v>1</v>
      </c>
      <c r="G19" s="1269">
        <f>SUM(G9:G18)</f>
        <v>300000</v>
      </c>
      <c r="H19" s="1270">
        <f>SUM(H9:H18)</f>
        <v>1</v>
      </c>
      <c r="I19" s="1271">
        <f>SUMPRODUCT(I9:I18,E9:E18)/E19</f>
        <v>8.3333333333333339</v>
      </c>
      <c r="J19" s="1496">
        <f>SUMPRODUCT(J9:J18,G9:G18)/G19</f>
        <v>17.846575342465758</v>
      </c>
    </row>
    <row r="20" spans="2:10" ht="7.5" customHeight="1" thickTop="1">
      <c r="J20" s="1289"/>
    </row>
    <row r="21" spans="2:10" ht="15" customHeight="1">
      <c r="B21" s="268"/>
      <c r="C21" s="253" t="s">
        <v>47</v>
      </c>
      <c r="D21" s="1543">
        <f>D23-D19</f>
        <v>0</v>
      </c>
      <c r="E21" s="1555">
        <f>E23-E19</f>
        <v>0</v>
      </c>
      <c r="F21" s="1544">
        <f>F23-F19</f>
        <v>0</v>
      </c>
      <c r="G21" s="1545">
        <f t="shared" ref="G21:H21" si="3">G23-G19</f>
        <v>0</v>
      </c>
      <c r="H21" s="1544">
        <f t="shared" si="3"/>
        <v>0</v>
      </c>
      <c r="I21" s="1546">
        <f>IFERROR(G21/E21/12,0)</f>
        <v>0</v>
      </c>
      <c r="J21" s="1497">
        <f>IFERROR(SUMIFS(TA!$GM$15:$GM$17,TA!$GU$15:$GU$17,"&gt;10")/SUMIFS(TA!$AJ$15:$AJ$17,TA!$GU$15:$GU$17,"&gt;10"),0)</f>
        <v>0</v>
      </c>
    </row>
    <row r="22" spans="2:10" ht="7.5" customHeight="1">
      <c r="J22" s="1289"/>
    </row>
    <row r="23" spans="2:10">
      <c r="B23" s="268"/>
      <c r="C23" s="253" t="s">
        <v>1343</v>
      </c>
      <c r="D23" s="1543">
        <f>SUMPRODUCT(TA!F15:F17,TA!G15:G17)</f>
        <v>3</v>
      </c>
      <c r="E23" s="1545">
        <f>AO!S22</f>
        <v>3000</v>
      </c>
      <c r="F23" s="1544">
        <f>E23/E23</f>
        <v>1</v>
      </c>
      <c r="G23" s="1545">
        <f>AO!Y22</f>
        <v>300000</v>
      </c>
      <c r="H23" s="1272">
        <f>G23/G23</f>
        <v>1</v>
      </c>
      <c r="I23" s="1546">
        <f>G23/E23/12</f>
        <v>8.3333333333333339</v>
      </c>
      <c r="J23" s="1497">
        <f>AO!AP22</f>
        <v>17.846575342465758</v>
      </c>
    </row>
  </sheetData>
  <pageMargins left="0.7" right="0.7" top="0.75" bottom="0.75" header="0.3" footer="0.3"/>
  <pageSetup paperSize="9" scale="75" orientation="portrait" r:id="rId1"/>
  <ignoredErrors>
    <ignoredError sqref="G23" formula="1"/>
    <ignoredError sqref="H23:J23 I19:J19 H21 D21 D23 F23 F21 F9:F19" evalError="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BDE87-3AD2-4C1E-85CF-EC365D464BF1}">
  <sheetPr codeName="Sheet34">
    <tabColor rgb="FF7030A0"/>
  </sheetPr>
  <dimension ref="A1:FB113"/>
  <sheetViews>
    <sheetView workbookViewId="0"/>
  </sheetViews>
  <sheetFormatPr baseColWidth="10" defaultColWidth="9.28515625" defaultRowHeight="15" outlineLevelCol="1"/>
  <cols>
    <col min="1" max="1" width="2.28515625" customWidth="1"/>
    <col min="2" max="2" width="9.28515625" hidden="1" customWidth="1" outlineLevel="1"/>
    <col min="3" max="3" width="9.42578125" bestFit="1" customWidth="1" collapsed="1"/>
    <col min="4" max="4" width="15.42578125" bestFit="1" customWidth="1"/>
    <col min="5" max="5" width="31.5703125" bestFit="1" customWidth="1"/>
    <col min="6" max="6" width="9.42578125" customWidth="1"/>
    <col min="7" max="7" width="14" customWidth="1"/>
    <col min="8" max="8" width="10.5703125" customWidth="1"/>
    <col min="9" max="9" width="0.5703125" customWidth="1"/>
    <col min="10" max="15" width="11.5703125" customWidth="1"/>
    <col min="16" max="16" width="0.5703125" customWidth="1"/>
    <col min="17" max="17" width="15.7109375" bestFit="1" customWidth="1"/>
    <col min="18" max="18" width="9.42578125" customWidth="1"/>
    <col min="19" max="19" width="9.42578125" bestFit="1" customWidth="1"/>
    <col min="20" max="21" width="9.28515625" customWidth="1"/>
    <col min="22" max="22" width="0.5703125" customWidth="1"/>
    <col min="23" max="23" width="10" bestFit="1" customWidth="1"/>
    <col min="24" max="24" width="9.42578125" customWidth="1"/>
    <col min="25" max="25" width="8.7109375" bestFit="1" customWidth="1"/>
    <col min="26" max="27" width="9.42578125" customWidth="1"/>
    <col min="28" max="28" width="0.5703125" customWidth="1"/>
    <col min="29" max="29" width="15.7109375" bestFit="1" customWidth="1"/>
    <col min="30" max="30" width="9.28515625" customWidth="1"/>
    <col min="31" max="31" width="8.5703125" customWidth="1"/>
    <col min="32" max="32" width="6.5703125" customWidth="1"/>
    <col min="33" max="33" width="8.5703125" customWidth="1"/>
    <col min="34" max="34" width="0.5703125" customWidth="1"/>
    <col min="35" max="35" width="11.5703125" customWidth="1"/>
    <col min="36" max="36" width="9.7109375" bestFit="1" customWidth="1"/>
    <col min="37" max="37" width="11.28515625" bestFit="1" customWidth="1"/>
    <col min="38" max="39" width="14.42578125" bestFit="1" customWidth="1"/>
    <col min="40" max="40" width="14" bestFit="1" customWidth="1"/>
    <col min="44" max="49" width="8.5703125" customWidth="1"/>
  </cols>
  <sheetData>
    <row r="1" spans="1:158" s="35" customFormat="1">
      <c r="A1" s="1" t="str">
        <f ca="1">UPPER(MID(CELL("filename",A1),FIND("[",CELL("filename",A1))+1,FIND("]",CELL("filename",A1))-FIND("[",CELL("filename",A1))-5))</f>
        <v>VORLAGE.</v>
      </c>
      <c r="B1" s="1"/>
      <c r="E1" s="58"/>
      <c r="F1" s="58"/>
      <c r="G1" s="58"/>
      <c r="I1" s="58"/>
      <c r="J1" s="58"/>
      <c r="K1" s="58"/>
      <c r="L1" s="58"/>
      <c r="M1" s="58"/>
      <c r="N1" s="58"/>
      <c r="O1" s="58"/>
      <c r="P1" s="58"/>
      <c r="AG1" s="58"/>
      <c r="BJ1" s="58"/>
      <c r="BN1" s="58"/>
      <c r="BO1" s="58"/>
      <c r="CB1" s="58"/>
      <c r="CO1" s="58"/>
      <c r="DB1" s="58"/>
      <c r="DC1" s="58"/>
      <c r="DD1" s="58"/>
      <c r="DE1" s="58"/>
      <c r="DF1" s="58"/>
      <c r="DX1" s="58"/>
      <c r="ED1" s="58"/>
      <c r="EZ1" s="58"/>
      <c r="FB1" s="58"/>
    </row>
    <row r="2" spans="1:158" s="35" customFormat="1">
      <c r="A2" s="1" t="s">
        <v>1351</v>
      </c>
      <c r="B2" s="1"/>
      <c r="E2" s="58"/>
      <c r="F2" s="58"/>
      <c r="G2" s="58"/>
      <c r="I2" s="58"/>
      <c r="J2" s="58"/>
      <c r="K2" s="58"/>
      <c r="L2" s="58"/>
      <c r="M2" s="58"/>
      <c r="N2" s="58"/>
      <c r="O2" s="58"/>
      <c r="P2" s="58"/>
      <c r="AG2" s="58"/>
      <c r="BJ2" s="58"/>
      <c r="BN2" s="58"/>
      <c r="BO2" s="58"/>
      <c r="CB2" s="58"/>
      <c r="CO2" s="58"/>
      <c r="DB2" s="58"/>
      <c r="DC2" s="58"/>
      <c r="DD2" s="58"/>
      <c r="DE2" s="58"/>
      <c r="DF2" s="58"/>
      <c r="DX2" s="58"/>
      <c r="ED2" s="58"/>
      <c r="EZ2" s="58"/>
      <c r="FB2" s="58"/>
    </row>
    <row r="3" spans="1:158" s="35" customFormat="1" ht="17.25">
      <c r="E3" s="58"/>
      <c r="F3" s="58"/>
      <c r="G3" s="58"/>
      <c r="I3" s="58"/>
      <c r="J3" s="58"/>
      <c r="K3" s="58"/>
      <c r="L3" s="58"/>
      <c r="M3" s="58"/>
      <c r="N3" s="58"/>
      <c r="O3" s="58"/>
      <c r="P3" s="58"/>
      <c r="AG3" s="58"/>
      <c r="AK3" s="156"/>
      <c r="AL3" s="156"/>
      <c r="AM3" s="156"/>
      <c r="BJ3" s="58"/>
      <c r="BN3" s="58"/>
      <c r="BO3" s="58"/>
      <c r="CB3" s="58"/>
      <c r="CO3" s="58"/>
      <c r="DB3" s="58"/>
      <c r="DC3" s="58"/>
      <c r="DD3" s="58"/>
      <c r="DE3" s="58"/>
      <c r="DF3" s="58"/>
      <c r="DX3" s="58"/>
      <c r="ED3" s="58"/>
      <c r="EZ3" s="58"/>
      <c r="FB3" s="58"/>
    </row>
    <row r="4" spans="1:158" s="35" customFormat="1">
      <c r="E4" s="58"/>
      <c r="F4" s="58"/>
      <c r="G4" s="58"/>
      <c r="I4" s="58"/>
      <c r="J4" s="58"/>
      <c r="K4" s="58"/>
      <c r="L4" s="58"/>
      <c r="M4" s="58"/>
      <c r="N4" s="58"/>
      <c r="O4" s="58"/>
      <c r="P4" s="58"/>
      <c r="AG4" s="58"/>
      <c r="AK4" s="157"/>
      <c r="AL4" s="157"/>
      <c r="AM4" s="157"/>
      <c r="BJ4" s="58"/>
      <c r="BN4" s="58"/>
      <c r="BO4" s="58"/>
      <c r="CB4" s="58"/>
      <c r="CO4" s="58"/>
      <c r="DB4" s="58"/>
      <c r="DC4" s="58"/>
      <c r="DD4" s="58"/>
      <c r="DE4" s="58"/>
      <c r="DF4" s="58"/>
      <c r="DX4" s="58"/>
      <c r="ED4" s="58"/>
      <c r="EZ4" s="58"/>
      <c r="FB4" s="58"/>
    </row>
    <row r="6" spans="1:158" ht="17.25">
      <c r="B6" s="39"/>
      <c r="C6" s="39"/>
      <c r="D6" s="39"/>
      <c r="E6" s="39"/>
      <c r="F6" s="39"/>
      <c r="G6" s="39"/>
      <c r="H6" s="39"/>
      <c r="I6" s="39"/>
      <c r="J6" s="848" t="s">
        <v>1096</v>
      </c>
      <c r="K6" s="848"/>
      <c r="L6" s="862"/>
      <c r="M6" s="862"/>
      <c r="N6" s="862"/>
      <c r="O6" s="862"/>
      <c r="P6" s="39"/>
      <c r="Q6" s="833" t="s">
        <v>1005</v>
      </c>
      <c r="R6" s="870"/>
      <c r="S6" s="870"/>
      <c r="T6" s="870"/>
      <c r="U6" s="870"/>
      <c r="W6" s="833" t="s">
        <v>1353</v>
      </c>
      <c r="X6" s="870"/>
      <c r="Y6" s="870"/>
      <c r="Z6" s="870"/>
      <c r="AA6" s="870"/>
      <c r="AC6" s="833" t="s">
        <v>1006</v>
      </c>
      <c r="AD6" s="833"/>
      <c r="AE6" s="862"/>
      <c r="AF6" s="862"/>
      <c r="AG6" s="862"/>
      <c r="AI6" s="848" t="s">
        <v>1009</v>
      </c>
      <c r="AJ6" s="862"/>
      <c r="AK6" s="862"/>
      <c r="AL6" s="862"/>
      <c r="AM6" s="862"/>
      <c r="AN6" s="862"/>
    </row>
    <row r="7" spans="1:158" ht="51.75">
      <c r="B7" s="871" t="s">
        <v>1088</v>
      </c>
      <c r="C7" s="871" t="s">
        <v>1089</v>
      </c>
      <c r="D7" s="871" t="s">
        <v>6</v>
      </c>
      <c r="E7" s="871" t="s">
        <v>1090</v>
      </c>
      <c r="F7" s="871" t="s">
        <v>117</v>
      </c>
      <c r="G7" s="871" t="s">
        <v>890</v>
      </c>
      <c r="H7" s="871" t="s">
        <v>891</v>
      </c>
      <c r="I7" s="871"/>
      <c r="J7" s="871" t="s">
        <v>303</v>
      </c>
      <c r="K7" s="871" t="s">
        <v>300</v>
      </c>
      <c r="L7" s="871" t="s">
        <v>1097</v>
      </c>
      <c r="M7" s="871" t="s">
        <v>365</v>
      </c>
      <c r="N7" s="871" t="s">
        <v>435</v>
      </c>
      <c r="O7" s="871" t="s">
        <v>522</v>
      </c>
      <c r="P7" s="871"/>
      <c r="Q7" s="871" t="s">
        <v>1019</v>
      </c>
      <c r="R7" s="871" t="s">
        <v>1323</v>
      </c>
      <c r="S7" s="871" t="s">
        <v>1352</v>
      </c>
      <c r="T7" s="871" t="s">
        <v>1103</v>
      </c>
      <c r="U7" s="871" t="s">
        <v>1045</v>
      </c>
      <c r="W7" s="871" t="s">
        <v>266</v>
      </c>
      <c r="X7" s="871" t="s">
        <v>1207</v>
      </c>
      <c r="Y7" s="871" t="s">
        <v>1261</v>
      </c>
      <c r="Z7" s="871" t="s">
        <v>1094</v>
      </c>
      <c r="AA7" s="871" t="s">
        <v>1045</v>
      </c>
      <c r="AC7" s="871" t="s">
        <v>474</v>
      </c>
      <c r="AD7" s="871" t="s">
        <v>1207</v>
      </c>
      <c r="AE7" s="871" t="s">
        <v>1261</v>
      </c>
      <c r="AF7" s="871" t="s">
        <v>1094</v>
      </c>
      <c r="AG7" s="871" t="s">
        <v>1045</v>
      </c>
      <c r="AI7" s="871" t="s">
        <v>1538</v>
      </c>
      <c r="AJ7" s="871" t="s">
        <v>911</v>
      </c>
      <c r="AK7" s="871" t="s">
        <v>1091</v>
      </c>
      <c r="AL7" s="871" t="s">
        <v>1092</v>
      </c>
      <c r="AM7" s="871" t="s">
        <v>957</v>
      </c>
      <c r="AN7" s="871" t="s">
        <v>1093</v>
      </c>
    </row>
    <row r="8" spans="1:158">
      <c r="B8" s="72">
        <v>1</v>
      </c>
      <c r="C8" s="49">
        <f>B8</f>
        <v>1</v>
      </c>
      <c r="D8" s="261" t="str">
        <f>IFERROR(INDEX(AA!$AC:$AC,MATCH($C8,AA!$C:$C,0)),0)</f>
        <v>backup</v>
      </c>
      <c r="E8" s="261" t="str">
        <f>IFERROR(INDEX(AA!$AG:$AG,MATCH($C8,AA!$C:$C,0)),0)</f>
        <v>Baden-Wuerttemberg</v>
      </c>
      <c r="F8" s="261" t="str">
        <f>IFERROR(INDEX(AA!$AL:$AL,MATCH($C8,AA!$C:$C,0)),0)</f>
        <v>AVC1</v>
      </c>
      <c r="G8" s="261" t="str">
        <f>IFERROR(INDEX(AA!$AI:$AI,MATCH($C8,AA!$C:$C,0)),0)</f>
        <v>Supermarket</v>
      </c>
      <c r="H8" s="261" t="str">
        <f>IFERROR(INDEX(AA!$AN:$AN,MATCH($C8,AA!$C:$C,0)),0)</f>
        <v>backup</v>
      </c>
      <c r="I8" s="261"/>
      <c r="J8" s="261">
        <f>IFERROR(INDEX(AO!$Q:$Q,MATCH($B8,AO!$C:$C,0)),0)</f>
        <v>1000</v>
      </c>
      <c r="K8" s="1289">
        <f>IFERROR(INDEX(AO!$AP:$AP,MATCH($B8,AO!$C:$C,0)),0)</f>
        <v>17.846575342465755</v>
      </c>
      <c r="L8" s="1278">
        <f>IFERROR(INDEX(AO!$U:$U,MATCH($B8,AO!$C:$C,0)),0)</f>
        <v>1</v>
      </c>
      <c r="M8" s="261">
        <f>IFERROR(INDEX(AO!$Y:$Y,MATCH($B8,AO!$C:$C,0)),0)</f>
        <v>100000</v>
      </c>
      <c r="N8" s="261">
        <f>IFERROR(INDEX(AO!$AI:$AI,MATCH($B8,AO!$C:$C,0)),0)</f>
        <v>92400</v>
      </c>
      <c r="O8" s="261">
        <f>IFERROR(INDEX(AO!$AM:$AM,MATCH($B8,AO!$C:$C,0)),0)</f>
        <v>36375.465310864398</v>
      </c>
      <c r="Q8" s="1230">
        <f>IFERROR(INDEX(AO!$AT:$AT,MATCH($B8,AO!$C:$C,0)),0)</f>
        <v>1702728.7550444414</v>
      </c>
      <c r="R8" s="1230">
        <f>IFERROR(Q8/J8,0)</f>
        <v>1702.7287550444414</v>
      </c>
      <c r="S8" s="1287">
        <f>IFERROR(Q8/M8,0)</f>
        <v>17.027287550444413</v>
      </c>
      <c r="T8" s="1290">
        <f>IFERROR(N8/Q8,0)</f>
        <v>5.4265836367806186E-2</v>
      </c>
      <c r="U8" s="1287">
        <f>IFERROR(Q8/O8,0)</f>
        <v>46.80981371627653</v>
      </c>
      <c r="V8" s="1230"/>
      <c r="W8" s="1230">
        <f>IFERROR(INDEX(AA!$EN:$EN,MATCH($C8,AA!$C:$C,0)),0)</f>
        <v>0</v>
      </c>
      <c r="X8" s="1230">
        <f>IFERROR(W8/J8,0)</f>
        <v>0</v>
      </c>
      <c r="Y8" s="1279">
        <f>IFERROR(W8/M8,0)</f>
        <v>0</v>
      </c>
      <c r="Z8" s="1278">
        <f>IFERROR(N8/W8,0)</f>
        <v>0</v>
      </c>
      <c r="AA8" s="1287">
        <f>IFERROR(W8/O8,0)</f>
        <v>0</v>
      </c>
      <c r="AB8" s="258"/>
      <c r="AC8" s="261">
        <f>IFERROR(INDEX(AA!$GA:$GA,MATCH($C8,AA!$C:$C,0)),0)</f>
        <v>1227203.0062499989</v>
      </c>
      <c r="AD8" s="261">
        <f>IFERROR(AC8/AI8,0)</f>
        <v>1227.2030062499989</v>
      </c>
      <c r="AE8" s="1287">
        <f>IFERROR($AC8/AL8,0)</f>
        <v>12</v>
      </c>
      <c r="AF8" s="1278">
        <f>IFERROR(AM8/$AC8,0)</f>
        <v>7.6836700280858691E-2</v>
      </c>
      <c r="AG8" s="1287">
        <f>IFERROR($AC8/AN8,0)</f>
        <v>17.32577950113355</v>
      </c>
      <c r="AH8" s="1230"/>
      <c r="AI8" s="261">
        <f>IFERROR(INDEX(AO!$CA:$CA,MATCH($B8,AO!$C:$C,0)),0)</f>
        <v>1000</v>
      </c>
      <c r="AJ8" s="1291">
        <f>IFERROR(INDEX(PCF!$BK$60:$BK$62,MATCH($B8,PCF!$C$60:$C$62,0)),0)</f>
        <v>14.846575342465753</v>
      </c>
      <c r="AK8" s="1278">
        <f>IFERROR(INDEX(AO!$CC:$CC,MATCH($B8,AO!$C:$C,0)),0)</f>
        <v>1</v>
      </c>
      <c r="AL8" s="261">
        <f>IFERROR(INDEX(AO!$CE:$CE,MATCH($B8,AO!$C:$C,0)),0)</f>
        <v>102266.91718749992</v>
      </c>
      <c r="AM8" s="261">
        <f>IFERROR(INDEX(AO!$CN:$CN,MATCH($B8,AO!$C:$C,0)),0)</f>
        <v>94294.229574999918</v>
      </c>
      <c r="AN8" s="261">
        <f>IFERROR(INDEX(AO!$CS:$CS,MATCH($B8,AO!$C:$C,0)),0)</f>
        <v>70831.041464524489</v>
      </c>
    </row>
    <row r="9" spans="1:158">
      <c r="B9" s="73">
        <v>2</v>
      </c>
      <c r="C9" s="49">
        <f t="shared" ref="C9" si="0">B9</f>
        <v>2</v>
      </c>
      <c r="D9" s="261" t="str">
        <f>IFERROR(INDEX(AA!$AC:$AC,MATCH($C9,AA!$C:$C,0)),0)</f>
        <v>backup</v>
      </c>
      <c r="E9" s="261" t="str">
        <f>IFERROR(INDEX(AA!$AG:$AG,MATCH($C9,AA!$C:$C,0)),0)</f>
        <v>Baden-Wuerttemberg</v>
      </c>
      <c r="F9" s="261" t="str">
        <f>IFERROR(INDEX(AA!$AL:$AL,MATCH($C9,AA!$C:$C,0)),0)</f>
        <v>PTS</v>
      </c>
      <c r="G9" s="261" t="str">
        <f>IFERROR(INDEX(AA!$AI:$AI,MATCH($C9,AA!$C:$C,0)),0)</f>
        <v>Discounter</v>
      </c>
      <c r="H9" s="261" t="str">
        <f>IFERROR(INDEX(AA!$AN:$AN,MATCH($C9,AA!$C:$C,0)),0)</f>
        <v>backup</v>
      </c>
      <c r="I9" s="261"/>
      <c r="J9" s="261">
        <f>IFERROR(INDEX(AO!$Q:$Q,MATCH($B9,AO!$C:$C,0)),0)</f>
        <v>1000</v>
      </c>
      <c r="K9" s="1289">
        <f>IFERROR(INDEX(AO!$AP:$AP,MATCH($B9,AO!$C:$C,0)),0)</f>
        <v>17.846575342465755</v>
      </c>
      <c r="L9" s="1278">
        <f>IFERROR(INDEX(AO!$U:$U,MATCH($B9,AO!$C:$C,0)),0)</f>
        <v>1</v>
      </c>
      <c r="M9" s="261">
        <f>IFERROR(INDEX(AO!$Y:$Y,MATCH($B9,AO!$C:$C,0)),0)</f>
        <v>100000</v>
      </c>
      <c r="N9" s="261">
        <f>IFERROR(INDEX(AO!$AI:$AI,MATCH($B9,AO!$C:$C,0)),0)</f>
        <v>90200</v>
      </c>
      <c r="O9" s="261">
        <f>IFERROR(INDEX(AO!$AM:$AM,MATCH($B9,AO!$C:$C,0)),0)</f>
        <v>90200</v>
      </c>
      <c r="Q9" s="1230">
        <f>IFERROR(INDEX(AO!$AT:$AT,MATCH($B9,AO!$C:$C,0)),0)</f>
        <v>1662026.6877570669</v>
      </c>
      <c r="R9" s="1230">
        <f t="shared" ref="R9" si="1">IFERROR(Q9/J9,0)</f>
        <v>1662.0266877570668</v>
      </c>
      <c r="S9" s="1287">
        <f t="shared" ref="S9" si="2">IFERROR(Q9/M9,0)</f>
        <v>16.620266877570668</v>
      </c>
      <c r="T9" s="1290">
        <f t="shared" ref="T9" si="3">IFERROR(N9/Q9,0)</f>
        <v>5.4271090027878208E-2</v>
      </c>
      <c r="U9" s="1287">
        <f t="shared" ref="U9:U109" si="4">IFERROR(Q9/O9,0)</f>
        <v>18.426016493980786</v>
      </c>
      <c r="V9" s="1230"/>
      <c r="W9" s="1230">
        <f>IFERROR(INDEX(AA!$EN:$EN,MATCH($C9,AA!$C:$C,0)),0)</f>
        <v>0</v>
      </c>
      <c r="X9" s="1230">
        <f t="shared" ref="X9" si="5">IFERROR(W9/J9,0)</f>
        <v>0</v>
      </c>
      <c r="Y9" s="1279">
        <f t="shared" ref="Y9" si="6">IFERROR(W9/M9,0)</f>
        <v>0</v>
      </c>
      <c r="Z9" s="1278">
        <f t="shared" ref="Z9" si="7">IFERROR(N9/W9,0)</f>
        <v>0</v>
      </c>
      <c r="AA9" s="1287">
        <f t="shared" ref="AA9:AA109" si="8">IFERROR(W9/O9,0)</f>
        <v>0</v>
      </c>
      <c r="AB9" s="258"/>
      <c r="AC9" s="261">
        <f>IFERROR(INDEX(AA!$GA:$GA,MATCH($C9,AA!$C:$C,0)),0)</f>
        <v>1227203.0062499989</v>
      </c>
      <c r="AD9" s="261">
        <f t="shared" ref="AD9" si="9">IFERROR(AC9/AI9,0)</f>
        <v>1227.2030062499989</v>
      </c>
      <c r="AE9" s="1287">
        <f t="shared" ref="AE9" si="10">IFERROR($AC9/AL9,0)</f>
        <v>12</v>
      </c>
      <c r="AF9" s="1278">
        <f t="shared" ref="AF9" si="11">IFERROR(AM9/$AC9,0)</f>
        <v>7.5022209222810887E-2</v>
      </c>
      <c r="AG9" s="1287">
        <f t="shared" ref="AG9" si="12">IFERROR($AC9/AN9,0)</f>
        <v>17.852206426954236</v>
      </c>
      <c r="AH9" s="1230"/>
      <c r="AI9" s="261">
        <f>IFERROR(INDEX(AO!$CA:$CA,MATCH($B9,AO!$C:$C,0)),0)</f>
        <v>1000</v>
      </c>
      <c r="AJ9" s="1291">
        <f>IFERROR(INDEX(PCF!$BK$60:$BK$62,MATCH($B9,PCF!$C$60:$C$62,0)),0)</f>
        <v>14.846575342465753</v>
      </c>
      <c r="AK9" s="1278">
        <f>IFERROR(INDEX(AO!$CC:$CC,MATCH($B9,AO!$C:$C,0)),0)</f>
        <v>1</v>
      </c>
      <c r="AL9" s="261">
        <f>IFERROR(INDEX(AO!$CE:$CE,MATCH($B9,AO!$C:$C,0)),0)</f>
        <v>102266.91718749992</v>
      </c>
      <c r="AM9" s="261">
        <f>IFERROR(INDEX(AO!$CN:$CN,MATCH($B9,AO!$C:$C,0)),0)</f>
        <v>92067.480693749909</v>
      </c>
      <c r="AN9" s="261">
        <f>IFERROR(INDEX(AO!$CS:$CS,MATCH($B9,AO!$C:$C,0)),0)</f>
        <v>68742.371497402186</v>
      </c>
    </row>
    <row r="10" spans="1:158">
      <c r="B10" s="73">
        <v>3</v>
      </c>
      <c r="C10" s="49">
        <f t="shared" ref="C10:C73" si="13">B10</f>
        <v>3</v>
      </c>
      <c r="D10" s="261" t="str">
        <f>IFERROR(INDEX(AA!$AC:$AC,MATCH($C10,AA!$C:$C,0)),0)</f>
        <v>backup</v>
      </c>
      <c r="E10" s="261" t="str">
        <f>IFERROR(INDEX(AA!$AG:$AG,MATCH($C10,AA!$C:$C,0)),0)</f>
        <v>Baden-Wuerttemberg</v>
      </c>
      <c r="F10" s="261" t="str">
        <f>IFERROR(INDEX(AA!$AL:$AL,MATCH($C10,AA!$C:$C,0)),0)</f>
        <v>LTS</v>
      </c>
      <c r="G10" s="261" t="str">
        <f>IFERROR(INDEX(AA!$AI:$AI,MATCH($C10,AA!$C:$C,0)),0)</f>
        <v>Cash &amp; Carry</v>
      </c>
      <c r="H10" s="261" t="str">
        <f>IFERROR(INDEX(AA!$AN:$AN,MATCH($C10,AA!$C:$C,0)),0)</f>
        <v>backup</v>
      </c>
      <c r="I10" s="261"/>
      <c r="J10" s="261">
        <f>IFERROR(INDEX(AO!$Q:$Q,MATCH($B10,AO!$C:$C,0)),0)</f>
        <v>1000</v>
      </c>
      <c r="K10" s="1289">
        <f>IFERROR(INDEX(AO!$AP:$AP,MATCH($B10,AO!$C:$C,0)),0)</f>
        <v>17.846575342465755</v>
      </c>
      <c r="L10" s="1278">
        <f>IFERROR(INDEX(AO!$U:$U,MATCH($B10,AO!$C:$C,0)),0)</f>
        <v>1</v>
      </c>
      <c r="M10" s="261">
        <f>IFERROR(INDEX(AO!$Y:$Y,MATCH($B10,AO!$C:$C,0)),0)</f>
        <v>100000</v>
      </c>
      <c r="N10" s="261">
        <f>IFERROR(INDEX(AO!$AI:$AI,MATCH($B10,AO!$C:$C,0)),0)</f>
        <v>91700</v>
      </c>
      <c r="O10" s="261">
        <f>IFERROR(INDEX(AO!$AM:$AM,MATCH($B10,AO!$C:$C,0)),0)</f>
        <v>91700</v>
      </c>
      <c r="Q10" s="1230">
        <f>IFERROR(INDEX(AO!$AT:$AT,MATCH($B10,AO!$C:$C,0)),0)</f>
        <v>1635244.5571984914</v>
      </c>
      <c r="R10" s="1230">
        <f t="shared" ref="R10:R73" si="14">IFERROR(Q10/J10,0)</f>
        <v>1635.2445571984915</v>
      </c>
      <c r="S10" s="1287">
        <f t="shared" ref="S10:S73" si="15">IFERROR(Q10/M10,0)</f>
        <v>16.352445571984916</v>
      </c>
      <c r="T10" s="1290">
        <f t="shared" ref="T10:T73" si="16">IFERROR(N10/Q10,0)</f>
        <v>5.6077239087161904E-2</v>
      </c>
      <c r="U10" s="1287">
        <f t="shared" ref="U10:U73" si="17">IFERROR(Q10/O10,0)</f>
        <v>17.83254697053971</v>
      </c>
      <c r="V10" s="1230"/>
      <c r="W10" s="1230">
        <f>IFERROR(INDEX(AA!$EN:$EN,MATCH($C10,AA!$C:$C,0)),0)</f>
        <v>0</v>
      </c>
      <c r="X10" s="1230">
        <f t="shared" ref="X10:X73" si="18">IFERROR(W10/J10,0)</f>
        <v>0</v>
      </c>
      <c r="Y10" s="1279">
        <f t="shared" ref="Y10:Y73" si="19">IFERROR(W10/M10,0)</f>
        <v>0</v>
      </c>
      <c r="Z10" s="1278">
        <f t="shared" ref="Z10:Z73" si="20">IFERROR(N10/W10,0)</f>
        <v>0</v>
      </c>
      <c r="AA10" s="1287">
        <f t="shared" ref="AA10:AA73" si="21">IFERROR(W10/O10,0)</f>
        <v>0</v>
      </c>
      <c r="AB10" s="258"/>
      <c r="AC10" s="261">
        <f>IFERROR(INDEX(AA!$GA:$GA,MATCH($C10,AA!$C:$C,0)),0)</f>
        <v>1227203.0062499989</v>
      </c>
      <c r="AD10" s="261">
        <f t="shared" ref="AD10:AD73" si="22">IFERROR(AC10/AI10,0)</f>
        <v>1227.2030062499989</v>
      </c>
      <c r="AE10" s="1287">
        <f t="shared" ref="AE10:AE73" si="23">IFERROR($AC10/AL10,0)</f>
        <v>12</v>
      </c>
      <c r="AF10" s="1278">
        <f t="shared" ref="AF10:AF73" si="24">IFERROR(AM10/$AC10,0)</f>
        <v>7.6346008134345902E-2</v>
      </c>
      <c r="AG10" s="1287">
        <f t="shared" ref="AG10:AG73" si="25">IFERROR($AC10/AN10,0)</f>
        <v>17.417561164372199</v>
      </c>
      <c r="AH10" s="1230"/>
      <c r="AI10" s="261">
        <f>IFERROR(INDEX(AO!$CA:$CA,MATCH($B10,AO!$C:$C,0)),0)</f>
        <v>1000</v>
      </c>
      <c r="AJ10" s="1291">
        <f>IFERROR(INDEX(PCF!$BK$60:$BK$62,MATCH($B10,PCF!$C$60:$C$62,0)),0)</f>
        <v>14.846575342465753</v>
      </c>
      <c r="AK10" s="1278">
        <f>IFERROR(INDEX(AO!$CC:$CC,MATCH($B10,AO!$C:$C,0)),0)</f>
        <v>1</v>
      </c>
      <c r="AL10" s="261">
        <f>IFERROR(INDEX(AO!$CE:$CE,MATCH($B10,AO!$C:$C,0)),0)</f>
        <v>102266.91718749992</v>
      </c>
      <c r="AM10" s="261">
        <f>IFERROR(INDEX(AO!$CN:$CN,MATCH($B10,AO!$C:$C,0)),0)</f>
        <v>93692.050697656159</v>
      </c>
      <c r="AN10" s="261">
        <f>IFERROR(INDEX(AO!$CS:$CS,MATCH($B10,AO!$C:$C,0)),0)</f>
        <v>70457.798004479264</v>
      </c>
    </row>
    <row r="11" spans="1:158">
      <c r="B11" s="73">
        <v>4</v>
      </c>
      <c r="C11" s="49">
        <f t="shared" si="13"/>
        <v>4</v>
      </c>
      <c r="D11" s="261">
        <f>IFERROR(INDEX(AA!$AC:$AC,MATCH($C11,AA!$C:$C,0)),0)</f>
        <v>0</v>
      </c>
      <c r="E11" s="261">
        <f>IFERROR(INDEX(AA!$AG:$AG,MATCH($C11,AA!$C:$C,0)),0)</f>
        <v>0</v>
      </c>
      <c r="F11" s="261">
        <f>IFERROR(INDEX(AA!$AL:$AL,MATCH($C11,AA!$C:$C,0)),0)</f>
        <v>0</v>
      </c>
      <c r="G11" s="261">
        <f>IFERROR(INDEX(AA!$AI:$AI,MATCH($C11,AA!$C:$C,0)),0)</f>
        <v>0</v>
      </c>
      <c r="H11" s="261">
        <f>IFERROR(INDEX(AA!$AN:$AN,MATCH($C11,AA!$C:$C,0)),0)</f>
        <v>0</v>
      </c>
      <c r="I11" s="261"/>
      <c r="J11" s="261">
        <f>IFERROR(INDEX(AO!$Q:$Q,MATCH($B11,AO!$C:$C,0)),0)</f>
        <v>0</v>
      </c>
      <c r="K11" s="1289">
        <f>IFERROR(INDEX(AO!$AP:$AP,MATCH($B11,AO!$C:$C,0)),0)</f>
        <v>0</v>
      </c>
      <c r="L11" s="1278">
        <f>IFERROR(INDEX(AO!$U:$U,MATCH($B11,AO!$C:$C,0)),0)</f>
        <v>0</v>
      </c>
      <c r="M11" s="261">
        <f>IFERROR(INDEX(AO!$Y:$Y,MATCH($B11,AO!$C:$C,0)),0)</f>
        <v>0</v>
      </c>
      <c r="N11" s="261">
        <f>IFERROR(INDEX(AO!$AI:$AI,MATCH($B11,AO!$C:$C,0)),0)</f>
        <v>0</v>
      </c>
      <c r="O11" s="261">
        <f>IFERROR(INDEX(AO!$AM:$AM,MATCH($B11,AO!$C:$C,0)),0)</f>
        <v>0</v>
      </c>
      <c r="Q11" s="1230">
        <f>IFERROR(INDEX(AO!$AT:$AT,MATCH($B11,AO!$C:$C,0)),0)</f>
        <v>0</v>
      </c>
      <c r="R11" s="1230">
        <f t="shared" si="14"/>
        <v>0</v>
      </c>
      <c r="S11" s="1287">
        <f t="shared" si="15"/>
        <v>0</v>
      </c>
      <c r="T11" s="1290">
        <f t="shared" si="16"/>
        <v>0</v>
      </c>
      <c r="U11" s="1287">
        <f t="shared" si="17"/>
        <v>0</v>
      </c>
      <c r="V11" s="1230"/>
      <c r="W11" s="1230">
        <f>IFERROR(INDEX(AA!$EN:$EN,MATCH($C11,AA!$C:$C,0)),0)</f>
        <v>0</v>
      </c>
      <c r="X11" s="1230">
        <f t="shared" si="18"/>
        <v>0</v>
      </c>
      <c r="Y11" s="1279">
        <f t="shared" si="19"/>
        <v>0</v>
      </c>
      <c r="Z11" s="1278">
        <f t="shared" si="20"/>
        <v>0</v>
      </c>
      <c r="AA11" s="1287">
        <f t="shared" si="21"/>
        <v>0</v>
      </c>
      <c r="AB11" s="258"/>
      <c r="AC11" s="261">
        <f>IFERROR(INDEX(AA!$GA:$GA,MATCH($C11,AA!$C:$C,0)),0)</f>
        <v>0</v>
      </c>
      <c r="AD11" s="261">
        <f t="shared" si="22"/>
        <v>0</v>
      </c>
      <c r="AE11" s="1287">
        <f t="shared" si="23"/>
        <v>0</v>
      </c>
      <c r="AF11" s="1278">
        <f t="shared" si="24"/>
        <v>0</v>
      </c>
      <c r="AG11" s="1287">
        <f t="shared" si="25"/>
        <v>0</v>
      </c>
      <c r="AH11" s="1230"/>
      <c r="AI11" s="261">
        <f>IFERROR(INDEX(AO!$CA:$CA,MATCH($B11,AO!$C:$C,0)),0)</f>
        <v>0</v>
      </c>
      <c r="AJ11" s="1291">
        <f>IFERROR(INDEX(PCF!$BK$60:$BK$62,MATCH($B11,PCF!$C$60:$C$62,0)),0)</f>
        <v>0</v>
      </c>
      <c r="AK11" s="1278">
        <f>IFERROR(INDEX(AO!$CC:$CC,MATCH($B11,AO!$C:$C,0)),0)</f>
        <v>0</v>
      </c>
      <c r="AL11" s="261">
        <f>IFERROR(INDEX(AO!$CE:$CE,MATCH($B11,AO!$C:$C,0)),0)</f>
        <v>0</v>
      </c>
      <c r="AM11" s="261">
        <f>IFERROR(INDEX(AO!$CN:$CN,MATCH($B11,AO!$C:$C,0)),0)</f>
        <v>0</v>
      </c>
      <c r="AN11" s="261">
        <f>IFERROR(INDEX(AO!$CS:$CS,MATCH($B11,AO!$C:$C,0)),0)</f>
        <v>0</v>
      </c>
    </row>
    <row r="12" spans="1:158">
      <c r="B12" s="73">
        <v>5</v>
      </c>
      <c r="C12" s="49">
        <f t="shared" si="13"/>
        <v>5</v>
      </c>
      <c r="D12" s="261">
        <f>IFERROR(INDEX(AA!$AC:$AC,MATCH($C12,AA!$C:$C,0)),0)</f>
        <v>0</v>
      </c>
      <c r="E12" s="261">
        <f>IFERROR(INDEX(AA!$AG:$AG,MATCH($C12,AA!$C:$C,0)),0)</f>
        <v>0</v>
      </c>
      <c r="F12" s="261">
        <f>IFERROR(INDEX(AA!$AL:$AL,MATCH($C12,AA!$C:$C,0)),0)</f>
        <v>0</v>
      </c>
      <c r="G12" s="261">
        <f>IFERROR(INDEX(AA!$AI:$AI,MATCH($C12,AA!$C:$C,0)),0)</f>
        <v>0</v>
      </c>
      <c r="H12" s="261">
        <f>IFERROR(INDEX(AA!$AN:$AN,MATCH($C12,AA!$C:$C,0)),0)</f>
        <v>0</v>
      </c>
      <c r="I12" s="261"/>
      <c r="J12" s="261">
        <f>IFERROR(INDEX(AO!$Q:$Q,MATCH($B12,AO!$C:$C,0)),0)</f>
        <v>0</v>
      </c>
      <c r="K12" s="1289">
        <f>IFERROR(INDEX(AO!$AP:$AP,MATCH($B12,AO!$C:$C,0)),0)</f>
        <v>0</v>
      </c>
      <c r="L12" s="1278">
        <f>IFERROR(INDEX(AO!$U:$U,MATCH($B12,AO!$C:$C,0)),0)</f>
        <v>0</v>
      </c>
      <c r="M12" s="261">
        <f>IFERROR(INDEX(AO!$Y:$Y,MATCH($B12,AO!$C:$C,0)),0)</f>
        <v>0</v>
      </c>
      <c r="N12" s="261">
        <f>IFERROR(INDEX(AO!$AI:$AI,MATCH($B12,AO!$C:$C,0)),0)</f>
        <v>0</v>
      </c>
      <c r="O12" s="261">
        <f>IFERROR(INDEX(AO!$AM:$AM,MATCH($B12,AO!$C:$C,0)),0)</f>
        <v>0</v>
      </c>
      <c r="Q12" s="1230">
        <f>IFERROR(INDEX(AO!$AT:$AT,MATCH($B12,AO!$C:$C,0)),0)</f>
        <v>0</v>
      </c>
      <c r="R12" s="1230">
        <f t="shared" si="14"/>
        <v>0</v>
      </c>
      <c r="S12" s="1287">
        <f t="shared" si="15"/>
        <v>0</v>
      </c>
      <c r="T12" s="1290">
        <f t="shared" si="16"/>
        <v>0</v>
      </c>
      <c r="U12" s="1287">
        <f t="shared" si="17"/>
        <v>0</v>
      </c>
      <c r="V12" s="1230"/>
      <c r="W12" s="1230">
        <f>IFERROR(INDEX(AA!$EN:$EN,MATCH($C12,AA!$C:$C,0)),0)</f>
        <v>0</v>
      </c>
      <c r="X12" s="1230">
        <f t="shared" si="18"/>
        <v>0</v>
      </c>
      <c r="Y12" s="1279">
        <f t="shared" si="19"/>
        <v>0</v>
      </c>
      <c r="Z12" s="1278">
        <f t="shared" si="20"/>
        <v>0</v>
      </c>
      <c r="AA12" s="1287">
        <f t="shared" si="21"/>
        <v>0</v>
      </c>
      <c r="AB12" s="258"/>
      <c r="AC12" s="261">
        <f>IFERROR(INDEX(AA!$GA:$GA,MATCH($C12,AA!$C:$C,0)),0)</f>
        <v>0</v>
      </c>
      <c r="AD12" s="261">
        <f t="shared" si="22"/>
        <v>0</v>
      </c>
      <c r="AE12" s="1287">
        <f t="shared" si="23"/>
        <v>0</v>
      </c>
      <c r="AF12" s="1278">
        <f t="shared" si="24"/>
        <v>0</v>
      </c>
      <c r="AG12" s="1287">
        <f t="shared" si="25"/>
        <v>0</v>
      </c>
      <c r="AH12" s="1230"/>
      <c r="AI12" s="261">
        <f>IFERROR(INDEX(AO!$CA:$CA,MATCH($B12,AO!$C:$C,0)),0)</f>
        <v>0</v>
      </c>
      <c r="AJ12" s="1291">
        <f>IFERROR(INDEX(PCF!$BK$60:$BK$62,MATCH($B12,PCF!$C$60:$C$62,0)),0)</f>
        <v>0</v>
      </c>
      <c r="AK12" s="1278">
        <f>IFERROR(INDEX(AO!$CC:$CC,MATCH($B12,AO!$C:$C,0)),0)</f>
        <v>0</v>
      </c>
      <c r="AL12" s="261">
        <f>IFERROR(INDEX(AO!$CE:$CE,MATCH($B12,AO!$C:$C,0)),0)</f>
        <v>0</v>
      </c>
      <c r="AM12" s="261">
        <f>IFERROR(INDEX(AO!$CN:$CN,MATCH($B12,AO!$C:$C,0)),0)</f>
        <v>0</v>
      </c>
      <c r="AN12" s="261">
        <f>IFERROR(INDEX(AO!$CS:$CS,MATCH($B12,AO!$C:$C,0)),0)</f>
        <v>0</v>
      </c>
    </row>
    <row r="13" spans="1:158">
      <c r="B13" s="73">
        <v>6</v>
      </c>
      <c r="C13" s="49">
        <f t="shared" si="13"/>
        <v>6</v>
      </c>
      <c r="D13" s="261">
        <f>IFERROR(INDEX(AA!$AC:$AC,MATCH($C13,AA!$C:$C,0)),0)</f>
        <v>0</v>
      </c>
      <c r="E13" s="261">
        <f>IFERROR(INDEX(AA!$AG:$AG,MATCH($C13,AA!$C:$C,0)),0)</f>
        <v>0</v>
      </c>
      <c r="F13" s="261">
        <f>IFERROR(INDEX(AA!$AL:$AL,MATCH($C13,AA!$C:$C,0)),0)</f>
        <v>0</v>
      </c>
      <c r="G13" s="261">
        <f>IFERROR(INDEX(AA!$AI:$AI,MATCH($C13,AA!$C:$C,0)),0)</f>
        <v>0</v>
      </c>
      <c r="H13" s="261">
        <f>IFERROR(INDEX(AA!$AN:$AN,MATCH($C13,AA!$C:$C,0)),0)</f>
        <v>0</v>
      </c>
      <c r="I13" s="261"/>
      <c r="J13" s="261">
        <f>IFERROR(INDEX(AO!$Q:$Q,MATCH($B13,AO!$C:$C,0)),0)</f>
        <v>0</v>
      </c>
      <c r="K13" s="1289">
        <f>IFERROR(INDEX(AO!$AP:$AP,MATCH($B13,AO!$C:$C,0)),0)</f>
        <v>0</v>
      </c>
      <c r="L13" s="1278">
        <f>IFERROR(INDEX(AO!$U:$U,MATCH($B13,AO!$C:$C,0)),0)</f>
        <v>0</v>
      </c>
      <c r="M13" s="261">
        <f>IFERROR(INDEX(AO!$Y:$Y,MATCH($B13,AO!$C:$C,0)),0)</f>
        <v>0</v>
      </c>
      <c r="N13" s="261">
        <f>IFERROR(INDEX(AO!$AI:$AI,MATCH($B13,AO!$C:$C,0)),0)</f>
        <v>0</v>
      </c>
      <c r="O13" s="261">
        <f>IFERROR(INDEX(AO!$AM:$AM,MATCH($B13,AO!$C:$C,0)),0)</f>
        <v>0</v>
      </c>
      <c r="Q13" s="1230">
        <f>IFERROR(INDEX(AO!$AT:$AT,MATCH($B13,AO!$C:$C,0)),0)</f>
        <v>0</v>
      </c>
      <c r="R13" s="1230">
        <f t="shared" si="14"/>
        <v>0</v>
      </c>
      <c r="S13" s="1287">
        <f t="shared" si="15"/>
        <v>0</v>
      </c>
      <c r="T13" s="1290">
        <f t="shared" si="16"/>
        <v>0</v>
      </c>
      <c r="U13" s="1287">
        <f t="shared" si="17"/>
        <v>0</v>
      </c>
      <c r="V13" s="1230"/>
      <c r="W13" s="1230">
        <f>IFERROR(INDEX(AA!$EN:$EN,MATCH($C13,AA!$C:$C,0)),0)</f>
        <v>0</v>
      </c>
      <c r="X13" s="1230">
        <f t="shared" si="18"/>
        <v>0</v>
      </c>
      <c r="Y13" s="1279">
        <f t="shared" si="19"/>
        <v>0</v>
      </c>
      <c r="Z13" s="1278">
        <f t="shared" si="20"/>
        <v>0</v>
      </c>
      <c r="AA13" s="1287">
        <f t="shared" si="21"/>
        <v>0</v>
      </c>
      <c r="AB13" s="258"/>
      <c r="AC13" s="261">
        <f>IFERROR(INDEX(AA!$GA:$GA,MATCH($C13,AA!$C:$C,0)),0)</f>
        <v>0</v>
      </c>
      <c r="AD13" s="261">
        <f t="shared" si="22"/>
        <v>0</v>
      </c>
      <c r="AE13" s="1287">
        <f t="shared" si="23"/>
        <v>0</v>
      </c>
      <c r="AF13" s="1278">
        <f t="shared" si="24"/>
        <v>0</v>
      </c>
      <c r="AG13" s="1287">
        <f t="shared" si="25"/>
        <v>0</v>
      </c>
      <c r="AH13" s="1230"/>
      <c r="AI13" s="261">
        <f>IFERROR(INDEX(AO!$CA:$CA,MATCH($B13,AO!$C:$C,0)),0)</f>
        <v>0</v>
      </c>
      <c r="AJ13" s="1291">
        <f>IFERROR(INDEX(PCF!$BK$60:$BK$62,MATCH($B13,PCF!$C$60:$C$62,0)),0)</f>
        <v>0</v>
      </c>
      <c r="AK13" s="1278">
        <f>IFERROR(INDEX(AO!$CC:$CC,MATCH($B13,AO!$C:$C,0)),0)</f>
        <v>0</v>
      </c>
      <c r="AL13" s="261">
        <f>IFERROR(INDEX(AO!$CE:$CE,MATCH($B13,AO!$C:$C,0)),0)</f>
        <v>0</v>
      </c>
      <c r="AM13" s="261">
        <f>IFERROR(INDEX(AO!$CN:$CN,MATCH($B13,AO!$C:$C,0)),0)</f>
        <v>0</v>
      </c>
      <c r="AN13" s="261">
        <f>IFERROR(INDEX(AO!$CS:$CS,MATCH($B13,AO!$C:$C,0)),0)</f>
        <v>0</v>
      </c>
    </row>
    <row r="14" spans="1:158">
      <c r="B14" s="73">
        <v>7</v>
      </c>
      <c r="C14" s="49">
        <f t="shared" si="13"/>
        <v>7</v>
      </c>
      <c r="D14" s="261">
        <f>IFERROR(INDEX(AA!$AC:$AC,MATCH($C14,AA!$C:$C,0)),0)</f>
        <v>0</v>
      </c>
      <c r="E14" s="261">
        <f>IFERROR(INDEX(AA!$AG:$AG,MATCH($C14,AA!$C:$C,0)),0)</f>
        <v>0</v>
      </c>
      <c r="F14" s="261">
        <f>IFERROR(INDEX(AA!$AL:$AL,MATCH($C14,AA!$C:$C,0)),0)</f>
        <v>0</v>
      </c>
      <c r="G14" s="261">
        <f>IFERROR(INDEX(AA!$AI:$AI,MATCH($C14,AA!$C:$C,0)),0)</f>
        <v>0</v>
      </c>
      <c r="H14" s="261">
        <f>IFERROR(INDEX(AA!$AN:$AN,MATCH($C14,AA!$C:$C,0)),0)</f>
        <v>0</v>
      </c>
      <c r="I14" s="261"/>
      <c r="J14" s="261">
        <f>IFERROR(INDEX(AO!$Q:$Q,MATCH($B14,AO!$C:$C,0)),0)</f>
        <v>0</v>
      </c>
      <c r="K14" s="1289">
        <f>IFERROR(INDEX(AO!$AP:$AP,MATCH($B14,AO!$C:$C,0)),0)</f>
        <v>0</v>
      </c>
      <c r="L14" s="1278">
        <f>IFERROR(INDEX(AO!$U:$U,MATCH($B14,AO!$C:$C,0)),0)</f>
        <v>0</v>
      </c>
      <c r="M14" s="261">
        <f>IFERROR(INDEX(AO!$Y:$Y,MATCH($B14,AO!$C:$C,0)),0)</f>
        <v>0</v>
      </c>
      <c r="N14" s="261">
        <f>IFERROR(INDEX(AO!$AI:$AI,MATCH($B14,AO!$C:$C,0)),0)</f>
        <v>0</v>
      </c>
      <c r="O14" s="261">
        <f>IFERROR(INDEX(AO!$AM:$AM,MATCH($B14,AO!$C:$C,0)),0)</f>
        <v>0</v>
      </c>
      <c r="Q14" s="1230">
        <f>IFERROR(INDEX(AO!$AT:$AT,MATCH($B14,AO!$C:$C,0)),0)</f>
        <v>0</v>
      </c>
      <c r="R14" s="1230">
        <f t="shared" si="14"/>
        <v>0</v>
      </c>
      <c r="S14" s="1287">
        <f t="shared" si="15"/>
        <v>0</v>
      </c>
      <c r="T14" s="1290">
        <f t="shared" si="16"/>
        <v>0</v>
      </c>
      <c r="U14" s="1287">
        <f t="shared" si="17"/>
        <v>0</v>
      </c>
      <c r="V14" s="1230"/>
      <c r="W14" s="1230">
        <f>IFERROR(INDEX(AA!$EN:$EN,MATCH($C14,AA!$C:$C,0)),0)</f>
        <v>0</v>
      </c>
      <c r="X14" s="1230">
        <f t="shared" si="18"/>
        <v>0</v>
      </c>
      <c r="Y14" s="1279">
        <f t="shared" si="19"/>
        <v>0</v>
      </c>
      <c r="Z14" s="1278">
        <f t="shared" si="20"/>
        <v>0</v>
      </c>
      <c r="AA14" s="1287">
        <f t="shared" si="21"/>
        <v>0</v>
      </c>
      <c r="AB14" s="258"/>
      <c r="AC14" s="261">
        <f>IFERROR(INDEX(AA!$GA:$GA,MATCH($C14,AA!$C:$C,0)),0)</f>
        <v>0</v>
      </c>
      <c r="AD14" s="261">
        <f t="shared" si="22"/>
        <v>0</v>
      </c>
      <c r="AE14" s="1287">
        <f t="shared" si="23"/>
        <v>0</v>
      </c>
      <c r="AF14" s="1278">
        <f t="shared" si="24"/>
        <v>0</v>
      </c>
      <c r="AG14" s="1287">
        <f t="shared" si="25"/>
        <v>0</v>
      </c>
      <c r="AH14" s="1230"/>
      <c r="AI14" s="261">
        <f>IFERROR(INDEX(AO!$CA:$CA,MATCH($B14,AO!$C:$C,0)),0)</f>
        <v>0</v>
      </c>
      <c r="AJ14" s="1291">
        <f>IFERROR(INDEX(PCF!$BK$60:$BK$62,MATCH($B14,PCF!$C$60:$C$62,0)),0)</f>
        <v>0</v>
      </c>
      <c r="AK14" s="1278">
        <f>IFERROR(INDEX(AO!$CC:$CC,MATCH($B14,AO!$C:$C,0)),0)</f>
        <v>0</v>
      </c>
      <c r="AL14" s="261">
        <f>IFERROR(INDEX(AO!$CE:$CE,MATCH($B14,AO!$C:$C,0)),0)</f>
        <v>0</v>
      </c>
      <c r="AM14" s="261">
        <f>IFERROR(INDEX(AO!$CN:$CN,MATCH($B14,AO!$C:$C,0)),0)</f>
        <v>0</v>
      </c>
      <c r="AN14" s="261">
        <f>IFERROR(INDEX(AO!$CS:$CS,MATCH($B14,AO!$C:$C,0)),0)</f>
        <v>0</v>
      </c>
    </row>
    <row r="15" spans="1:158">
      <c r="B15" s="73">
        <v>8</v>
      </c>
      <c r="C15" s="49">
        <f t="shared" si="13"/>
        <v>8</v>
      </c>
      <c r="D15" s="261">
        <f>IFERROR(INDEX(AA!$AC:$AC,MATCH($C15,AA!$C:$C,0)),0)</f>
        <v>0</v>
      </c>
      <c r="E15" s="261">
        <f>IFERROR(INDEX(AA!$AG:$AG,MATCH($C15,AA!$C:$C,0)),0)</f>
        <v>0</v>
      </c>
      <c r="F15" s="261">
        <f>IFERROR(INDEX(AA!$AL:$AL,MATCH($C15,AA!$C:$C,0)),0)</f>
        <v>0</v>
      </c>
      <c r="G15" s="261">
        <f>IFERROR(INDEX(AA!$AI:$AI,MATCH($C15,AA!$C:$C,0)),0)</f>
        <v>0</v>
      </c>
      <c r="H15" s="261">
        <f>IFERROR(INDEX(AA!$AN:$AN,MATCH($C15,AA!$C:$C,0)),0)</f>
        <v>0</v>
      </c>
      <c r="I15" s="261"/>
      <c r="J15" s="261">
        <f>IFERROR(INDEX(AO!$Q:$Q,MATCH($B15,AO!$C:$C,0)),0)</f>
        <v>0</v>
      </c>
      <c r="K15" s="1289">
        <f>IFERROR(INDEX(AO!$AP:$AP,MATCH($B15,AO!$C:$C,0)),0)</f>
        <v>0</v>
      </c>
      <c r="L15" s="1278">
        <f>IFERROR(INDEX(AO!$U:$U,MATCH($B15,AO!$C:$C,0)),0)</f>
        <v>0</v>
      </c>
      <c r="M15" s="261">
        <f>IFERROR(INDEX(AO!$Y:$Y,MATCH($B15,AO!$C:$C,0)),0)</f>
        <v>0</v>
      </c>
      <c r="N15" s="261">
        <f>IFERROR(INDEX(AO!$AI:$AI,MATCH($B15,AO!$C:$C,0)),0)</f>
        <v>0</v>
      </c>
      <c r="O15" s="261">
        <f>IFERROR(INDEX(AO!$AM:$AM,MATCH($B15,AO!$C:$C,0)),0)</f>
        <v>0</v>
      </c>
      <c r="Q15" s="1230">
        <f>IFERROR(INDEX(AO!$AT:$AT,MATCH($B15,AO!$C:$C,0)),0)</f>
        <v>0</v>
      </c>
      <c r="R15" s="1230">
        <f t="shared" si="14"/>
        <v>0</v>
      </c>
      <c r="S15" s="1287">
        <f t="shared" si="15"/>
        <v>0</v>
      </c>
      <c r="T15" s="1290">
        <f t="shared" si="16"/>
        <v>0</v>
      </c>
      <c r="U15" s="1287">
        <f t="shared" si="17"/>
        <v>0</v>
      </c>
      <c r="V15" s="1230"/>
      <c r="W15" s="1230">
        <f>IFERROR(INDEX(AA!$EN:$EN,MATCH($C15,AA!$C:$C,0)),0)</f>
        <v>0</v>
      </c>
      <c r="X15" s="1230">
        <f t="shared" si="18"/>
        <v>0</v>
      </c>
      <c r="Y15" s="1279">
        <f t="shared" si="19"/>
        <v>0</v>
      </c>
      <c r="Z15" s="1278">
        <f t="shared" si="20"/>
        <v>0</v>
      </c>
      <c r="AA15" s="1287">
        <f t="shared" si="21"/>
        <v>0</v>
      </c>
      <c r="AB15" s="258"/>
      <c r="AC15" s="261">
        <f>IFERROR(INDEX(AA!$GA:$GA,MATCH($C15,AA!$C:$C,0)),0)</f>
        <v>0</v>
      </c>
      <c r="AD15" s="261">
        <f t="shared" si="22"/>
        <v>0</v>
      </c>
      <c r="AE15" s="1287">
        <f t="shared" si="23"/>
        <v>0</v>
      </c>
      <c r="AF15" s="1278">
        <f t="shared" si="24"/>
        <v>0</v>
      </c>
      <c r="AG15" s="1287">
        <f t="shared" si="25"/>
        <v>0</v>
      </c>
      <c r="AH15" s="1230"/>
      <c r="AI15" s="261">
        <f>IFERROR(INDEX(AO!$CA:$CA,MATCH($B15,AO!$C:$C,0)),0)</f>
        <v>0</v>
      </c>
      <c r="AJ15" s="1291">
        <f>IFERROR(INDEX(PCF!$BK$60:$BK$62,MATCH($B15,PCF!$C$60:$C$62,0)),0)</f>
        <v>0</v>
      </c>
      <c r="AK15" s="1278">
        <f>IFERROR(INDEX(AO!$CC:$CC,MATCH($B15,AO!$C:$C,0)),0)</f>
        <v>0</v>
      </c>
      <c r="AL15" s="261">
        <f>IFERROR(INDEX(AO!$CE:$CE,MATCH($B15,AO!$C:$C,0)),0)</f>
        <v>0</v>
      </c>
      <c r="AM15" s="261">
        <f>IFERROR(INDEX(AO!$CN:$CN,MATCH($B15,AO!$C:$C,0)),0)</f>
        <v>0</v>
      </c>
      <c r="AN15" s="261">
        <f>IFERROR(INDEX(AO!$CS:$CS,MATCH($B15,AO!$C:$C,0)),0)</f>
        <v>0</v>
      </c>
    </row>
    <row r="16" spans="1:158">
      <c r="B16" s="73">
        <v>9</v>
      </c>
      <c r="C16" s="49">
        <f t="shared" si="13"/>
        <v>9</v>
      </c>
      <c r="D16" s="261">
        <f>IFERROR(INDEX(AA!$AC:$AC,MATCH($C16,AA!$C:$C,0)),0)</f>
        <v>0</v>
      </c>
      <c r="E16" s="261">
        <f>IFERROR(INDEX(AA!$AG:$AG,MATCH($C16,AA!$C:$C,0)),0)</f>
        <v>0</v>
      </c>
      <c r="F16" s="261">
        <f>IFERROR(INDEX(AA!$AL:$AL,MATCH($C16,AA!$C:$C,0)),0)</f>
        <v>0</v>
      </c>
      <c r="G16" s="261">
        <f>IFERROR(INDEX(AA!$AI:$AI,MATCH($C16,AA!$C:$C,0)),0)</f>
        <v>0</v>
      </c>
      <c r="H16" s="261">
        <f>IFERROR(INDEX(AA!$AN:$AN,MATCH($C16,AA!$C:$C,0)),0)</f>
        <v>0</v>
      </c>
      <c r="I16" s="261"/>
      <c r="J16" s="261">
        <f>IFERROR(INDEX(AO!$Q:$Q,MATCH($B16,AO!$C:$C,0)),0)</f>
        <v>0</v>
      </c>
      <c r="K16" s="1289">
        <f>IFERROR(INDEX(AO!$AP:$AP,MATCH($B16,AO!$C:$C,0)),0)</f>
        <v>0</v>
      </c>
      <c r="L16" s="1278">
        <f>IFERROR(INDEX(AO!$U:$U,MATCH($B16,AO!$C:$C,0)),0)</f>
        <v>0</v>
      </c>
      <c r="M16" s="261">
        <f>IFERROR(INDEX(AO!$Y:$Y,MATCH($B16,AO!$C:$C,0)),0)</f>
        <v>0</v>
      </c>
      <c r="N16" s="261">
        <f>IFERROR(INDEX(AO!$AI:$AI,MATCH($B16,AO!$C:$C,0)),0)</f>
        <v>0</v>
      </c>
      <c r="O16" s="261">
        <f>IFERROR(INDEX(AO!$AM:$AM,MATCH($B16,AO!$C:$C,0)),0)</f>
        <v>0</v>
      </c>
      <c r="Q16" s="1230">
        <f>IFERROR(INDEX(AO!$AT:$AT,MATCH($B16,AO!$C:$C,0)),0)</f>
        <v>0</v>
      </c>
      <c r="R16" s="1230">
        <f t="shared" si="14"/>
        <v>0</v>
      </c>
      <c r="S16" s="1287">
        <f t="shared" si="15"/>
        <v>0</v>
      </c>
      <c r="T16" s="1290">
        <f t="shared" si="16"/>
        <v>0</v>
      </c>
      <c r="U16" s="1287">
        <f t="shared" si="17"/>
        <v>0</v>
      </c>
      <c r="V16" s="1230"/>
      <c r="W16" s="1230">
        <f>IFERROR(INDEX(AA!$EN:$EN,MATCH($C16,AA!$C:$C,0)),0)</f>
        <v>0</v>
      </c>
      <c r="X16" s="1230">
        <f t="shared" si="18"/>
        <v>0</v>
      </c>
      <c r="Y16" s="1279">
        <f t="shared" si="19"/>
        <v>0</v>
      </c>
      <c r="Z16" s="1278">
        <f t="shared" si="20"/>
        <v>0</v>
      </c>
      <c r="AA16" s="1287">
        <f t="shared" si="21"/>
        <v>0</v>
      </c>
      <c r="AB16" s="258"/>
      <c r="AC16" s="261">
        <f>IFERROR(INDEX(AA!$GA:$GA,MATCH($C16,AA!$C:$C,0)),0)</f>
        <v>0</v>
      </c>
      <c r="AD16" s="261">
        <f t="shared" si="22"/>
        <v>0</v>
      </c>
      <c r="AE16" s="1287">
        <f t="shared" si="23"/>
        <v>0</v>
      </c>
      <c r="AF16" s="1278">
        <f t="shared" si="24"/>
        <v>0</v>
      </c>
      <c r="AG16" s="1287">
        <f t="shared" si="25"/>
        <v>0</v>
      </c>
      <c r="AH16" s="1230"/>
      <c r="AI16" s="261">
        <f>IFERROR(INDEX(AO!$CA:$CA,MATCH($B16,AO!$C:$C,0)),0)</f>
        <v>0</v>
      </c>
      <c r="AJ16" s="1291">
        <f>IFERROR(INDEX(PCF!$BK$60:$BK$62,MATCH($B16,PCF!$C$60:$C$62,0)),0)</f>
        <v>0</v>
      </c>
      <c r="AK16" s="1278">
        <f>IFERROR(INDEX(AO!$CC:$CC,MATCH($B16,AO!$C:$C,0)),0)</f>
        <v>0</v>
      </c>
      <c r="AL16" s="261">
        <f>IFERROR(INDEX(AO!$CE:$CE,MATCH($B16,AO!$C:$C,0)),0)</f>
        <v>0</v>
      </c>
      <c r="AM16" s="261">
        <f>IFERROR(INDEX(AO!$CN:$CN,MATCH($B16,AO!$C:$C,0)),0)</f>
        <v>0</v>
      </c>
      <c r="AN16" s="261">
        <f>IFERROR(INDEX(AO!$CS:$CS,MATCH($B16,AO!$C:$C,0)),0)</f>
        <v>0</v>
      </c>
    </row>
    <row r="17" spans="2:40">
      <c r="B17" s="73">
        <v>10</v>
      </c>
      <c r="C17" s="49">
        <f t="shared" si="13"/>
        <v>10</v>
      </c>
      <c r="D17" s="261">
        <f>IFERROR(INDEX(AA!$AC:$AC,MATCH($C17,AA!$C:$C,0)),0)</f>
        <v>0</v>
      </c>
      <c r="E17" s="261">
        <f>IFERROR(INDEX(AA!$AG:$AG,MATCH($C17,AA!$C:$C,0)),0)</f>
        <v>0</v>
      </c>
      <c r="F17" s="261">
        <f>IFERROR(INDEX(AA!$AL:$AL,MATCH($C17,AA!$C:$C,0)),0)</f>
        <v>0</v>
      </c>
      <c r="G17" s="261">
        <f>IFERROR(INDEX(AA!$AI:$AI,MATCH($C17,AA!$C:$C,0)),0)</f>
        <v>0</v>
      </c>
      <c r="H17" s="261">
        <f>IFERROR(INDEX(AA!$AN:$AN,MATCH($C17,AA!$C:$C,0)),0)</f>
        <v>0</v>
      </c>
      <c r="I17" s="261"/>
      <c r="J17" s="261">
        <f>IFERROR(INDEX(AO!$Q:$Q,MATCH($B17,AO!$C:$C,0)),0)</f>
        <v>0</v>
      </c>
      <c r="K17" s="1289">
        <f>IFERROR(INDEX(AO!$AP:$AP,MATCH($B17,AO!$C:$C,0)),0)</f>
        <v>0</v>
      </c>
      <c r="L17" s="1278">
        <f>IFERROR(INDEX(AO!$U:$U,MATCH($B17,AO!$C:$C,0)),0)</f>
        <v>0</v>
      </c>
      <c r="M17" s="261">
        <f>IFERROR(INDEX(AO!$Y:$Y,MATCH($B17,AO!$C:$C,0)),0)</f>
        <v>0</v>
      </c>
      <c r="N17" s="261">
        <f>IFERROR(INDEX(AO!$AI:$AI,MATCH($B17,AO!$C:$C,0)),0)</f>
        <v>0</v>
      </c>
      <c r="O17" s="261">
        <f>IFERROR(INDEX(AO!$AM:$AM,MATCH($B17,AO!$C:$C,0)),0)</f>
        <v>0</v>
      </c>
      <c r="Q17" s="1230">
        <f>IFERROR(INDEX(AO!$AT:$AT,MATCH($B17,AO!$C:$C,0)),0)</f>
        <v>0</v>
      </c>
      <c r="R17" s="1230">
        <f t="shared" si="14"/>
        <v>0</v>
      </c>
      <c r="S17" s="1287">
        <f t="shared" si="15"/>
        <v>0</v>
      </c>
      <c r="T17" s="1290">
        <f t="shared" si="16"/>
        <v>0</v>
      </c>
      <c r="U17" s="1287">
        <f t="shared" si="17"/>
        <v>0</v>
      </c>
      <c r="V17" s="1230"/>
      <c r="W17" s="1230">
        <f>IFERROR(INDEX(AA!$EN:$EN,MATCH($C17,AA!$C:$C,0)),0)</f>
        <v>0</v>
      </c>
      <c r="X17" s="1230">
        <f t="shared" si="18"/>
        <v>0</v>
      </c>
      <c r="Y17" s="1279">
        <f t="shared" si="19"/>
        <v>0</v>
      </c>
      <c r="Z17" s="1278">
        <f t="shared" si="20"/>
        <v>0</v>
      </c>
      <c r="AA17" s="1287">
        <f t="shared" si="21"/>
        <v>0</v>
      </c>
      <c r="AB17" s="258"/>
      <c r="AC17" s="261">
        <f>IFERROR(INDEX(AA!$GA:$GA,MATCH($C17,AA!$C:$C,0)),0)</f>
        <v>0</v>
      </c>
      <c r="AD17" s="261">
        <f t="shared" si="22"/>
        <v>0</v>
      </c>
      <c r="AE17" s="1287">
        <f t="shared" si="23"/>
        <v>0</v>
      </c>
      <c r="AF17" s="1278">
        <f t="shared" si="24"/>
        <v>0</v>
      </c>
      <c r="AG17" s="1287">
        <f t="shared" si="25"/>
        <v>0</v>
      </c>
      <c r="AH17" s="1230"/>
      <c r="AI17" s="261">
        <f>IFERROR(INDEX(AO!$CA:$CA,MATCH($B17,AO!$C:$C,0)),0)</f>
        <v>0</v>
      </c>
      <c r="AJ17" s="1291">
        <f>IFERROR(INDEX(PCF!$BK$60:$BK$62,MATCH($B17,PCF!$C$60:$C$62,0)),0)</f>
        <v>0</v>
      </c>
      <c r="AK17" s="1278">
        <f>IFERROR(INDEX(AO!$CC:$CC,MATCH($B17,AO!$C:$C,0)),0)</f>
        <v>0</v>
      </c>
      <c r="AL17" s="261">
        <f>IFERROR(INDEX(AO!$CE:$CE,MATCH($B17,AO!$C:$C,0)),0)</f>
        <v>0</v>
      </c>
      <c r="AM17" s="261">
        <f>IFERROR(INDEX(AO!$CN:$CN,MATCH($B17,AO!$C:$C,0)),0)</f>
        <v>0</v>
      </c>
      <c r="AN17" s="261">
        <f>IFERROR(INDEX(AO!$CS:$CS,MATCH($B17,AO!$C:$C,0)),0)</f>
        <v>0</v>
      </c>
    </row>
    <row r="18" spans="2:40">
      <c r="B18" s="73">
        <v>11</v>
      </c>
      <c r="C18" s="49">
        <f t="shared" si="13"/>
        <v>11</v>
      </c>
      <c r="D18" s="261">
        <f>IFERROR(INDEX(AA!$AC:$AC,MATCH($C18,AA!$C:$C,0)),0)</f>
        <v>0</v>
      </c>
      <c r="E18" s="261">
        <f>IFERROR(INDEX(AA!$AG:$AG,MATCH($C18,AA!$C:$C,0)),0)</f>
        <v>0</v>
      </c>
      <c r="F18" s="261">
        <f>IFERROR(INDEX(AA!$AL:$AL,MATCH($C18,AA!$C:$C,0)),0)</f>
        <v>0</v>
      </c>
      <c r="G18" s="261">
        <f>IFERROR(INDEX(AA!$AI:$AI,MATCH($C18,AA!$C:$C,0)),0)</f>
        <v>0</v>
      </c>
      <c r="H18" s="261">
        <f>IFERROR(INDEX(AA!$AN:$AN,MATCH($C18,AA!$C:$C,0)),0)</f>
        <v>0</v>
      </c>
      <c r="I18" s="261"/>
      <c r="J18" s="261">
        <f>IFERROR(INDEX(AO!$Q:$Q,MATCH($B18,AO!$C:$C,0)),0)</f>
        <v>0</v>
      </c>
      <c r="K18" s="1289">
        <f>IFERROR(INDEX(AO!$AP:$AP,MATCH($B18,AO!$C:$C,0)),0)</f>
        <v>0</v>
      </c>
      <c r="L18" s="1278">
        <f>IFERROR(INDEX(AO!$U:$U,MATCH($B18,AO!$C:$C,0)),0)</f>
        <v>0</v>
      </c>
      <c r="M18" s="261">
        <f>IFERROR(INDEX(AO!$Y:$Y,MATCH($B18,AO!$C:$C,0)),0)</f>
        <v>0</v>
      </c>
      <c r="N18" s="261">
        <f>IFERROR(INDEX(AO!$AI:$AI,MATCH($B18,AO!$C:$C,0)),0)</f>
        <v>0</v>
      </c>
      <c r="O18" s="261">
        <f>IFERROR(INDEX(AO!$AM:$AM,MATCH($B18,AO!$C:$C,0)),0)</f>
        <v>0</v>
      </c>
      <c r="Q18" s="1230">
        <f>IFERROR(INDEX(AO!$AT:$AT,MATCH($B18,AO!$C:$C,0)),0)</f>
        <v>0</v>
      </c>
      <c r="R18" s="1230">
        <f t="shared" si="14"/>
        <v>0</v>
      </c>
      <c r="S18" s="1287">
        <f t="shared" si="15"/>
        <v>0</v>
      </c>
      <c r="T18" s="1290">
        <f t="shared" si="16"/>
        <v>0</v>
      </c>
      <c r="U18" s="1287">
        <f t="shared" si="17"/>
        <v>0</v>
      </c>
      <c r="V18" s="1230"/>
      <c r="W18" s="1230">
        <f>IFERROR(INDEX(AA!$EN:$EN,MATCH($C18,AA!$C:$C,0)),0)</f>
        <v>0</v>
      </c>
      <c r="X18" s="1230">
        <f t="shared" si="18"/>
        <v>0</v>
      </c>
      <c r="Y18" s="1279">
        <f t="shared" si="19"/>
        <v>0</v>
      </c>
      <c r="Z18" s="1278">
        <f t="shared" si="20"/>
        <v>0</v>
      </c>
      <c r="AA18" s="1287">
        <f t="shared" si="21"/>
        <v>0</v>
      </c>
      <c r="AB18" s="258"/>
      <c r="AC18" s="261">
        <f>IFERROR(INDEX(AA!$GA:$GA,MATCH($C18,AA!$C:$C,0)),0)</f>
        <v>0</v>
      </c>
      <c r="AD18" s="261">
        <f t="shared" si="22"/>
        <v>0</v>
      </c>
      <c r="AE18" s="1287">
        <f t="shared" si="23"/>
        <v>0</v>
      </c>
      <c r="AF18" s="1278">
        <f t="shared" si="24"/>
        <v>0</v>
      </c>
      <c r="AG18" s="1287">
        <f t="shared" si="25"/>
        <v>0</v>
      </c>
      <c r="AH18" s="1230"/>
      <c r="AI18" s="261">
        <f>IFERROR(INDEX(AO!$CA:$CA,MATCH($B18,AO!$C:$C,0)),0)</f>
        <v>0</v>
      </c>
      <c r="AJ18" s="1291">
        <f>IFERROR(INDEX(PCF!$BK$60:$BK$62,MATCH($B18,PCF!$C$60:$C$62,0)),0)</f>
        <v>0</v>
      </c>
      <c r="AK18" s="1278">
        <f>IFERROR(INDEX(AO!$CC:$CC,MATCH($B18,AO!$C:$C,0)),0)</f>
        <v>0</v>
      </c>
      <c r="AL18" s="261">
        <f>IFERROR(INDEX(AO!$CE:$CE,MATCH($B18,AO!$C:$C,0)),0)</f>
        <v>0</v>
      </c>
      <c r="AM18" s="261">
        <f>IFERROR(INDEX(AO!$CN:$CN,MATCH($B18,AO!$C:$C,0)),0)</f>
        <v>0</v>
      </c>
      <c r="AN18" s="261">
        <f>IFERROR(INDEX(AO!$CS:$CS,MATCH($B18,AO!$C:$C,0)),0)</f>
        <v>0</v>
      </c>
    </row>
    <row r="19" spans="2:40">
      <c r="B19" s="73">
        <v>12</v>
      </c>
      <c r="C19" s="49">
        <f t="shared" si="13"/>
        <v>12</v>
      </c>
      <c r="D19" s="261">
        <f>IFERROR(INDEX(AA!$AC:$AC,MATCH($C19,AA!$C:$C,0)),0)</f>
        <v>0</v>
      </c>
      <c r="E19" s="261">
        <f>IFERROR(INDEX(AA!$AG:$AG,MATCH($C19,AA!$C:$C,0)),0)</f>
        <v>0</v>
      </c>
      <c r="F19" s="261">
        <f>IFERROR(INDEX(AA!$AL:$AL,MATCH($C19,AA!$C:$C,0)),0)</f>
        <v>0</v>
      </c>
      <c r="G19" s="261">
        <f>IFERROR(INDEX(AA!$AI:$AI,MATCH($C19,AA!$C:$C,0)),0)</f>
        <v>0</v>
      </c>
      <c r="H19" s="261">
        <f>IFERROR(INDEX(AA!$AN:$AN,MATCH($C19,AA!$C:$C,0)),0)</f>
        <v>0</v>
      </c>
      <c r="I19" s="261"/>
      <c r="J19" s="261">
        <f>IFERROR(INDEX(AO!$Q:$Q,MATCH($B19,AO!$C:$C,0)),0)</f>
        <v>0</v>
      </c>
      <c r="K19" s="1289">
        <f>IFERROR(INDEX(AO!$AP:$AP,MATCH($B19,AO!$C:$C,0)),0)</f>
        <v>0</v>
      </c>
      <c r="L19" s="1278">
        <f>IFERROR(INDEX(AO!$U:$U,MATCH($B19,AO!$C:$C,0)),0)</f>
        <v>0</v>
      </c>
      <c r="M19" s="261">
        <f>IFERROR(INDEX(AO!$Y:$Y,MATCH($B19,AO!$C:$C,0)),0)</f>
        <v>0</v>
      </c>
      <c r="N19" s="261">
        <f>IFERROR(INDEX(AO!$AI:$AI,MATCH($B19,AO!$C:$C,0)),0)</f>
        <v>0</v>
      </c>
      <c r="O19" s="261">
        <f>IFERROR(INDEX(AO!$AM:$AM,MATCH($B19,AO!$C:$C,0)),0)</f>
        <v>0</v>
      </c>
      <c r="Q19" s="1230">
        <f>IFERROR(INDEX(AO!$AT:$AT,MATCH($B19,AO!$C:$C,0)),0)</f>
        <v>0</v>
      </c>
      <c r="R19" s="1230">
        <f t="shared" si="14"/>
        <v>0</v>
      </c>
      <c r="S19" s="1287">
        <f t="shared" si="15"/>
        <v>0</v>
      </c>
      <c r="T19" s="1290">
        <f t="shared" si="16"/>
        <v>0</v>
      </c>
      <c r="U19" s="1287">
        <f t="shared" si="17"/>
        <v>0</v>
      </c>
      <c r="V19" s="1230"/>
      <c r="W19" s="1230">
        <f>IFERROR(INDEX(AA!$EN:$EN,MATCH($C19,AA!$C:$C,0)),0)</f>
        <v>0</v>
      </c>
      <c r="X19" s="1230">
        <f t="shared" si="18"/>
        <v>0</v>
      </c>
      <c r="Y19" s="1279">
        <f t="shared" si="19"/>
        <v>0</v>
      </c>
      <c r="Z19" s="1278">
        <f t="shared" si="20"/>
        <v>0</v>
      </c>
      <c r="AA19" s="1287">
        <f t="shared" si="21"/>
        <v>0</v>
      </c>
      <c r="AB19" s="258"/>
      <c r="AC19" s="261">
        <f>IFERROR(INDEX(AA!$GA:$GA,MATCH($C19,AA!$C:$C,0)),0)</f>
        <v>0</v>
      </c>
      <c r="AD19" s="261">
        <f t="shared" si="22"/>
        <v>0</v>
      </c>
      <c r="AE19" s="1287">
        <f t="shared" si="23"/>
        <v>0</v>
      </c>
      <c r="AF19" s="1278">
        <f t="shared" si="24"/>
        <v>0</v>
      </c>
      <c r="AG19" s="1287">
        <f t="shared" si="25"/>
        <v>0</v>
      </c>
      <c r="AH19" s="1230"/>
      <c r="AI19" s="261">
        <f>IFERROR(INDEX(AO!$CA:$CA,MATCH($B19,AO!$C:$C,0)),0)</f>
        <v>0</v>
      </c>
      <c r="AJ19" s="1291">
        <f>IFERROR(INDEX(PCF!$BK$60:$BK$62,MATCH($B19,PCF!$C$60:$C$62,0)),0)</f>
        <v>0</v>
      </c>
      <c r="AK19" s="1278">
        <f>IFERROR(INDEX(AO!$CC:$CC,MATCH($B19,AO!$C:$C,0)),0)</f>
        <v>0</v>
      </c>
      <c r="AL19" s="261">
        <f>IFERROR(INDEX(AO!$CE:$CE,MATCH($B19,AO!$C:$C,0)),0)</f>
        <v>0</v>
      </c>
      <c r="AM19" s="261">
        <f>IFERROR(INDEX(AO!$CN:$CN,MATCH($B19,AO!$C:$C,0)),0)</f>
        <v>0</v>
      </c>
      <c r="AN19" s="261">
        <f>IFERROR(INDEX(AO!$CS:$CS,MATCH($B19,AO!$C:$C,0)),0)</f>
        <v>0</v>
      </c>
    </row>
    <row r="20" spans="2:40">
      <c r="B20" s="73">
        <v>13</v>
      </c>
      <c r="C20" s="49">
        <f t="shared" si="13"/>
        <v>13</v>
      </c>
      <c r="D20" s="261">
        <f>IFERROR(INDEX(AA!$AC:$AC,MATCH($C20,AA!$C:$C,0)),0)</f>
        <v>0</v>
      </c>
      <c r="E20" s="261">
        <f>IFERROR(INDEX(AA!$AG:$AG,MATCH($C20,AA!$C:$C,0)),0)</f>
        <v>0</v>
      </c>
      <c r="F20" s="261">
        <f>IFERROR(INDEX(AA!$AL:$AL,MATCH($C20,AA!$C:$C,0)),0)</f>
        <v>0</v>
      </c>
      <c r="G20" s="261">
        <f>IFERROR(INDEX(AA!$AI:$AI,MATCH($C20,AA!$C:$C,0)),0)</f>
        <v>0</v>
      </c>
      <c r="H20" s="261">
        <f>IFERROR(INDEX(AA!$AN:$AN,MATCH($C20,AA!$C:$C,0)),0)</f>
        <v>0</v>
      </c>
      <c r="I20" s="261"/>
      <c r="J20" s="261">
        <f>IFERROR(INDEX(AO!$Q:$Q,MATCH($B20,AO!$C:$C,0)),0)</f>
        <v>0</v>
      </c>
      <c r="K20" s="1289">
        <f>IFERROR(INDEX(AO!$AP:$AP,MATCH($B20,AO!$C:$C,0)),0)</f>
        <v>0</v>
      </c>
      <c r="L20" s="1278">
        <f>IFERROR(INDEX(AO!$U:$U,MATCH($B20,AO!$C:$C,0)),0)</f>
        <v>0</v>
      </c>
      <c r="M20" s="261">
        <f>IFERROR(INDEX(AO!$Y:$Y,MATCH($B20,AO!$C:$C,0)),0)</f>
        <v>0</v>
      </c>
      <c r="N20" s="261">
        <f>IFERROR(INDEX(AO!$AI:$AI,MATCH($B20,AO!$C:$C,0)),0)</f>
        <v>0</v>
      </c>
      <c r="O20" s="261">
        <f>IFERROR(INDEX(AO!$AM:$AM,MATCH($B20,AO!$C:$C,0)),0)</f>
        <v>0</v>
      </c>
      <c r="Q20" s="1230">
        <f>IFERROR(INDEX(AO!$AT:$AT,MATCH($B20,AO!$C:$C,0)),0)</f>
        <v>0</v>
      </c>
      <c r="R20" s="1230">
        <f t="shared" si="14"/>
        <v>0</v>
      </c>
      <c r="S20" s="1287">
        <f t="shared" si="15"/>
        <v>0</v>
      </c>
      <c r="T20" s="1290">
        <f t="shared" si="16"/>
        <v>0</v>
      </c>
      <c r="U20" s="1287">
        <f t="shared" si="17"/>
        <v>0</v>
      </c>
      <c r="V20" s="1230"/>
      <c r="W20" s="1230">
        <f>IFERROR(INDEX(AA!$EN:$EN,MATCH($C20,AA!$C:$C,0)),0)</f>
        <v>0</v>
      </c>
      <c r="X20" s="1230">
        <f t="shared" si="18"/>
        <v>0</v>
      </c>
      <c r="Y20" s="1279">
        <f t="shared" si="19"/>
        <v>0</v>
      </c>
      <c r="Z20" s="1278">
        <f t="shared" si="20"/>
        <v>0</v>
      </c>
      <c r="AA20" s="1287">
        <f t="shared" si="21"/>
        <v>0</v>
      </c>
      <c r="AB20" s="258"/>
      <c r="AC20" s="261">
        <f>IFERROR(INDEX(AA!$GA:$GA,MATCH($C20,AA!$C:$C,0)),0)</f>
        <v>0</v>
      </c>
      <c r="AD20" s="261">
        <f t="shared" si="22"/>
        <v>0</v>
      </c>
      <c r="AE20" s="1287">
        <f t="shared" si="23"/>
        <v>0</v>
      </c>
      <c r="AF20" s="1278">
        <f t="shared" si="24"/>
        <v>0</v>
      </c>
      <c r="AG20" s="1287">
        <f t="shared" si="25"/>
        <v>0</v>
      </c>
      <c r="AH20" s="1230"/>
      <c r="AI20" s="261">
        <f>IFERROR(INDEX(AO!$CA:$CA,MATCH($B20,AO!$C:$C,0)),0)</f>
        <v>0</v>
      </c>
      <c r="AJ20" s="1291">
        <f>IFERROR(INDEX(PCF!$BK$60:$BK$62,MATCH($B20,PCF!$C$60:$C$62,0)),0)</f>
        <v>0</v>
      </c>
      <c r="AK20" s="1278">
        <f>IFERROR(INDEX(AO!$CC:$CC,MATCH($B20,AO!$C:$C,0)),0)</f>
        <v>0</v>
      </c>
      <c r="AL20" s="261">
        <f>IFERROR(INDEX(AO!$CE:$CE,MATCH($B20,AO!$C:$C,0)),0)</f>
        <v>0</v>
      </c>
      <c r="AM20" s="261">
        <f>IFERROR(INDEX(AO!$CN:$CN,MATCH($B20,AO!$C:$C,0)),0)</f>
        <v>0</v>
      </c>
      <c r="AN20" s="261">
        <f>IFERROR(INDEX(AO!$CS:$CS,MATCH($B20,AO!$C:$C,0)),0)</f>
        <v>0</v>
      </c>
    </row>
    <row r="21" spans="2:40">
      <c r="B21" s="73">
        <v>14</v>
      </c>
      <c r="C21" s="49">
        <f t="shared" si="13"/>
        <v>14</v>
      </c>
      <c r="D21" s="261">
        <f>IFERROR(INDEX(AA!$AC:$AC,MATCH($C21,AA!$C:$C,0)),0)</f>
        <v>0</v>
      </c>
      <c r="E21" s="261">
        <f>IFERROR(INDEX(AA!$AG:$AG,MATCH($C21,AA!$C:$C,0)),0)</f>
        <v>0</v>
      </c>
      <c r="F21" s="261">
        <f>IFERROR(INDEX(AA!$AL:$AL,MATCH($C21,AA!$C:$C,0)),0)</f>
        <v>0</v>
      </c>
      <c r="G21" s="261">
        <f>IFERROR(INDEX(AA!$AI:$AI,MATCH($C21,AA!$C:$C,0)),0)</f>
        <v>0</v>
      </c>
      <c r="H21" s="261">
        <f>IFERROR(INDEX(AA!$AN:$AN,MATCH($C21,AA!$C:$C,0)),0)</f>
        <v>0</v>
      </c>
      <c r="I21" s="261"/>
      <c r="J21" s="261">
        <f>IFERROR(INDEX(AO!$Q:$Q,MATCH($B21,AO!$C:$C,0)),0)</f>
        <v>0</v>
      </c>
      <c r="K21" s="1289">
        <f>IFERROR(INDEX(AO!$AP:$AP,MATCH($B21,AO!$C:$C,0)),0)</f>
        <v>0</v>
      </c>
      <c r="L21" s="1278">
        <f>IFERROR(INDEX(AO!$U:$U,MATCH($B21,AO!$C:$C,0)),0)</f>
        <v>0</v>
      </c>
      <c r="M21" s="261">
        <f>IFERROR(INDEX(AO!$Y:$Y,MATCH($B21,AO!$C:$C,0)),0)</f>
        <v>0</v>
      </c>
      <c r="N21" s="261">
        <f>IFERROR(INDEX(AO!$AI:$AI,MATCH($B21,AO!$C:$C,0)),0)</f>
        <v>0</v>
      </c>
      <c r="O21" s="261">
        <f>IFERROR(INDEX(AO!$AM:$AM,MATCH($B21,AO!$C:$C,0)),0)</f>
        <v>0</v>
      </c>
      <c r="Q21" s="1230">
        <f>IFERROR(INDEX(AO!$AT:$AT,MATCH($B21,AO!$C:$C,0)),0)</f>
        <v>0</v>
      </c>
      <c r="R21" s="1230">
        <f t="shared" si="14"/>
        <v>0</v>
      </c>
      <c r="S21" s="1287">
        <f t="shared" si="15"/>
        <v>0</v>
      </c>
      <c r="T21" s="1290">
        <f t="shared" si="16"/>
        <v>0</v>
      </c>
      <c r="U21" s="1287">
        <f t="shared" si="17"/>
        <v>0</v>
      </c>
      <c r="V21" s="1230"/>
      <c r="W21" s="1230">
        <f>IFERROR(INDEX(AA!$EN:$EN,MATCH($C21,AA!$C:$C,0)),0)</f>
        <v>0</v>
      </c>
      <c r="X21" s="1230">
        <f t="shared" si="18"/>
        <v>0</v>
      </c>
      <c r="Y21" s="1279">
        <f t="shared" si="19"/>
        <v>0</v>
      </c>
      <c r="Z21" s="1278">
        <f t="shared" si="20"/>
        <v>0</v>
      </c>
      <c r="AA21" s="1287">
        <f t="shared" si="21"/>
        <v>0</v>
      </c>
      <c r="AB21" s="258"/>
      <c r="AC21" s="261">
        <f>IFERROR(INDEX(AA!$GA:$GA,MATCH($C21,AA!$C:$C,0)),0)</f>
        <v>0</v>
      </c>
      <c r="AD21" s="261">
        <f t="shared" si="22"/>
        <v>0</v>
      </c>
      <c r="AE21" s="1287">
        <f t="shared" si="23"/>
        <v>0</v>
      </c>
      <c r="AF21" s="1278">
        <f t="shared" si="24"/>
        <v>0</v>
      </c>
      <c r="AG21" s="1287">
        <f t="shared" si="25"/>
        <v>0</v>
      </c>
      <c r="AH21" s="1230"/>
      <c r="AI21" s="261">
        <f>IFERROR(INDEX(AO!$CA:$CA,MATCH($B21,AO!$C:$C,0)),0)</f>
        <v>0</v>
      </c>
      <c r="AJ21" s="1291">
        <f>IFERROR(INDEX(PCF!$BK$60:$BK$62,MATCH($B21,PCF!$C$60:$C$62,0)),0)</f>
        <v>0</v>
      </c>
      <c r="AK21" s="1278">
        <f>IFERROR(INDEX(AO!$CC:$CC,MATCH($B21,AO!$C:$C,0)),0)</f>
        <v>0</v>
      </c>
      <c r="AL21" s="261">
        <f>IFERROR(INDEX(AO!$CE:$CE,MATCH($B21,AO!$C:$C,0)),0)</f>
        <v>0</v>
      </c>
      <c r="AM21" s="261">
        <f>IFERROR(INDEX(AO!$CN:$CN,MATCH($B21,AO!$C:$C,0)),0)</f>
        <v>0</v>
      </c>
      <c r="AN21" s="261">
        <f>IFERROR(INDEX(AO!$CS:$CS,MATCH($B21,AO!$C:$C,0)),0)</f>
        <v>0</v>
      </c>
    </row>
    <row r="22" spans="2:40">
      <c r="B22" s="73">
        <v>15</v>
      </c>
      <c r="C22" s="49">
        <f t="shared" si="13"/>
        <v>15</v>
      </c>
      <c r="D22" s="261">
        <f>IFERROR(INDEX(AA!$AC:$AC,MATCH($C22,AA!$C:$C,0)),0)</f>
        <v>0</v>
      </c>
      <c r="E22" s="261">
        <f>IFERROR(INDEX(AA!$AG:$AG,MATCH($C22,AA!$C:$C,0)),0)</f>
        <v>0</v>
      </c>
      <c r="F22" s="261">
        <f>IFERROR(INDEX(AA!$AL:$AL,MATCH($C22,AA!$C:$C,0)),0)</f>
        <v>0</v>
      </c>
      <c r="G22" s="261">
        <f>IFERROR(INDEX(AA!$AI:$AI,MATCH($C22,AA!$C:$C,0)),0)</f>
        <v>0</v>
      </c>
      <c r="H22" s="261">
        <f>IFERROR(INDEX(AA!$AN:$AN,MATCH($C22,AA!$C:$C,0)),0)</f>
        <v>0</v>
      </c>
      <c r="I22" s="261"/>
      <c r="J22" s="261">
        <f>IFERROR(INDEX(AO!$Q:$Q,MATCH($B22,AO!$C:$C,0)),0)</f>
        <v>0</v>
      </c>
      <c r="K22" s="1289">
        <f>IFERROR(INDEX(AO!$AP:$AP,MATCH($B22,AO!$C:$C,0)),0)</f>
        <v>0</v>
      </c>
      <c r="L22" s="1278">
        <f>IFERROR(INDEX(AO!$U:$U,MATCH($B22,AO!$C:$C,0)),0)</f>
        <v>0</v>
      </c>
      <c r="M22" s="261">
        <f>IFERROR(INDEX(AO!$Y:$Y,MATCH($B22,AO!$C:$C,0)),0)</f>
        <v>0</v>
      </c>
      <c r="N22" s="261">
        <f>IFERROR(INDEX(AO!$AI:$AI,MATCH($B22,AO!$C:$C,0)),0)</f>
        <v>0</v>
      </c>
      <c r="O22" s="261">
        <f>IFERROR(INDEX(AO!$AM:$AM,MATCH($B22,AO!$C:$C,0)),0)</f>
        <v>0</v>
      </c>
      <c r="Q22" s="1230">
        <f>IFERROR(INDEX(AO!$AT:$AT,MATCH($B22,AO!$C:$C,0)),0)</f>
        <v>0</v>
      </c>
      <c r="R22" s="1230">
        <f t="shared" si="14"/>
        <v>0</v>
      </c>
      <c r="S22" s="1287">
        <f t="shared" si="15"/>
        <v>0</v>
      </c>
      <c r="T22" s="1290">
        <f t="shared" si="16"/>
        <v>0</v>
      </c>
      <c r="U22" s="1287">
        <f t="shared" si="17"/>
        <v>0</v>
      </c>
      <c r="V22" s="1230"/>
      <c r="W22" s="1230">
        <f>IFERROR(INDEX(AA!$EN:$EN,MATCH($C22,AA!$C:$C,0)),0)</f>
        <v>0</v>
      </c>
      <c r="X22" s="1230">
        <f t="shared" si="18"/>
        <v>0</v>
      </c>
      <c r="Y22" s="1279">
        <f t="shared" si="19"/>
        <v>0</v>
      </c>
      <c r="Z22" s="1278">
        <f t="shared" si="20"/>
        <v>0</v>
      </c>
      <c r="AA22" s="1287">
        <f t="shared" si="21"/>
        <v>0</v>
      </c>
      <c r="AB22" s="258"/>
      <c r="AC22" s="261">
        <f>IFERROR(INDEX(AA!$GA:$GA,MATCH($C22,AA!$C:$C,0)),0)</f>
        <v>0</v>
      </c>
      <c r="AD22" s="261">
        <f t="shared" si="22"/>
        <v>0</v>
      </c>
      <c r="AE22" s="1287">
        <f t="shared" si="23"/>
        <v>0</v>
      </c>
      <c r="AF22" s="1278">
        <f t="shared" si="24"/>
        <v>0</v>
      </c>
      <c r="AG22" s="1287">
        <f t="shared" si="25"/>
        <v>0</v>
      </c>
      <c r="AH22" s="1230"/>
      <c r="AI22" s="261">
        <f>IFERROR(INDEX(AO!$CA:$CA,MATCH($B22,AO!$C:$C,0)),0)</f>
        <v>0</v>
      </c>
      <c r="AJ22" s="1291">
        <f>IFERROR(INDEX(PCF!$BK$60:$BK$62,MATCH($B22,PCF!$C$60:$C$62,0)),0)</f>
        <v>0</v>
      </c>
      <c r="AK22" s="1278">
        <f>IFERROR(INDEX(AO!$CC:$CC,MATCH($B22,AO!$C:$C,0)),0)</f>
        <v>0</v>
      </c>
      <c r="AL22" s="261">
        <f>IFERROR(INDEX(AO!$CE:$CE,MATCH($B22,AO!$C:$C,0)),0)</f>
        <v>0</v>
      </c>
      <c r="AM22" s="261">
        <f>IFERROR(INDEX(AO!$CN:$CN,MATCH($B22,AO!$C:$C,0)),0)</f>
        <v>0</v>
      </c>
      <c r="AN22" s="261">
        <f>IFERROR(INDEX(AO!$CS:$CS,MATCH($B22,AO!$C:$C,0)),0)</f>
        <v>0</v>
      </c>
    </row>
    <row r="23" spans="2:40">
      <c r="B23" s="73">
        <v>16</v>
      </c>
      <c r="C23" s="49">
        <f t="shared" si="13"/>
        <v>16</v>
      </c>
      <c r="D23" s="261">
        <f>IFERROR(INDEX(AA!$AC:$AC,MATCH($C23,AA!$C:$C,0)),0)</f>
        <v>0</v>
      </c>
      <c r="E23" s="261">
        <f>IFERROR(INDEX(AA!$AG:$AG,MATCH($C23,AA!$C:$C,0)),0)</f>
        <v>0</v>
      </c>
      <c r="F23" s="261">
        <f>IFERROR(INDEX(AA!$AL:$AL,MATCH($C23,AA!$C:$C,0)),0)</f>
        <v>0</v>
      </c>
      <c r="G23" s="261">
        <f>IFERROR(INDEX(AA!$AI:$AI,MATCH($C23,AA!$C:$C,0)),0)</f>
        <v>0</v>
      </c>
      <c r="H23" s="261">
        <f>IFERROR(INDEX(AA!$AN:$AN,MATCH($C23,AA!$C:$C,0)),0)</f>
        <v>0</v>
      </c>
      <c r="I23" s="261"/>
      <c r="J23" s="261">
        <f>IFERROR(INDEX(AO!$Q:$Q,MATCH($B23,AO!$C:$C,0)),0)</f>
        <v>0</v>
      </c>
      <c r="K23" s="1289">
        <f>IFERROR(INDEX(AO!$AP:$AP,MATCH($B23,AO!$C:$C,0)),0)</f>
        <v>0</v>
      </c>
      <c r="L23" s="1278">
        <f>IFERROR(INDEX(AO!$U:$U,MATCH($B23,AO!$C:$C,0)),0)</f>
        <v>0</v>
      </c>
      <c r="M23" s="261">
        <f>IFERROR(INDEX(AO!$Y:$Y,MATCH($B23,AO!$C:$C,0)),0)</f>
        <v>0</v>
      </c>
      <c r="N23" s="261">
        <f>IFERROR(INDEX(AO!$AI:$AI,MATCH($B23,AO!$C:$C,0)),0)</f>
        <v>0</v>
      </c>
      <c r="O23" s="261">
        <f>IFERROR(INDEX(AO!$AM:$AM,MATCH($B23,AO!$C:$C,0)),0)</f>
        <v>0</v>
      </c>
      <c r="Q23" s="1230">
        <f>IFERROR(INDEX(AO!$AT:$AT,MATCH($B23,AO!$C:$C,0)),0)</f>
        <v>0</v>
      </c>
      <c r="R23" s="1230">
        <f t="shared" si="14"/>
        <v>0</v>
      </c>
      <c r="S23" s="1287">
        <f t="shared" si="15"/>
        <v>0</v>
      </c>
      <c r="T23" s="1290">
        <f t="shared" si="16"/>
        <v>0</v>
      </c>
      <c r="U23" s="1287">
        <f t="shared" si="17"/>
        <v>0</v>
      </c>
      <c r="V23" s="1230"/>
      <c r="W23" s="1230">
        <f>IFERROR(INDEX(AA!$EN:$EN,MATCH($C23,AA!$C:$C,0)),0)</f>
        <v>0</v>
      </c>
      <c r="X23" s="1230">
        <f t="shared" si="18"/>
        <v>0</v>
      </c>
      <c r="Y23" s="1279">
        <f t="shared" si="19"/>
        <v>0</v>
      </c>
      <c r="Z23" s="1278">
        <f t="shared" si="20"/>
        <v>0</v>
      </c>
      <c r="AA23" s="1287">
        <f t="shared" si="21"/>
        <v>0</v>
      </c>
      <c r="AB23" s="258"/>
      <c r="AC23" s="261">
        <f>IFERROR(INDEX(AA!$GA:$GA,MATCH($C23,AA!$C:$C,0)),0)</f>
        <v>0</v>
      </c>
      <c r="AD23" s="261">
        <f t="shared" si="22"/>
        <v>0</v>
      </c>
      <c r="AE23" s="1287">
        <f t="shared" si="23"/>
        <v>0</v>
      </c>
      <c r="AF23" s="1278">
        <f t="shared" si="24"/>
        <v>0</v>
      </c>
      <c r="AG23" s="1287">
        <f t="shared" si="25"/>
        <v>0</v>
      </c>
      <c r="AH23" s="1230"/>
      <c r="AI23" s="261">
        <f>IFERROR(INDEX(AO!$CA:$CA,MATCH($B23,AO!$C:$C,0)),0)</f>
        <v>0</v>
      </c>
      <c r="AJ23" s="1291">
        <f>IFERROR(INDEX(PCF!$BK$60:$BK$62,MATCH($B23,PCF!$C$60:$C$62,0)),0)</f>
        <v>0</v>
      </c>
      <c r="AK23" s="1278">
        <f>IFERROR(INDEX(AO!$CC:$CC,MATCH($B23,AO!$C:$C,0)),0)</f>
        <v>0</v>
      </c>
      <c r="AL23" s="261">
        <f>IFERROR(INDEX(AO!$CE:$CE,MATCH($B23,AO!$C:$C,0)),0)</f>
        <v>0</v>
      </c>
      <c r="AM23" s="261">
        <f>IFERROR(INDEX(AO!$CN:$CN,MATCH($B23,AO!$C:$C,0)),0)</f>
        <v>0</v>
      </c>
      <c r="AN23" s="261">
        <f>IFERROR(INDEX(AO!$CS:$CS,MATCH($B23,AO!$C:$C,0)),0)</f>
        <v>0</v>
      </c>
    </row>
    <row r="24" spans="2:40">
      <c r="B24" s="73">
        <v>17</v>
      </c>
      <c r="C24" s="49">
        <f t="shared" si="13"/>
        <v>17</v>
      </c>
      <c r="D24" s="261">
        <f>IFERROR(INDEX(AA!$AC:$AC,MATCH($C24,AA!$C:$C,0)),0)</f>
        <v>0</v>
      </c>
      <c r="E24" s="261">
        <f>IFERROR(INDEX(AA!$AG:$AG,MATCH($C24,AA!$C:$C,0)),0)</f>
        <v>0</v>
      </c>
      <c r="F24" s="261">
        <f>IFERROR(INDEX(AA!$AL:$AL,MATCH($C24,AA!$C:$C,0)),0)</f>
        <v>0</v>
      </c>
      <c r="G24" s="261">
        <f>IFERROR(INDEX(AA!$AI:$AI,MATCH($C24,AA!$C:$C,0)),0)</f>
        <v>0</v>
      </c>
      <c r="H24" s="261">
        <f>IFERROR(INDEX(AA!$AN:$AN,MATCH($C24,AA!$C:$C,0)),0)</f>
        <v>0</v>
      </c>
      <c r="I24" s="261"/>
      <c r="J24" s="261">
        <f>IFERROR(INDEX(AO!$Q:$Q,MATCH($B24,AO!$C:$C,0)),0)</f>
        <v>0</v>
      </c>
      <c r="K24" s="1289">
        <f>IFERROR(INDEX(AO!$AP:$AP,MATCH($B24,AO!$C:$C,0)),0)</f>
        <v>0</v>
      </c>
      <c r="L24" s="1278">
        <f>IFERROR(INDEX(AO!$U:$U,MATCH($B24,AO!$C:$C,0)),0)</f>
        <v>0</v>
      </c>
      <c r="M24" s="261">
        <f>IFERROR(INDEX(AO!$Y:$Y,MATCH($B24,AO!$C:$C,0)),0)</f>
        <v>0</v>
      </c>
      <c r="N24" s="261">
        <f>IFERROR(INDEX(AO!$AI:$AI,MATCH($B24,AO!$C:$C,0)),0)</f>
        <v>0</v>
      </c>
      <c r="O24" s="261">
        <f>IFERROR(INDEX(AO!$AM:$AM,MATCH($B24,AO!$C:$C,0)),0)</f>
        <v>0</v>
      </c>
      <c r="Q24" s="1230">
        <f>IFERROR(INDEX(AO!$AT:$AT,MATCH($B24,AO!$C:$C,0)),0)</f>
        <v>0</v>
      </c>
      <c r="R24" s="1230">
        <f t="shared" si="14"/>
        <v>0</v>
      </c>
      <c r="S24" s="1287">
        <f t="shared" si="15"/>
        <v>0</v>
      </c>
      <c r="T24" s="1290">
        <f t="shared" si="16"/>
        <v>0</v>
      </c>
      <c r="U24" s="1287">
        <f t="shared" si="17"/>
        <v>0</v>
      </c>
      <c r="V24" s="1230"/>
      <c r="W24" s="1230">
        <f>IFERROR(INDEX(AA!$EN:$EN,MATCH($C24,AA!$C:$C,0)),0)</f>
        <v>0</v>
      </c>
      <c r="X24" s="1230">
        <f t="shared" si="18"/>
        <v>0</v>
      </c>
      <c r="Y24" s="1279">
        <f t="shared" si="19"/>
        <v>0</v>
      </c>
      <c r="Z24" s="1278">
        <f t="shared" si="20"/>
        <v>0</v>
      </c>
      <c r="AA24" s="1287">
        <f t="shared" si="21"/>
        <v>0</v>
      </c>
      <c r="AB24" s="258"/>
      <c r="AC24" s="261">
        <f>IFERROR(INDEX(AA!$GA:$GA,MATCH($C24,AA!$C:$C,0)),0)</f>
        <v>0</v>
      </c>
      <c r="AD24" s="261">
        <f t="shared" si="22"/>
        <v>0</v>
      </c>
      <c r="AE24" s="1287">
        <f t="shared" si="23"/>
        <v>0</v>
      </c>
      <c r="AF24" s="1278">
        <f t="shared" si="24"/>
        <v>0</v>
      </c>
      <c r="AG24" s="1287">
        <f t="shared" si="25"/>
        <v>0</v>
      </c>
      <c r="AH24" s="1230"/>
      <c r="AI24" s="261">
        <f>IFERROR(INDEX(AO!$CA:$CA,MATCH($B24,AO!$C:$C,0)),0)</f>
        <v>0</v>
      </c>
      <c r="AJ24" s="1291">
        <f>IFERROR(INDEX(PCF!$BK$60:$BK$62,MATCH($B24,PCF!$C$60:$C$62,0)),0)</f>
        <v>0</v>
      </c>
      <c r="AK24" s="1278">
        <f>IFERROR(INDEX(AO!$CC:$CC,MATCH($B24,AO!$C:$C,0)),0)</f>
        <v>0</v>
      </c>
      <c r="AL24" s="261">
        <f>IFERROR(INDEX(AO!$CE:$CE,MATCH($B24,AO!$C:$C,0)),0)</f>
        <v>0</v>
      </c>
      <c r="AM24" s="261">
        <f>IFERROR(INDEX(AO!$CN:$CN,MATCH($B24,AO!$C:$C,0)),0)</f>
        <v>0</v>
      </c>
      <c r="AN24" s="261">
        <f>IFERROR(INDEX(AO!$CS:$CS,MATCH($B24,AO!$C:$C,0)),0)</f>
        <v>0</v>
      </c>
    </row>
    <row r="25" spans="2:40">
      <c r="B25" s="73">
        <v>18</v>
      </c>
      <c r="C25" s="49">
        <f t="shared" si="13"/>
        <v>18</v>
      </c>
      <c r="D25" s="261">
        <f>IFERROR(INDEX(AA!$AC:$AC,MATCH($C25,AA!$C:$C,0)),0)</f>
        <v>0</v>
      </c>
      <c r="E25" s="261">
        <f>IFERROR(INDEX(AA!$AG:$AG,MATCH($C25,AA!$C:$C,0)),0)</f>
        <v>0</v>
      </c>
      <c r="F25" s="261">
        <f>IFERROR(INDEX(AA!$AL:$AL,MATCH($C25,AA!$C:$C,0)),0)</f>
        <v>0</v>
      </c>
      <c r="G25" s="261">
        <f>IFERROR(INDEX(AA!$AI:$AI,MATCH($C25,AA!$C:$C,0)),0)</f>
        <v>0</v>
      </c>
      <c r="H25" s="261">
        <f>IFERROR(INDEX(AA!$AN:$AN,MATCH($C25,AA!$C:$C,0)),0)</f>
        <v>0</v>
      </c>
      <c r="I25" s="261"/>
      <c r="J25" s="261">
        <f>IFERROR(INDEX(AO!$Q:$Q,MATCH($B25,AO!$C:$C,0)),0)</f>
        <v>0</v>
      </c>
      <c r="K25" s="1289">
        <f>IFERROR(INDEX(AO!$AP:$AP,MATCH($B25,AO!$C:$C,0)),0)</f>
        <v>0</v>
      </c>
      <c r="L25" s="1278">
        <f>IFERROR(INDEX(AO!$U:$U,MATCH($B25,AO!$C:$C,0)),0)</f>
        <v>0</v>
      </c>
      <c r="M25" s="261">
        <f>IFERROR(INDEX(AO!$Y:$Y,MATCH($B25,AO!$C:$C,0)),0)</f>
        <v>0</v>
      </c>
      <c r="N25" s="261">
        <f>IFERROR(INDEX(AO!$AI:$AI,MATCH($B25,AO!$C:$C,0)),0)</f>
        <v>0</v>
      </c>
      <c r="O25" s="261">
        <f>IFERROR(INDEX(AO!$AM:$AM,MATCH($B25,AO!$C:$C,0)),0)</f>
        <v>0</v>
      </c>
      <c r="Q25" s="1230">
        <f>IFERROR(INDEX(AO!$AT:$AT,MATCH($B25,AO!$C:$C,0)),0)</f>
        <v>0</v>
      </c>
      <c r="R25" s="1230">
        <f t="shared" si="14"/>
        <v>0</v>
      </c>
      <c r="S25" s="1287">
        <f t="shared" si="15"/>
        <v>0</v>
      </c>
      <c r="T25" s="1290">
        <f t="shared" si="16"/>
        <v>0</v>
      </c>
      <c r="U25" s="1287">
        <f t="shared" si="17"/>
        <v>0</v>
      </c>
      <c r="V25" s="1230"/>
      <c r="W25" s="1230">
        <f>IFERROR(INDEX(AA!$EN:$EN,MATCH($C25,AA!$C:$C,0)),0)</f>
        <v>0</v>
      </c>
      <c r="X25" s="1230">
        <f t="shared" si="18"/>
        <v>0</v>
      </c>
      <c r="Y25" s="1279">
        <f t="shared" si="19"/>
        <v>0</v>
      </c>
      <c r="Z25" s="1278">
        <f t="shared" si="20"/>
        <v>0</v>
      </c>
      <c r="AA25" s="1287">
        <f t="shared" si="21"/>
        <v>0</v>
      </c>
      <c r="AB25" s="258"/>
      <c r="AC25" s="261">
        <f>IFERROR(INDEX(AA!$GA:$GA,MATCH($C25,AA!$C:$C,0)),0)</f>
        <v>0</v>
      </c>
      <c r="AD25" s="261">
        <f t="shared" si="22"/>
        <v>0</v>
      </c>
      <c r="AE25" s="1287">
        <f t="shared" si="23"/>
        <v>0</v>
      </c>
      <c r="AF25" s="1278">
        <f t="shared" si="24"/>
        <v>0</v>
      </c>
      <c r="AG25" s="1287">
        <f t="shared" si="25"/>
        <v>0</v>
      </c>
      <c r="AH25" s="1230"/>
      <c r="AI25" s="261">
        <f>IFERROR(INDEX(AO!$CA:$CA,MATCH($B25,AO!$C:$C,0)),0)</f>
        <v>0</v>
      </c>
      <c r="AJ25" s="1291">
        <f>IFERROR(INDEX(PCF!$BK$60:$BK$62,MATCH($B25,PCF!$C$60:$C$62,0)),0)</f>
        <v>0</v>
      </c>
      <c r="AK25" s="1278">
        <f>IFERROR(INDEX(AO!$CC:$CC,MATCH($B25,AO!$C:$C,0)),0)</f>
        <v>0</v>
      </c>
      <c r="AL25" s="261">
        <f>IFERROR(INDEX(AO!$CE:$CE,MATCH($B25,AO!$C:$C,0)),0)</f>
        <v>0</v>
      </c>
      <c r="AM25" s="261">
        <f>IFERROR(INDEX(AO!$CN:$CN,MATCH($B25,AO!$C:$C,0)),0)</f>
        <v>0</v>
      </c>
      <c r="AN25" s="261">
        <f>IFERROR(INDEX(AO!$CS:$CS,MATCH($B25,AO!$C:$C,0)),0)</f>
        <v>0</v>
      </c>
    </row>
    <row r="26" spans="2:40">
      <c r="B26" s="73">
        <v>19</v>
      </c>
      <c r="C26" s="49">
        <f t="shared" si="13"/>
        <v>19</v>
      </c>
      <c r="D26" s="261">
        <f>IFERROR(INDEX(AA!$AC:$AC,MATCH($C26,AA!$C:$C,0)),0)</f>
        <v>0</v>
      </c>
      <c r="E26" s="261">
        <f>IFERROR(INDEX(AA!$AG:$AG,MATCH($C26,AA!$C:$C,0)),0)</f>
        <v>0</v>
      </c>
      <c r="F26" s="261">
        <f>IFERROR(INDEX(AA!$AL:$AL,MATCH($C26,AA!$C:$C,0)),0)</f>
        <v>0</v>
      </c>
      <c r="G26" s="261">
        <f>IFERROR(INDEX(AA!$AI:$AI,MATCH($C26,AA!$C:$C,0)),0)</f>
        <v>0</v>
      </c>
      <c r="H26" s="261">
        <f>IFERROR(INDEX(AA!$AN:$AN,MATCH($C26,AA!$C:$C,0)),0)</f>
        <v>0</v>
      </c>
      <c r="I26" s="261"/>
      <c r="J26" s="261">
        <f>IFERROR(INDEX(AO!$Q:$Q,MATCH($B26,AO!$C:$C,0)),0)</f>
        <v>0</v>
      </c>
      <c r="K26" s="1289">
        <f>IFERROR(INDEX(AO!$AP:$AP,MATCH($B26,AO!$C:$C,0)),0)</f>
        <v>0</v>
      </c>
      <c r="L26" s="1278">
        <f>IFERROR(INDEX(AO!$U:$U,MATCH($B26,AO!$C:$C,0)),0)</f>
        <v>0</v>
      </c>
      <c r="M26" s="261">
        <f>IFERROR(INDEX(AO!$Y:$Y,MATCH($B26,AO!$C:$C,0)),0)</f>
        <v>0</v>
      </c>
      <c r="N26" s="261">
        <f>IFERROR(INDEX(AO!$AI:$AI,MATCH($B26,AO!$C:$C,0)),0)</f>
        <v>0</v>
      </c>
      <c r="O26" s="261">
        <f>IFERROR(INDEX(AO!$AM:$AM,MATCH($B26,AO!$C:$C,0)),0)</f>
        <v>0</v>
      </c>
      <c r="Q26" s="1230">
        <f>IFERROR(INDEX(AO!$AT:$AT,MATCH($B26,AO!$C:$C,0)),0)</f>
        <v>0</v>
      </c>
      <c r="R26" s="1230">
        <f t="shared" si="14"/>
        <v>0</v>
      </c>
      <c r="S26" s="1287">
        <f t="shared" si="15"/>
        <v>0</v>
      </c>
      <c r="T26" s="1290">
        <f t="shared" si="16"/>
        <v>0</v>
      </c>
      <c r="U26" s="1287">
        <f t="shared" si="17"/>
        <v>0</v>
      </c>
      <c r="V26" s="1230"/>
      <c r="W26" s="1230">
        <f>IFERROR(INDEX(AA!$EN:$EN,MATCH($C26,AA!$C:$C,0)),0)</f>
        <v>0</v>
      </c>
      <c r="X26" s="1230">
        <f t="shared" si="18"/>
        <v>0</v>
      </c>
      <c r="Y26" s="1279">
        <f t="shared" si="19"/>
        <v>0</v>
      </c>
      <c r="Z26" s="1278">
        <f t="shared" si="20"/>
        <v>0</v>
      </c>
      <c r="AA26" s="1287">
        <f t="shared" si="21"/>
        <v>0</v>
      </c>
      <c r="AB26" s="258"/>
      <c r="AC26" s="261">
        <f>IFERROR(INDEX(AA!$GA:$GA,MATCH($C26,AA!$C:$C,0)),0)</f>
        <v>0</v>
      </c>
      <c r="AD26" s="261">
        <f t="shared" si="22"/>
        <v>0</v>
      </c>
      <c r="AE26" s="1287">
        <f t="shared" si="23"/>
        <v>0</v>
      </c>
      <c r="AF26" s="1278">
        <f t="shared" si="24"/>
        <v>0</v>
      </c>
      <c r="AG26" s="1287">
        <f t="shared" si="25"/>
        <v>0</v>
      </c>
      <c r="AH26" s="1230"/>
      <c r="AI26" s="261">
        <f>IFERROR(INDEX(AO!$CA:$CA,MATCH($B26,AO!$C:$C,0)),0)</f>
        <v>0</v>
      </c>
      <c r="AJ26" s="1291">
        <f>IFERROR(INDEX(PCF!$BK$60:$BK$62,MATCH($B26,PCF!$C$60:$C$62,0)),0)</f>
        <v>0</v>
      </c>
      <c r="AK26" s="1278">
        <f>IFERROR(INDEX(AO!$CC:$CC,MATCH($B26,AO!$C:$C,0)),0)</f>
        <v>0</v>
      </c>
      <c r="AL26" s="261">
        <f>IFERROR(INDEX(AO!$CE:$CE,MATCH($B26,AO!$C:$C,0)),0)</f>
        <v>0</v>
      </c>
      <c r="AM26" s="261">
        <f>IFERROR(INDEX(AO!$CN:$CN,MATCH($B26,AO!$C:$C,0)),0)</f>
        <v>0</v>
      </c>
      <c r="AN26" s="261">
        <f>IFERROR(INDEX(AO!$CS:$CS,MATCH($B26,AO!$C:$C,0)),0)</f>
        <v>0</v>
      </c>
    </row>
    <row r="27" spans="2:40">
      <c r="B27" s="73">
        <v>20</v>
      </c>
      <c r="C27" s="49">
        <f t="shared" si="13"/>
        <v>20</v>
      </c>
      <c r="D27" s="261">
        <f>IFERROR(INDEX(AA!$AC:$AC,MATCH($C27,AA!$C:$C,0)),0)</f>
        <v>0</v>
      </c>
      <c r="E27" s="261">
        <f>IFERROR(INDEX(AA!$AG:$AG,MATCH($C27,AA!$C:$C,0)),0)</f>
        <v>0</v>
      </c>
      <c r="F27" s="261">
        <f>IFERROR(INDEX(AA!$AL:$AL,MATCH($C27,AA!$C:$C,0)),0)</f>
        <v>0</v>
      </c>
      <c r="G27" s="261">
        <f>IFERROR(INDEX(AA!$AI:$AI,MATCH($C27,AA!$C:$C,0)),0)</f>
        <v>0</v>
      </c>
      <c r="H27" s="261">
        <f>IFERROR(INDEX(AA!$AN:$AN,MATCH($C27,AA!$C:$C,0)),0)</f>
        <v>0</v>
      </c>
      <c r="I27" s="261"/>
      <c r="J27" s="261">
        <f>IFERROR(INDEX(AO!$Q:$Q,MATCH($B27,AO!$C:$C,0)),0)</f>
        <v>0</v>
      </c>
      <c r="K27" s="1289">
        <f>IFERROR(INDEX(AO!$AP:$AP,MATCH($B27,AO!$C:$C,0)),0)</f>
        <v>0</v>
      </c>
      <c r="L27" s="1278">
        <f>IFERROR(INDEX(AO!$U:$U,MATCH($B27,AO!$C:$C,0)),0)</f>
        <v>0</v>
      </c>
      <c r="M27" s="261">
        <f>IFERROR(INDEX(AO!$Y:$Y,MATCH($B27,AO!$C:$C,0)),0)</f>
        <v>0</v>
      </c>
      <c r="N27" s="261">
        <f>IFERROR(INDEX(AO!$AI:$AI,MATCH($B27,AO!$C:$C,0)),0)</f>
        <v>0</v>
      </c>
      <c r="O27" s="261">
        <f>IFERROR(INDEX(AO!$AM:$AM,MATCH($B27,AO!$C:$C,0)),0)</f>
        <v>0</v>
      </c>
      <c r="Q27" s="1230">
        <f>IFERROR(INDEX(AO!$AT:$AT,MATCH($B27,AO!$C:$C,0)),0)</f>
        <v>0</v>
      </c>
      <c r="R27" s="1230">
        <f t="shared" si="14"/>
        <v>0</v>
      </c>
      <c r="S27" s="1287">
        <f t="shared" si="15"/>
        <v>0</v>
      </c>
      <c r="T27" s="1290">
        <f t="shared" si="16"/>
        <v>0</v>
      </c>
      <c r="U27" s="1287">
        <f t="shared" si="17"/>
        <v>0</v>
      </c>
      <c r="V27" s="1230"/>
      <c r="W27" s="1230">
        <f>IFERROR(INDEX(AA!$EN:$EN,MATCH($C27,AA!$C:$C,0)),0)</f>
        <v>0</v>
      </c>
      <c r="X27" s="1230">
        <f t="shared" si="18"/>
        <v>0</v>
      </c>
      <c r="Y27" s="1279">
        <f t="shared" si="19"/>
        <v>0</v>
      </c>
      <c r="Z27" s="1278">
        <f t="shared" si="20"/>
        <v>0</v>
      </c>
      <c r="AA27" s="1287">
        <f t="shared" si="21"/>
        <v>0</v>
      </c>
      <c r="AB27" s="258"/>
      <c r="AC27" s="261">
        <f>IFERROR(INDEX(AA!$GA:$GA,MATCH($C27,AA!$C:$C,0)),0)</f>
        <v>0</v>
      </c>
      <c r="AD27" s="261">
        <f t="shared" si="22"/>
        <v>0</v>
      </c>
      <c r="AE27" s="1287">
        <f t="shared" si="23"/>
        <v>0</v>
      </c>
      <c r="AF27" s="1278">
        <f t="shared" si="24"/>
        <v>0</v>
      </c>
      <c r="AG27" s="1287">
        <f t="shared" si="25"/>
        <v>0</v>
      </c>
      <c r="AH27" s="1230"/>
      <c r="AI27" s="261">
        <f>IFERROR(INDEX(AO!$CA:$CA,MATCH($B27,AO!$C:$C,0)),0)</f>
        <v>0</v>
      </c>
      <c r="AJ27" s="1291">
        <f>IFERROR(INDEX(PCF!$BK$60:$BK$62,MATCH($B27,PCF!$C$60:$C$62,0)),0)</f>
        <v>0</v>
      </c>
      <c r="AK27" s="1278">
        <f>IFERROR(INDEX(AO!$CC:$CC,MATCH($B27,AO!$C:$C,0)),0)</f>
        <v>0</v>
      </c>
      <c r="AL27" s="261">
        <f>IFERROR(INDEX(AO!$CE:$CE,MATCH($B27,AO!$C:$C,0)),0)</f>
        <v>0</v>
      </c>
      <c r="AM27" s="261">
        <f>IFERROR(INDEX(AO!$CN:$CN,MATCH($B27,AO!$C:$C,0)),0)</f>
        <v>0</v>
      </c>
      <c r="AN27" s="261">
        <f>IFERROR(INDEX(AO!$CS:$CS,MATCH($B27,AO!$C:$C,0)),0)</f>
        <v>0</v>
      </c>
    </row>
    <row r="28" spans="2:40">
      <c r="B28" s="73">
        <v>21</v>
      </c>
      <c r="C28" s="49">
        <f t="shared" si="13"/>
        <v>21</v>
      </c>
      <c r="D28" s="261">
        <f>IFERROR(INDEX(AA!$AC:$AC,MATCH($C28,AA!$C:$C,0)),0)</f>
        <v>0</v>
      </c>
      <c r="E28" s="261">
        <f>IFERROR(INDEX(AA!$AG:$AG,MATCH($C28,AA!$C:$C,0)),0)</f>
        <v>0</v>
      </c>
      <c r="F28" s="261">
        <f>IFERROR(INDEX(AA!$AL:$AL,MATCH($C28,AA!$C:$C,0)),0)</f>
        <v>0</v>
      </c>
      <c r="G28" s="261">
        <f>IFERROR(INDEX(AA!$AI:$AI,MATCH($C28,AA!$C:$C,0)),0)</f>
        <v>0</v>
      </c>
      <c r="H28" s="261">
        <f>IFERROR(INDEX(AA!$AN:$AN,MATCH($C28,AA!$C:$C,0)),0)</f>
        <v>0</v>
      </c>
      <c r="I28" s="261"/>
      <c r="J28" s="261">
        <f>IFERROR(INDEX(AO!$Q:$Q,MATCH($B28,AO!$C:$C,0)),0)</f>
        <v>0</v>
      </c>
      <c r="K28" s="1289">
        <f>IFERROR(INDEX(AO!$AP:$AP,MATCH($B28,AO!$C:$C,0)),0)</f>
        <v>0</v>
      </c>
      <c r="L28" s="1278">
        <f>IFERROR(INDEX(AO!$U:$U,MATCH($B28,AO!$C:$C,0)),0)</f>
        <v>0</v>
      </c>
      <c r="M28" s="261">
        <f>IFERROR(INDEX(AO!$Y:$Y,MATCH($B28,AO!$C:$C,0)),0)</f>
        <v>0</v>
      </c>
      <c r="N28" s="261">
        <f>IFERROR(INDEX(AO!$AI:$AI,MATCH($B28,AO!$C:$C,0)),0)</f>
        <v>0</v>
      </c>
      <c r="O28" s="261">
        <f>IFERROR(INDEX(AO!$AM:$AM,MATCH($B28,AO!$C:$C,0)),0)</f>
        <v>0</v>
      </c>
      <c r="Q28" s="1230">
        <f>IFERROR(INDEX(AO!$AT:$AT,MATCH($B28,AO!$C:$C,0)),0)</f>
        <v>0</v>
      </c>
      <c r="R28" s="1230">
        <f t="shared" si="14"/>
        <v>0</v>
      </c>
      <c r="S28" s="1287">
        <f t="shared" si="15"/>
        <v>0</v>
      </c>
      <c r="T28" s="1290">
        <f t="shared" si="16"/>
        <v>0</v>
      </c>
      <c r="U28" s="1287">
        <f t="shared" si="17"/>
        <v>0</v>
      </c>
      <c r="V28" s="1230"/>
      <c r="W28" s="1230">
        <f>IFERROR(INDEX(AA!$EN:$EN,MATCH($C28,AA!$C:$C,0)),0)</f>
        <v>0</v>
      </c>
      <c r="X28" s="1230">
        <f t="shared" si="18"/>
        <v>0</v>
      </c>
      <c r="Y28" s="1279">
        <f t="shared" si="19"/>
        <v>0</v>
      </c>
      <c r="Z28" s="1278">
        <f t="shared" si="20"/>
        <v>0</v>
      </c>
      <c r="AA28" s="1287">
        <f t="shared" si="21"/>
        <v>0</v>
      </c>
      <c r="AB28" s="258"/>
      <c r="AC28" s="261">
        <f>IFERROR(INDEX(AA!$GA:$GA,MATCH($C28,AA!$C:$C,0)),0)</f>
        <v>0</v>
      </c>
      <c r="AD28" s="261">
        <f t="shared" si="22"/>
        <v>0</v>
      </c>
      <c r="AE28" s="1287">
        <f t="shared" si="23"/>
        <v>0</v>
      </c>
      <c r="AF28" s="1278">
        <f t="shared" si="24"/>
        <v>0</v>
      </c>
      <c r="AG28" s="1287">
        <f t="shared" si="25"/>
        <v>0</v>
      </c>
      <c r="AH28" s="1230"/>
      <c r="AI28" s="261">
        <f>IFERROR(INDEX(AO!$CA:$CA,MATCH($B28,AO!$C:$C,0)),0)</f>
        <v>0</v>
      </c>
      <c r="AJ28" s="1291">
        <f>IFERROR(INDEX(PCF!$BK$60:$BK$62,MATCH($B28,PCF!$C$60:$C$62,0)),0)</f>
        <v>0</v>
      </c>
      <c r="AK28" s="1278">
        <f>IFERROR(INDEX(AO!$CC:$CC,MATCH($B28,AO!$C:$C,0)),0)</f>
        <v>0</v>
      </c>
      <c r="AL28" s="261">
        <f>IFERROR(INDEX(AO!$CE:$CE,MATCH($B28,AO!$C:$C,0)),0)</f>
        <v>0</v>
      </c>
      <c r="AM28" s="261">
        <f>IFERROR(INDEX(AO!$CN:$CN,MATCH($B28,AO!$C:$C,0)),0)</f>
        <v>0</v>
      </c>
      <c r="AN28" s="261">
        <f>IFERROR(INDEX(AO!$CS:$CS,MATCH($B28,AO!$C:$C,0)),0)</f>
        <v>0</v>
      </c>
    </row>
    <row r="29" spans="2:40">
      <c r="B29" s="73">
        <v>22</v>
      </c>
      <c r="C29" s="49">
        <f t="shared" si="13"/>
        <v>22</v>
      </c>
      <c r="D29" s="261">
        <f>IFERROR(INDEX(AA!$AC:$AC,MATCH($C29,AA!$C:$C,0)),0)</f>
        <v>0</v>
      </c>
      <c r="E29" s="261">
        <f>IFERROR(INDEX(AA!$AG:$AG,MATCH($C29,AA!$C:$C,0)),0)</f>
        <v>0</v>
      </c>
      <c r="F29" s="261">
        <f>IFERROR(INDEX(AA!$AL:$AL,MATCH($C29,AA!$C:$C,0)),0)</f>
        <v>0</v>
      </c>
      <c r="G29" s="261">
        <f>IFERROR(INDEX(AA!$AI:$AI,MATCH($C29,AA!$C:$C,0)),0)</f>
        <v>0</v>
      </c>
      <c r="H29" s="261">
        <f>IFERROR(INDEX(AA!$AN:$AN,MATCH($C29,AA!$C:$C,0)),0)</f>
        <v>0</v>
      </c>
      <c r="I29" s="261"/>
      <c r="J29" s="261">
        <f>IFERROR(INDEX(AO!$Q:$Q,MATCH($B29,AO!$C:$C,0)),0)</f>
        <v>0</v>
      </c>
      <c r="K29" s="1289">
        <f>IFERROR(INDEX(AO!$AP:$AP,MATCH($B29,AO!$C:$C,0)),0)</f>
        <v>0</v>
      </c>
      <c r="L29" s="1278">
        <f>IFERROR(INDEX(AO!$U:$U,MATCH($B29,AO!$C:$C,0)),0)</f>
        <v>0</v>
      </c>
      <c r="M29" s="261">
        <f>IFERROR(INDEX(AO!$Y:$Y,MATCH($B29,AO!$C:$C,0)),0)</f>
        <v>0</v>
      </c>
      <c r="N29" s="261">
        <f>IFERROR(INDEX(AO!$AI:$AI,MATCH($B29,AO!$C:$C,0)),0)</f>
        <v>0</v>
      </c>
      <c r="O29" s="261">
        <f>IFERROR(INDEX(AO!$AM:$AM,MATCH($B29,AO!$C:$C,0)),0)</f>
        <v>0</v>
      </c>
      <c r="Q29" s="1230">
        <f>IFERROR(INDEX(AO!$AT:$AT,MATCH($B29,AO!$C:$C,0)),0)</f>
        <v>0</v>
      </c>
      <c r="R29" s="1230">
        <f t="shared" si="14"/>
        <v>0</v>
      </c>
      <c r="S29" s="1287">
        <f t="shared" si="15"/>
        <v>0</v>
      </c>
      <c r="T29" s="1290">
        <f t="shared" si="16"/>
        <v>0</v>
      </c>
      <c r="U29" s="1287">
        <f t="shared" si="17"/>
        <v>0</v>
      </c>
      <c r="V29" s="1230"/>
      <c r="W29" s="1230">
        <f>IFERROR(INDEX(AA!$EN:$EN,MATCH($C29,AA!$C:$C,0)),0)</f>
        <v>0</v>
      </c>
      <c r="X29" s="1230">
        <f t="shared" si="18"/>
        <v>0</v>
      </c>
      <c r="Y29" s="1279">
        <f t="shared" si="19"/>
        <v>0</v>
      </c>
      <c r="Z29" s="1278">
        <f t="shared" si="20"/>
        <v>0</v>
      </c>
      <c r="AA29" s="1287">
        <f t="shared" si="21"/>
        <v>0</v>
      </c>
      <c r="AB29" s="258"/>
      <c r="AC29" s="261">
        <f>IFERROR(INDEX(AA!$GA:$GA,MATCH($C29,AA!$C:$C,0)),0)</f>
        <v>0</v>
      </c>
      <c r="AD29" s="261">
        <f t="shared" si="22"/>
        <v>0</v>
      </c>
      <c r="AE29" s="1287">
        <f t="shared" si="23"/>
        <v>0</v>
      </c>
      <c r="AF29" s="1278">
        <f t="shared" si="24"/>
        <v>0</v>
      </c>
      <c r="AG29" s="1287">
        <f t="shared" si="25"/>
        <v>0</v>
      </c>
      <c r="AH29" s="1230"/>
      <c r="AI29" s="261">
        <f>IFERROR(INDEX(AO!$CA:$CA,MATCH($B29,AO!$C:$C,0)),0)</f>
        <v>0</v>
      </c>
      <c r="AJ29" s="1291">
        <f>IFERROR(INDEX(PCF!$BK$60:$BK$62,MATCH($B29,PCF!$C$60:$C$62,0)),0)</f>
        <v>0</v>
      </c>
      <c r="AK29" s="1278">
        <f>IFERROR(INDEX(AO!$CC:$CC,MATCH($B29,AO!$C:$C,0)),0)</f>
        <v>0</v>
      </c>
      <c r="AL29" s="261">
        <f>IFERROR(INDEX(AO!$CE:$CE,MATCH($B29,AO!$C:$C,0)),0)</f>
        <v>0</v>
      </c>
      <c r="AM29" s="261">
        <f>IFERROR(INDEX(AO!$CN:$CN,MATCH($B29,AO!$C:$C,0)),0)</f>
        <v>0</v>
      </c>
      <c r="AN29" s="261">
        <f>IFERROR(INDEX(AO!$CS:$CS,MATCH($B29,AO!$C:$C,0)),0)</f>
        <v>0</v>
      </c>
    </row>
    <row r="30" spans="2:40">
      <c r="B30" s="73">
        <v>23</v>
      </c>
      <c r="C30" s="49">
        <f t="shared" si="13"/>
        <v>23</v>
      </c>
      <c r="D30" s="261">
        <f>IFERROR(INDEX(AA!$AC:$AC,MATCH($C30,AA!$C:$C,0)),0)</f>
        <v>0</v>
      </c>
      <c r="E30" s="261">
        <f>IFERROR(INDEX(AA!$AG:$AG,MATCH($C30,AA!$C:$C,0)),0)</f>
        <v>0</v>
      </c>
      <c r="F30" s="261">
        <f>IFERROR(INDEX(AA!$AL:$AL,MATCH($C30,AA!$C:$C,0)),0)</f>
        <v>0</v>
      </c>
      <c r="G30" s="261">
        <f>IFERROR(INDEX(AA!$AI:$AI,MATCH($C30,AA!$C:$C,0)),0)</f>
        <v>0</v>
      </c>
      <c r="H30" s="261">
        <f>IFERROR(INDEX(AA!$AN:$AN,MATCH($C30,AA!$C:$C,0)),0)</f>
        <v>0</v>
      </c>
      <c r="I30" s="261"/>
      <c r="J30" s="261">
        <f>IFERROR(INDEX(AO!$Q:$Q,MATCH($B30,AO!$C:$C,0)),0)</f>
        <v>0</v>
      </c>
      <c r="K30" s="1289">
        <f>IFERROR(INDEX(AO!$AP:$AP,MATCH($B30,AO!$C:$C,0)),0)</f>
        <v>0</v>
      </c>
      <c r="L30" s="1278">
        <f>IFERROR(INDEX(AO!$U:$U,MATCH($B30,AO!$C:$C,0)),0)</f>
        <v>0</v>
      </c>
      <c r="M30" s="261">
        <f>IFERROR(INDEX(AO!$Y:$Y,MATCH($B30,AO!$C:$C,0)),0)</f>
        <v>0</v>
      </c>
      <c r="N30" s="261">
        <f>IFERROR(INDEX(AO!$AI:$AI,MATCH($B30,AO!$C:$C,0)),0)</f>
        <v>0</v>
      </c>
      <c r="O30" s="261">
        <f>IFERROR(INDEX(AO!$AM:$AM,MATCH($B30,AO!$C:$C,0)),0)</f>
        <v>0</v>
      </c>
      <c r="Q30" s="1230">
        <f>IFERROR(INDEX(AO!$AT:$AT,MATCH($B30,AO!$C:$C,0)),0)</f>
        <v>0</v>
      </c>
      <c r="R30" s="1230">
        <f t="shared" si="14"/>
        <v>0</v>
      </c>
      <c r="S30" s="1287">
        <f t="shared" si="15"/>
        <v>0</v>
      </c>
      <c r="T30" s="1290">
        <f t="shared" si="16"/>
        <v>0</v>
      </c>
      <c r="U30" s="1287">
        <f t="shared" si="17"/>
        <v>0</v>
      </c>
      <c r="V30" s="1230"/>
      <c r="W30" s="1230">
        <f>IFERROR(INDEX(AA!$EN:$EN,MATCH($C30,AA!$C:$C,0)),0)</f>
        <v>0</v>
      </c>
      <c r="X30" s="1230">
        <f t="shared" si="18"/>
        <v>0</v>
      </c>
      <c r="Y30" s="1279">
        <f t="shared" si="19"/>
        <v>0</v>
      </c>
      <c r="Z30" s="1278">
        <f t="shared" si="20"/>
        <v>0</v>
      </c>
      <c r="AA30" s="1287">
        <f t="shared" si="21"/>
        <v>0</v>
      </c>
      <c r="AB30" s="258"/>
      <c r="AC30" s="261">
        <f>IFERROR(INDEX(AA!$GA:$GA,MATCH($C30,AA!$C:$C,0)),0)</f>
        <v>0</v>
      </c>
      <c r="AD30" s="261">
        <f t="shared" si="22"/>
        <v>0</v>
      </c>
      <c r="AE30" s="1287">
        <f t="shared" si="23"/>
        <v>0</v>
      </c>
      <c r="AF30" s="1278">
        <f t="shared" si="24"/>
        <v>0</v>
      </c>
      <c r="AG30" s="1287">
        <f t="shared" si="25"/>
        <v>0</v>
      </c>
      <c r="AH30" s="1230"/>
      <c r="AI30" s="261">
        <f>IFERROR(INDEX(AO!$CA:$CA,MATCH($B30,AO!$C:$C,0)),0)</f>
        <v>0</v>
      </c>
      <c r="AJ30" s="1291">
        <f>IFERROR(INDEX(PCF!$BK$60:$BK$62,MATCH($B30,PCF!$C$60:$C$62,0)),0)</f>
        <v>0</v>
      </c>
      <c r="AK30" s="1278">
        <f>IFERROR(INDEX(AO!$CC:$CC,MATCH($B30,AO!$C:$C,0)),0)</f>
        <v>0</v>
      </c>
      <c r="AL30" s="261">
        <f>IFERROR(INDEX(AO!$CE:$CE,MATCH($B30,AO!$C:$C,0)),0)</f>
        <v>0</v>
      </c>
      <c r="AM30" s="261">
        <f>IFERROR(INDEX(AO!$CN:$CN,MATCH($B30,AO!$C:$C,0)),0)</f>
        <v>0</v>
      </c>
      <c r="AN30" s="261">
        <f>IFERROR(INDEX(AO!$CS:$CS,MATCH($B30,AO!$C:$C,0)),0)</f>
        <v>0</v>
      </c>
    </row>
    <row r="31" spans="2:40">
      <c r="B31" s="73">
        <v>24</v>
      </c>
      <c r="C31" s="49">
        <f t="shared" si="13"/>
        <v>24</v>
      </c>
      <c r="D31" s="261">
        <f>IFERROR(INDEX(AA!$AC:$AC,MATCH($C31,AA!$C:$C,0)),0)</f>
        <v>0</v>
      </c>
      <c r="E31" s="261">
        <f>IFERROR(INDEX(AA!$AG:$AG,MATCH($C31,AA!$C:$C,0)),0)</f>
        <v>0</v>
      </c>
      <c r="F31" s="261">
        <f>IFERROR(INDEX(AA!$AL:$AL,MATCH($C31,AA!$C:$C,0)),0)</f>
        <v>0</v>
      </c>
      <c r="G31" s="261">
        <f>IFERROR(INDEX(AA!$AI:$AI,MATCH($C31,AA!$C:$C,0)),0)</f>
        <v>0</v>
      </c>
      <c r="H31" s="261">
        <f>IFERROR(INDEX(AA!$AN:$AN,MATCH($C31,AA!$C:$C,0)),0)</f>
        <v>0</v>
      </c>
      <c r="I31" s="261"/>
      <c r="J31" s="261">
        <f>IFERROR(INDEX(AO!$Q:$Q,MATCH($B31,AO!$C:$C,0)),0)</f>
        <v>0</v>
      </c>
      <c r="K31" s="1289">
        <f>IFERROR(INDEX(AO!$AP:$AP,MATCH($B31,AO!$C:$C,0)),0)</f>
        <v>0</v>
      </c>
      <c r="L31" s="1278">
        <f>IFERROR(INDEX(AO!$U:$U,MATCH($B31,AO!$C:$C,0)),0)</f>
        <v>0</v>
      </c>
      <c r="M31" s="261">
        <f>IFERROR(INDEX(AO!$Y:$Y,MATCH($B31,AO!$C:$C,0)),0)</f>
        <v>0</v>
      </c>
      <c r="N31" s="261">
        <f>IFERROR(INDEX(AO!$AI:$AI,MATCH($B31,AO!$C:$C,0)),0)</f>
        <v>0</v>
      </c>
      <c r="O31" s="261">
        <f>IFERROR(INDEX(AO!$AM:$AM,MATCH($B31,AO!$C:$C,0)),0)</f>
        <v>0</v>
      </c>
      <c r="Q31" s="1230">
        <f>IFERROR(INDEX(AO!$AT:$AT,MATCH($B31,AO!$C:$C,0)),0)</f>
        <v>0</v>
      </c>
      <c r="R31" s="1230">
        <f t="shared" si="14"/>
        <v>0</v>
      </c>
      <c r="S31" s="1287">
        <f t="shared" si="15"/>
        <v>0</v>
      </c>
      <c r="T31" s="1290">
        <f t="shared" si="16"/>
        <v>0</v>
      </c>
      <c r="U31" s="1287">
        <f t="shared" si="17"/>
        <v>0</v>
      </c>
      <c r="V31" s="1230"/>
      <c r="W31" s="1230">
        <f>IFERROR(INDEX(AA!$EN:$EN,MATCH($C31,AA!$C:$C,0)),0)</f>
        <v>0</v>
      </c>
      <c r="X31" s="1230">
        <f t="shared" si="18"/>
        <v>0</v>
      </c>
      <c r="Y31" s="1279">
        <f t="shared" si="19"/>
        <v>0</v>
      </c>
      <c r="Z31" s="1278">
        <f t="shared" si="20"/>
        <v>0</v>
      </c>
      <c r="AA31" s="1287">
        <f t="shared" si="21"/>
        <v>0</v>
      </c>
      <c r="AB31" s="258"/>
      <c r="AC31" s="261">
        <f>IFERROR(INDEX(AA!$GA:$GA,MATCH($C31,AA!$C:$C,0)),0)</f>
        <v>0</v>
      </c>
      <c r="AD31" s="261">
        <f t="shared" si="22"/>
        <v>0</v>
      </c>
      <c r="AE31" s="1287">
        <f t="shared" si="23"/>
        <v>0</v>
      </c>
      <c r="AF31" s="1278">
        <f t="shared" si="24"/>
        <v>0</v>
      </c>
      <c r="AG31" s="1287">
        <f t="shared" si="25"/>
        <v>0</v>
      </c>
      <c r="AH31" s="1230"/>
      <c r="AI31" s="261">
        <f>IFERROR(INDEX(AO!$CA:$CA,MATCH($B31,AO!$C:$C,0)),0)</f>
        <v>0</v>
      </c>
      <c r="AJ31" s="1291">
        <f>IFERROR(INDEX(PCF!$BK$60:$BK$62,MATCH($B31,PCF!$C$60:$C$62,0)),0)</f>
        <v>0</v>
      </c>
      <c r="AK31" s="1278">
        <f>IFERROR(INDEX(AO!$CC:$CC,MATCH($B31,AO!$C:$C,0)),0)</f>
        <v>0</v>
      </c>
      <c r="AL31" s="261">
        <f>IFERROR(INDEX(AO!$CE:$CE,MATCH($B31,AO!$C:$C,0)),0)</f>
        <v>0</v>
      </c>
      <c r="AM31" s="261">
        <f>IFERROR(INDEX(AO!$CN:$CN,MATCH($B31,AO!$C:$C,0)),0)</f>
        <v>0</v>
      </c>
      <c r="AN31" s="261">
        <f>IFERROR(INDEX(AO!$CS:$CS,MATCH($B31,AO!$C:$C,0)),0)</f>
        <v>0</v>
      </c>
    </row>
    <row r="32" spans="2:40">
      <c r="B32" s="73">
        <v>25</v>
      </c>
      <c r="C32" s="49">
        <f t="shared" si="13"/>
        <v>25</v>
      </c>
      <c r="D32" s="261">
        <f>IFERROR(INDEX(AA!$AC:$AC,MATCH($C32,AA!$C:$C,0)),0)</f>
        <v>0</v>
      </c>
      <c r="E32" s="261">
        <f>IFERROR(INDEX(AA!$AG:$AG,MATCH($C32,AA!$C:$C,0)),0)</f>
        <v>0</v>
      </c>
      <c r="F32" s="261">
        <f>IFERROR(INDEX(AA!$AL:$AL,MATCH($C32,AA!$C:$C,0)),0)</f>
        <v>0</v>
      </c>
      <c r="G32" s="261">
        <f>IFERROR(INDEX(AA!$AI:$AI,MATCH($C32,AA!$C:$C,0)),0)</f>
        <v>0</v>
      </c>
      <c r="H32" s="261">
        <f>IFERROR(INDEX(AA!$AN:$AN,MATCH($C32,AA!$C:$C,0)),0)</f>
        <v>0</v>
      </c>
      <c r="I32" s="261"/>
      <c r="J32" s="261">
        <f>IFERROR(INDEX(AO!$Q:$Q,MATCH($B32,AO!$C:$C,0)),0)</f>
        <v>0</v>
      </c>
      <c r="K32" s="1289">
        <f>IFERROR(INDEX(AO!$AP:$AP,MATCH($B32,AO!$C:$C,0)),0)</f>
        <v>0</v>
      </c>
      <c r="L32" s="1278">
        <f>IFERROR(INDEX(AO!$U:$U,MATCH($B32,AO!$C:$C,0)),0)</f>
        <v>0</v>
      </c>
      <c r="M32" s="261">
        <f>IFERROR(INDEX(AO!$Y:$Y,MATCH($B32,AO!$C:$C,0)),0)</f>
        <v>0</v>
      </c>
      <c r="N32" s="261">
        <f>IFERROR(INDEX(AO!$AI:$AI,MATCH($B32,AO!$C:$C,0)),0)</f>
        <v>0</v>
      </c>
      <c r="O32" s="261">
        <f>IFERROR(INDEX(AO!$AM:$AM,MATCH($B32,AO!$C:$C,0)),0)</f>
        <v>0</v>
      </c>
      <c r="Q32" s="1230">
        <f>IFERROR(INDEX(AO!$AT:$AT,MATCH($B32,AO!$C:$C,0)),0)</f>
        <v>0</v>
      </c>
      <c r="R32" s="1230">
        <f t="shared" si="14"/>
        <v>0</v>
      </c>
      <c r="S32" s="1287">
        <f t="shared" si="15"/>
        <v>0</v>
      </c>
      <c r="T32" s="1290">
        <f t="shared" si="16"/>
        <v>0</v>
      </c>
      <c r="U32" s="1287">
        <f t="shared" si="17"/>
        <v>0</v>
      </c>
      <c r="V32" s="1230"/>
      <c r="W32" s="1230">
        <f>IFERROR(INDEX(AA!$EN:$EN,MATCH($C32,AA!$C:$C,0)),0)</f>
        <v>0</v>
      </c>
      <c r="X32" s="1230">
        <f t="shared" si="18"/>
        <v>0</v>
      </c>
      <c r="Y32" s="1279">
        <f t="shared" si="19"/>
        <v>0</v>
      </c>
      <c r="Z32" s="1278">
        <f t="shared" si="20"/>
        <v>0</v>
      </c>
      <c r="AA32" s="1287">
        <f t="shared" si="21"/>
        <v>0</v>
      </c>
      <c r="AB32" s="258"/>
      <c r="AC32" s="261">
        <f>IFERROR(INDEX(AA!$GA:$GA,MATCH($C32,AA!$C:$C,0)),0)</f>
        <v>0</v>
      </c>
      <c r="AD32" s="261">
        <f t="shared" si="22"/>
        <v>0</v>
      </c>
      <c r="AE32" s="1287">
        <f t="shared" si="23"/>
        <v>0</v>
      </c>
      <c r="AF32" s="1278">
        <f t="shared" si="24"/>
        <v>0</v>
      </c>
      <c r="AG32" s="1287">
        <f t="shared" si="25"/>
        <v>0</v>
      </c>
      <c r="AH32" s="1230"/>
      <c r="AI32" s="261">
        <f>IFERROR(INDEX(AO!$CA:$CA,MATCH($B32,AO!$C:$C,0)),0)</f>
        <v>0</v>
      </c>
      <c r="AJ32" s="1291">
        <f>IFERROR(INDEX(PCF!$BK$60:$BK$62,MATCH($B32,PCF!$C$60:$C$62,0)),0)</f>
        <v>0</v>
      </c>
      <c r="AK32" s="1278">
        <f>IFERROR(INDEX(AO!$CC:$CC,MATCH($B32,AO!$C:$C,0)),0)</f>
        <v>0</v>
      </c>
      <c r="AL32" s="261">
        <f>IFERROR(INDEX(AO!$CE:$CE,MATCH($B32,AO!$C:$C,0)),0)</f>
        <v>0</v>
      </c>
      <c r="AM32" s="261">
        <f>IFERROR(INDEX(AO!$CN:$CN,MATCH($B32,AO!$C:$C,0)),0)</f>
        <v>0</v>
      </c>
      <c r="AN32" s="261">
        <f>IFERROR(INDEX(AO!$CS:$CS,MATCH($B32,AO!$C:$C,0)),0)</f>
        <v>0</v>
      </c>
    </row>
    <row r="33" spans="2:40">
      <c r="B33" s="73">
        <v>26</v>
      </c>
      <c r="C33" s="49">
        <f t="shared" si="13"/>
        <v>26</v>
      </c>
      <c r="D33" s="261">
        <f>IFERROR(INDEX(AA!$AC:$AC,MATCH($C33,AA!$C:$C,0)),0)</f>
        <v>0</v>
      </c>
      <c r="E33" s="261">
        <f>IFERROR(INDEX(AA!$AG:$AG,MATCH($C33,AA!$C:$C,0)),0)</f>
        <v>0</v>
      </c>
      <c r="F33" s="261">
        <f>IFERROR(INDEX(AA!$AL:$AL,MATCH($C33,AA!$C:$C,0)),0)</f>
        <v>0</v>
      </c>
      <c r="G33" s="261">
        <f>IFERROR(INDEX(AA!$AI:$AI,MATCH($C33,AA!$C:$C,0)),0)</f>
        <v>0</v>
      </c>
      <c r="H33" s="261">
        <f>IFERROR(INDEX(AA!$AN:$AN,MATCH($C33,AA!$C:$C,0)),0)</f>
        <v>0</v>
      </c>
      <c r="I33" s="261"/>
      <c r="J33" s="261">
        <f>IFERROR(INDEX(AO!$Q:$Q,MATCH($B33,AO!$C:$C,0)),0)</f>
        <v>0</v>
      </c>
      <c r="K33" s="1289">
        <f>IFERROR(INDEX(AO!$AP:$AP,MATCH($B33,AO!$C:$C,0)),0)</f>
        <v>0</v>
      </c>
      <c r="L33" s="1278">
        <f>IFERROR(INDEX(AO!$U:$U,MATCH($B33,AO!$C:$C,0)),0)</f>
        <v>0</v>
      </c>
      <c r="M33" s="261">
        <f>IFERROR(INDEX(AO!$Y:$Y,MATCH($B33,AO!$C:$C,0)),0)</f>
        <v>0</v>
      </c>
      <c r="N33" s="261">
        <f>IFERROR(INDEX(AO!$AI:$AI,MATCH($B33,AO!$C:$C,0)),0)</f>
        <v>0</v>
      </c>
      <c r="O33" s="261">
        <f>IFERROR(INDEX(AO!$AM:$AM,MATCH($B33,AO!$C:$C,0)),0)</f>
        <v>0</v>
      </c>
      <c r="Q33" s="1230">
        <f>IFERROR(INDEX(AO!$AT:$AT,MATCH($B33,AO!$C:$C,0)),0)</f>
        <v>0</v>
      </c>
      <c r="R33" s="1230">
        <f t="shared" si="14"/>
        <v>0</v>
      </c>
      <c r="S33" s="1287">
        <f t="shared" si="15"/>
        <v>0</v>
      </c>
      <c r="T33" s="1290">
        <f t="shared" si="16"/>
        <v>0</v>
      </c>
      <c r="U33" s="1287">
        <f t="shared" si="17"/>
        <v>0</v>
      </c>
      <c r="V33" s="1230"/>
      <c r="W33" s="1230">
        <f>IFERROR(INDEX(AA!$EN:$EN,MATCH($C33,AA!$C:$C,0)),0)</f>
        <v>0</v>
      </c>
      <c r="X33" s="1230">
        <f t="shared" si="18"/>
        <v>0</v>
      </c>
      <c r="Y33" s="1279">
        <f t="shared" si="19"/>
        <v>0</v>
      </c>
      <c r="Z33" s="1278">
        <f t="shared" si="20"/>
        <v>0</v>
      </c>
      <c r="AA33" s="1287">
        <f t="shared" si="21"/>
        <v>0</v>
      </c>
      <c r="AB33" s="258"/>
      <c r="AC33" s="261">
        <f>IFERROR(INDEX(AA!$GA:$GA,MATCH($C33,AA!$C:$C,0)),0)</f>
        <v>0</v>
      </c>
      <c r="AD33" s="261">
        <f t="shared" si="22"/>
        <v>0</v>
      </c>
      <c r="AE33" s="1287">
        <f t="shared" si="23"/>
        <v>0</v>
      </c>
      <c r="AF33" s="1278">
        <f t="shared" si="24"/>
        <v>0</v>
      </c>
      <c r="AG33" s="1287">
        <f t="shared" si="25"/>
        <v>0</v>
      </c>
      <c r="AH33" s="1230"/>
      <c r="AI33" s="261">
        <f>IFERROR(INDEX(AO!$CA:$CA,MATCH($B33,AO!$C:$C,0)),0)</f>
        <v>0</v>
      </c>
      <c r="AJ33" s="1291">
        <f>IFERROR(INDEX(PCF!$BK$60:$BK$62,MATCH($B33,PCF!$C$60:$C$62,0)),0)</f>
        <v>0</v>
      </c>
      <c r="AK33" s="1278">
        <f>IFERROR(INDEX(AO!$CC:$CC,MATCH($B33,AO!$C:$C,0)),0)</f>
        <v>0</v>
      </c>
      <c r="AL33" s="261">
        <f>IFERROR(INDEX(AO!$CE:$CE,MATCH($B33,AO!$C:$C,0)),0)</f>
        <v>0</v>
      </c>
      <c r="AM33" s="261">
        <f>IFERROR(INDEX(AO!$CN:$CN,MATCH($B33,AO!$C:$C,0)),0)</f>
        <v>0</v>
      </c>
      <c r="AN33" s="261">
        <f>IFERROR(INDEX(AO!$CS:$CS,MATCH($B33,AO!$C:$C,0)),0)</f>
        <v>0</v>
      </c>
    </row>
    <row r="34" spans="2:40">
      <c r="B34" s="73">
        <v>27</v>
      </c>
      <c r="C34" s="49">
        <f t="shared" si="13"/>
        <v>27</v>
      </c>
      <c r="D34" s="261">
        <f>IFERROR(INDEX(AA!$AC:$AC,MATCH($C34,AA!$C:$C,0)),0)</f>
        <v>0</v>
      </c>
      <c r="E34" s="261">
        <f>IFERROR(INDEX(AA!$AG:$AG,MATCH($C34,AA!$C:$C,0)),0)</f>
        <v>0</v>
      </c>
      <c r="F34" s="261">
        <f>IFERROR(INDEX(AA!$AL:$AL,MATCH($C34,AA!$C:$C,0)),0)</f>
        <v>0</v>
      </c>
      <c r="G34" s="261">
        <f>IFERROR(INDEX(AA!$AI:$AI,MATCH($C34,AA!$C:$C,0)),0)</f>
        <v>0</v>
      </c>
      <c r="H34" s="261">
        <f>IFERROR(INDEX(AA!$AN:$AN,MATCH($C34,AA!$C:$C,0)),0)</f>
        <v>0</v>
      </c>
      <c r="I34" s="261"/>
      <c r="J34" s="261">
        <f>IFERROR(INDEX(AO!$Q:$Q,MATCH($B34,AO!$C:$C,0)),0)</f>
        <v>0</v>
      </c>
      <c r="K34" s="1289">
        <f>IFERROR(INDEX(AO!$AP:$AP,MATCH($B34,AO!$C:$C,0)),0)</f>
        <v>0</v>
      </c>
      <c r="L34" s="1278">
        <f>IFERROR(INDEX(AO!$U:$U,MATCH($B34,AO!$C:$C,0)),0)</f>
        <v>0</v>
      </c>
      <c r="M34" s="261">
        <f>IFERROR(INDEX(AO!$Y:$Y,MATCH($B34,AO!$C:$C,0)),0)</f>
        <v>0</v>
      </c>
      <c r="N34" s="261">
        <f>IFERROR(INDEX(AO!$AI:$AI,MATCH($B34,AO!$C:$C,0)),0)</f>
        <v>0</v>
      </c>
      <c r="O34" s="261">
        <f>IFERROR(INDEX(AO!$AM:$AM,MATCH($B34,AO!$C:$C,0)),0)</f>
        <v>0</v>
      </c>
      <c r="Q34" s="1230">
        <f>IFERROR(INDEX(AO!$AT:$AT,MATCH($B34,AO!$C:$C,0)),0)</f>
        <v>0</v>
      </c>
      <c r="R34" s="1230">
        <f t="shared" si="14"/>
        <v>0</v>
      </c>
      <c r="S34" s="1287">
        <f t="shared" si="15"/>
        <v>0</v>
      </c>
      <c r="T34" s="1290">
        <f t="shared" si="16"/>
        <v>0</v>
      </c>
      <c r="U34" s="1287">
        <f t="shared" si="17"/>
        <v>0</v>
      </c>
      <c r="V34" s="1230"/>
      <c r="W34" s="1230">
        <f>IFERROR(INDEX(AA!$EN:$EN,MATCH($C34,AA!$C:$C,0)),0)</f>
        <v>0</v>
      </c>
      <c r="X34" s="1230">
        <f t="shared" si="18"/>
        <v>0</v>
      </c>
      <c r="Y34" s="1279">
        <f t="shared" si="19"/>
        <v>0</v>
      </c>
      <c r="Z34" s="1278">
        <f t="shared" si="20"/>
        <v>0</v>
      </c>
      <c r="AA34" s="1287">
        <f t="shared" si="21"/>
        <v>0</v>
      </c>
      <c r="AB34" s="258"/>
      <c r="AC34" s="261">
        <f>IFERROR(INDEX(AA!$GA:$GA,MATCH($C34,AA!$C:$C,0)),0)</f>
        <v>0</v>
      </c>
      <c r="AD34" s="261">
        <f t="shared" si="22"/>
        <v>0</v>
      </c>
      <c r="AE34" s="1287">
        <f t="shared" si="23"/>
        <v>0</v>
      </c>
      <c r="AF34" s="1278">
        <f t="shared" si="24"/>
        <v>0</v>
      </c>
      <c r="AG34" s="1287">
        <f t="shared" si="25"/>
        <v>0</v>
      </c>
      <c r="AH34" s="1230"/>
      <c r="AI34" s="261">
        <f>IFERROR(INDEX(AO!$CA:$CA,MATCH($B34,AO!$C:$C,0)),0)</f>
        <v>0</v>
      </c>
      <c r="AJ34" s="1291">
        <f>IFERROR(INDEX(PCF!$BK$60:$BK$62,MATCH($B34,PCF!$C$60:$C$62,0)),0)</f>
        <v>0</v>
      </c>
      <c r="AK34" s="1278">
        <f>IFERROR(INDEX(AO!$CC:$CC,MATCH($B34,AO!$C:$C,0)),0)</f>
        <v>0</v>
      </c>
      <c r="AL34" s="261">
        <f>IFERROR(INDEX(AO!$CE:$CE,MATCH($B34,AO!$C:$C,0)),0)</f>
        <v>0</v>
      </c>
      <c r="AM34" s="261">
        <f>IFERROR(INDEX(AO!$CN:$CN,MATCH($B34,AO!$C:$C,0)),0)</f>
        <v>0</v>
      </c>
      <c r="AN34" s="261">
        <f>IFERROR(INDEX(AO!$CS:$CS,MATCH($B34,AO!$C:$C,0)),0)</f>
        <v>0</v>
      </c>
    </row>
    <row r="35" spans="2:40">
      <c r="B35" s="73">
        <v>28</v>
      </c>
      <c r="C35" s="49">
        <f t="shared" si="13"/>
        <v>28</v>
      </c>
      <c r="D35" s="261">
        <f>IFERROR(INDEX(AA!$AC:$AC,MATCH($C35,AA!$C:$C,0)),0)</f>
        <v>0</v>
      </c>
      <c r="E35" s="261">
        <f>IFERROR(INDEX(AA!$AG:$AG,MATCH($C35,AA!$C:$C,0)),0)</f>
        <v>0</v>
      </c>
      <c r="F35" s="261">
        <f>IFERROR(INDEX(AA!$AL:$AL,MATCH($C35,AA!$C:$C,0)),0)</f>
        <v>0</v>
      </c>
      <c r="G35" s="261">
        <f>IFERROR(INDEX(AA!$AI:$AI,MATCH($C35,AA!$C:$C,0)),0)</f>
        <v>0</v>
      </c>
      <c r="H35" s="261">
        <f>IFERROR(INDEX(AA!$AN:$AN,MATCH($C35,AA!$C:$C,0)),0)</f>
        <v>0</v>
      </c>
      <c r="I35" s="261"/>
      <c r="J35" s="261">
        <f>IFERROR(INDEX(AO!$Q:$Q,MATCH($B35,AO!$C:$C,0)),0)</f>
        <v>0</v>
      </c>
      <c r="K35" s="1289">
        <f>IFERROR(INDEX(AO!$AP:$AP,MATCH($B35,AO!$C:$C,0)),0)</f>
        <v>0</v>
      </c>
      <c r="L35" s="1278">
        <f>IFERROR(INDEX(AO!$U:$U,MATCH($B35,AO!$C:$C,0)),0)</f>
        <v>0</v>
      </c>
      <c r="M35" s="261">
        <f>IFERROR(INDEX(AO!$Y:$Y,MATCH($B35,AO!$C:$C,0)),0)</f>
        <v>0</v>
      </c>
      <c r="N35" s="261">
        <f>IFERROR(INDEX(AO!$AI:$AI,MATCH($B35,AO!$C:$C,0)),0)</f>
        <v>0</v>
      </c>
      <c r="O35" s="261">
        <f>IFERROR(INDEX(AO!$AM:$AM,MATCH($B35,AO!$C:$C,0)),0)</f>
        <v>0</v>
      </c>
      <c r="Q35" s="1230">
        <f>IFERROR(INDEX(AO!$AT:$AT,MATCH($B35,AO!$C:$C,0)),0)</f>
        <v>0</v>
      </c>
      <c r="R35" s="1230">
        <f t="shared" si="14"/>
        <v>0</v>
      </c>
      <c r="S35" s="1287">
        <f t="shared" si="15"/>
        <v>0</v>
      </c>
      <c r="T35" s="1290">
        <f t="shared" si="16"/>
        <v>0</v>
      </c>
      <c r="U35" s="1287">
        <f t="shared" si="17"/>
        <v>0</v>
      </c>
      <c r="V35" s="1230"/>
      <c r="W35" s="1230">
        <f>IFERROR(INDEX(AA!$EN:$EN,MATCH($C35,AA!$C:$C,0)),0)</f>
        <v>0</v>
      </c>
      <c r="X35" s="1230">
        <f t="shared" si="18"/>
        <v>0</v>
      </c>
      <c r="Y35" s="1279">
        <f t="shared" si="19"/>
        <v>0</v>
      </c>
      <c r="Z35" s="1278">
        <f t="shared" si="20"/>
        <v>0</v>
      </c>
      <c r="AA35" s="1287">
        <f t="shared" si="21"/>
        <v>0</v>
      </c>
      <c r="AB35" s="258"/>
      <c r="AC35" s="261">
        <f>IFERROR(INDEX(AA!$GA:$GA,MATCH($C35,AA!$C:$C,0)),0)</f>
        <v>0</v>
      </c>
      <c r="AD35" s="261">
        <f t="shared" si="22"/>
        <v>0</v>
      </c>
      <c r="AE35" s="1287">
        <f t="shared" si="23"/>
        <v>0</v>
      </c>
      <c r="AF35" s="1278">
        <f t="shared" si="24"/>
        <v>0</v>
      </c>
      <c r="AG35" s="1287">
        <f t="shared" si="25"/>
        <v>0</v>
      </c>
      <c r="AH35" s="1230"/>
      <c r="AI35" s="261">
        <f>IFERROR(INDEX(AO!$CA:$CA,MATCH($B35,AO!$C:$C,0)),0)</f>
        <v>0</v>
      </c>
      <c r="AJ35" s="1291">
        <f>IFERROR(INDEX(PCF!$BK$60:$BK$62,MATCH($B35,PCF!$C$60:$C$62,0)),0)</f>
        <v>0</v>
      </c>
      <c r="AK35" s="1278">
        <f>IFERROR(INDEX(AO!$CC:$CC,MATCH($B35,AO!$C:$C,0)),0)</f>
        <v>0</v>
      </c>
      <c r="AL35" s="261">
        <f>IFERROR(INDEX(AO!$CE:$CE,MATCH($B35,AO!$C:$C,0)),0)</f>
        <v>0</v>
      </c>
      <c r="AM35" s="261">
        <f>IFERROR(INDEX(AO!$CN:$CN,MATCH($B35,AO!$C:$C,0)),0)</f>
        <v>0</v>
      </c>
      <c r="AN35" s="261">
        <f>IFERROR(INDEX(AO!$CS:$CS,MATCH($B35,AO!$C:$C,0)),0)</f>
        <v>0</v>
      </c>
    </row>
    <row r="36" spans="2:40">
      <c r="B36" s="73">
        <v>29</v>
      </c>
      <c r="C36" s="49">
        <f t="shared" si="13"/>
        <v>29</v>
      </c>
      <c r="D36" s="261">
        <f>IFERROR(INDEX(AA!$AC:$AC,MATCH($C36,AA!$C:$C,0)),0)</f>
        <v>0</v>
      </c>
      <c r="E36" s="261">
        <f>IFERROR(INDEX(AA!$AG:$AG,MATCH($C36,AA!$C:$C,0)),0)</f>
        <v>0</v>
      </c>
      <c r="F36" s="261">
        <f>IFERROR(INDEX(AA!$AL:$AL,MATCH($C36,AA!$C:$C,0)),0)</f>
        <v>0</v>
      </c>
      <c r="G36" s="261">
        <f>IFERROR(INDEX(AA!$AI:$AI,MATCH($C36,AA!$C:$C,0)),0)</f>
        <v>0</v>
      </c>
      <c r="H36" s="261">
        <f>IFERROR(INDEX(AA!$AN:$AN,MATCH($C36,AA!$C:$C,0)),0)</f>
        <v>0</v>
      </c>
      <c r="I36" s="261"/>
      <c r="J36" s="261">
        <f>IFERROR(INDEX(AO!$Q:$Q,MATCH($B36,AO!$C:$C,0)),0)</f>
        <v>0</v>
      </c>
      <c r="K36" s="1289">
        <f>IFERROR(INDEX(AO!$AP:$AP,MATCH($B36,AO!$C:$C,0)),0)</f>
        <v>0</v>
      </c>
      <c r="L36" s="1278">
        <f>IFERROR(INDEX(AO!$U:$U,MATCH($B36,AO!$C:$C,0)),0)</f>
        <v>0</v>
      </c>
      <c r="M36" s="261">
        <f>IFERROR(INDEX(AO!$Y:$Y,MATCH($B36,AO!$C:$C,0)),0)</f>
        <v>0</v>
      </c>
      <c r="N36" s="261">
        <f>IFERROR(INDEX(AO!$AI:$AI,MATCH($B36,AO!$C:$C,0)),0)</f>
        <v>0</v>
      </c>
      <c r="O36" s="261">
        <f>IFERROR(INDEX(AO!$AM:$AM,MATCH($B36,AO!$C:$C,0)),0)</f>
        <v>0</v>
      </c>
      <c r="Q36" s="1230">
        <f>IFERROR(INDEX(AO!$AT:$AT,MATCH($B36,AO!$C:$C,0)),0)</f>
        <v>0</v>
      </c>
      <c r="R36" s="1230">
        <f t="shared" si="14"/>
        <v>0</v>
      </c>
      <c r="S36" s="1287">
        <f t="shared" si="15"/>
        <v>0</v>
      </c>
      <c r="T36" s="1290">
        <f t="shared" si="16"/>
        <v>0</v>
      </c>
      <c r="U36" s="1287">
        <f t="shared" si="17"/>
        <v>0</v>
      </c>
      <c r="V36" s="1230"/>
      <c r="W36" s="1230">
        <f>IFERROR(INDEX(AA!$EN:$EN,MATCH($C36,AA!$C:$C,0)),0)</f>
        <v>0</v>
      </c>
      <c r="X36" s="1230">
        <f t="shared" si="18"/>
        <v>0</v>
      </c>
      <c r="Y36" s="1279">
        <f t="shared" si="19"/>
        <v>0</v>
      </c>
      <c r="Z36" s="1278">
        <f t="shared" si="20"/>
        <v>0</v>
      </c>
      <c r="AA36" s="1287">
        <f t="shared" si="21"/>
        <v>0</v>
      </c>
      <c r="AB36" s="258"/>
      <c r="AC36" s="261">
        <f>IFERROR(INDEX(AA!$GA:$GA,MATCH($C36,AA!$C:$C,0)),0)</f>
        <v>0</v>
      </c>
      <c r="AD36" s="261">
        <f t="shared" si="22"/>
        <v>0</v>
      </c>
      <c r="AE36" s="1287">
        <f t="shared" si="23"/>
        <v>0</v>
      </c>
      <c r="AF36" s="1278">
        <f t="shared" si="24"/>
        <v>0</v>
      </c>
      <c r="AG36" s="1287">
        <f t="shared" si="25"/>
        <v>0</v>
      </c>
      <c r="AH36" s="1230"/>
      <c r="AI36" s="261">
        <f>IFERROR(INDEX(AO!$CA:$CA,MATCH($B36,AO!$C:$C,0)),0)</f>
        <v>0</v>
      </c>
      <c r="AJ36" s="1291">
        <f>IFERROR(INDEX(PCF!$BK$60:$BK$62,MATCH($B36,PCF!$C$60:$C$62,0)),0)</f>
        <v>0</v>
      </c>
      <c r="AK36" s="1278">
        <f>IFERROR(INDEX(AO!$CC:$CC,MATCH($B36,AO!$C:$C,0)),0)</f>
        <v>0</v>
      </c>
      <c r="AL36" s="261">
        <f>IFERROR(INDEX(AO!$CE:$CE,MATCH($B36,AO!$C:$C,0)),0)</f>
        <v>0</v>
      </c>
      <c r="AM36" s="261">
        <f>IFERROR(INDEX(AO!$CN:$CN,MATCH($B36,AO!$C:$C,0)),0)</f>
        <v>0</v>
      </c>
      <c r="AN36" s="261">
        <f>IFERROR(INDEX(AO!$CS:$CS,MATCH($B36,AO!$C:$C,0)),0)</f>
        <v>0</v>
      </c>
    </row>
    <row r="37" spans="2:40">
      <c r="B37" s="73">
        <v>30</v>
      </c>
      <c r="C37" s="49">
        <f t="shared" si="13"/>
        <v>30</v>
      </c>
      <c r="D37" s="261">
        <f>IFERROR(INDEX(AA!$AC:$AC,MATCH($C37,AA!$C:$C,0)),0)</f>
        <v>0</v>
      </c>
      <c r="E37" s="261">
        <f>IFERROR(INDEX(AA!$AG:$AG,MATCH($C37,AA!$C:$C,0)),0)</f>
        <v>0</v>
      </c>
      <c r="F37" s="261">
        <f>IFERROR(INDEX(AA!$AL:$AL,MATCH($C37,AA!$C:$C,0)),0)</f>
        <v>0</v>
      </c>
      <c r="G37" s="261">
        <f>IFERROR(INDEX(AA!$AI:$AI,MATCH($C37,AA!$C:$C,0)),0)</f>
        <v>0</v>
      </c>
      <c r="H37" s="261">
        <f>IFERROR(INDEX(AA!$AN:$AN,MATCH($C37,AA!$C:$C,0)),0)</f>
        <v>0</v>
      </c>
      <c r="I37" s="261"/>
      <c r="J37" s="261">
        <f>IFERROR(INDEX(AO!$Q:$Q,MATCH($B37,AO!$C:$C,0)),0)</f>
        <v>0</v>
      </c>
      <c r="K37" s="1289">
        <f>IFERROR(INDEX(AO!$AP:$AP,MATCH($B37,AO!$C:$C,0)),0)</f>
        <v>0</v>
      </c>
      <c r="L37" s="1278">
        <f>IFERROR(INDEX(AO!$U:$U,MATCH($B37,AO!$C:$C,0)),0)</f>
        <v>0</v>
      </c>
      <c r="M37" s="261">
        <f>IFERROR(INDEX(AO!$Y:$Y,MATCH($B37,AO!$C:$C,0)),0)</f>
        <v>0</v>
      </c>
      <c r="N37" s="261">
        <f>IFERROR(INDEX(AO!$AI:$AI,MATCH($B37,AO!$C:$C,0)),0)</f>
        <v>0</v>
      </c>
      <c r="O37" s="261">
        <f>IFERROR(INDEX(AO!$AM:$AM,MATCH($B37,AO!$C:$C,0)),0)</f>
        <v>0</v>
      </c>
      <c r="Q37" s="1230">
        <f>IFERROR(INDEX(AO!$AT:$AT,MATCH($B37,AO!$C:$C,0)),0)</f>
        <v>0</v>
      </c>
      <c r="R37" s="1230">
        <f t="shared" si="14"/>
        <v>0</v>
      </c>
      <c r="S37" s="1287">
        <f t="shared" si="15"/>
        <v>0</v>
      </c>
      <c r="T37" s="1290">
        <f t="shared" si="16"/>
        <v>0</v>
      </c>
      <c r="U37" s="1287">
        <f t="shared" si="17"/>
        <v>0</v>
      </c>
      <c r="V37" s="1230"/>
      <c r="W37" s="1230">
        <f>IFERROR(INDEX(AA!$EN:$EN,MATCH($C37,AA!$C:$C,0)),0)</f>
        <v>0</v>
      </c>
      <c r="X37" s="1230">
        <f t="shared" si="18"/>
        <v>0</v>
      </c>
      <c r="Y37" s="1279">
        <f t="shared" si="19"/>
        <v>0</v>
      </c>
      <c r="Z37" s="1278">
        <f t="shared" si="20"/>
        <v>0</v>
      </c>
      <c r="AA37" s="1287">
        <f t="shared" si="21"/>
        <v>0</v>
      </c>
      <c r="AB37" s="258"/>
      <c r="AC37" s="261">
        <f>IFERROR(INDEX(AA!$GA:$GA,MATCH($C37,AA!$C:$C,0)),0)</f>
        <v>0</v>
      </c>
      <c r="AD37" s="261">
        <f t="shared" si="22"/>
        <v>0</v>
      </c>
      <c r="AE37" s="1287">
        <f t="shared" si="23"/>
        <v>0</v>
      </c>
      <c r="AF37" s="1278">
        <f t="shared" si="24"/>
        <v>0</v>
      </c>
      <c r="AG37" s="1287">
        <f t="shared" si="25"/>
        <v>0</v>
      </c>
      <c r="AH37" s="1230"/>
      <c r="AI37" s="261">
        <f>IFERROR(INDEX(AO!$CA:$CA,MATCH($B37,AO!$C:$C,0)),0)</f>
        <v>0</v>
      </c>
      <c r="AJ37" s="1291">
        <f>IFERROR(INDEX(PCF!$BK$60:$BK$62,MATCH($B37,PCF!$C$60:$C$62,0)),0)</f>
        <v>0</v>
      </c>
      <c r="AK37" s="1278">
        <f>IFERROR(INDEX(AO!$CC:$CC,MATCH($B37,AO!$C:$C,0)),0)</f>
        <v>0</v>
      </c>
      <c r="AL37" s="261">
        <f>IFERROR(INDEX(AO!$CE:$CE,MATCH($B37,AO!$C:$C,0)),0)</f>
        <v>0</v>
      </c>
      <c r="AM37" s="261">
        <f>IFERROR(INDEX(AO!$CN:$CN,MATCH($B37,AO!$C:$C,0)),0)</f>
        <v>0</v>
      </c>
      <c r="AN37" s="261">
        <f>IFERROR(INDEX(AO!$CS:$CS,MATCH($B37,AO!$C:$C,0)),0)</f>
        <v>0</v>
      </c>
    </row>
    <row r="38" spans="2:40">
      <c r="B38" s="73">
        <v>31</v>
      </c>
      <c r="C38" s="49">
        <f t="shared" si="13"/>
        <v>31</v>
      </c>
      <c r="D38" s="261">
        <f>IFERROR(INDEX(AA!$AC:$AC,MATCH($C38,AA!$C:$C,0)),0)</f>
        <v>0</v>
      </c>
      <c r="E38" s="261">
        <f>IFERROR(INDEX(AA!$AG:$AG,MATCH($C38,AA!$C:$C,0)),0)</f>
        <v>0</v>
      </c>
      <c r="F38" s="261">
        <f>IFERROR(INDEX(AA!$AL:$AL,MATCH($C38,AA!$C:$C,0)),0)</f>
        <v>0</v>
      </c>
      <c r="G38" s="261">
        <f>IFERROR(INDEX(AA!$AI:$AI,MATCH($C38,AA!$C:$C,0)),0)</f>
        <v>0</v>
      </c>
      <c r="H38" s="261">
        <f>IFERROR(INDEX(AA!$AN:$AN,MATCH($C38,AA!$C:$C,0)),0)</f>
        <v>0</v>
      </c>
      <c r="I38" s="261"/>
      <c r="J38" s="261">
        <f>IFERROR(INDEX(AO!$Q:$Q,MATCH($B38,AO!$C:$C,0)),0)</f>
        <v>0</v>
      </c>
      <c r="K38" s="1289">
        <f>IFERROR(INDEX(AO!$AP:$AP,MATCH($B38,AO!$C:$C,0)),0)</f>
        <v>0</v>
      </c>
      <c r="L38" s="1278">
        <f>IFERROR(INDEX(AO!$U:$U,MATCH($B38,AO!$C:$C,0)),0)</f>
        <v>0</v>
      </c>
      <c r="M38" s="261">
        <f>IFERROR(INDEX(AO!$Y:$Y,MATCH($B38,AO!$C:$C,0)),0)</f>
        <v>0</v>
      </c>
      <c r="N38" s="261">
        <f>IFERROR(INDEX(AO!$AI:$AI,MATCH($B38,AO!$C:$C,0)),0)</f>
        <v>0</v>
      </c>
      <c r="O38" s="261">
        <f>IFERROR(INDEX(AO!$AM:$AM,MATCH($B38,AO!$C:$C,0)),0)</f>
        <v>0</v>
      </c>
      <c r="Q38" s="1230">
        <f>IFERROR(INDEX(AO!$AT:$AT,MATCH($B38,AO!$C:$C,0)),0)</f>
        <v>0</v>
      </c>
      <c r="R38" s="1230">
        <f t="shared" si="14"/>
        <v>0</v>
      </c>
      <c r="S38" s="1287">
        <f t="shared" si="15"/>
        <v>0</v>
      </c>
      <c r="T38" s="1290">
        <f t="shared" si="16"/>
        <v>0</v>
      </c>
      <c r="U38" s="1287">
        <f t="shared" si="17"/>
        <v>0</v>
      </c>
      <c r="V38" s="1230"/>
      <c r="W38" s="1230">
        <f>IFERROR(INDEX(AA!$EN:$EN,MATCH($C38,AA!$C:$C,0)),0)</f>
        <v>0</v>
      </c>
      <c r="X38" s="1230">
        <f t="shared" si="18"/>
        <v>0</v>
      </c>
      <c r="Y38" s="1279">
        <f t="shared" si="19"/>
        <v>0</v>
      </c>
      <c r="Z38" s="1278">
        <f t="shared" si="20"/>
        <v>0</v>
      </c>
      <c r="AA38" s="1287">
        <f t="shared" si="21"/>
        <v>0</v>
      </c>
      <c r="AB38" s="258"/>
      <c r="AC38" s="261">
        <f>IFERROR(INDEX(AA!$GA:$GA,MATCH($C38,AA!$C:$C,0)),0)</f>
        <v>0</v>
      </c>
      <c r="AD38" s="261">
        <f t="shared" si="22"/>
        <v>0</v>
      </c>
      <c r="AE38" s="1287">
        <f t="shared" si="23"/>
        <v>0</v>
      </c>
      <c r="AF38" s="1278">
        <f t="shared" si="24"/>
        <v>0</v>
      </c>
      <c r="AG38" s="1287">
        <f t="shared" si="25"/>
        <v>0</v>
      </c>
      <c r="AH38" s="1230"/>
      <c r="AI38" s="261">
        <f>IFERROR(INDEX(AO!$CA:$CA,MATCH($B38,AO!$C:$C,0)),0)</f>
        <v>0</v>
      </c>
      <c r="AJ38" s="1291">
        <f>IFERROR(INDEX(PCF!$BK$60:$BK$62,MATCH($B38,PCF!$C$60:$C$62,0)),0)</f>
        <v>0</v>
      </c>
      <c r="AK38" s="1278">
        <f>IFERROR(INDEX(AO!$CC:$CC,MATCH($B38,AO!$C:$C,0)),0)</f>
        <v>0</v>
      </c>
      <c r="AL38" s="261">
        <f>IFERROR(INDEX(AO!$CE:$CE,MATCH($B38,AO!$C:$C,0)),0)</f>
        <v>0</v>
      </c>
      <c r="AM38" s="261">
        <f>IFERROR(INDEX(AO!$CN:$CN,MATCH($B38,AO!$C:$C,0)),0)</f>
        <v>0</v>
      </c>
      <c r="AN38" s="261">
        <f>IFERROR(INDEX(AO!$CS:$CS,MATCH($B38,AO!$C:$C,0)),0)</f>
        <v>0</v>
      </c>
    </row>
    <row r="39" spans="2:40">
      <c r="B39" s="73">
        <v>32</v>
      </c>
      <c r="C39" s="49">
        <f t="shared" si="13"/>
        <v>32</v>
      </c>
      <c r="D39" s="261">
        <f>IFERROR(INDEX(AA!$AC:$AC,MATCH($C39,AA!$C:$C,0)),0)</f>
        <v>0</v>
      </c>
      <c r="E39" s="261">
        <f>IFERROR(INDEX(AA!$AG:$AG,MATCH($C39,AA!$C:$C,0)),0)</f>
        <v>0</v>
      </c>
      <c r="F39" s="261">
        <f>IFERROR(INDEX(AA!$AL:$AL,MATCH($C39,AA!$C:$C,0)),0)</f>
        <v>0</v>
      </c>
      <c r="G39" s="261">
        <f>IFERROR(INDEX(AA!$AI:$AI,MATCH($C39,AA!$C:$C,0)),0)</f>
        <v>0</v>
      </c>
      <c r="H39" s="261">
        <f>IFERROR(INDEX(AA!$AN:$AN,MATCH($C39,AA!$C:$C,0)),0)</f>
        <v>0</v>
      </c>
      <c r="I39" s="261"/>
      <c r="J39" s="261">
        <f>IFERROR(INDEX(AO!$Q:$Q,MATCH($B39,AO!$C:$C,0)),0)</f>
        <v>0</v>
      </c>
      <c r="K39" s="1289">
        <f>IFERROR(INDEX(AO!$AP:$AP,MATCH($B39,AO!$C:$C,0)),0)</f>
        <v>0</v>
      </c>
      <c r="L39" s="1278">
        <f>IFERROR(INDEX(AO!$U:$U,MATCH($B39,AO!$C:$C,0)),0)</f>
        <v>0</v>
      </c>
      <c r="M39" s="261">
        <f>IFERROR(INDEX(AO!$Y:$Y,MATCH($B39,AO!$C:$C,0)),0)</f>
        <v>0</v>
      </c>
      <c r="N39" s="261">
        <f>IFERROR(INDEX(AO!$AI:$AI,MATCH($B39,AO!$C:$C,0)),0)</f>
        <v>0</v>
      </c>
      <c r="O39" s="261">
        <f>IFERROR(INDEX(AO!$AM:$AM,MATCH($B39,AO!$C:$C,0)),0)</f>
        <v>0</v>
      </c>
      <c r="Q39" s="1230">
        <f>IFERROR(INDEX(AO!$AT:$AT,MATCH($B39,AO!$C:$C,0)),0)</f>
        <v>0</v>
      </c>
      <c r="R39" s="1230">
        <f t="shared" si="14"/>
        <v>0</v>
      </c>
      <c r="S39" s="1287">
        <f t="shared" si="15"/>
        <v>0</v>
      </c>
      <c r="T39" s="1290">
        <f t="shared" si="16"/>
        <v>0</v>
      </c>
      <c r="U39" s="1287">
        <f t="shared" si="17"/>
        <v>0</v>
      </c>
      <c r="V39" s="1230"/>
      <c r="W39" s="1230">
        <f>IFERROR(INDEX(AA!$EN:$EN,MATCH($C39,AA!$C:$C,0)),0)</f>
        <v>0</v>
      </c>
      <c r="X39" s="1230">
        <f t="shared" si="18"/>
        <v>0</v>
      </c>
      <c r="Y39" s="1279">
        <f t="shared" si="19"/>
        <v>0</v>
      </c>
      <c r="Z39" s="1278">
        <f t="shared" si="20"/>
        <v>0</v>
      </c>
      <c r="AA39" s="1287">
        <f t="shared" si="21"/>
        <v>0</v>
      </c>
      <c r="AB39" s="258"/>
      <c r="AC39" s="261">
        <f>IFERROR(INDEX(AA!$GA:$GA,MATCH($C39,AA!$C:$C,0)),0)</f>
        <v>0</v>
      </c>
      <c r="AD39" s="261">
        <f t="shared" si="22"/>
        <v>0</v>
      </c>
      <c r="AE39" s="1287">
        <f t="shared" si="23"/>
        <v>0</v>
      </c>
      <c r="AF39" s="1278">
        <f t="shared" si="24"/>
        <v>0</v>
      </c>
      <c r="AG39" s="1287">
        <f t="shared" si="25"/>
        <v>0</v>
      </c>
      <c r="AH39" s="1230"/>
      <c r="AI39" s="261">
        <f>IFERROR(INDEX(AO!$CA:$CA,MATCH($B39,AO!$C:$C,0)),0)</f>
        <v>0</v>
      </c>
      <c r="AJ39" s="1291">
        <f>IFERROR(INDEX(PCF!$BK$60:$BK$62,MATCH($B39,PCF!$C$60:$C$62,0)),0)</f>
        <v>0</v>
      </c>
      <c r="AK39" s="1278">
        <f>IFERROR(INDEX(AO!$CC:$CC,MATCH($B39,AO!$C:$C,0)),0)</f>
        <v>0</v>
      </c>
      <c r="AL39" s="261">
        <f>IFERROR(INDEX(AO!$CE:$CE,MATCH($B39,AO!$C:$C,0)),0)</f>
        <v>0</v>
      </c>
      <c r="AM39" s="261">
        <f>IFERROR(INDEX(AO!$CN:$CN,MATCH($B39,AO!$C:$C,0)),0)</f>
        <v>0</v>
      </c>
      <c r="AN39" s="261">
        <f>IFERROR(INDEX(AO!$CS:$CS,MATCH($B39,AO!$C:$C,0)),0)</f>
        <v>0</v>
      </c>
    </row>
    <row r="40" spans="2:40">
      <c r="B40" s="73">
        <v>33</v>
      </c>
      <c r="C40" s="49">
        <f t="shared" si="13"/>
        <v>33</v>
      </c>
      <c r="D40" s="261">
        <f>IFERROR(INDEX(AA!$AC:$AC,MATCH($C40,AA!$C:$C,0)),0)</f>
        <v>0</v>
      </c>
      <c r="E40" s="261">
        <f>IFERROR(INDEX(AA!$AG:$AG,MATCH($C40,AA!$C:$C,0)),0)</f>
        <v>0</v>
      </c>
      <c r="F40" s="261">
        <f>IFERROR(INDEX(AA!$AL:$AL,MATCH($C40,AA!$C:$C,0)),0)</f>
        <v>0</v>
      </c>
      <c r="G40" s="261">
        <f>IFERROR(INDEX(AA!$AI:$AI,MATCH($C40,AA!$C:$C,0)),0)</f>
        <v>0</v>
      </c>
      <c r="H40" s="261">
        <f>IFERROR(INDEX(AA!$AN:$AN,MATCH($C40,AA!$C:$C,0)),0)</f>
        <v>0</v>
      </c>
      <c r="I40" s="261"/>
      <c r="J40" s="261">
        <f>IFERROR(INDEX(AO!$Q:$Q,MATCH($B40,AO!$C:$C,0)),0)</f>
        <v>0</v>
      </c>
      <c r="K40" s="1289">
        <f>IFERROR(INDEX(AO!$AP:$AP,MATCH($B40,AO!$C:$C,0)),0)</f>
        <v>0</v>
      </c>
      <c r="L40" s="1278">
        <f>IFERROR(INDEX(AO!$U:$U,MATCH($B40,AO!$C:$C,0)),0)</f>
        <v>0</v>
      </c>
      <c r="M40" s="261">
        <f>IFERROR(INDEX(AO!$Y:$Y,MATCH($B40,AO!$C:$C,0)),0)</f>
        <v>0</v>
      </c>
      <c r="N40" s="261">
        <f>IFERROR(INDEX(AO!$AI:$AI,MATCH($B40,AO!$C:$C,0)),0)</f>
        <v>0</v>
      </c>
      <c r="O40" s="261">
        <f>IFERROR(INDEX(AO!$AM:$AM,MATCH($B40,AO!$C:$C,0)),0)</f>
        <v>0</v>
      </c>
      <c r="Q40" s="1230">
        <f>IFERROR(INDEX(AO!$AT:$AT,MATCH($B40,AO!$C:$C,0)),0)</f>
        <v>0</v>
      </c>
      <c r="R40" s="1230">
        <f t="shared" si="14"/>
        <v>0</v>
      </c>
      <c r="S40" s="1287">
        <f t="shared" si="15"/>
        <v>0</v>
      </c>
      <c r="T40" s="1290">
        <f t="shared" si="16"/>
        <v>0</v>
      </c>
      <c r="U40" s="1287">
        <f t="shared" si="17"/>
        <v>0</v>
      </c>
      <c r="V40" s="1230"/>
      <c r="W40" s="1230">
        <f>IFERROR(INDEX(AA!$EN:$EN,MATCH($C40,AA!$C:$C,0)),0)</f>
        <v>0</v>
      </c>
      <c r="X40" s="1230">
        <f t="shared" si="18"/>
        <v>0</v>
      </c>
      <c r="Y40" s="1279">
        <f t="shared" si="19"/>
        <v>0</v>
      </c>
      <c r="Z40" s="1278">
        <f t="shared" si="20"/>
        <v>0</v>
      </c>
      <c r="AA40" s="1287">
        <f t="shared" si="21"/>
        <v>0</v>
      </c>
      <c r="AB40" s="258"/>
      <c r="AC40" s="261">
        <f>IFERROR(INDEX(AA!$GA:$GA,MATCH($C40,AA!$C:$C,0)),0)</f>
        <v>0</v>
      </c>
      <c r="AD40" s="261">
        <f t="shared" si="22"/>
        <v>0</v>
      </c>
      <c r="AE40" s="1287">
        <f t="shared" si="23"/>
        <v>0</v>
      </c>
      <c r="AF40" s="1278">
        <f t="shared" si="24"/>
        <v>0</v>
      </c>
      <c r="AG40" s="1287">
        <f t="shared" si="25"/>
        <v>0</v>
      </c>
      <c r="AH40" s="1230"/>
      <c r="AI40" s="261">
        <f>IFERROR(INDEX(AO!$CA:$CA,MATCH($B40,AO!$C:$C,0)),0)</f>
        <v>0</v>
      </c>
      <c r="AJ40" s="1291">
        <f>IFERROR(INDEX(PCF!$BK$60:$BK$62,MATCH($B40,PCF!$C$60:$C$62,0)),0)</f>
        <v>0</v>
      </c>
      <c r="AK40" s="1278">
        <f>IFERROR(INDEX(AO!$CC:$CC,MATCH($B40,AO!$C:$C,0)),0)</f>
        <v>0</v>
      </c>
      <c r="AL40" s="261">
        <f>IFERROR(INDEX(AO!$CE:$CE,MATCH($B40,AO!$C:$C,0)),0)</f>
        <v>0</v>
      </c>
      <c r="AM40" s="261">
        <f>IFERROR(INDEX(AO!$CN:$CN,MATCH($B40,AO!$C:$C,0)),0)</f>
        <v>0</v>
      </c>
      <c r="AN40" s="261">
        <f>IFERROR(INDEX(AO!$CS:$CS,MATCH($B40,AO!$C:$C,0)),0)</f>
        <v>0</v>
      </c>
    </row>
    <row r="41" spans="2:40">
      <c r="B41" s="73">
        <v>34</v>
      </c>
      <c r="C41" s="49">
        <f t="shared" si="13"/>
        <v>34</v>
      </c>
      <c r="D41" s="261">
        <f>IFERROR(INDEX(AA!$AC:$AC,MATCH($C41,AA!$C:$C,0)),0)</f>
        <v>0</v>
      </c>
      <c r="E41" s="261">
        <f>IFERROR(INDEX(AA!$AG:$AG,MATCH($C41,AA!$C:$C,0)),0)</f>
        <v>0</v>
      </c>
      <c r="F41" s="261">
        <f>IFERROR(INDEX(AA!$AL:$AL,MATCH($C41,AA!$C:$C,0)),0)</f>
        <v>0</v>
      </c>
      <c r="G41" s="261">
        <f>IFERROR(INDEX(AA!$AI:$AI,MATCH($C41,AA!$C:$C,0)),0)</f>
        <v>0</v>
      </c>
      <c r="H41" s="261">
        <f>IFERROR(INDEX(AA!$AN:$AN,MATCH($C41,AA!$C:$C,0)),0)</f>
        <v>0</v>
      </c>
      <c r="I41" s="261"/>
      <c r="J41" s="261">
        <f>IFERROR(INDEX(AO!$Q:$Q,MATCH($B41,AO!$C:$C,0)),0)</f>
        <v>0</v>
      </c>
      <c r="K41" s="1289">
        <f>IFERROR(INDEX(AO!$AP:$AP,MATCH($B41,AO!$C:$C,0)),0)</f>
        <v>0</v>
      </c>
      <c r="L41" s="1278">
        <f>IFERROR(INDEX(AO!$U:$U,MATCH($B41,AO!$C:$C,0)),0)</f>
        <v>0</v>
      </c>
      <c r="M41" s="261">
        <f>IFERROR(INDEX(AO!$Y:$Y,MATCH($B41,AO!$C:$C,0)),0)</f>
        <v>0</v>
      </c>
      <c r="N41" s="261">
        <f>IFERROR(INDEX(AO!$AI:$AI,MATCH($B41,AO!$C:$C,0)),0)</f>
        <v>0</v>
      </c>
      <c r="O41" s="261">
        <f>IFERROR(INDEX(AO!$AM:$AM,MATCH($B41,AO!$C:$C,0)),0)</f>
        <v>0</v>
      </c>
      <c r="Q41" s="1230">
        <f>IFERROR(INDEX(AO!$AT:$AT,MATCH($B41,AO!$C:$C,0)),0)</f>
        <v>0</v>
      </c>
      <c r="R41" s="1230">
        <f t="shared" si="14"/>
        <v>0</v>
      </c>
      <c r="S41" s="1287">
        <f t="shared" si="15"/>
        <v>0</v>
      </c>
      <c r="T41" s="1290">
        <f t="shared" si="16"/>
        <v>0</v>
      </c>
      <c r="U41" s="1287">
        <f t="shared" si="17"/>
        <v>0</v>
      </c>
      <c r="V41" s="1230"/>
      <c r="W41" s="1230">
        <f>IFERROR(INDEX(AA!$EN:$EN,MATCH($C41,AA!$C:$C,0)),0)</f>
        <v>0</v>
      </c>
      <c r="X41" s="1230">
        <f t="shared" si="18"/>
        <v>0</v>
      </c>
      <c r="Y41" s="1279">
        <f t="shared" si="19"/>
        <v>0</v>
      </c>
      <c r="Z41" s="1278">
        <f t="shared" si="20"/>
        <v>0</v>
      </c>
      <c r="AA41" s="1287">
        <f t="shared" si="21"/>
        <v>0</v>
      </c>
      <c r="AB41" s="258"/>
      <c r="AC41" s="261">
        <f>IFERROR(INDEX(AA!$GA:$GA,MATCH($C41,AA!$C:$C,0)),0)</f>
        <v>0</v>
      </c>
      <c r="AD41" s="261">
        <f t="shared" si="22"/>
        <v>0</v>
      </c>
      <c r="AE41" s="1287">
        <f t="shared" si="23"/>
        <v>0</v>
      </c>
      <c r="AF41" s="1278">
        <f t="shared" si="24"/>
        <v>0</v>
      </c>
      <c r="AG41" s="1287">
        <f t="shared" si="25"/>
        <v>0</v>
      </c>
      <c r="AH41" s="1230"/>
      <c r="AI41" s="261">
        <f>IFERROR(INDEX(AO!$CA:$CA,MATCH($B41,AO!$C:$C,0)),0)</f>
        <v>0</v>
      </c>
      <c r="AJ41" s="1291">
        <f>IFERROR(INDEX(PCF!$BK$60:$BK$62,MATCH($B41,PCF!$C$60:$C$62,0)),0)</f>
        <v>0</v>
      </c>
      <c r="AK41" s="1278">
        <f>IFERROR(INDEX(AO!$CC:$CC,MATCH($B41,AO!$C:$C,0)),0)</f>
        <v>0</v>
      </c>
      <c r="AL41" s="261">
        <f>IFERROR(INDEX(AO!$CE:$CE,MATCH($B41,AO!$C:$C,0)),0)</f>
        <v>0</v>
      </c>
      <c r="AM41" s="261">
        <f>IFERROR(INDEX(AO!$CN:$CN,MATCH($B41,AO!$C:$C,0)),0)</f>
        <v>0</v>
      </c>
      <c r="AN41" s="261">
        <f>IFERROR(INDEX(AO!$CS:$CS,MATCH($B41,AO!$C:$C,0)),0)</f>
        <v>0</v>
      </c>
    </row>
    <row r="42" spans="2:40">
      <c r="B42" s="73">
        <v>35</v>
      </c>
      <c r="C42" s="49">
        <f t="shared" si="13"/>
        <v>35</v>
      </c>
      <c r="D42" s="261">
        <f>IFERROR(INDEX(AA!$AC:$AC,MATCH($C42,AA!$C:$C,0)),0)</f>
        <v>0</v>
      </c>
      <c r="E42" s="261">
        <f>IFERROR(INDEX(AA!$AG:$AG,MATCH($C42,AA!$C:$C,0)),0)</f>
        <v>0</v>
      </c>
      <c r="F42" s="261">
        <f>IFERROR(INDEX(AA!$AL:$AL,MATCH($C42,AA!$C:$C,0)),0)</f>
        <v>0</v>
      </c>
      <c r="G42" s="261">
        <f>IFERROR(INDEX(AA!$AI:$AI,MATCH($C42,AA!$C:$C,0)),0)</f>
        <v>0</v>
      </c>
      <c r="H42" s="261">
        <f>IFERROR(INDEX(AA!$AN:$AN,MATCH($C42,AA!$C:$C,0)),0)</f>
        <v>0</v>
      </c>
      <c r="I42" s="261"/>
      <c r="J42" s="261">
        <f>IFERROR(INDEX(AO!$Q:$Q,MATCH($B42,AO!$C:$C,0)),0)</f>
        <v>0</v>
      </c>
      <c r="K42" s="1289">
        <f>IFERROR(INDEX(AO!$AP:$AP,MATCH($B42,AO!$C:$C,0)),0)</f>
        <v>0</v>
      </c>
      <c r="L42" s="1278">
        <f>IFERROR(INDEX(AO!$U:$U,MATCH($B42,AO!$C:$C,0)),0)</f>
        <v>0</v>
      </c>
      <c r="M42" s="261">
        <f>IFERROR(INDEX(AO!$Y:$Y,MATCH($B42,AO!$C:$C,0)),0)</f>
        <v>0</v>
      </c>
      <c r="N42" s="261">
        <f>IFERROR(INDEX(AO!$AI:$AI,MATCH($B42,AO!$C:$C,0)),0)</f>
        <v>0</v>
      </c>
      <c r="O42" s="261">
        <f>IFERROR(INDEX(AO!$AM:$AM,MATCH($B42,AO!$C:$C,0)),0)</f>
        <v>0</v>
      </c>
      <c r="Q42" s="1230">
        <f>IFERROR(INDEX(AO!$AT:$AT,MATCH($B42,AO!$C:$C,0)),0)</f>
        <v>0</v>
      </c>
      <c r="R42" s="1230">
        <f t="shared" si="14"/>
        <v>0</v>
      </c>
      <c r="S42" s="1287">
        <f t="shared" si="15"/>
        <v>0</v>
      </c>
      <c r="T42" s="1290">
        <f t="shared" si="16"/>
        <v>0</v>
      </c>
      <c r="U42" s="1287">
        <f t="shared" si="17"/>
        <v>0</v>
      </c>
      <c r="V42" s="1230"/>
      <c r="W42" s="1230">
        <f>IFERROR(INDEX(AA!$EN:$EN,MATCH($C42,AA!$C:$C,0)),0)</f>
        <v>0</v>
      </c>
      <c r="X42" s="1230">
        <f t="shared" si="18"/>
        <v>0</v>
      </c>
      <c r="Y42" s="1279">
        <f t="shared" si="19"/>
        <v>0</v>
      </c>
      <c r="Z42" s="1278">
        <f t="shared" si="20"/>
        <v>0</v>
      </c>
      <c r="AA42" s="1287">
        <f t="shared" si="21"/>
        <v>0</v>
      </c>
      <c r="AB42" s="258"/>
      <c r="AC42" s="261">
        <f>IFERROR(INDEX(AA!$GA:$GA,MATCH($C42,AA!$C:$C,0)),0)</f>
        <v>0</v>
      </c>
      <c r="AD42" s="261">
        <f t="shared" si="22"/>
        <v>0</v>
      </c>
      <c r="AE42" s="1287">
        <f t="shared" si="23"/>
        <v>0</v>
      </c>
      <c r="AF42" s="1278">
        <f t="shared" si="24"/>
        <v>0</v>
      </c>
      <c r="AG42" s="1287">
        <f t="shared" si="25"/>
        <v>0</v>
      </c>
      <c r="AH42" s="1230"/>
      <c r="AI42" s="261">
        <f>IFERROR(INDEX(AO!$CA:$CA,MATCH($B42,AO!$C:$C,0)),0)</f>
        <v>0</v>
      </c>
      <c r="AJ42" s="1291">
        <f>IFERROR(INDEX(PCF!$BK$60:$BK$62,MATCH($B42,PCF!$C$60:$C$62,0)),0)</f>
        <v>0</v>
      </c>
      <c r="AK42" s="1278">
        <f>IFERROR(INDEX(AO!$CC:$CC,MATCH($B42,AO!$C:$C,0)),0)</f>
        <v>0</v>
      </c>
      <c r="AL42" s="261">
        <f>IFERROR(INDEX(AO!$CE:$CE,MATCH($B42,AO!$C:$C,0)),0)</f>
        <v>0</v>
      </c>
      <c r="AM42" s="261">
        <f>IFERROR(INDEX(AO!$CN:$CN,MATCH($B42,AO!$C:$C,0)),0)</f>
        <v>0</v>
      </c>
      <c r="AN42" s="261">
        <f>IFERROR(INDEX(AO!$CS:$CS,MATCH($B42,AO!$C:$C,0)),0)</f>
        <v>0</v>
      </c>
    </row>
    <row r="43" spans="2:40">
      <c r="B43" s="73">
        <v>36</v>
      </c>
      <c r="C43" s="49">
        <f t="shared" si="13"/>
        <v>36</v>
      </c>
      <c r="D43" s="261">
        <f>IFERROR(INDEX(AA!$AC:$AC,MATCH($C43,AA!$C:$C,0)),0)</f>
        <v>0</v>
      </c>
      <c r="E43" s="261">
        <f>IFERROR(INDEX(AA!$AG:$AG,MATCH($C43,AA!$C:$C,0)),0)</f>
        <v>0</v>
      </c>
      <c r="F43" s="261">
        <f>IFERROR(INDEX(AA!$AL:$AL,MATCH($C43,AA!$C:$C,0)),0)</f>
        <v>0</v>
      </c>
      <c r="G43" s="261">
        <f>IFERROR(INDEX(AA!$AI:$AI,MATCH($C43,AA!$C:$C,0)),0)</f>
        <v>0</v>
      </c>
      <c r="H43" s="261">
        <f>IFERROR(INDEX(AA!$AN:$AN,MATCH($C43,AA!$C:$C,0)),0)</f>
        <v>0</v>
      </c>
      <c r="I43" s="261"/>
      <c r="J43" s="261">
        <f>IFERROR(INDEX(AO!$Q:$Q,MATCH($B43,AO!$C:$C,0)),0)</f>
        <v>0</v>
      </c>
      <c r="K43" s="1289">
        <f>IFERROR(INDEX(AO!$AP:$AP,MATCH($B43,AO!$C:$C,0)),0)</f>
        <v>0</v>
      </c>
      <c r="L43" s="1278">
        <f>IFERROR(INDEX(AO!$U:$U,MATCH($B43,AO!$C:$C,0)),0)</f>
        <v>0</v>
      </c>
      <c r="M43" s="261">
        <f>IFERROR(INDEX(AO!$Y:$Y,MATCH($B43,AO!$C:$C,0)),0)</f>
        <v>0</v>
      </c>
      <c r="N43" s="261">
        <f>IFERROR(INDEX(AO!$AI:$AI,MATCH($B43,AO!$C:$C,0)),0)</f>
        <v>0</v>
      </c>
      <c r="O43" s="261">
        <f>IFERROR(INDEX(AO!$AM:$AM,MATCH($B43,AO!$C:$C,0)),0)</f>
        <v>0</v>
      </c>
      <c r="Q43" s="1230">
        <f>IFERROR(INDEX(AO!$AT:$AT,MATCH($B43,AO!$C:$C,0)),0)</f>
        <v>0</v>
      </c>
      <c r="R43" s="1230">
        <f t="shared" si="14"/>
        <v>0</v>
      </c>
      <c r="S43" s="1287">
        <f t="shared" si="15"/>
        <v>0</v>
      </c>
      <c r="T43" s="1290">
        <f t="shared" si="16"/>
        <v>0</v>
      </c>
      <c r="U43" s="1287">
        <f t="shared" si="17"/>
        <v>0</v>
      </c>
      <c r="V43" s="1230"/>
      <c r="W43" s="1230">
        <f>IFERROR(INDEX(AA!$EN:$EN,MATCH($C43,AA!$C:$C,0)),0)</f>
        <v>0</v>
      </c>
      <c r="X43" s="1230">
        <f t="shared" si="18"/>
        <v>0</v>
      </c>
      <c r="Y43" s="1279">
        <f t="shared" si="19"/>
        <v>0</v>
      </c>
      <c r="Z43" s="1278">
        <f t="shared" si="20"/>
        <v>0</v>
      </c>
      <c r="AA43" s="1287">
        <f t="shared" si="21"/>
        <v>0</v>
      </c>
      <c r="AB43" s="258"/>
      <c r="AC43" s="261">
        <f>IFERROR(INDEX(AA!$GA:$GA,MATCH($C43,AA!$C:$C,0)),0)</f>
        <v>0</v>
      </c>
      <c r="AD43" s="261">
        <f t="shared" si="22"/>
        <v>0</v>
      </c>
      <c r="AE43" s="1287">
        <f t="shared" si="23"/>
        <v>0</v>
      </c>
      <c r="AF43" s="1278">
        <f t="shared" si="24"/>
        <v>0</v>
      </c>
      <c r="AG43" s="1287">
        <f t="shared" si="25"/>
        <v>0</v>
      </c>
      <c r="AH43" s="1230"/>
      <c r="AI43" s="261">
        <f>IFERROR(INDEX(AO!$CA:$CA,MATCH($B43,AO!$C:$C,0)),0)</f>
        <v>0</v>
      </c>
      <c r="AJ43" s="1291">
        <f>IFERROR(INDEX(PCF!$BK$60:$BK$62,MATCH($B43,PCF!$C$60:$C$62,0)),0)</f>
        <v>0</v>
      </c>
      <c r="AK43" s="1278">
        <f>IFERROR(INDEX(AO!$CC:$CC,MATCH($B43,AO!$C:$C,0)),0)</f>
        <v>0</v>
      </c>
      <c r="AL43" s="261">
        <f>IFERROR(INDEX(AO!$CE:$CE,MATCH($B43,AO!$C:$C,0)),0)</f>
        <v>0</v>
      </c>
      <c r="AM43" s="261">
        <f>IFERROR(INDEX(AO!$CN:$CN,MATCH($B43,AO!$C:$C,0)),0)</f>
        <v>0</v>
      </c>
      <c r="AN43" s="261">
        <f>IFERROR(INDEX(AO!$CS:$CS,MATCH($B43,AO!$C:$C,0)),0)</f>
        <v>0</v>
      </c>
    </row>
    <row r="44" spans="2:40">
      <c r="B44" s="73">
        <v>37</v>
      </c>
      <c r="C44" s="49">
        <f t="shared" si="13"/>
        <v>37</v>
      </c>
      <c r="D44" s="261">
        <f>IFERROR(INDEX(AA!$AC:$AC,MATCH($C44,AA!$C:$C,0)),0)</f>
        <v>0</v>
      </c>
      <c r="E44" s="261">
        <f>IFERROR(INDEX(AA!$AG:$AG,MATCH($C44,AA!$C:$C,0)),0)</f>
        <v>0</v>
      </c>
      <c r="F44" s="261">
        <f>IFERROR(INDEX(AA!$AL:$AL,MATCH($C44,AA!$C:$C,0)),0)</f>
        <v>0</v>
      </c>
      <c r="G44" s="261">
        <f>IFERROR(INDEX(AA!$AI:$AI,MATCH($C44,AA!$C:$C,0)),0)</f>
        <v>0</v>
      </c>
      <c r="H44" s="261">
        <f>IFERROR(INDEX(AA!$AN:$AN,MATCH($C44,AA!$C:$C,0)),0)</f>
        <v>0</v>
      </c>
      <c r="I44" s="261"/>
      <c r="J44" s="261">
        <f>IFERROR(INDEX(AO!$Q:$Q,MATCH($B44,AO!$C:$C,0)),0)</f>
        <v>0</v>
      </c>
      <c r="K44" s="1289">
        <f>IFERROR(INDEX(AO!$AP:$AP,MATCH($B44,AO!$C:$C,0)),0)</f>
        <v>0</v>
      </c>
      <c r="L44" s="1278">
        <f>IFERROR(INDEX(AO!$U:$U,MATCH($B44,AO!$C:$C,0)),0)</f>
        <v>0</v>
      </c>
      <c r="M44" s="261">
        <f>IFERROR(INDEX(AO!$Y:$Y,MATCH($B44,AO!$C:$C,0)),0)</f>
        <v>0</v>
      </c>
      <c r="N44" s="261">
        <f>IFERROR(INDEX(AO!$AI:$AI,MATCH($B44,AO!$C:$C,0)),0)</f>
        <v>0</v>
      </c>
      <c r="O44" s="261">
        <f>IFERROR(INDEX(AO!$AM:$AM,MATCH($B44,AO!$C:$C,0)),0)</f>
        <v>0</v>
      </c>
      <c r="Q44" s="1230">
        <f>IFERROR(INDEX(AO!$AT:$AT,MATCH($B44,AO!$C:$C,0)),0)</f>
        <v>0</v>
      </c>
      <c r="R44" s="1230">
        <f t="shared" si="14"/>
        <v>0</v>
      </c>
      <c r="S44" s="1287">
        <f t="shared" si="15"/>
        <v>0</v>
      </c>
      <c r="T44" s="1290">
        <f t="shared" si="16"/>
        <v>0</v>
      </c>
      <c r="U44" s="1287">
        <f t="shared" si="17"/>
        <v>0</v>
      </c>
      <c r="V44" s="1230"/>
      <c r="W44" s="1230">
        <f>IFERROR(INDEX(AA!$EN:$EN,MATCH($C44,AA!$C:$C,0)),0)</f>
        <v>0</v>
      </c>
      <c r="X44" s="1230">
        <f t="shared" si="18"/>
        <v>0</v>
      </c>
      <c r="Y44" s="1279">
        <f t="shared" si="19"/>
        <v>0</v>
      </c>
      <c r="Z44" s="1278">
        <f t="shared" si="20"/>
        <v>0</v>
      </c>
      <c r="AA44" s="1287">
        <f t="shared" si="21"/>
        <v>0</v>
      </c>
      <c r="AB44" s="258"/>
      <c r="AC44" s="261">
        <f>IFERROR(INDEX(AA!$GA:$GA,MATCH($C44,AA!$C:$C,0)),0)</f>
        <v>0</v>
      </c>
      <c r="AD44" s="261">
        <f t="shared" si="22"/>
        <v>0</v>
      </c>
      <c r="AE44" s="1287">
        <f t="shared" si="23"/>
        <v>0</v>
      </c>
      <c r="AF44" s="1278">
        <f t="shared" si="24"/>
        <v>0</v>
      </c>
      <c r="AG44" s="1287">
        <f t="shared" si="25"/>
        <v>0</v>
      </c>
      <c r="AH44" s="1230"/>
      <c r="AI44" s="261">
        <f>IFERROR(INDEX(AO!$CA:$CA,MATCH($B44,AO!$C:$C,0)),0)</f>
        <v>0</v>
      </c>
      <c r="AJ44" s="1291">
        <f>IFERROR(INDEX(PCF!$BK$60:$BK$62,MATCH($B44,PCF!$C$60:$C$62,0)),0)</f>
        <v>0</v>
      </c>
      <c r="AK44" s="1278">
        <f>IFERROR(INDEX(AO!$CC:$CC,MATCH($B44,AO!$C:$C,0)),0)</f>
        <v>0</v>
      </c>
      <c r="AL44" s="261">
        <f>IFERROR(INDEX(AO!$CE:$CE,MATCH($B44,AO!$C:$C,0)),0)</f>
        <v>0</v>
      </c>
      <c r="AM44" s="261">
        <f>IFERROR(INDEX(AO!$CN:$CN,MATCH($B44,AO!$C:$C,0)),0)</f>
        <v>0</v>
      </c>
      <c r="AN44" s="261">
        <f>IFERROR(INDEX(AO!$CS:$CS,MATCH($B44,AO!$C:$C,0)),0)</f>
        <v>0</v>
      </c>
    </row>
    <row r="45" spans="2:40">
      <c r="B45" s="73">
        <v>38</v>
      </c>
      <c r="C45" s="49">
        <f t="shared" si="13"/>
        <v>38</v>
      </c>
      <c r="D45" s="261">
        <f>IFERROR(INDEX(AA!$AC:$AC,MATCH($C45,AA!$C:$C,0)),0)</f>
        <v>0</v>
      </c>
      <c r="E45" s="261">
        <f>IFERROR(INDEX(AA!$AG:$AG,MATCH($C45,AA!$C:$C,0)),0)</f>
        <v>0</v>
      </c>
      <c r="F45" s="261">
        <f>IFERROR(INDEX(AA!$AL:$AL,MATCH($C45,AA!$C:$C,0)),0)</f>
        <v>0</v>
      </c>
      <c r="G45" s="261">
        <f>IFERROR(INDEX(AA!$AI:$AI,MATCH($C45,AA!$C:$C,0)),0)</f>
        <v>0</v>
      </c>
      <c r="H45" s="261">
        <f>IFERROR(INDEX(AA!$AN:$AN,MATCH($C45,AA!$C:$C,0)),0)</f>
        <v>0</v>
      </c>
      <c r="I45" s="261"/>
      <c r="J45" s="261">
        <f>IFERROR(INDEX(AO!$Q:$Q,MATCH($B45,AO!$C:$C,0)),0)</f>
        <v>0</v>
      </c>
      <c r="K45" s="1289">
        <f>IFERROR(INDEX(AO!$AP:$AP,MATCH($B45,AO!$C:$C,0)),0)</f>
        <v>0</v>
      </c>
      <c r="L45" s="1278">
        <f>IFERROR(INDEX(AO!$U:$U,MATCH($B45,AO!$C:$C,0)),0)</f>
        <v>0</v>
      </c>
      <c r="M45" s="261">
        <f>IFERROR(INDEX(AO!$Y:$Y,MATCH($B45,AO!$C:$C,0)),0)</f>
        <v>0</v>
      </c>
      <c r="N45" s="261">
        <f>IFERROR(INDEX(AO!$AI:$AI,MATCH($B45,AO!$C:$C,0)),0)</f>
        <v>0</v>
      </c>
      <c r="O45" s="261">
        <f>IFERROR(INDEX(AO!$AM:$AM,MATCH($B45,AO!$C:$C,0)),0)</f>
        <v>0</v>
      </c>
      <c r="Q45" s="1230">
        <f>IFERROR(INDEX(AO!$AT:$AT,MATCH($B45,AO!$C:$C,0)),0)</f>
        <v>0</v>
      </c>
      <c r="R45" s="1230">
        <f t="shared" si="14"/>
        <v>0</v>
      </c>
      <c r="S45" s="1287">
        <f t="shared" si="15"/>
        <v>0</v>
      </c>
      <c r="T45" s="1290">
        <f t="shared" si="16"/>
        <v>0</v>
      </c>
      <c r="U45" s="1287">
        <f t="shared" si="17"/>
        <v>0</v>
      </c>
      <c r="V45" s="1230"/>
      <c r="W45" s="1230">
        <f>IFERROR(INDEX(AA!$EN:$EN,MATCH($C45,AA!$C:$C,0)),0)</f>
        <v>0</v>
      </c>
      <c r="X45" s="1230">
        <f t="shared" si="18"/>
        <v>0</v>
      </c>
      <c r="Y45" s="1279">
        <f t="shared" si="19"/>
        <v>0</v>
      </c>
      <c r="Z45" s="1278">
        <f t="shared" si="20"/>
        <v>0</v>
      </c>
      <c r="AA45" s="1287">
        <f t="shared" si="21"/>
        <v>0</v>
      </c>
      <c r="AB45" s="258"/>
      <c r="AC45" s="261">
        <f>IFERROR(INDEX(AA!$GA:$GA,MATCH($C45,AA!$C:$C,0)),0)</f>
        <v>0</v>
      </c>
      <c r="AD45" s="261">
        <f t="shared" si="22"/>
        <v>0</v>
      </c>
      <c r="AE45" s="1287">
        <f t="shared" si="23"/>
        <v>0</v>
      </c>
      <c r="AF45" s="1278">
        <f t="shared" si="24"/>
        <v>0</v>
      </c>
      <c r="AG45" s="1287">
        <f t="shared" si="25"/>
        <v>0</v>
      </c>
      <c r="AH45" s="1230"/>
      <c r="AI45" s="261">
        <f>IFERROR(INDEX(AO!$CA:$CA,MATCH($B45,AO!$C:$C,0)),0)</f>
        <v>0</v>
      </c>
      <c r="AJ45" s="1291">
        <f>IFERROR(INDEX(PCF!$BK$60:$BK$62,MATCH($B45,PCF!$C$60:$C$62,0)),0)</f>
        <v>0</v>
      </c>
      <c r="AK45" s="1278">
        <f>IFERROR(INDEX(AO!$CC:$CC,MATCH($B45,AO!$C:$C,0)),0)</f>
        <v>0</v>
      </c>
      <c r="AL45" s="261">
        <f>IFERROR(INDEX(AO!$CE:$CE,MATCH($B45,AO!$C:$C,0)),0)</f>
        <v>0</v>
      </c>
      <c r="AM45" s="261">
        <f>IFERROR(INDEX(AO!$CN:$CN,MATCH($B45,AO!$C:$C,0)),0)</f>
        <v>0</v>
      </c>
      <c r="AN45" s="261">
        <f>IFERROR(INDEX(AO!$CS:$CS,MATCH($B45,AO!$C:$C,0)),0)</f>
        <v>0</v>
      </c>
    </row>
    <row r="46" spans="2:40">
      <c r="B46" s="73">
        <v>39</v>
      </c>
      <c r="C46" s="49">
        <f t="shared" si="13"/>
        <v>39</v>
      </c>
      <c r="D46" s="261">
        <f>IFERROR(INDEX(AA!$AC:$AC,MATCH($C46,AA!$C:$C,0)),0)</f>
        <v>0</v>
      </c>
      <c r="E46" s="261">
        <f>IFERROR(INDEX(AA!$AG:$AG,MATCH($C46,AA!$C:$C,0)),0)</f>
        <v>0</v>
      </c>
      <c r="F46" s="261">
        <f>IFERROR(INDEX(AA!$AL:$AL,MATCH($C46,AA!$C:$C,0)),0)</f>
        <v>0</v>
      </c>
      <c r="G46" s="261">
        <f>IFERROR(INDEX(AA!$AI:$AI,MATCH($C46,AA!$C:$C,0)),0)</f>
        <v>0</v>
      </c>
      <c r="H46" s="261">
        <f>IFERROR(INDEX(AA!$AN:$AN,MATCH($C46,AA!$C:$C,0)),0)</f>
        <v>0</v>
      </c>
      <c r="I46" s="261"/>
      <c r="J46" s="261">
        <f>IFERROR(INDEX(AO!$Q:$Q,MATCH($B46,AO!$C:$C,0)),0)</f>
        <v>0</v>
      </c>
      <c r="K46" s="1289">
        <f>IFERROR(INDEX(AO!$AP:$AP,MATCH($B46,AO!$C:$C,0)),0)</f>
        <v>0</v>
      </c>
      <c r="L46" s="1278">
        <f>IFERROR(INDEX(AO!$U:$U,MATCH($B46,AO!$C:$C,0)),0)</f>
        <v>0</v>
      </c>
      <c r="M46" s="261">
        <f>IFERROR(INDEX(AO!$Y:$Y,MATCH($B46,AO!$C:$C,0)),0)</f>
        <v>0</v>
      </c>
      <c r="N46" s="261">
        <f>IFERROR(INDEX(AO!$AI:$AI,MATCH($B46,AO!$C:$C,0)),0)</f>
        <v>0</v>
      </c>
      <c r="O46" s="261">
        <f>IFERROR(INDEX(AO!$AM:$AM,MATCH($B46,AO!$C:$C,0)),0)</f>
        <v>0</v>
      </c>
      <c r="Q46" s="1230">
        <f>IFERROR(INDEX(AO!$AT:$AT,MATCH($B46,AO!$C:$C,0)),0)</f>
        <v>0</v>
      </c>
      <c r="R46" s="1230">
        <f t="shared" si="14"/>
        <v>0</v>
      </c>
      <c r="S46" s="1287">
        <f t="shared" si="15"/>
        <v>0</v>
      </c>
      <c r="T46" s="1290">
        <f t="shared" si="16"/>
        <v>0</v>
      </c>
      <c r="U46" s="1287">
        <f t="shared" si="17"/>
        <v>0</v>
      </c>
      <c r="V46" s="1230"/>
      <c r="W46" s="1230">
        <f>IFERROR(INDEX(AA!$EN:$EN,MATCH($C46,AA!$C:$C,0)),0)</f>
        <v>0</v>
      </c>
      <c r="X46" s="1230">
        <f t="shared" si="18"/>
        <v>0</v>
      </c>
      <c r="Y46" s="1279">
        <f t="shared" si="19"/>
        <v>0</v>
      </c>
      <c r="Z46" s="1278">
        <f t="shared" si="20"/>
        <v>0</v>
      </c>
      <c r="AA46" s="1287">
        <f t="shared" si="21"/>
        <v>0</v>
      </c>
      <c r="AB46" s="258"/>
      <c r="AC46" s="261">
        <f>IFERROR(INDEX(AA!$GA:$GA,MATCH($C46,AA!$C:$C,0)),0)</f>
        <v>0</v>
      </c>
      <c r="AD46" s="261">
        <f t="shared" si="22"/>
        <v>0</v>
      </c>
      <c r="AE46" s="1287">
        <f t="shared" si="23"/>
        <v>0</v>
      </c>
      <c r="AF46" s="1278">
        <f t="shared" si="24"/>
        <v>0</v>
      </c>
      <c r="AG46" s="1287">
        <f t="shared" si="25"/>
        <v>0</v>
      </c>
      <c r="AH46" s="1230"/>
      <c r="AI46" s="261">
        <f>IFERROR(INDEX(AO!$CA:$CA,MATCH($B46,AO!$C:$C,0)),0)</f>
        <v>0</v>
      </c>
      <c r="AJ46" s="1291">
        <f>IFERROR(INDEX(PCF!$BK$60:$BK$62,MATCH($B46,PCF!$C$60:$C$62,0)),0)</f>
        <v>0</v>
      </c>
      <c r="AK46" s="1278">
        <f>IFERROR(INDEX(AO!$CC:$CC,MATCH($B46,AO!$C:$C,0)),0)</f>
        <v>0</v>
      </c>
      <c r="AL46" s="261">
        <f>IFERROR(INDEX(AO!$CE:$CE,MATCH($B46,AO!$C:$C,0)),0)</f>
        <v>0</v>
      </c>
      <c r="AM46" s="261">
        <f>IFERROR(INDEX(AO!$CN:$CN,MATCH($B46,AO!$C:$C,0)),0)</f>
        <v>0</v>
      </c>
      <c r="AN46" s="261">
        <f>IFERROR(INDEX(AO!$CS:$CS,MATCH($B46,AO!$C:$C,0)),0)</f>
        <v>0</v>
      </c>
    </row>
    <row r="47" spans="2:40">
      <c r="B47" s="73">
        <v>40</v>
      </c>
      <c r="C47" s="49">
        <f t="shared" si="13"/>
        <v>40</v>
      </c>
      <c r="D47" s="261">
        <f>IFERROR(INDEX(AA!$AC:$AC,MATCH($C47,AA!$C:$C,0)),0)</f>
        <v>0</v>
      </c>
      <c r="E47" s="261">
        <f>IFERROR(INDEX(AA!$AG:$AG,MATCH($C47,AA!$C:$C,0)),0)</f>
        <v>0</v>
      </c>
      <c r="F47" s="261">
        <f>IFERROR(INDEX(AA!$AL:$AL,MATCH($C47,AA!$C:$C,0)),0)</f>
        <v>0</v>
      </c>
      <c r="G47" s="261">
        <f>IFERROR(INDEX(AA!$AI:$AI,MATCH($C47,AA!$C:$C,0)),0)</f>
        <v>0</v>
      </c>
      <c r="H47" s="261">
        <f>IFERROR(INDEX(AA!$AN:$AN,MATCH($C47,AA!$C:$C,0)),0)</f>
        <v>0</v>
      </c>
      <c r="I47" s="261"/>
      <c r="J47" s="261">
        <f>IFERROR(INDEX(AO!$Q:$Q,MATCH($B47,AO!$C:$C,0)),0)</f>
        <v>0</v>
      </c>
      <c r="K47" s="1289">
        <f>IFERROR(INDEX(AO!$AP:$AP,MATCH($B47,AO!$C:$C,0)),0)</f>
        <v>0</v>
      </c>
      <c r="L47" s="1278">
        <f>IFERROR(INDEX(AO!$U:$U,MATCH($B47,AO!$C:$C,0)),0)</f>
        <v>0</v>
      </c>
      <c r="M47" s="261">
        <f>IFERROR(INDEX(AO!$Y:$Y,MATCH($B47,AO!$C:$C,0)),0)</f>
        <v>0</v>
      </c>
      <c r="N47" s="261">
        <f>IFERROR(INDEX(AO!$AI:$AI,MATCH($B47,AO!$C:$C,0)),0)</f>
        <v>0</v>
      </c>
      <c r="O47" s="261">
        <f>IFERROR(INDEX(AO!$AM:$AM,MATCH($B47,AO!$C:$C,0)),0)</f>
        <v>0</v>
      </c>
      <c r="Q47" s="1230">
        <f>IFERROR(INDEX(AO!$AT:$AT,MATCH($B47,AO!$C:$C,0)),0)</f>
        <v>0</v>
      </c>
      <c r="R47" s="1230">
        <f t="shared" si="14"/>
        <v>0</v>
      </c>
      <c r="S47" s="1287">
        <f t="shared" si="15"/>
        <v>0</v>
      </c>
      <c r="T47" s="1290">
        <f t="shared" si="16"/>
        <v>0</v>
      </c>
      <c r="U47" s="1287">
        <f t="shared" si="17"/>
        <v>0</v>
      </c>
      <c r="V47" s="1230"/>
      <c r="W47" s="1230">
        <f>IFERROR(INDEX(AA!$EN:$EN,MATCH($C47,AA!$C:$C,0)),0)</f>
        <v>0</v>
      </c>
      <c r="X47" s="1230">
        <f t="shared" si="18"/>
        <v>0</v>
      </c>
      <c r="Y47" s="1279">
        <f t="shared" si="19"/>
        <v>0</v>
      </c>
      <c r="Z47" s="1278">
        <f t="shared" si="20"/>
        <v>0</v>
      </c>
      <c r="AA47" s="1287">
        <f t="shared" si="21"/>
        <v>0</v>
      </c>
      <c r="AB47" s="258"/>
      <c r="AC47" s="261">
        <f>IFERROR(INDEX(AA!$GA:$GA,MATCH($C47,AA!$C:$C,0)),0)</f>
        <v>0</v>
      </c>
      <c r="AD47" s="261">
        <f t="shared" si="22"/>
        <v>0</v>
      </c>
      <c r="AE47" s="1287">
        <f t="shared" si="23"/>
        <v>0</v>
      </c>
      <c r="AF47" s="1278">
        <f t="shared" si="24"/>
        <v>0</v>
      </c>
      <c r="AG47" s="1287">
        <f t="shared" si="25"/>
        <v>0</v>
      </c>
      <c r="AH47" s="1230"/>
      <c r="AI47" s="261">
        <f>IFERROR(INDEX(AO!$CA:$CA,MATCH($B47,AO!$C:$C,0)),0)</f>
        <v>0</v>
      </c>
      <c r="AJ47" s="1291">
        <f>IFERROR(INDEX(PCF!$BK$60:$BK$62,MATCH($B47,PCF!$C$60:$C$62,0)),0)</f>
        <v>0</v>
      </c>
      <c r="AK47" s="1278">
        <f>IFERROR(INDEX(AO!$CC:$CC,MATCH($B47,AO!$C:$C,0)),0)</f>
        <v>0</v>
      </c>
      <c r="AL47" s="261">
        <f>IFERROR(INDEX(AO!$CE:$CE,MATCH($B47,AO!$C:$C,0)),0)</f>
        <v>0</v>
      </c>
      <c r="AM47" s="261">
        <f>IFERROR(INDEX(AO!$CN:$CN,MATCH($B47,AO!$C:$C,0)),0)</f>
        <v>0</v>
      </c>
      <c r="AN47" s="261">
        <f>IFERROR(INDEX(AO!$CS:$CS,MATCH($B47,AO!$C:$C,0)),0)</f>
        <v>0</v>
      </c>
    </row>
    <row r="48" spans="2:40">
      <c r="B48" s="73">
        <v>41</v>
      </c>
      <c r="C48" s="49">
        <f t="shared" si="13"/>
        <v>41</v>
      </c>
      <c r="D48" s="261">
        <f>IFERROR(INDEX(AA!$AC:$AC,MATCH($C48,AA!$C:$C,0)),0)</f>
        <v>0</v>
      </c>
      <c r="E48" s="261">
        <f>IFERROR(INDEX(AA!$AG:$AG,MATCH($C48,AA!$C:$C,0)),0)</f>
        <v>0</v>
      </c>
      <c r="F48" s="261">
        <f>IFERROR(INDEX(AA!$AL:$AL,MATCH($C48,AA!$C:$C,0)),0)</f>
        <v>0</v>
      </c>
      <c r="G48" s="261">
        <f>IFERROR(INDEX(AA!$AI:$AI,MATCH($C48,AA!$C:$C,0)),0)</f>
        <v>0</v>
      </c>
      <c r="H48" s="261">
        <f>IFERROR(INDEX(AA!$AN:$AN,MATCH($C48,AA!$C:$C,0)),0)</f>
        <v>0</v>
      </c>
      <c r="I48" s="261"/>
      <c r="J48" s="261">
        <f>IFERROR(INDEX(AO!$Q:$Q,MATCH($B48,AO!$C:$C,0)),0)</f>
        <v>0</v>
      </c>
      <c r="K48" s="1289">
        <f>IFERROR(INDEX(AO!$AP:$AP,MATCH($B48,AO!$C:$C,0)),0)</f>
        <v>0</v>
      </c>
      <c r="L48" s="1278">
        <f>IFERROR(INDEX(AO!$U:$U,MATCH($B48,AO!$C:$C,0)),0)</f>
        <v>0</v>
      </c>
      <c r="M48" s="261">
        <f>IFERROR(INDEX(AO!$Y:$Y,MATCH($B48,AO!$C:$C,0)),0)</f>
        <v>0</v>
      </c>
      <c r="N48" s="261">
        <f>IFERROR(INDEX(AO!$AI:$AI,MATCH($B48,AO!$C:$C,0)),0)</f>
        <v>0</v>
      </c>
      <c r="O48" s="261">
        <f>IFERROR(INDEX(AO!$AM:$AM,MATCH($B48,AO!$C:$C,0)),0)</f>
        <v>0</v>
      </c>
      <c r="Q48" s="1230">
        <f>IFERROR(INDEX(AO!$AT:$AT,MATCH($B48,AO!$C:$C,0)),0)</f>
        <v>0</v>
      </c>
      <c r="R48" s="1230">
        <f t="shared" si="14"/>
        <v>0</v>
      </c>
      <c r="S48" s="1287">
        <f t="shared" si="15"/>
        <v>0</v>
      </c>
      <c r="T48" s="1290">
        <f t="shared" si="16"/>
        <v>0</v>
      </c>
      <c r="U48" s="1287">
        <f t="shared" si="17"/>
        <v>0</v>
      </c>
      <c r="V48" s="1230"/>
      <c r="W48" s="1230">
        <f>IFERROR(INDEX(AA!$EN:$EN,MATCH($C48,AA!$C:$C,0)),0)</f>
        <v>0</v>
      </c>
      <c r="X48" s="1230">
        <f t="shared" si="18"/>
        <v>0</v>
      </c>
      <c r="Y48" s="1279">
        <f t="shared" si="19"/>
        <v>0</v>
      </c>
      <c r="Z48" s="1278">
        <f t="shared" si="20"/>
        <v>0</v>
      </c>
      <c r="AA48" s="1287">
        <f t="shared" si="21"/>
        <v>0</v>
      </c>
      <c r="AB48" s="258"/>
      <c r="AC48" s="261">
        <f>IFERROR(INDEX(AA!$GA:$GA,MATCH($C48,AA!$C:$C,0)),0)</f>
        <v>0</v>
      </c>
      <c r="AD48" s="261">
        <f t="shared" si="22"/>
        <v>0</v>
      </c>
      <c r="AE48" s="1287">
        <f t="shared" si="23"/>
        <v>0</v>
      </c>
      <c r="AF48" s="1278">
        <f t="shared" si="24"/>
        <v>0</v>
      </c>
      <c r="AG48" s="1287">
        <f t="shared" si="25"/>
        <v>0</v>
      </c>
      <c r="AH48" s="1230"/>
      <c r="AI48" s="261">
        <f>IFERROR(INDEX(AO!$CA:$CA,MATCH($B48,AO!$C:$C,0)),0)</f>
        <v>0</v>
      </c>
      <c r="AJ48" s="1291">
        <f>IFERROR(INDEX(PCF!$BK$60:$BK$62,MATCH($B48,PCF!$C$60:$C$62,0)),0)</f>
        <v>0</v>
      </c>
      <c r="AK48" s="1278">
        <f>IFERROR(INDEX(AO!$CC:$CC,MATCH($B48,AO!$C:$C,0)),0)</f>
        <v>0</v>
      </c>
      <c r="AL48" s="261">
        <f>IFERROR(INDEX(AO!$CE:$CE,MATCH($B48,AO!$C:$C,0)),0)</f>
        <v>0</v>
      </c>
      <c r="AM48" s="261">
        <f>IFERROR(INDEX(AO!$CN:$CN,MATCH($B48,AO!$C:$C,0)),0)</f>
        <v>0</v>
      </c>
      <c r="AN48" s="261">
        <f>IFERROR(INDEX(AO!$CS:$CS,MATCH($B48,AO!$C:$C,0)),0)</f>
        <v>0</v>
      </c>
    </row>
    <row r="49" spans="2:40">
      <c r="B49" s="73">
        <v>42</v>
      </c>
      <c r="C49" s="49">
        <f t="shared" si="13"/>
        <v>42</v>
      </c>
      <c r="D49" s="261">
        <f>IFERROR(INDEX(AA!$AC:$AC,MATCH($C49,AA!$C:$C,0)),0)</f>
        <v>0</v>
      </c>
      <c r="E49" s="261">
        <f>IFERROR(INDEX(AA!$AG:$AG,MATCH($C49,AA!$C:$C,0)),0)</f>
        <v>0</v>
      </c>
      <c r="F49" s="261">
        <f>IFERROR(INDEX(AA!$AL:$AL,MATCH($C49,AA!$C:$C,0)),0)</f>
        <v>0</v>
      </c>
      <c r="G49" s="261">
        <f>IFERROR(INDEX(AA!$AI:$AI,MATCH($C49,AA!$C:$C,0)),0)</f>
        <v>0</v>
      </c>
      <c r="H49" s="261">
        <f>IFERROR(INDEX(AA!$AN:$AN,MATCH($C49,AA!$C:$C,0)),0)</f>
        <v>0</v>
      </c>
      <c r="I49" s="261"/>
      <c r="J49" s="261">
        <f>IFERROR(INDEX(AO!$Q:$Q,MATCH($B49,AO!$C:$C,0)),0)</f>
        <v>0</v>
      </c>
      <c r="K49" s="1289">
        <f>IFERROR(INDEX(AO!$AP:$AP,MATCH($B49,AO!$C:$C,0)),0)</f>
        <v>0</v>
      </c>
      <c r="L49" s="1278">
        <f>IFERROR(INDEX(AO!$U:$U,MATCH($B49,AO!$C:$C,0)),0)</f>
        <v>0</v>
      </c>
      <c r="M49" s="261">
        <f>IFERROR(INDEX(AO!$Y:$Y,MATCH($B49,AO!$C:$C,0)),0)</f>
        <v>0</v>
      </c>
      <c r="N49" s="261">
        <f>IFERROR(INDEX(AO!$AI:$AI,MATCH($B49,AO!$C:$C,0)),0)</f>
        <v>0</v>
      </c>
      <c r="O49" s="261">
        <f>IFERROR(INDEX(AO!$AM:$AM,MATCH($B49,AO!$C:$C,0)),0)</f>
        <v>0</v>
      </c>
      <c r="Q49" s="1230">
        <f>IFERROR(INDEX(AO!$AT:$AT,MATCH($B49,AO!$C:$C,0)),0)</f>
        <v>0</v>
      </c>
      <c r="R49" s="1230">
        <f t="shared" si="14"/>
        <v>0</v>
      </c>
      <c r="S49" s="1287">
        <f t="shared" si="15"/>
        <v>0</v>
      </c>
      <c r="T49" s="1290">
        <f t="shared" si="16"/>
        <v>0</v>
      </c>
      <c r="U49" s="1287">
        <f t="shared" si="17"/>
        <v>0</v>
      </c>
      <c r="V49" s="1230"/>
      <c r="W49" s="1230">
        <f>IFERROR(INDEX(AA!$EN:$EN,MATCH($C49,AA!$C:$C,0)),0)</f>
        <v>0</v>
      </c>
      <c r="X49" s="1230">
        <f t="shared" si="18"/>
        <v>0</v>
      </c>
      <c r="Y49" s="1279">
        <f t="shared" si="19"/>
        <v>0</v>
      </c>
      <c r="Z49" s="1278">
        <f t="shared" si="20"/>
        <v>0</v>
      </c>
      <c r="AA49" s="1287">
        <f t="shared" si="21"/>
        <v>0</v>
      </c>
      <c r="AB49" s="258"/>
      <c r="AC49" s="261">
        <f>IFERROR(INDEX(AA!$GA:$GA,MATCH($C49,AA!$C:$C,0)),0)</f>
        <v>0</v>
      </c>
      <c r="AD49" s="261">
        <f t="shared" si="22"/>
        <v>0</v>
      </c>
      <c r="AE49" s="1287">
        <f t="shared" si="23"/>
        <v>0</v>
      </c>
      <c r="AF49" s="1278">
        <f t="shared" si="24"/>
        <v>0</v>
      </c>
      <c r="AG49" s="1287">
        <f t="shared" si="25"/>
        <v>0</v>
      </c>
      <c r="AH49" s="1230"/>
      <c r="AI49" s="261">
        <f>IFERROR(INDEX(AO!$CA:$CA,MATCH($B49,AO!$C:$C,0)),0)</f>
        <v>0</v>
      </c>
      <c r="AJ49" s="1291">
        <f>IFERROR(INDEX(PCF!$BK$60:$BK$62,MATCH($B49,PCF!$C$60:$C$62,0)),0)</f>
        <v>0</v>
      </c>
      <c r="AK49" s="1278">
        <f>IFERROR(INDEX(AO!$CC:$CC,MATCH($B49,AO!$C:$C,0)),0)</f>
        <v>0</v>
      </c>
      <c r="AL49" s="261">
        <f>IFERROR(INDEX(AO!$CE:$CE,MATCH($B49,AO!$C:$C,0)),0)</f>
        <v>0</v>
      </c>
      <c r="AM49" s="261">
        <f>IFERROR(INDEX(AO!$CN:$CN,MATCH($B49,AO!$C:$C,0)),0)</f>
        <v>0</v>
      </c>
      <c r="AN49" s="261">
        <f>IFERROR(INDEX(AO!$CS:$CS,MATCH($B49,AO!$C:$C,0)),0)</f>
        <v>0</v>
      </c>
    </row>
    <row r="50" spans="2:40">
      <c r="B50" s="73">
        <v>43</v>
      </c>
      <c r="C50" s="49">
        <f t="shared" si="13"/>
        <v>43</v>
      </c>
      <c r="D50" s="261">
        <f>IFERROR(INDEX(AA!$AC:$AC,MATCH($C50,AA!$C:$C,0)),0)</f>
        <v>0</v>
      </c>
      <c r="E50" s="261">
        <f>IFERROR(INDEX(AA!$AG:$AG,MATCH($C50,AA!$C:$C,0)),0)</f>
        <v>0</v>
      </c>
      <c r="F50" s="261">
        <f>IFERROR(INDEX(AA!$AL:$AL,MATCH($C50,AA!$C:$C,0)),0)</f>
        <v>0</v>
      </c>
      <c r="G50" s="261">
        <f>IFERROR(INDEX(AA!$AI:$AI,MATCH($C50,AA!$C:$C,0)),0)</f>
        <v>0</v>
      </c>
      <c r="H50" s="261">
        <f>IFERROR(INDEX(AA!$AN:$AN,MATCH($C50,AA!$C:$C,0)),0)</f>
        <v>0</v>
      </c>
      <c r="I50" s="261"/>
      <c r="J50" s="261">
        <f>IFERROR(INDEX(AO!$Q:$Q,MATCH($B50,AO!$C:$C,0)),0)</f>
        <v>0</v>
      </c>
      <c r="K50" s="1289">
        <f>IFERROR(INDEX(AO!$AP:$AP,MATCH($B50,AO!$C:$C,0)),0)</f>
        <v>0</v>
      </c>
      <c r="L50" s="1278">
        <f>IFERROR(INDEX(AO!$U:$U,MATCH($B50,AO!$C:$C,0)),0)</f>
        <v>0</v>
      </c>
      <c r="M50" s="261">
        <f>IFERROR(INDEX(AO!$Y:$Y,MATCH($B50,AO!$C:$C,0)),0)</f>
        <v>0</v>
      </c>
      <c r="N50" s="261">
        <f>IFERROR(INDEX(AO!$AI:$AI,MATCH($B50,AO!$C:$C,0)),0)</f>
        <v>0</v>
      </c>
      <c r="O50" s="261">
        <f>IFERROR(INDEX(AO!$AM:$AM,MATCH($B50,AO!$C:$C,0)),0)</f>
        <v>0</v>
      </c>
      <c r="Q50" s="1230">
        <f>IFERROR(INDEX(AO!$AT:$AT,MATCH($B50,AO!$C:$C,0)),0)</f>
        <v>0</v>
      </c>
      <c r="R50" s="1230">
        <f t="shared" si="14"/>
        <v>0</v>
      </c>
      <c r="S50" s="1287">
        <f t="shared" si="15"/>
        <v>0</v>
      </c>
      <c r="T50" s="1290">
        <f t="shared" si="16"/>
        <v>0</v>
      </c>
      <c r="U50" s="1287">
        <f t="shared" si="17"/>
        <v>0</v>
      </c>
      <c r="V50" s="1230"/>
      <c r="W50" s="1230">
        <f>IFERROR(INDEX(AA!$EN:$EN,MATCH($C50,AA!$C:$C,0)),0)</f>
        <v>0</v>
      </c>
      <c r="X50" s="1230">
        <f t="shared" si="18"/>
        <v>0</v>
      </c>
      <c r="Y50" s="1279">
        <f t="shared" si="19"/>
        <v>0</v>
      </c>
      <c r="Z50" s="1278">
        <f t="shared" si="20"/>
        <v>0</v>
      </c>
      <c r="AA50" s="1287">
        <f t="shared" si="21"/>
        <v>0</v>
      </c>
      <c r="AB50" s="258"/>
      <c r="AC50" s="261">
        <f>IFERROR(INDEX(AA!$GA:$GA,MATCH($C50,AA!$C:$C,0)),0)</f>
        <v>0</v>
      </c>
      <c r="AD50" s="261">
        <f t="shared" si="22"/>
        <v>0</v>
      </c>
      <c r="AE50" s="1287">
        <f t="shared" si="23"/>
        <v>0</v>
      </c>
      <c r="AF50" s="1278">
        <f t="shared" si="24"/>
        <v>0</v>
      </c>
      <c r="AG50" s="1287">
        <f t="shared" si="25"/>
        <v>0</v>
      </c>
      <c r="AH50" s="1230"/>
      <c r="AI50" s="261">
        <f>IFERROR(INDEX(AO!$CA:$CA,MATCH($B50,AO!$C:$C,0)),0)</f>
        <v>0</v>
      </c>
      <c r="AJ50" s="1291">
        <f>IFERROR(INDEX(PCF!$BK$60:$BK$62,MATCH($B50,PCF!$C$60:$C$62,0)),0)</f>
        <v>0</v>
      </c>
      <c r="AK50" s="1278">
        <f>IFERROR(INDEX(AO!$CC:$CC,MATCH($B50,AO!$C:$C,0)),0)</f>
        <v>0</v>
      </c>
      <c r="AL50" s="261">
        <f>IFERROR(INDEX(AO!$CE:$CE,MATCH($B50,AO!$C:$C,0)),0)</f>
        <v>0</v>
      </c>
      <c r="AM50" s="261">
        <f>IFERROR(INDEX(AO!$CN:$CN,MATCH($B50,AO!$C:$C,0)),0)</f>
        <v>0</v>
      </c>
      <c r="AN50" s="261">
        <f>IFERROR(INDEX(AO!$CS:$CS,MATCH($B50,AO!$C:$C,0)),0)</f>
        <v>0</v>
      </c>
    </row>
    <row r="51" spans="2:40">
      <c r="B51" s="73">
        <v>44</v>
      </c>
      <c r="C51" s="49">
        <f t="shared" si="13"/>
        <v>44</v>
      </c>
      <c r="D51" s="261">
        <f>IFERROR(INDEX(AA!$AC:$AC,MATCH($C51,AA!$C:$C,0)),0)</f>
        <v>0</v>
      </c>
      <c r="E51" s="261">
        <f>IFERROR(INDEX(AA!$AG:$AG,MATCH($C51,AA!$C:$C,0)),0)</f>
        <v>0</v>
      </c>
      <c r="F51" s="261">
        <f>IFERROR(INDEX(AA!$AL:$AL,MATCH($C51,AA!$C:$C,0)),0)</f>
        <v>0</v>
      </c>
      <c r="G51" s="261">
        <f>IFERROR(INDEX(AA!$AI:$AI,MATCH($C51,AA!$C:$C,0)),0)</f>
        <v>0</v>
      </c>
      <c r="H51" s="261">
        <f>IFERROR(INDEX(AA!$AN:$AN,MATCH($C51,AA!$C:$C,0)),0)</f>
        <v>0</v>
      </c>
      <c r="I51" s="261"/>
      <c r="J51" s="261">
        <f>IFERROR(INDEX(AO!$Q:$Q,MATCH($B51,AO!$C:$C,0)),0)</f>
        <v>0</v>
      </c>
      <c r="K51" s="1289">
        <f>IFERROR(INDEX(AO!$AP:$AP,MATCH($B51,AO!$C:$C,0)),0)</f>
        <v>0</v>
      </c>
      <c r="L51" s="1278">
        <f>IFERROR(INDEX(AO!$U:$U,MATCH($B51,AO!$C:$C,0)),0)</f>
        <v>0</v>
      </c>
      <c r="M51" s="261">
        <f>IFERROR(INDEX(AO!$Y:$Y,MATCH($B51,AO!$C:$C,0)),0)</f>
        <v>0</v>
      </c>
      <c r="N51" s="261">
        <f>IFERROR(INDEX(AO!$AI:$AI,MATCH($B51,AO!$C:$C,0)),0)</f>
        <v>0</v>
      </c>
      <c r="O51" s="261">
        <f>IFERROR(INDEX(AO!$AM:$AM,MATCH($B51,AO!$C:$C,0)),0)</f>
        <v>0</v>
      </c>
      <c r="Q51" s="1230">
        <f>IFERROR(INDEX(AO!$AT:$AT,MATCH($B51,AO!$C:$C,0)),0)</f>
        <v>0</v>
      </c>
      <c r="R51" s="1230">
        <f t="shared" si="14"/>
        <v>0</v>
      </c>
      <c r="S51" s="1287">
        <f t="shared" si="15"/>
        <v>0</v>
      </c>
      <c r="T51" s="1290">
        <f t="shared" si="16"/>
        <v>0</v>
      </c>
      <c r="U51" s="1287">
        <f t="shared" si="17"/>
        <v>0</v>
      </c>
      <c r="V51" s="1230"/>
      <c r="W51" s="1230">
        <f>IFERROR(INDEX(AA!$EN:$EN,MATCH($C51,AA!$C:$C,0)),0)</f>
        <v>0</v>
      </c>
      <c r="X51" s="1230">
        <f t="shared" si="18"/>
        <v>0</v>
      </c>
      <c r="Y51" s="1279">
        <f t="shared" si="19"/>
        <v>0</v>
      </c>
      <c r="Z51" s="1278">
        <f t="shared" si="20"/>
        <v>0</v>
      </c>
      <c r="AA51" s="1287">
        <f t="shared" si="21"/>
        <v>0</v>
      </c>
      <c r="AB51" s="258"/>
      <c r="AC51" s="261">
        <f>IFERROR(INDEX(AA!$GA:$GA,MATCH($C51,AA!$C:$C,0)),0)</f>
        <v>0</v>
      </c>
      <c r="AD51" s="261">
        <f t="shared" si="22"/>
        <v>0</v>
      </c>
      <c r="AE51" s="1287">
        <f t="shared" si="23"/>
        <v>0</v>
      </c>
      <c r="AF51" s="1278">
        <f t="shared" si="24"/>
        <v>0</v>
      </c>
      <c r="AG51" s="1287">
        <f t="shared" si="25"/>
        <v>0</v>
      </c>
      <c r="AH51" s="1230"/>
      <c r="AI51" s="261">
        <f>IFERROR(INDEX(AO!$CA:$CA,MATCH($B51,AO!$C:$C,0)),0)</f>
        <v>0</v>
      </c>
      <c r="AJ51" s="1291">
        <f>IFERROR(INDEX(PCF!$BK$60:$BK$62,MATCH($B51,PCF!$C$60:$C$62,0)),0)</f>
        <v>0</v>
      </c>
      <c r="AK51" s="1278">
        <f>IFERROR(INDEX(AO!$CC:$CC,MATCH($B51,AO!$C:$C,0)),0)</f>
        <v>0</v>
      </c>
      <c r="AL51" s="261">
        <f>IFERROR(INDEX(AO!$CE:$CE,MATCH($B51,AO!$C:$C,0)),0)</f>
        <v>0</v>
      </c>
      <c r="AM51" s="261">
        <f>IFERROR(INDEX(AO!$CN:$CN,MATCH($B51,AO!$C:$C,0)),0)</f>
        <v>0</v>
      </c>
      <c r="AN51" s="261">
        <f>IFERROR(INDEX(AO!$CS:$CS,MATCH($B51,AO!$C:$C,0)),0)</f>
        <v>0</v>
      </c>
    </row>
    <row r="52" spans="2:40">
      <c r="B52" s="73">
        <v>45</v>
      </c>
      <c r="C52" s="49">
        <f t="shared" si="13"/>
        <v>45</v>
      </c>
      <c r="D52" s="261">
        <f>IFERROR(INDEX(AA!$AC:$AC,MATCH($C52,AA!$C:$C,0)),0)</f>
        <v>0</v>
      </c>
      <c r="E52" s="261">
        <f>IFERROR(INDEX(AA!$AG:$AG,MATCH($C52,AA!$C:$C,0)),0)</f>
        <v>0</v>
      </c>
      <c r="F52" s="261">
        <f>IFERROR(INDEX(AA!$AL:$AL,MATCH($C52,AA!$C:$C,0)),0)</f>
        <v>0</v>
      </c>
      <c r="G52" s="261">
        <f>IFERROR(INDEX(AA!$AI:$AI,MATCH($C52,AA!$C:$C,0)),0)</f>
        <v>0</v>
      </c>
      <c r="H52" s="261">
        <f>IFERROR(INDEX(AA!$AN:$AN,MATCH($C52,AA!$C:$C,0)),0)</f>
        <v>0</v>
      </c>
      <c r="I52" s="261"/>
      <c r="J52" s="261">
        <f>IFERROR(INDEX(AO!$Q:$Q,MATCH($B52,AO!$C:$C,0)),0)</f>
        <v>0</v>
      </c>
      <c r="K52" s="1289">
        <f>IFERROR(INDEX(AO!$AP:$AP,MATCH($B52,AO!$C:$C,0)),0)</f>
        <v>0</v>
      </c>
      <c r="L52" s="1278">
        <f>IFERROR(INDEX(AO!$U:$U,MATCH($B52,AO!$C:$C,0)),0)</f>
        <v>0</v>
      </c>
      <c r="M52" s="261">
        <f>IFERROR(INDEX(AO!$Y:$Y,MATCH($B52,AO!$C:$C,0)),0)</f>
        <v>0</v>
      </c>
      <c r="N52" s="261">
        <f>IFERROR(INDEX(AO!$AI:$AI,MATCH($B52,AO!$C:$C,0)),0)</f>
        <v>0</v>
      </c>
      <c r="O52" s="261">
        <f>IFERROR(INDEX(AO!$AM:$AM,MATCH($B52,AO!$C:$C,0)),0)</f>
        <v>0</v>
      </c>
      <c r="Q52" s="1230">
        <f>IFERROR(INDEX(AO!$AT:$AT,MATCH($B52,AO!$C:$C,0)),0)</f>
        <v>0</v>
      </c>
      <c r="R52" s="1230">
        <f t="shared" si="14"/>
        <v>0</v>
      </c>
      <c r="S52" s="1287">
        <f t="shared" si="15"/>
        <v>0</v>
      </c>
      <c r="T52" s="1290">
        <f t="shared" si="16"/>
        <v>0</v>
      </c>
      <c r="U52" s="1287">
        <f t="shared" si="17"/>
        <v>0</v>
      </c>
      <c r="V52" s="1230"/>
      <c r="W52" s="1230">
        <f>IFERROR(INDEX(AA!$EN:$EN,MATCH($C52,AA!$C:$C,0)),0)</f>
        <v>0</v>
      </c>
      <c r="X52" s="1230">
        <f t="shared" si="18"/>
        <v>0</v>
      </c>
      <c r="Y52" s="1279">
        <f t="shared" si="19"/>
        <v>0</v>
      </c>
      <c r="Z52" s="1278">
        <f t="shared" si="20"/>
        <v>0</v>
      </c>
      <c r="AA52" s="1287">
        <f t="shared" si="21"/>
        <v>0</v>
      </c>
      <c r="AB52" s="258"/>
      <c r="AC52" s="261">
        <f>IFERROR(INDEX(AA!$GA:$GA,MATCH($C52,AA!$C:$C,0)),0)</f>
        <v>0</v>
      </c>
      <c r="AD52" s="261">
        <f t="shared" si="22"/>
        <v>0</v>
      </c>
      <c r="AE52" s="1287">
        <f t="shared" si="23"/>
        <v>0</v>
      </c>
      <c r="AF52" s="1278">
        <f t="shared" si="24"/>
        <v>0</v>
      </c>
      <c r="AG52" s="1287">
        <f t="shared" si="25"/>
        <v>0</v>
      </c>
      <c r="AH52" s="1230"/>
      <c r="AI52" s="261">
        <f>IFERROR(INDEX(AO!$CA:$CA,MATCH($B52,AO!$C:$C,0)),0)</f>
        <v>0</v>
      </c>
      <c r="AJ52" s="1291">
        <f>IFERROR(INDEX(PCF!$BK$60:$BK$62,MATCH($B52,PCF!$C$60:$C$62,0)),0)</f>
        <v>0</v>
      </c>
      <c r="AK52" s="1278">
        <f>IFERROR(INDEX(AO!$CC:$CC,MATCH($B52,AO!$C:$C,0)),0)</f>
        <v>0</v>
      </c>
      <c r="AL52" s="261">
        <f>IFERROR(INDEX(AO!$CE:$CE,MATCH($B52,AO!$C:$C,0)),0)</f>
        <v>0</v>
      </c>
      <c r="AM52" s="261">
        <f>IFERROR(INDEX(AO!$CN:$CN,MATCH($B52,AO!$C:$C,0)),0)</f>
        <v>0</v>
      </c>
      <c r="AN52" s="261">
        <f>IFERROR(INDEX(AO!$CS:$CS,MATCH($B52,AO!$C:$C,0)),0)</f>
        <v>0</v>
      </c>
    </row>
    <row r="53" spans="2:40">
      <c r="B53" s="73">
        <v>46</v>
      </c>
      <c r="C53" s="49">
        <f t="shared" si="13"/>
        <v>46</v>
      </c>
      <c r="D53" s="261">
        <f>IFERROR(INDEX(AA!$AC:$AC,MATCH($C53,AA!$C:$C,0)),0)</f>
        <v>0</v>
      </c>
      <c r="E53" s="261">
        <f>IFERROR(INDEX(AA!$AG:$AG,MATCH($C53,AA!$C:$C,0)),0)</f>
        <v>0</v>
      </c>
      <c r="F53" s="261">
        <f>IFERROR(INDEX(AA!$AL:$AL,MATCH($C53,AA!$C:$C,0)),0)</f>
        <v>0</v>
      </c>
      <c r="G53" s="261">
        <f>IFERROR(INDEX(AA!$AI:$AI,MATCH($C53,AA!$C:$C,0)),0)</f>
        <v>0</v>
      </c>
      <c r="H53" s="261">
        <f>IFERROR(INDEX(AA!$AN:$AN,MATCH($C53,AA!$C:$C,0)),0)</f>
        <v>0</v>
      </c>
      <c r="I53" s="261"/>
      <c r="J53" s="261">
        <f>IFERROR(INDEX(AO!$Q:$Q,MATCH($B53,AO!$C:$C,0)),0)</f>
        <v>0</v>
      </c>
      <c r="K53" s="1289">
        <f>IFERROR(INDEX(AO!$AP:$AP,MATCH($B53,AO!$C:$C,0)),0)</f>
        <v>0</v>
      </c>
      <c r="L53" s="1278">
        <f>IFERROR(INDEX(AO!$U:$U,MATCH($B53,AO!$C:$C,0)),0)</f>
        <v>0</v>
      </c>
      <c r="M53" s="261">
        <f>IFERROR(INDEX(AO!$Y:$Y,MATCH($B53,AO!$C:$C,0)),0)</f>
        <v>0</v>
      </c>
      <c r="N53" s="261">
        <f>IFERROR(INDEX(AO!$AI:$AI,MATCH($B53,AO!$C:$C,0)),0)</f>
        <v>0</v>
      </c>
      <c r="O53" s="261">
        <f>IFERROR(INDEX(AO!$AM:$AM,MATCH($B53,AO!$C:$C,0)),0)</f>
        <v>0</v>
      </c>
      <c r="Q53" s="1230">
        <f>IFERROR(INDEX(AO!$AT:$AT,MATCH($B53,AO!$C:$C,0)),0)</f>
        <v>0</v>
      </c>
      <c r="R53" s="1230">
        <f t="shared" si="14"/>
        <v>0</v>
      </c>
      <c r="S53" s="1287">
        <f t="shared" si="15"/>
        <v>0</v>
      </c>
      <c r="T53" s="1290">
        <f t="shared" si="16"/>
        <v>0</v>
      </c>
      <c r="U53" s="1287">
        <f t="shared" si="17"/>
        <v>0</v>
      </c>
      <c r="V53" s="1230"/>
      <c r="W53" s="1230">
        <f>IFERROR(INDEX(AA!$EN:$EN,MATCH($C53,AA!$C:$C,0)),0)</f>
        <v>0</v>
      </c>
      <c r="X53" s="1230">
        <f t="shared" si="18"/>
        <v>0</v>
      </c>
      <c r="Y53" s="1279">
        <f t="shared" si="19"/>
        <v>0</v>
      </c>
      <c r="Z53" s="1278">
        <f t="shared" si="20"/>
        <v>0</v>
      </c>
      <c r="AA53" s="1287">
        <f t="shared" si="21"/>
        <v>0</v>
      </c>
      <c r="AB53" s="258"/>
      <c r="AC53" s="261">
        <f>IFERROR(INDEX(AA!$GA:$GA,MATCH($C53,AA!$C:$C,0)),0)</f>
        <v>0</v>
      </c>
      <c r="AD53" s="261">
        <f t="shared" si="22"/>
        <v>0</v>
      </c>
      <c r="AE53" s="1287">
        <f t="shared" si="23"/>
        <v>0</v>
      </c>
      <c r="AF53" s="1278">
        <f t="shared" si="24"/>
        <v>0</v>
      </c>
      <c r="AG53" s="1287">
        <f t="shared" si="25"/>
        <v>0</v>
      </c>
      <c r="AH53" s="1230"/>
      <c r="AI53" s="261">
        <f>IFERROR(INDEX(AO!$CA:$CA,MATCH($B53,AO!$C:$C,0)),0)</f>
        <v>0</v>
      </c>
      <c r="AJ53" s="1291">
        <f>IFERROR(INDEX(PCF!$BK$60:$BK$62,MATCH($B53,PCF!$C$60:$C$62,0)),0)</f>
        <v>0</v>
      </c>
      <c r="AK53" s="1278">
        <f>IFERROR(INDEX(AO!$CC:$CC,MATCH($B53,AO!$C:$C,0)),0)</f>
        <v>0</v>
      </c>
      <c r="AL53" s="261">
        <f>IFERROR(INDEX(AO!$CE:$CE,MATCH($B53,AO!$C:$C,0)),0)</f>
        <v>0</v>
      </c>
      <c r="AM53" s="261">
        <f>IFERROR(INDEX(AO!$CN:$CN,MATCH($B53,AO!$C:$C,0)),0)</f>
        <v>0</v>
      </c>
      <c r="AN53" s="261">
        <f>IFERROR(INDEX(AO!$CS:$CS,MATCH($B53,AO!$C:$C,0)),0)</f>
        <v>0</v>
      </c>
    </row>
    <row r="54" spans="2:40">
      <c r="B54" s="73">
        <v>47</v>
      </c>
      <c r="C54" s="49">
        <f t="shared" si="13"/>
        <v>47</v>
      </c>
      <c r="D54" s="261">
        <f>IFERROR(INDEX(AA!$AC:$AC,MATCH($C54,AA!$C:$C,0)),0)</f>
        <v>0</v>
      </c>
      <c r="E54" s="261">
        <f>IFERROR(INDEX(AA!$AG:$AG,MATCH($C54,AA!$C:$C,0)),0)</f>
        <v>0</v>
      </c>
      <c r="F54" s="261">
        <f>IFERROR(INDEX(AA!$AL:$AL,MATCH($C54,AA!$C:$C,0)),0)</f>
        <v>0</v>
      </c>
      <c r="G54" s="261">
        <f>IFERROR(INDEX(AA!$AI:$AI,MATCH($C54,AA!$C:$C,0)),0)</f>
        <v>0</v>
      </c>
      <c r="H54" s="261">
        <f>IFERROR(INDEX(AA!$AN:$AN,MATCH($C54,AA!$C:$C,0)),0)</f>
        <v>0</v>
      </c>
      <c r="I54" s="261"/>
      <c r="J54" s="261">
        <f>IFERROR(INDEX(AO!$Q:$Q,MATCH($B54,AO!$C:$C,0)),0)</f>
        <v>0</v>
      </c>
      <c r="K54" s="1289">
        <f>IFERROR(INDEX(AO!$AP:$AP,MATCH($B54,AO!$C:$C,0)),0)</f>
        <v>0</v>
      </c>
      <c r="L54" s="1278">
        <f>IFERROR(INDEX(AO!$U:$U,MATCH($B54,AO!$C:$C,0)),0)</f>
        <v>0</v>
      </c>
      <c r="M54" s="261">
        <f>IFERROR(INDEX(AO!$Y:$Y,MATCH($B54,AO!$C:$C,0)),0)</f>
        <v>0</v>
      </c>
      <c r="N54" s="261">
        <f>IFERROR(INDEX(AO!$AI:$AI,MATCH($B54,AO!$C:$C,0)),0)</f>
        <v>0</v>
      </c>
      <c r="O54" s="261">
        <f>IFERROR(INDEX(AO!$AM:$AM,MATCH($B54,AO!$C:$C,0)),0)</f>
        <v>0</v>
      </c>
      <c r="Q54" s="1230">
        <f>IFERROR(INDEX(AO!$AT:$AT,MATCH($B54,AO!$C:$C,0)),0)</f>
        <v>0</v>
      </c>
      <c r="R54" s="1230">
        <f t="shared" si="14"/>
        <v>0</v>
      </c>
      <c r="S54" s="1287">
        <f t="shared" si="15"/>
        <v>0</v>
      </c>
      <c r="T54" s="1290">
        <f t="shared" si="16"/>
        <v>0</v>
      </c>
      <c r="U54" s="1287">
        <f t="shared" si="17"/>
        <v>0</v>
      </c>
      <c r="V54" s="1230"/>
      <c r="W54" s="1230">
        <f>IFERROR(INDEX(AA!$EN:$EN,MATCH($C54,AA!$C:$C,0)),0)</f>
        <v>0</v>
      </c>
      <c r="X54" s="1230">
        <f t="shared" si="18"/>
        <v>0</v>
      </c>
      <c r="Y54" s="1279">
        <f t="shared" si="19"/>
        <v>0</v>
      </c>
      <c r="Z54" s="1278">
        <f t="shared" si="20"/>
        <v>0</v>
      </c>
      <c r="AA54" s="1287">
        <f t="shared" si="21"/>
        <v>0</v>
      </c>
      <c r="AB54" s="258"/>
      <c r="AC54" s="261">
        <f>IFERROR(INDEX(AA!$GA:$GA,MATCH($C54,AA!$C:$C,0)),0)</f>
        <v>0</v>
      </c>
      <c r="AD54" s="261">
        <f t="shared" si="22"/>
        <v>0</v>
      </c>
      <c r="AE54" s="1287">
        <f t="shared" si="23"/>
        <v>0</v>
      </c>
      <c r="AF54" s="1278">
        <f t="shared" si="24"/>
        <v>0</v>
      </c>
      <c r="AG54" s="1287">
        <f t="shared" si="25"/>
        <v>0</v>
      </c>
      <c r="AH54" s="1230"/>
      <c r="AI54" s="261">
        <f>IFERROR(INDEX(AO!$CA:$CA,MATCH($B54,AO!$C:$C,0)),0)</f>
        <v>0</v>
      </c>
      <c r="AJ54" s="1291">
        <f>IFERROR(INDEX(PCF!$BK$60:$BK$62,MATCH($B54,PCF!$C$60:$C$62,0)),0)</f>
        <v>0</v>
      </c>
      <c r="AK54" s="1278">
        <f>IFERROR(INDEX(AO!$CC:$CC,MATCH($B54,AO!$C:$C,0)),0)</f>
        <v>0</v>
      </c>
      <c r="AL54" s="261">
        <f>IFERROR(INDEX(AO!$CE:$CE,MATCH($B54,AO!$C:$C,0)),0)</f>
        <v>0</v>
      </c>
      <c r="AM54" s="261">
        <f>IFERROR(INDEX(AO!$CN:$CN,MATCH($B54,AO!$C:$C,0)),0)</f>
        <v>0</v>
      </c>
      <c r="AN54" s="261">
        <f>IFERROR(INDEX(AO!$CS:$CS,MATCH($B54,AO!$C:$C,0)),0)</f>
        <v>0</v>
      </c>
    </row>
    <row r="55" spans="2:40">
      <c r="B55" s="73">
        <v>48</v>
      </c>
      <c r="C55" s="49">
        <f t="shared" si="13"/>
        <v>48</v>
      </c>
      <c r="D55" s="261">
        <f>IFERROR(INDEX(AA!$AC:$AC,MATCH($C55,AA!$C:$C,0)),0)</f>
        <v>0</v>
      </c>
      <c r="E55" s="261">
        <f>IFERROR(INDEX(AA!$AG:$AG,MATCH($C55,AA!$C:$C,0)),0)</f>
        <v>0</v>
      </c>
      <c r="F55" s="261">
        <f>IFERROR(INDEX(AA!$AL:$AL,MATCH($C55,AA!$C:$C,0)),0)</f>
        <v>0</v>
      </c>
      <c r="G55" s="261">
        <f>IFERROR(INDEX(AA!$AI:$AI,MATCH($C55,AA!$C:$C,0)),0)</f>
        <v>0</v>
      </c>
      <c r="H55" s="261">
        <f>IFERROR(INDEX(AA!$AN:$AN,MATCH($C55,AA!$C:$C,0)),0)</f>
        <v>0</v>
      </c>
      <c r="I55" s="261"/>
      <c r="J55" s="261">
        <f>IFERROR(INDEX(AO!$Q:$Q,MATCH($B55,AO!$C:$C,0)),0)</f>
        <v>0</v>
      </c>
      <c r="K55" s="1289">
        <f>IFERROR(INDEX(AO!$AP:$AP,MATCH($B55,AO!$C:$C,0)),0)</f>
        <v>0</v>
      </c>
      <c r="L55" s="1278">
        <f>IFERROR(INDEX(AO!$U:$U,MATCH($B55,AO!$C:$C,0)),0)</f>
        <v>0</v>
      </c>
      <c r="M55" s="261">
        <f>IFERROR(INDEX(AO!$Y:$Y,MATCH($B55,AO!$C:$C,0)),0)</f>
        <v>0</v>
      </c>
      <c r="N55" s="261">
        <f>IFERROR(INDEX(AO!$AI:$AI,MATCH($B55,AO!$C:$C,0)),0)</f>
        <v>0</v>
      </c>
      <c r="O55" s="261">
        <f>IFERROR(INDEX(AO!$AM:$AM,MATCH($B55,AO!$C:$C,0)),0)</f>
        <v>0</v>
      </c>
      <c r="Q55" s="1230">
        <f>IFERROR(INDEX(AO!$AT:$AT,MATCH($B55,AO!$C:$C,0)),0)</f>
        <v>0</v>
      </c>
      <c r="R55" s="1230">
        <f t="shared" si="14"/>
        <v>0</v>
      </c>
      <c r="S55" s="1287">
        <f t="shared" si="15"/>
        <v>0</v>
      </c>
      <c r="T55" s="1290">
        <f t="shared" si="16"/>
        <v>0</v>
      </c>
      <c r="U55" s="1287">
        <f t="shared" si="17"/>
        <v>0</v>
      </c>
      <c r="V55" s="1230"/>
      <c r="W55" s="1230">
        <f>IFERROR(INDEX(AA!$EN:$EN,MATCH($C55,AA!$C:$C,0)),0)</f>
        <v>0</v>
      </c>
      <c r="X55" s="1230">
        <f t="shared" si="18"/>
        <v>0</v>
      </c>
      <c r="Y55" s="1279">
        <f t="shared" si="19"/>
        <v>0</v>
      </c>
      <c r="Z55" s="1278">
        <f t="shared" si="20"/>
        <v>0</v>
      </c>
      <c r="AA55" s="1287">
        <f t="shared" si="21"/>
        <v>0</v>
      </c>
      <c r="AB55" s="258"/>
      <c r="AC55" s="261">
        <f>IFERROR(INDEX(AA!$GA:$GA,MATCH($C55,AA!$C:$C,0)),0)</f>
        <v>0</v>
      </c>
      <c r="AD55" s="261">
        <f t="shared" si="22"/>
        <v>0</v>
      </c>
      <c r="AE55" s="1287">
        <f t="shared" si="23"/>
        <v>0</v>
      </c>
      <c r="AF55" s="1278">
        <f t="shared" si="24"/>
        <v>0</v>
      </c>
      <c r="AG55" s="1287">
        <f t="shared" si="25"/>
        <v>0</v>
      </c>
      <c r="AH55" s="1230"/>
      <c r="AI55" s="261">
        <f>IFERROR(INDEX(AO!$CA:$CA,MATCH($B55,AO!$C:$C,0)),0)</f>
        <v>0</v>
      </c>
      <c r="AJ55" s="1291">
        <f>IFERROR(INDEX(PCF!$BK$60:$BK$62,MATCH($B55,PCF!$C$60:$C$62,0)),0)</f>
        <v>0</v>
      </c>
      <c r="AK55" s="1278">
        <f>IFERROR(INDEX(AO!$CC:$CC,MATCH($B55,AO!$C:$C,0)),0)</f>
        <v>0</v>
      </c>
      <c r="AL55" s="261">
        <f>IFERROR(INDEX(AO!$CE:$CE,MATCH($B55,AO!$C:$C,0)),0)</f>
        <v>0</v>
      </c>
      <c r="AM55" s="261">
        <f>IFERROR(INDEX(AO!$CN:$CN,MATCH($B55,AO!$C:$C,0)),0)</f>
        <v>0</v>
      </c>
      <c r="AN55" s="261">
        <f>IFERROR(INDEX(AO!$CS:$CS,MATCH($B55,AO!$C:$C,0)),0)</f>
        <v>0</v>
      </c>
    </row>
    <row r="56" spans="2:40">
      <c r="B56" s="73">
        <v>49</v>
      </c>
      <c r="C56" s="49">
        <f t="shared" si="13"/>
        <v>49</v>
      </c>
      <c r="D56" s="261">
        <f>IFERROR(INDEX(AA!$AC:$AC,MATCH($C56,AA!$C:$C,0)),0)</f>
        <v>0</v>
      </c>
      <c r="E56" s="261">
        <f>IFERROR(INDEX(AA!$AG:$AG,MATCH($C56,AA!$C:$C,0)),0)</f>
        <v>0</v>
      </c>
      <c r="F56" s="261">
        <f>IFERROR(INDEX(AA!$AL:$AL,MATCH($C56,AA!$C:$C,0)),0)</f>
        <v>0</v>
      </c>
      <c r="G56" s="261">
        <f>IFERROR(INDEX(AA!$AI:$AI,MATCH($C56,AA!$C:$C,0)),0)</f>
        <v>0</v>
      </c>
      <c r="H56" s="261">
        <f>IFERROR(INDEX(AA!$AN:$AN,MATCH($C56,AA!$C:$C,0)),0)</f>
        <v>0</v>
      </c>
      <c r="I56" s="261"/>
      <c r="J56" s="261">
        <f>IFERROR(INDEX(AO!$Q:$Q,MATCH($B56,AO!$C:$C,0)),0)</f>
        <v>0</v>
      </c>
      <c r="K56" s="1289">
        <f>IFERROR(INDEX(AO!$AP:$AP,MATCH($B56,AO!$C:$C,0)),0)</f>
        <v>0</v>
      </c>
      <c r="L56" s="1278">
        <f>IFERROR(INDEX(AO!$U:$U,MATCH($B56,AO!$C:$C,0)),0)</f>
        <v>0</v>
      </c>
      <c r="M56" s="261">
        <f>IFERROR(INDEX(AO!$Y:$Y,MATCH($B56,AO!$C:$C,0)),0)</f>
        <v>0</v>
      </c>
      <c r="N56" s="261">
        <f>IFERROR(INDEX(AO!$AI:$AI,MATCH($B56,AO!$C:$C,0)),0)</f>
        <v>0</v>
      </c>
      <c r="O56" s="261">
        <f>IFERROR(INDEX(AO!$AM:$AM,MATCH($B56,AO!$C:$C,0)),0)</f>
        <v>0</v>
      </c>
      <c r="Q56" s="1230">
        <f>IFERROR(INDEX(AO!$AT:$AT,MATCH($B56,AO!$C:$C,0)),0)</f>
        <v>0</v>
      </c>
      <c r="R56" s="1230">
        <f t="shared" si="14"/>
        <v>0</v>
      </c>
      <c r="S56" s="1287">
        <f t="shared" si="15"/>
        <v>0</v>
      </c>
      <c r="T56" s="1290">
        <f t="shared" si="16"/>
        <v>0</v>
      </c>
      <c r="U56" s="1287">
        <f t="shared" si="17"/>
        <v>0</v>
      </c>
      <c r="V56" s="1230"/>
      <c r="W56" s="1230">
        <f>IFERROR(INDEX(AA!$EN:$EN,MATCH($C56,AA!$C:$C,0)),0)</f>
        <v>0</v>
      </c>
      <c r="X56" s="1230">
        <f t="shared" si="18"/>
        <v>0</v>
      </c>
      <c r="Y56" s="1279">
        <f t="shared" si="19"/>
        <v>0</v>
      </c>
      <c r="Z56" s="1278">
        <f t="shared" si="20"/>
        <v>0</v>
      </c>
      <c r="AA56" s="1287">
        <f t="shared" si="21"/>
        <v>0</v>
      </c>
      <c r="AB56" s="258"/>
      <c r="AC56" s="261">
        <f>IFERROR(INDEX(AA!$GA:$GA,MATCH($C56,AA!$C:$C,0)),0)</f>
        <v>0</v>
      </c>
      <c r="AD56" s="261">
        <f t="shared" si="22"/>
        <v>0</v>
      </c>
      <c r="AE56" s="1287">
        <f t="shared" si="23"/>
        <v>0</v>
      </c>
      <c r="AF56" s="1278">
        <f t="shared" si="24"/>
        <v>0</v>
      </c>
      <c r="AG56" s="1287">
        <f t="shared" si="25"/>
        <v>0</v>
      </c>
      <c r="AH56" s="1230"/>
      <c r="AI56" s="261">
        <f>IFERROR(INDEX(AO!$CA:$CA,MATCH($B56,AO!$C:$C,0)),0)</f>
        <v>0</v>
      </c>
      <c r="AJ56" s="1291">
        <f>IFERROR(INDEX(PCF!$BK$60:$BK$62,MATCH($B56,PCF!$C$60:$C$62,0)),0)</f>
        <v>0</v>
      </c>
      <c r="AK56" s="1278">
        <f>IFERROR(INDEX(AO!$CC:$CC,MATCH($B56,AO!$C:$C,0)),0)</f>
        <v>0</v>
      </c>
      <c r="AL56" s="261">
        <f>IFERROR(INDEX(AO!$CE:$CE,MATCH($B56,AO!$C:$C,0)),0)</f>
        <v>0</v>
      </c>
      <c r="AM56" s="261">
        <f>IFERROR(INDEX(AO!$CN:$CN,MATCH($B56,AO!$C:$C,0)),0)</f>
        <v>0</v>
      </c>
      <c r="AN56" s="261">
        <f>IFERROR(INDEX(AO!$CS:$CS,MATCH($B56,AO!$C:$C,0)),0)</f>
        <v>0</v>
      </c>
    </row>
    <row r="57" spans="2:40">
      <c r="B57" s="73">
        <v>50</v>
      </c>
      <c r="C57" s="49">
        <f t="shared" si="13"/>
        <v>50</v>
      </c>
      <c r="D57" s="261">
        <f>IFERROR(INDEX(AA!$AC:$AC,MATCH($C57,AA!$C:$C,0)),0)</f>
        <v>0</v>
      </c>
      <c r="E57" s="261">
        <f>IFERROR(INDEX(AA!$AG:$AG,MATCH($C57,AA!$C:$C,0)),0)</f>
        <v>0</v>
      </c>
      <c r="F57" s="261">
        <f>IFERROR(INDEX(AA!$AL:$AL,MATCH($C57,AA!$C:$C,0)),0)</f>
        <v>0</v>
      </c>
      <c r="G57" s="261">
        <f>IFERROR(INDEX(AA!$AI:$AI,MATCH($C57,AA!$C:$C,0)),0)</f>
        <v>0</v>
      </c>
      <c r="H57" s="261">
        <f>IFERROR(INDEX(AA!$AN:$AN,MATCH($C57,AA!$C:$C,0)),0)</f>
        <v>0</v>
      </c>
      <c r="I57" s="261"/>
      <c r="J57" s="261">
        <f>IFERROR(INDEX(AO!$Q:$Q,MATCH($B57,AO!$C:$C,0)),0)</f>
        <v>0</v>
      </c>
      <c r="K57" s="1289">
        <f>IFERROR(INDEX(AO!$AP:$AP,MATCH($B57,AO!$C:$C,0)),0)</f>
        <v>0</v>
      </c>
      <c r="L57" s="1278">
        <f>IFERROR(INDEX(AO!$U:$U,MATCH($B57,AO!$C:$C,0)),0)</f>
        <v>0</v>
      </c>
      <c r="M57" s="261">
        <f>IFERROR(INDEX(AO!$Y:$Y,MATCH($B57,AO!$C:$C,0)),0)</f>
        <v>0</v>
      </c>
      <c r="N57" s="261">
        <f>IFERROR(INDEX(AO!$AI:$AI,MATCH($B57,AO!$C:$C,0)),0)</f>
        <v>0</v>
      </c>
      <c r="O57" s="261">
        <f>IFERROR(INDEX(AO!$AM:$AM,MATCH($B57,AO!$C:$C,0)),0)</f>
        <v>0</v>
      </c>
      <c r="Q57" s="1230">
        <f>IFERROR(INDEX(AO!$AT:$AT,MATCH($B57,AO!$C:$C,0)),0)</f>
        <v>0</v>
      </c>
      <c r="R57" s="1230">
        <f t="shared" si="14"/>
        <v>0</v>
      </c>
      <c r="S57" s="1287">
        <f t="shared" si="15"/>
        <v>0</v>
      </c>
      <c r="T57" s="1290">
        <f t="shared" si="16"/>
        <v>0</v>
      </c>
      <c r="U57" s="1287">
        <f t="shared" si="17"/>
        <v>0</v>
      </c>
      <c r="V57" s="1230"/>
      <c r="W57" s="1230">
        <f>IFERROR(INDEX(AA!$EN:$EN,MATCH($C57,AA!$C:$C,0)),0)</f>
        <v>0</v>
      </c>
      <c r="X57" s="1230">
        <f t="shared" si="18"/>
        <v>0</v>
      </c>
      <c r="Y57" s="1279">
        <f t="shared" si="19"/>
        <v>0</v>
      </c>
      <c r="Z57" s="1278">
        <f t="shared" si="20"/>
        <v>0</v>
      </c>
      <c r="AA57" s="1287">
        <f t="shared" si="21"/>
        <v>0</v>
      </c>
      <c r="AB57" s="258"/>
      <c r="AC57" s="261">
        <f>IFERROR(INDEX(AA!$GA:$GA,MATCH($C57,AA!$C:$C,0)),0)</f>
        <v>0</v>
      </c>
      <c r="AD57" s="261">
        <f t="shared" si="22"/>
        <v>0</v>
      </c>
      <c r="AE57" s="1287">
        <f t="shared" si="23"/>
        <v>0</v>
      </c>
      <c r="AF57" s="1278">
        <f t="shared" si="24"/>
        <v>0</v>
      </c>
      <c r="AG57" s="1287">
        <f t="shared" si="25"/>
        <v>0</v>
      </c>
      <c r="AH57" s="1230"/>
      <c r="AI57" s="261">
        <f>IFERROR(INDEX(AO!$CA:$CA,MATCH($B57,AO!$C:$C,0)),0)</f>
        <v>0</v>
      </c>
      <c r="AJ57" s="1291">
        <f>IFERROR(INDEX(PCF!$BK$60:$BK$62,MATCH($B57,PCF!$C$60:$C$62,0)),0)</f>
        <v>0</v>
      </c>
      <c r="AK57" s="1278">
        <f>IFERROR(INDEX(AO!$CC:$CC,MATCH($B57,AO!$C:$C,0)),0)</f>
        <v>0</v>
      </c>
      <c r="AL57" s="261">
        <f>IFERROR(INDEX(AO!$CE:$CE,MATCH($B57,AO!$C:$C,0)),0)</f>
        <v>0</v>
      </c>
      <c r="AM57" s="261">
        <f>IFERROR(INDEX(AO!$CN:$CN,MATCH($B57,AO!$C:$C,0)),0)</f>
        <v>0</v>
      </c>
      <c r="AN57" s="261">
        <f>IFERROR(INDEX(AO!$CS:$CS,MATCH($B57,AO!$C:$C,0)),0)</f>
        <v>0</v>
      </c>
    </row>
    <row r="58" spans="2:40">
      <c r="B58" s="73">
        <v>51</v>
      </c>
      <c r="C58" s="49">
        <f t="shared" si="13"/>
        <v>51</v>
      </c>
      <c r="D58" s="261">
        <f>IFERROR(INDEX(AA!$AC:$AC,MATCH($C58,AA!$C:$C,0)),0)</f>
        <v>0</v>
      </c>
      <c r="E58" s="261">
        <f>IFERROR(INDEX(AA!$AG:$AG,MATCH($C58,AA!$C:$C,0)),0)</f>
        <v>0</v>
      </c>
      <c r="F58" s="261">
        <f>IFERROR(INDEX(AA!$AL:$AL,MATCH($C58,AA!$C:$C,0)),0)</f>
        <v>0</v>
      </c>
      <c r="G58" s="261">
        <f>IFERROR(INDEX(AA!$AI:$AI,MATCH($C58,AA!$C:$C,0)),0)</f>
        <v>0</v>
      </c>
      <c r="H58" s="261">
        <f>IFERROR(INDEX(AA!$AN:$AN,MATCH($C58,AA!$C:$C,0)),0)</f>
        <v>0</v>
      </c>
      <c r="I58" s="261"/>
      <c r="J58" s="261">
        <f>IFERROR(INDEX(AO!$Q:$Q,MATCH($B58,AO!$C:$C,0)),0)</f>
        <v>0</v>
      </c>
      <c r="K58" s="1289">
        <f>IFERROR(INDEX(AO!$AP:$AP,MATCH($B58,AO!$C:$C,0)),0)</f>
        <v>0</v>
      </c>
      <c r="L58" s="1278">
        <f>IFERROR(INDEX(AO!$U:$U,MATCH($B58,AO!$C:$C,0)),0)</f>
        <v>0</v>
      </c>
      <c r="M58" s="261">
        <f>IFERROR(INDEX(AO!$Y:$Y,MATCH($B58,AO!$C:$C,0)),0)</f>
        <v>0</v>
      </c>
      <c r="N58" s="261">
        <f>IFERROR(INDEX(AO!$AI:$AI,MATCH($B58,AO!$C:$C,0)),0)</f>
        <v>0</v>
      </c>
      <c r="O58" s="261">
        <f>IFERROR(INDEX(AO!$AM:$AM,MATCH($B58,AO!$C:$C,0)),0)</f>
        <v>0</v>
      </c>
      <c r="Q58" s="1230">
        <f>IFERROR(INDEX(AO!$AT:$AT,MATCH($B58,AO!$C:$C,0)),0)</f>
        <v>0</v>
      </c>
      <c r="R58" s="1230">
        <f t="shared" si="14"/>
        <v>0</v>
      </c>
      <c r="S58" s="1287">
        <f t="shared" si="15"/>
        <v>0</v>
      </c>
      <c r="T58" s="1290">
        <f t="shared" si="16"/>
        <v>0</v>
      </c>
      <c r="U58" s="1287">
        <f t="shared" si="17"/>
        <v>0</v>
      </c>
      <c r="V58" s="1230"/>
      <c r="W58" s="1230">
        <f>IFERROR(INDEX(AA!$EN:$EN,MATCH($C58,AA!$C:$C,0)),0)</f>
        <v>0</v>
      </c>
      <c r="X58" s="1230">
        <f t="shared" si="18"/>
        <v>0</v>
      </c>
      <c r="Y58" s="1279">
        <f t="shared" si="19"/>
        <v>0</v>
      </c>
      <c r="Z58" s="1278">
        <f t="shared" si="20"/>
        <v>0</v>
      </c>
      <c r="AA58" s="1287">
        <f t="shared" si="21"/>
        <v>0</v>
      </c>
      <c r="AB58" s="258"/>
      <c r="AC58" s="261">
        <f>IFERROR(INDEX(AA!$GA:$GA,MATCH($C58,AA!$C:$C,0)),0)</f>
        <v>0</v>
      </c>
      <c r="AD58" s="261">
        <f t="shared" si="22"/>
        <v>0</v>
      </c>
      <c r="AE58" s="1287">
        <f t="shared" si="23"/>
        <v>0</v>
      </c>
      <c r="AF58" s="1278">
        <f t="shared" si="24"/>
        <v>0</v>
      </c>
      <c r="AG58" s="1287">
        <f t="shared" si="25"/>
        <v>0</v>
      </c>
      <c r="AH58" s="1230"/>
      <c r="AI58" s="261">
        <f>IFERROR(INDEX(AO!$CA:$CA,MATCH($B58,AO!$C:$C,0)),0)</f>
        <v>0</v>
      </c>
      <c r="AJ58" s="1291">
        <f>IFERROR(INDEX(PCF!$BK$60:$BK$62,MATCH($B58,PCF!$C$60:$C$62,0)),0)</f>
        <v>0</v>
      </c>
      <c r="AK58" s="1278">
        <f>IFERROR(INDEX(AO!$CC:$CC,MATCH($B58,AO!$C:$C,0)),0)</f>
        <v>0</v>
      </c>
      <c r="AL58" s="261">
        <f>IFERROR(INDEX(AO!$CE:$CE,MATCH($B58,AO!$C:$C,0)),0)</f>
        <v>0</v>
      </c>
      <c r="AM58" s="261">
        <f>IFERROR(INDEX(AO!$CN:$CN,MATCH($B58,AO!$C:$C,0)),0)</f>
        <v>0</v>
      </c>
      <c r="AN58" s="261">
        <f>IFERROR(INDEX(AO!$CS:$CS,MATCH($B58,AO!$C:$C,0)),0)</f>
        <v>0</v>
      </c>
    </row>
    <row r="59" spans="2:40">
      <c r="B59" s="73">
        <v>52</v>
      </c>
      <c r="C59" s="49">
        <f t="shared" si="13"/>
        <v>52</v>
      </c>
      <c r="D59" s="261">
        <f>IFERROR(INDEX(AA!$AC:$AC,MATCH($C59,AA!$C:$C,0)),0)</f>
        <v>0</v>
      </c>
      <c r="E59" s="261">
        <f>IFERROR(INDEX(AA!$AG:$AG,MATCH($C59,AA!$C:$C,0)),0)</f>
        <v>0</v>
      </c>
      <c r="F59" s="261">
        <f>IFERROR(INDEX(AA!$AL:$AL,MATCH($C59,AA!$C:$C,0)),0)</f>
        <v>0</v>
      </c>
      <c r="G59" s="261">
        <f>IFERROR(INDEX(AA!$AI:$AI,MATCH($C59,AA!$C:$C,0)),0)</f>
        <v>0</v>
      </c>
      <c r="H59" s="261">
        <f>IFERROR(INDEX(AA!$AN:$AN,MATCH($C59,AA!$C:$C,0)),0)</f>
        <v>0</v>
      </c>
      <c r="I59" s="261"/>
      <c r="J59" s="261">
        <f>IFERROR(INDEX(AO!$Q:$Q,MATCH($B59,AO!$C:$C,0)),0)</f>
        <v>0</v>
      </c>
      <c r="K59" s="1289">
        <f>IFERROR(INDEX(AO!$AP:$AP,MATCH($B59,AO!$C:$C,0)),0)</f>
        <v>0</v>
      </c>
      <c r="L59" s="1278">
        <f>IFERROR(INDEX(AO!$U:$U,MATCH($B59,AO!$C:$C,0)),0)</f>
        <v>0</v>
      </c>
      <c r="M59" s="261">
        <f>IFERROR(INDEX(AO!$Y:$Y,MATCH($B59,AO!$C:$C,0)),0)</f>
        <v>0</v>
      </c>
      <c r="N59" s="261">
        <f>IFERROR(INDEX(AO!$AI:$AI,MATCH($B59,AO!$C:$C,0)),0)</f>
        <v>0</v>
      </c>
      <c r="O59" s="261">
        <f>IFERROR(INDEX(AO!$AM:$AM,MATCH($B59,AO!$C:$C,0)),0)</f>
        <v>0</v>
      </c>
      <c r="Q59" s="1230">
        <f>IFERROR(INDEX(AO!$AT:$AT,MATCH($B59,AO!$C:$C,0)),0)</f>
        <v>0</v>
      </c>
      <c r="R59" s="1230">
        <f t="shared" si="14"/>
        <v>0</v>
      </c>
      <c r="S59" s="1287">
        <f t="shared" si="15"/>
        <v>0</v>
      </c>
      <c r="T59" s="1290">
        <f t="shared" si="16"/>
        <v>0</v>
      </c>
      <c r="U59" s="1287">
        <f t="shared" si="17"/>
        <v>0</v>
      </c>
      <c r="V59" s="1230"/>
      <c r="W59" s="1230">
        <f>IFERROR(INDEX(AA!$EN:$EN,MATCH($C59,AA!$C:$C,0)),0)</f>
        <v>0</v>
      </c>
      <c r="X59" s="1230">
        <f t="shared" si="18"/>
        <v>0</v>
      </c>
      <c r="Y59" s="1279">
        <f t="shared" si="19"/>
        <v>0</v>
      </c>
      <c r="Z59" s="1278">
        <f t="shared" si="20"/>
        <v>0</v>
      </c>
      <c r="AA59" s="1287">
        <f t="shared" si="21"/>
        <v>0</v>
      </c>
      <c r="AB59" s="258"/>
      <c r="AC59" s="261">
        <f>IFERROR(INDEX(AA!$GA:$GA,MATCH($C59,AA!$C:$C,0)),0)</f>
        <v>0</v>
      </c>
      <c r="AD59" s="261">
        <f t="shared" si="22"/>
        <v>0</v>
      </c>
      <c r="AE59" s="1287">
        <f t="shared" si="23"/>
        <v>0</v>
      </c>
      <c r="AF59" s="1278">
        <f t="shared" si="24"/>
        <v>0</v>
      </c>
      <c r="AG59" s="1287">
        <f t="shared" si="25"/>
        <v>0</v>
      </c>
      <c r="AH59" s="1230"/>
      <c r="AI59" s="261">
        <f>IFERROR(INDEX(AO!$CA:$CA,MATCH($B59,AO!$C:$C,0)),0)</f>
        <v>0</v>
      </c>
      <c r="AJ59" s="1291">
        <f>IFERROR(INDEX(PCF!$BK$60:$BK$62,MATCH($B59,PCF!$C$60:$C$62,0)),0)</f>
        <v>0</v>
      </c>
      <c r="AK59" s="1278">
        <f>IFERROR(INDEX(AO!$CC:$CC,MATCH($B59,AO!$C:$C,0)),0)</f>
        <v>0</v>
      </c>
      <c r="AL59" s="261">
        <f>IFERROR(INDEX(AO!$CE:$CE,MATCH($B59,AO!$C:$C,0)),0)</f>
        <v>0</v>
      </c>
      <c r="AM59" s="261">
        <f>IFERROR(INDEX(AO!$CN:$CN,MATCH($B59,AO!$C:$C,0)),0)</f>
        <v>0</v>
      </c>
      <c r="AN59" s="261">
        <f>IFERROR(INDEX(AO!$CS:$CS,MATCH($B59,AO!$C:$C,0)),0)</f>
        <v>0</v>
      </c>
    </row>
    <row r="60" spans="2:40">
      <c r="B60" s="73">
        <v>53</v>
      </c>
      <c r="C60" s="49">
        <f t="shared" si="13"/>
        <v>53</v>
      </c>
      <c r="D60" s="261">
        <f>IFERROR(INDEX(AA!$AC:$AC,MATCH($C60,AA!$C:$C,0)),0)</f>
        <v>0</v>
      </c>
      <c r="E60" s="261">
        <f>IFERROR(INDEX(AA!$AG:$AG,MATCH($C60,AA!$C:$C,0)),0)</f>
        <v>0</v>
      </c>
      <c r="F60" s="261">
        <f>IFERROR(INDEX(AA!$AL:$AL,MATCH($C60,AA!$C:$C,0)),0)</f>
        <v>0</v>
      </c>
      <c r="G60" s="261">
        <f>IFERROR(INDEX(AA!$AI:$AI,MATCH($C60,AA!$C:$C,0)),0)</f>
        <v>0</v>
      </c>
      <c r="H60" s="261">
        <f>IFERROR(INDEX(AA!$AN:$AN,MATCH($C60,AA!$C:$C,0)),0)</f>
        <v>0</v>
      </c>
      <c r="I60" s="261"/>
      <c r="J60" s="261">
        <f>IFERROR(INDEX(AO!$Q:$Q,MATCH($B60,AO!$C:$C,0)),0)</f>
        <v>0</v>
      </c>
      <c r="K60" s="1289">
        <f>IFERROR(INDEX(AO!$AP:$AP,MATCH($B60,AO!$C:$C,0)),0)</f>
        <v>0</v>
      </c>
      <c r="L60" s="1278">
        <f>IFERROR(INDEX(AO!$U:$U,MATCH($B60,AO!$C:$C,0)),0)</f>
        <v>0</v>
      </c>
      <c r="M60" s="261">
        <f>IFERROR(INDEX(AO!$Y:$Y,MATCH($B60,AO!$C:$C,0)),0)</f>
        <v>0</v>
      </c>
      <c r="N60" s="261">
        <f>IFERROR(INDEX(AO!$AI:$AI,MATCH($B60,AO!$C:$C,0)),0)</f>
        <v>0</v>
      </c>
      <c r="O60" s="261">
        <f>IFERROR(INDEX(AO!$AM:$AM,MATCH($B60,AO!$C:$C,0)),0)</f>
        <v>0</v>
      </c>
      <c r="Q60" s="1230">
        <f>IFERROR(INDEX(AO!$AT:$AT,MATCH($B60,AO!$C:$C,0)),0)</f>
        <v>0</v>
      </c>
      <c r="R60" s="1230">
        <f t="shared" si="14"/>
        <v>0</v>
      </c>
      <c r="S60" s="1287">
        <f t="shared" si="15"/>
        <v>0</v>
      </c>
      <c r="T60" s="1290">
        <f t="shared" si="16"/>
        <v>0</v>
      </c>
      <c r="U60" s="1287">
        <f t="shared" si="17"/>
        <v>0</v>
      </c>
      <c r="V60" s="1230"/>
      <c r="W60" s="1230">
        <f>IFERROR(INDEX(AA!$EN:$EN,MATCH($C60,AA!$C:$C,0)),0)</f>
        <v>0</v>
      </c>
      <c r="X60" s="1230">
        <f t="shared" si="18"/>
        <v>0</v>
      </c>
      <c r="Y60" s="1279">
        <f t="shared" si="19"/>
        <v>0</v>
      </c>
      <c r="Z60" s="1278">
        <f t="shared" si="20"/>
        <v>0</v>
      </c>
      <c r="AA60" s="1287">
        <f t="shared" si="21"/>
        <v>0</v>
      </c>
      <c r="AB60" s="258"/>
      <c r="AC60" s="261">
        <f>IFERROR(INDEX(AA!$GA:$GA,MATCH($C60,AA!$C:$C,0)),0)</f>
        <v>0</v>
      </c>
      <c r="AD60" s="261">
        <f t="shared" si="22"/>
        <v>0</v>
      </c>
      <c r="AE60" s="1287">
        <f t="shared" si="23"/>
        <v>0</v>
      </c>
      <c r="AF60" s="1278">
        <f t="shared" si="24"/>
        <v>0</v>
      </c>
      <c r="AG60" s="1287">
        <f t="shared" si="25"/>
        <v>0</v>
      </c>
      <c r="AH60" s="1230"/>
      <c r="AI60" s="261">
        <f>IFERROR(INDEX(AO!$CA:$CA,MATCH($B60,AO!$C:$C,0)),0)</f>
        <v>0</v>
      </c>
      <c r="AJ60" s="1291">
        <f>IFERROR(INDEX(PCF!$BK$60:$BK$62,MATCH($B60,PCF!$C$60:$C$62,0)),0)</f>
        <v>0</v>
      </c>
      <c r="AK60" s="1278">
        <f>IFERROR(INDEX(AO!$CC:$CC,MATCH($B60,AO!$C:$C,0)),0)</f>
        <v>0</v>
      </c>
      <c r="AL60" s="261">
        <f>IFERROR(INDEX(AO!$CE:$CE,MATCH($B60,AO!$C:$C,0)),0)</f>
        <v>0</v>
      </c>
      <c r="AM60" s="261">
        <f>IFERROR(INDEX(AO!$CN:$CN,MATCH($B60,AO!$C:$C,0)),0)</f>
        <v>0</v>
      </c>
      <c r="AN60" s="261">
        <f>IFERROR(INDEX(AO!$CS:$CS,MATCH($B60,AO!$C:$C,0)),0)</f>
        <v>0</v>
      </c>
    </row>
    <row r="61" spans="2:40">
      <c r="B61" s="73">
        <v>54</v>
      </c>
      <c r="C61" s="49">
        <f t="shared" si="13"/>
        <v>54</v>
      </c>
      <c r="D61" s="261">
        <f>IFERROR(INDEX(AA!$AC:$AC,MATCH($C61,AA!$C:$C,0)),0)</f>
        <v>0</v>
      </c>
      <c r="E61" s="261">
        <f>IFERROR(INDEX(AA!$AG:$AG,MATCH($C61,AA!$C:$C,0)),0)</f>
        <v>0</v>
      </c>
      <c r="F61" s="261">
        <f>IFERROR(INDEX(AA!$AL:$AL,MATCH($C61,AA!$C:$C,0)),0)</f>
        <v>0</v>
      </c>
      <c r="G61" s="261">
        <f>IFERROR(INDEX(AA!$AI:$AI,MATCH($C61,AA!$C:$C,0)),0)</f>
        <v>0</v>
      </c>
      <c r="H61" s="261">
        <f>IFERROR(INDEX(AA!$AN:$AN,MATCH($C61,AA!$C:$C,0)),0)</f>
        <v>0</v>
      </c>
      <c r="I61" s="261"/>
      <c r="J61" s="261">
        <f>IFERROR(INDEX(AO!$Q:$Q,MATCH($B61,AO!$C:$C,0)),0)</f>
        <v>0</v>
      </c>
      <c r="K61" s="1289">
        <f>IFERROR(INDEX(AO!$AP:$AP,MATCH($B61,AO!$C:$C,0)),0)</f>
        <v>0</v>
      </c>
      <c r="L61" s="1278">
        <f>IFERROR(INDEX(AO!$U:$U,MATCH($B61,AO!$C:$C,0)),0)</f>
        <v>0</v>
      </c>
      <c r="M61" s="261">
        <f>IFERROR(INDEX(AO!$Y:$Y,MATCH($B61,AO!$C:$C,0)),0)</f>
        <v>0</v>
      </c>
      <c r="N61" s="261">
        <f>IFERROR(INDEX(AO!$AI:$AI,MATCH($B61,AO!$C:$C,0)),0)</f>
        <v>0</v>
      </c>
      <c r="O61" s="261">
        <f>IFERROR(INDEX(AO!$AM:$AM,MATCH($B61,AO!$C:$C,0)),0)</f>
        <v>0</v>
      </c>
      <c r="Q61" s="1230">
        <f>IFERROR(INDEX(AO!$AT:$AT,MATCH($B61,AO!$C:$C,0)),0)</f>
        <v>0</v>
      </c>
      <c r="R61" s="1230">
        <f t="shared" si="14"/>
        <v>0</v>
      </c>
      <c r="S61" s="1287">
        <f t="shared" si="15"/>
        <v>0</v>
      </c>
      <c r="T61" s="1290">
        <f t="shared" si="16"/>
        <v>0</v>
      </c>
      <c r="U61" s="1287">
        <f t="shared" si="17"/>
        <v>0</v>
      </c>
      <c r="V61" s="1230"/>
      <c r="W61" s="1230">
        <f>IFERROR(INDEX(AA!$EN:$EN,MATCH($C61,AA!$C:$C,0)),0)</f>
        <v>0</v>
      </c>
      <c r="X61" s="1230">
        <f t="shared" si="18"/>
        <v>0</v>
      </c>
      <c r="Y61" s="1279">
        <f t="shared" si="19"/>
        <v>0</v>
      </c>
      <c r="Z61" s="1278">
        <f t="shared" si="20"/>
        <v>0</v>
      </c>
      <c r="AA61" s="1287">
        <f t="shared" si="21"/>
        <v>0</v>
      </c>
      <c r="AB61" s="258"/>
      <c r="AC61" s="261">
        <f>IFERROR(INDEX(AA!$GA:$GA,MATCH($C61,AA!$C:$C,0)),0)</f>
        <v>0</v>
      </c>
      <c r="AD61" s="261">
        <f t="shared" si="22"/>
        <v>0</v>
      </c>
      <c r="AE61" s="1287">
        <f t="shared" si="23"/>
        <v>0</v>
      </c>
      <c r="AF61" s="1278">
        <f t="shared" si="24"/>
        <v>0</v>
      </c>
      <c r="AG61" s="1287">
        <f t="shared" si="25"/>
        <v>0</v>
      </c>
      <c r="AH61" s="1230"/>
      <c r="AI61" s="261">
        <f>IFERROR(INDEX(AO!$CA:$CA,MATCH($B61,AO!$C:$C,0)),0)</f>
        <v>0</v>
      </c>
      <c r="AJ61" s="1291">
        <f>IFERROR(INDEX(PCF!$BK$60:$BK$62,MATCH($B61,PCF!$C$60:$C$62,0)),0)</f>
        <v>0</v>
      </c>
      <c r="AK61" s="1278">
        <f>IFERROR(INDEX(AO!$CC:$CC,MATCH($B61,AO!$C:$C,0)),0)</f>
        <v>0</v>
      </c>
      <c r="AL61" s="261">
        <f>IFERROR(INDEX(AO!$CE:$CE,MATCH($B61,AO!$C:$C,0)),0)</f>
        <v>0</v>
      </c>
      <c r="AM61" s="261">
        <f>IFERROR(INDEX(AO!$CN:$CN,MATCH($B61,AO!$C:$C,0)),0)</f>
        <v>0</v>
      </c>
      <c r="AN61" s="261">
        <f>IFERROR(INDEX(AO!$CS:$CS,MATCH($B61,AO!$C:$C,0)),0)</f>
        <v>0</v>
      </c>
    </row>
    <row r="62" spans="2:40">
      <c r="B62" s="73">
        <v>55</v>
      </c>
      <c r="C62" s="49">
        <f t="shared" si="13"/>
        <v>55</v>
      </c>
      <c r="D62" s="261">
        <f>IFERROR(INDEX(AA!$AC:$AC,MATCH($C62,AA!$C:$C,0)),0)</f>
        <v>0</v>
      </c>
      <c r="E62" s="261">
        <f>IFERROR(INDEX(AA!$AG:$AG,MATCH($C62,AA!$C:$C,0)),0)</f>
        <v>0</v>
      </c>
      <c r="F62" s="261">
        <f>IFERROR(INDEX(AA!$AL:$AL,MATCH($C62,AA!$C:$C,0)),0)</f>
        <v>0</v>
      </c>
      <c r="G62" s="261">
        <f>IFERROR(INDEX(AA!$AI:$AI,MATCH($C62,AA!$C:$C,0)),0)</f>
        <v>0</v>
      </c>
      <c r="H62" s="261">
        <f>IFERROR(INDEX(AA!$AN:$AN,MATCH($C62,AA!$C:$C,0)),0)</f>
        <v>0</v>
      </c>
      <c r="I62" s="261"/>
      <c r="J62" s="261">
        <f>IFERROR(INDEX(AO!$Q:$Q,MATCH($B62,AO!$C:$C,0)),0)</f>
        <v>0</v>
      </c>
      <c r="K62" s="1289">
        <f>IFERROR(INDEX(AO!$AP:$AP,MATCH($B62,AO!$C:$C,0)),0)</f>
        <v>0</v>
      </c>
      <c r="L62" s="1278">
        <f>IFERROR(INDEX(AO!$U:$U,MATCH($B62,AO!$C:$C,0)),0)</f>
        <v>0</v>
      </c>
      <c r="M62" s="261">
        <f>IFERROR(INDEX(AO!$Y:$Y,MATCH($B62,AO!$C:$C,0)),0)</f>
        <v>0</v>
      </c>
      <c r="N62" s="261">
        <f>IFERROR(INDEX(AO!$AI:$AI,MATCH($B62,AO!$C:$C,0)),0)</f>
        <v>0</v>
      </c>
      <c r="O62" s="261">
        <f>IFERROR(INDEX(AO!$AM:$AM,MATCH($B62,AO!$C:$C,0)),0)</f>
        <v>0</v>
      </c>
      <c r="Q62" s="1230">
        <f>IFERROR(INDEX(AO!$AT:$AT,MATCH($B62,AO!$C:$C,0)),0)</f>
        <v>0</v>
      </c>
      <c r="R62" s="1230">
        <f t="shared" si="14"/>
        <v>0</v>
      </c>
      <c r="S62" s="1287">
        <f t="shared" si="15"/>
        <v>0</v>
      </c>
      <c r="T62" s="1290">
        <f t="shared" si="16"/>
        <v>0</v>
      </c>
      <c r="U62" s="1287">
        <f t="shared" si="17"/>
        <v>0</v>
      </c>
      <c r="V62" s="1230"/>
      <c r="W62" s="1230">
        <f>IFERROR(INDEX(AA!$EN:$EN,MATCH($C62,AA!$C:$C,0)),0)</f>
        <v>0</v>
      </c>
      <c r="X62" s="1230">
        <f t="shared" si="18"/>
        <v>0</v>
      </c>
      <c r="Y62" s="1279">
        <f t="shared" si="19"/>
        <v>0</v>
      </c>
      <c r="Z62" s="1278">
        <f t="shared" si="20"/>
        <v>0</v>
      </c>
      <c r="AA62" s="1287">
        <f t="shared" si="21"/>
        <v>0</v>
      </c>
      <c r="AB62" s="258"/>
      <c r="AC62" s="261">
        <f>IFERROR(INDEX(AA!$GA:$GA,MATCH($C62,AA!$C:$C,0)),0)</f>
        <v>0</v>
      </c>
      <c r="AD62" s="261">
        <f t="shared" si="22"/>
        <v>0</v>
      </c>
      <c r="AE62" s="1287">
        <f t="shared" si="23"/>
        <v>0</v>
      </c>
      <c r="AF62" s="1278">
        <f t="shared" si="24"/>
        <v>0</v>
      </c>
      <c r="AG62" s="1287">
        <f t="shared" si="25"/>
        <v>0</v>
      </c>
      <c r="AH62" s="1230"/>
      <c r="AI62" s="261">
        <f>IFERROR(INDEX(AO!$CA:$CA,MATCH($B62,AO!$C:$C,0)),0)</f>
        <v>0</v>
      </c>
      <c r="AJ62" s="1291">
        <f>IFERROR(INDEX(PCF!$BK$60:$BK$62,MATCH($B62,PCF!$C$60:$C$62,0)),0)</f>
        <v>0</v>
      </c>
      <c r="AK62" s="1278">
        <f>IFERROR(INDEX(AO!$CC:$CC,MATCH($B62,AO!$C:$C,0)),0)</f>
        <v>0</v>
      </c>
      <c r="AL62" s="261">
        <f>IFERROR(INDEX(AO!$CE:$CE,MATCH($B62,AO!$C:$C,0)),0)</f>
        <v>0</v>
      </c>
      <c r="AM62" s="261">
        <f>IFERROR(INDEX(AO!$CN:$CN,MATCH($B62,AO!$C:$C,0)),0)</f>
        <v>0</v>
      </c>
      <c r="AN62" s="261">
        <f>IFERROR(INDEX(AO!$CS:$CS,MATCH($B62,AO!$C:$C,0)),0)</f>
        <v>0</v>
      </c>
    </row>
    <row r="63" spans="2:40">
      <c r="B63" s="73">
        <v>56</v>
      </c>
      <c r="C63" s="49">
        <f t="shared" si="13"/>
        <v>56</v>
      </c>
      <c r="D63" s="261">
        <f>IFERROR(INDEX(AA!$AC:$AC,MATCH($C63,AA!$C:$C,0)),0)</f>
        <v>0</v>
      </c>
      <c r="E63" s="261">
        <f>IFERROR(INDEX(AA!$AG:$AG,MATCH($C63,AA!$C:$C,0)),0)</f>
        <v>0</v>
      </c>
      <c r="F63" s="261">
        <f>IFERROR(INDEX(AA!$AL:$AL,MATCH($C63,AA!$C:$C,0)),0)</f>
        <v>0</v>
      </c>
      <c r="G63" s="261">
        <f>IFERROR(INDEX(AA!$AI:$AI,MATCH($C63,AA!$C:$C,0)),0)</f>
        <v>0</v>
      </c>
      <c r="H63" s="261">
        <f>IFERROR(INDEX(AA!$AN:$AN,MATCH($C63,AA!$C:$C,0)),0)</f>
        <v>0</v>
      </c>
      <c r="I63" s="261"/>
      <c r="J63" s="261">
        <f>IFERROR(INDEX(AO!$Q:$Q,MATCH($B63,AO!$C:$C,0)),0)</f>
        <v>0</v>
      </c>
      <c r="K63" s="1289">
        <f>IFERROR(INDEX(AO!$AP:$AP,MATCH($B63,AO!$C:$C,0)),0)</f>
        <v>0</v>
      </c>
      <c r="L63" s="1278">
        <f>IFERROR(INDEX(AO!$U:$U,MATCH($B63,AO!$C:$C,0)),0)</f>
        <v>0</v>
      </c>
      <c r="M63" s="261">
        <f>IFERROR(INDEX(AO!$Y:$Y,MATCH($B63,AO!$C:$C,0)),0)</f>
        <v>0</v>
      </c>
      <c r="N63" s="261">
        <f>IFERROR(INDEX(AO!$AI:$AI,MATCH($B63,AO!$C:$C,0)),0)</f>
        <v>0</v>
      </c>
      <c r="O63" s="261">
        <f>IFERROR(INDEX(AO!$AM:$AM,MATCH($B63,AO!$C:$C,0)),0)</f>
        <v>0</v>
      </c>
      <c r="Q63" s="1230">
        <f>IFERROR(INDEX(AO!$AT:$AT,MATCH($B63,AO!$C:$C,0)),0)</f>
        <v>0</v>
      </c>
      <c r="R63" s="1230">
        <f t="shared" si="14"/>
        <v>0</v>
      </c>
      <c r="S63" s="1287">
        <f t="shared" si="15"/>
        <v>0</v>
      </c>
      <c r="T63" s="1290">
        <f t="shared" si="16"/>
        <v>0</v>
      </c>
      <c r="U63" s="1287">
        <f t="shared" si="17"/>
        <v>0</v>
      </c>
      <c r="V63" s="1230"/>
      <c r="W63" s="1230">
        <f>IFERROR(INDEX(AA!$EN:$EN,MATCH($C63,AA!$C:$C,0)),0)</f>
        <v>0</v>
      </c>
      <c r="X63" s="1230">
        <f t="shared" si="18"/>
        <v>0</v>
      </c>
      <c r="Y63" s="1279">
        <f t="shared" si="19"/>
        <v>0</v>
      </c>
      <c r="Z63" s="1278">
        <f t="shared" si="20"/>
        <v>0</v>
      </c>
      <c r="AA63" s="1287">
        <f t="shared" si="21"/>
        <v>0</v>
      </c>
      <c r="AB63" s="258"/>
      <c r="AC63" s="261">
        <f>IFERROR(INDEX(AA!$GA:$GA,MATCH($C63,AA!$C:$C,0)),0)</f>
        <v>0</v>
      </c>
      <c r="AD63" s="261">
        <f t="shared" si="22"/>
        <v>0</v>
      </c>
      <c r="AE63" s="1287">
        <f t="shared" si="23"/>
        <v>0</v>
      </c>
      <c r="AF63" s="1278">
        <f t="shared" si="24"/>
        <v>0</v>
      </c>
      <c r="AG63" s="1287">
        <f t="shared" si="25"/>
        <v>0</v>
      </c>
      <c r="AH63" s="1230"/>
      <c r="AI63" s="261">
        <f>IFERROR(INDEX(AO!$CA:$CA,MATCH($B63,AO!$C:$C,0)),0)</f>
        <v>0</v>
      </c>
      <c r="AJ63" s="1291">
        <f>IFERROR(INDEX(PCF!$BK$60:$BK$62,MATCH($B63,PCF!$C$60:$C$62,0)),0)</f>
        <v>0</v>
      </c>
      <c r="AK63" s="1278">
        <f>IFERROR(INDEX(AO!$CC:$CC,MATCH($B63,AO!$C:$C,0)),0)</f>
        <v>0</v>
      </c>
      <c r="AL63" s="261">
        <f>IFERROR(INDEX(AO!$CE:$CE,MATCH($B63,AO!$C:$C,0)),0)</f>
        <v>0</v>
      </c>
      <c r="AM63" s="261">
        <f>IFERROR(INDEX(AO!$CN:$CN,MATCH($B63,AO!$C:$C,0)),0)</f>
        <v>0</v>
      </c>
      <c r="AN63" s="261">
        <f>IFERROR(INDEX(AO!$CS:$CS,MATCH($B63,AO!$C:$C,0)),0)</f>
        <v>0</v>
      </c>
    </row>
    <row r="64" spans="2:40">
      <c r="B64" s="73">
        <v>57</v>
      </c>
      <c r="C64" s="49">
        <f t="shared" si="13"/>
        <v>57</v>
      </c>
      <c r="D64" s="261">
        <f>IFERROR(INDEX(AA!$AC:$AC,MATCH($C64,AA!$C:$C,0)),0)</f>
        <v>0</v>
      </c>
      <c r="E64" s="261">
        <f>IFERROR(INDEX(AA!$AG:$AG,MATCH($C64,AA!$C:$C,0)),0)</f>
        <v>0</v>
      </c>
      <c r="F64" s="261">
        <f>IFERROR(INDEX(AA!$AL:$AL,MATCH($C64,AA!$C:$C,0)),0)</f>
        <v>0</v>
      </c>
      <c r="G64" s="261">
        <f>IFERROR(INDEX(AA!$AI:$AI,MATCH($C64,AA!$C:$C,0)),0)</f>
        <v>0</v>
      </c>
      <c r="H64" s="261">
        <f>IFERROR(INDEX(AA!$AN:$AN,MATCH($C64,AA!$C:$C,0)),0)</f>
        <v>0</v>
      </c>
      <c r="I64" s="261"/>
      <c r="J64" s="261">
        <f>IFERROR(INDEX(AO!$Q:$Q,MATCH($B64,AO!$C:$C,0)),0)</f>
        <v>0</v>
      </c>
      <c r="K64" s="1289">
        <f>IFERROR(INDEX(AO!$AP:$AP,MATCH($B64,AO!$C:$C,0)),0)</f>
        <v>0</v>
      </c>
      <c r="L64" s="1278">
        <f>IFERROR(INDEX(AO!$U:$U,MATCH($B64,AO!$C:$C,0)),0)</f>
        <v>0</v>
      </c>
      <c r="M64" s="261">
        <f>IFERROR(INDEX(AO!$Y:$Y,MATCH($B64,AO!$C:$C,0)),0)</f>
        <v>0</v>
      </c>
      <c r="N64" s="261">
        <f>IFERROR(INDEX(AO!$AI:$AI,MATCH($B64,AO!$C:$C,0)),0)</f>
        <v>0</v>
      </c>
      <c r="O64" s="261">
        <f>IFERROR(INDEX(AO!$AM:$AM,MATCH($B64,AO!$C:$C,0)),0)</f>
        <v>0</v>
      </c>
      <c r="Q64" s="1230">
        <f>IFERROR(INDEX(AO!$AT:$AT,MATCH($B64,AO!$C:$C,0)),0)</f>
        <v>0</v>
      </c>
      <c r="R64" s="1230">
        <f t="shared" si="14"/>
        <v>0</v>
      </c>
      <c r="S64" s="1287">
        <f t="shared" si="15"/>
        <v>0</v>
      </c>
      <c r="T64" s="1290">
        <f t="shared" si="16"/>
        <v>0</v>
      </c>
      <c r="U64" s="1287">
        <f t="shared" si="17"/>
        <v>0</v>
      </c>
      <c r="V64" s="1230"/>
      <c r="W64" s="1230">
        <f>IFERROR(INDEX(AA!$EN:$EN,MATCH($C64,AA!$C:$C,0)),0)</f>
        <v>0</v>
      </c>
      <c r="X64" s="1230">
        <f t="shared" si="18"/>
        <v>0</v>
      </c>
      <c r="Y64" s="1279">
        <f t="shared" si="19"/>
        <v>0</v>
      </c>
      <c r="Z64" s="1278">
        <f t="shared" si="20"/>
        <v>0</v>
      </c>
      <c r="AA64" s="1287">
        <f t="shared" si="21"/>
        <v>0</v>
      </c>
      <c r="AB64" s="258"/>
      <c r="AC64" s="261">
        <f>IFERROR(INDEX(AA!$GA:$GA,MATCH($C64,AA!$C:$C,0)),0)</f>
        <v>0</v>
      </c>
      <c r="AD64" s="261">
        <f t="shared" si="22"/>
        <v>0</v>
      </c>
      <c r="AE64" s="1287">
        <f t="shared" si="23"/>
        <v>0</v>
      </c>
      <c r="AF64" s="1278">
        <f t="shared" si="24"/>
        <v>0</v>
      </c>
      <c r="AG64" s="1287">
        <f t="shared" si="25"/>
        <v>0</v>
      </c>
      <c r="AH64" s="1230"/>
      <c r="AI64" s="261">
        <f>IFERROR(INDEX(AO!$CA:$CA,MATCH($B64,AO!$C:$C,0)),0)</f>
        <v>0</v>
      </c>
      <c r="AJ64" s="1291">
        <f>IFERROR(INDEX(PCF!$BK$60:$BK$62,MATCH($B64,PCF!$C$60:$C$62,0)),0)</f>
        <v>0</v>
      </c>
      <c r="AK64" s="1278">
        <f>IFERROR(INDEX(AO!$CC:$CC,MATCH($B64,AO!$C:$C,0)),0)</f>
        <v>0</v>
      </c>
      <c r="AL64" s="261">
        <f>IFERROR(INDEX(AO!$CE:$CE,MATCH($B64,AO!$C:$C,0)),0)</f>
        <v>0</v>
      </c>
      <c r="AM64" s="261">
        <f>IFERROR(INDEX(AO!$CN:$CN,MATCH($B64,AO!$C:$C,0)),0)</f>
        <v>0</v>
      </c>
      <c r="AN64" s="261">
        <f>IFERROR(INDEX(AO!$CS:$CS,MATCH($B64,AO!$C:$C,0)),0)</f>
        <v>0</v>
      </c>
    </row>
    <row r="65" spans="2:40">
      <c r="B65" s="73">
        <v>58</v>
      </c>
      <c r="C65" s="49">
        <f t="shared" si="13"/>
        <v>58</v>
      </c>
      <c r="D65" s="261">
        <f>IFERROR(INDEX(AA!$AC:$AC,MATCH($C65,AA!$C:$C,0)),0)</f>
        <v>0</v>
      </c>
      <c r="E65" s="261">
        <f>IFERROR(INDEX(AA!$AG:$AG,MATCH($C65,AA!$C:$C,0)),0)</f>
        <v>0</v>
      </c>
      <c r="F65" s="261">
        <f>IFERROR(INDEX(AA!$AL:$AL,MATCH($C65,AA!$C:$C,0)),0)</f>
        <v>0</v>
      </c>
      <c r="G65" s="261">
        <f>IFERROR(INDEX(AA!$AI:$AI,MATCH($C65,AA!$C:$C,0)),0)</f>
        <v>0</v>
      </c>
      <c r="H65" s="261">
        <f>IFERROR(INDEX(AA!$AN:$AN,MATCH($C65,AA!$C:$C,0)),0)</f>
        <v>0</v>
      </c>
      <c r="I65" s="261"/>
      <c r="J65" s="261">
        <f>IFERROR(INDEX(AO!$Q:$Q,MATCH($B65,AO!$C:$C,0)),0)</f>
        <v>0</v>
      </c>
      <c r="K65" s="1289">
        <f>IFERROR(INDEX(AO!$AP:$AP,MATCH($B65,AO!$C:$C,0)),0)</f>
        <v>0</v>
      </c>
      <c r="L65" s="1278">
        <f>IFERROR(INDEX(AO!$U:$U,MATCH($B65,AO!$C:$C,0)),0)</f>
        <v>0</v>
      </c>
      <c r="M65" s="261">
        <f>IFERROR(INDEX(AO!$Y:$Y,MATCH($B65,AO!$C:$C,0)),0)</f>
        <v>0</v>
      </c>
      <c r="N65" s="261">
        <f>IFERROR(INDEX(AO!$AI:$AI,MATCH($B65,AO!$C:$C,0)),0)</f>
        <v>0</v>
      </c>
      <c r="O65" s="261">
        <f>IFERROR(INDEX(AO!$AM:$AM,MATCH($B65,AO!$C:$C,0)),0)</f>
        <v>0</v>
      </c>
      <c r="Q65" s="1230">
        <f>IFERROR(INDEX(AO!$AT:$AT,MATCH($B65,AO!$C:$C,0)),0)</f>
        <v>0</v>
      </c>
      <c r="R65" s="1230">
        <f t="shared" si="14"/>
        <v>0</v>
      </c>
      <c r="S65" s="1287">
        <f t="shared" si="15"/>
        <v>0</v>
      </c>
      <c r="T65" s="1290">
        <f t="shared" si="16"/>
        <v>0</v>
      </c>
      <c r="U65" s="1287">
        <f t="shared" si="17"/>
        <v>0</v>
      </c>
      <c r="V65" s="1230"/>
      <c r="W65" s="1230">
        <f>IFERROR(INDEX(AA!$EN:$EN,MATCH($C65,AA!$C:$C,0)),0)</f>
        <v>0</v>
      </c>
      <c r="X65" s="1230">
        <f t="shared" si="18"/>
        <v>0</v>
      </c>
      <c r="Y65" s="1279">
        <f t="shared" si="19"/>
        <v>0</v>
      </c>
      <c r="Z65" s="1278">
        <f t="shared" si="20"/>
        <v>0</v>
      </c>
      <c r="AA65" s="1287">
        <f t="shared" si="21"/>
        <v>0</v>
      </c>
      <c r="AB65" s="258"/>
      <c r="AC65" s="261">
        <f>IFERROR(INDEX(AA!$GA:$GA,MATCH($C65,AA!$C:$C,0)),0)</f>
        <v>0</v>
      </c>
      <c r="AD65" s="261">
        <f t="shared" si="22"/>
        <v>0</v>
      </c>
      <c r="AE65" s="1287">
        <f t="shared" si="23"/>
        <v>0</v>
      </c>
      <c r="AF65" s="1278">
        <f t="shared" si="24"/>
        <v>0</v>
      </c>
      <c r="AG65" s="1287">
        <f t="shared" si="25"/>
        <v>0</v>
      </c>
      <c r="AH65" s="1230"/>
      <c r="AI65" s="261">
        <f>IFERROR(INDEX(AO!$CA:$CA,MATCH($B65,AO!$C:$C,0)),0)</f>
        <v>0</v>
      </c>
      <c r="AJ65" s="1291">
        <f>IFERROR(INDEX(PCF!$BK$60:$BK$62,MATCH($B65,PCF!$C$60:$C$62,0)),0)</f>
        <v>0</v>
      </c>
      <c r="AK65" s="1278">
        <f>IFERROR(INDEX(AO!$CC:$CC,MATCH($B65,AO!$C:$C,0)),0)</f>
        <v>0</v>
      </c>
      <c r="AL65" s="261">
        <f>IFERROR(INDEX(AO!$CE:$CE,MATCH($B65,AO!$C:$C,0)),0)</f>
        <v>0</v>
      </c>
      <c r="AM65" s="261">
        <f>IFERROR(INDEX(AO!$CN:$CN,MATCH($B65,AO!$C:$C,0)),0)</f>
        <v>0</v>
      </c>
      <c r="AN65" s="261">
        <f>IFERROR(INDEX(AO!$CS:$CS,MATCH($B65,AO!$C:$C,0)),0)</f>
        <v>0</v>
      </c>
    </row>
    <row r="66" spans="2:40">
      <c r="B66" s="73">
        <v>59</v>
      </c>
      <c r="C66" s="49">
        <f t="shared" si="13"/>
        <v>59</v>
      </c>
      <c r="D66" s="261">
        <f>IFERROR(INDEX(AA!$AC:$AC,MATCH($C66,AA!$C:$C,0)),0)</f>
        <v>0</v>
      </c>
      <c r="E66" s="261">
        <f>IFERROR(INDEX(AA!$AG:$AG,MATCH($C66,AA!$C:$C,0)),0)</f>
        <v>0</v>
      </c>
      <c r="F66" s="261">
        <f>IFERROR(INDEX(AA!$AL:$AL,MATCH($C66,AA!$C:$C,0)),0)</f>
        <v>0</v>
      </c>
      <c r="G66" s="261">
        <f>IFERROR(INDEX(AA!$AI:$AI,MATCH($C66,AA!$C:$C,0)),0)</f>
        <v>0</v>
      </c>
      <c r="H66" s="261">
        <f>IFERROR(INDEX(AA!$AN:$AN,MATCH($C66,AA!$C:$C,0)),0)</f>
        <v>0</v>
      </c>
      <c r="I66" s="261"/>
      <c r="J66" s="261">
        <f>IFERROR(INDEX(AO!$Q:$Q,MATCH($B66,AO!$C:$C,0)),0)</f>
        <v>0</v>
      </c>
      <c r="K66" s="1289">
        <f>IFERROR(INDEX(AO!$AP:$AP,MATCH($B66,AO!$C:$C,0)),0)</f>
        <v>0</v>
      </c>
      <c r="L66" s="1278">
        <f>IFERROR(INDEX(AO!$U:$U,MATCH($B66,AO!$C:$C,0)),0)</f>
        <v>0</v>
      </c>
      <c r="M66" s="261">
        <f>IFERROR(INDEX(AO!$Y:$Y,MATCH($B66,AO!$C:$C,0)),0)</f>
        <v>0</v>
      </c>
      <c r="N66" s="261">
        <f>IFERROR(INDEX(AO!$AI:$AI,MATCH($B66,AO!$C:$C,0)),0)</f>
        <v>0</v>
      </c>
      <c r="O66" s="261">
        <f>IFERROR(INDEX(AO!$AM:$AM,MATCH($B66,AO!$C:$C,0)),0)</f>
        <v>0</v>
      </c>
      <c r="Q66" s="1230">
        <f>IFERROR(INDEX(AO!$AT:$AT,MATCH($B66,AO!$C:$C,0)),0)</f>
        <v>0</v>
      </c>
      <c r="R66" s="1230">
        <f t="shared" si="14"/>
        <v>0</v>
      </c>
      <c r="S66" s="1287">
        <f t="shared" si="15"/>
        <v>0</v>
      </c>
      <c r="T66" s="1290">
        <f t="shared" si="16"/>
        <v>0</v>
      </c>
      <c r="U66" s="1287">
        <f t="shared" si="17"/>
        <v>0</v>
      </c>
      <c r="V66" s="1230"/>
      <c r="W66" s="1230">
        <f>IFERROR(INDEX(AA!$EN:$EN,MATCH($C66,AA!$C:$C,0)),0)</f>
        <v>0</v>
      </c>
      <c r="X66" s="1230">
        <f t="shared" si="18"/>
        <v>0</v>
      </c>
      <c r="Y66" s="1279">
        <f t="shared" si="19"/>
        <v>0</v>
      </c>
      <c r="Z66" s="1278">
        <f t="shared" si="20"/>
        <v>0</v>
      </c>
      <c r="AA66" s="1287">
        <f t="shared" si="21"/>
        <v>0</v>
      </c>
      <c r="AB66" s="258"/>
      <c r="AC66" s="261">
        <f>IFERROR(INDEX(AA!$GA:$GA,MATCH($C66,AA!$C:$C,0)),0)</f>
        <v>0</v>
      </c>
      <c r="AD66" s="261">
        <f t="shared" si="22"/>
        <v>0</v>
      </c>
      <c r="AE66" s="1287">
        <f t="shared" si="23"/>
        <v>0</v>
      </c>
      <c r="AF66" s="1278">
        <f t="shared" si="24"/>
        <v>0</v>
      </c>
      <c r="AG66" s="1287">
        <f t="shared" si="25"/>
        <v>0</v>
      </c>
      <c r="AH66" s="1230"/>
      <c r="AI66" s="261">
        <f>IFERROR(INDEX(AO!$CA:$CA,MATCH($B66,AO!$C:$C,0)),0)</f>
        <v>0</v>
      </c>
      <c r="AJ66" s="1291">
        <f>IFERROR(INDEX(PCF!$BK$60:$BK$62,MATCH($B66,PCF!$C$60:$C$62,0)),0)</f>
        <v>0</v>
      </c>
      <c r="AK66" s="1278">
        <f>IFERROR(INDEX(AO!$CC:$CC,MATCH($B66,AO!$C:$C,0)),0)</f>
        <v>0</v>
      </c>
      <c r="AL66" s="261">
        <f>IFERROR(INDEX(AO!$CE:$CE,MATCH($B66,AO!$C:$C,0)),0)</f>
        <v>0</v>
      </c>
      <c r="AM66" s="261">
        <f>IFERROR(INDEX(AO!$CN:$CN,MATCH($B66,AO!$C:$C,0)),0)</f>
        <v>0</v>
      </c>
      <c r="AN66" s="261">
        <f>IFERROR(INDEX(AO!$CS:$CS,MATCH($B66,AO!$C:$C,0)),0)</f>
        <v>0</v>
      </c>
    </row>
    <row r="67" spans="2:40">
      <c r="B67" s="73">
        <v>60</v>
      </c>
      <c r="C67" s="49">
        <f t="shared" si="13"/>
        <v>60</v>
      </c>
      <c r="D67" s="261">
        <f>IFERROR(INDEX(AA!$AC:$AC,MATCH($C67,AA!$C:$C,0)),0)</f>
        <v>0</v>
      </c>
      <c r="E67" s="261">
        <f>IFERROR(INDEX(AA!$AG:$AG,MATCH($C67,AA!$C:$C,0)),0)</f>
        <v>0</v>
      </c>
      <c r="F67" s="261">
        <f>IFERROR(INDEX(AA!$AL:$AL,MATCH($C67,AA!$C:$C,0)),0)</f>
        <v>0</v>
      </c>
      <c r="G67" s="261">
        <f>IFERROR(INDEX(AA!$AI:$AI,MATCH($C67,AA!$C:$C,0)),0)</f>
        <v>0</v>
      </c>
      <c r="H67" s="261">
        <f>IFERROR(INDEX(AA!$AN:$AN,MATCH($C67,AA!$C:$C,0)),0)</f>
        <v>0</v>
      </c>
      <c r="I67" s="261"/>
      <c r="J67" s="261">
        <f>IFERROR(INDEX(AO!$Q:$Q,MATCH($B67,AO!$C:$C,0)),0)</f>
        <v>0</v>
      </c>
      <c r="K67" s="1289">
        <f>IFERROR(INDEX(AO!$AP:$AP,MATCH($B67,AO!$C:$C,0)),0)</f>
        <v>0</v>
      </c>
      <c r="L67" s="1278">
        <f>IFERROR(INDEX(AO!$U:$U,MATCH($B67,AO!$C:$C,0)),0)</f>
        <v>0</v>
      </c>
      <c r="M67" s="261">
        <f>IFERROR(INDEX(AO!$Y:$Y,MATCH($B67,AO!$C:$C,0)),0)</f>
        <v>0</v>
      </c>
      <c r="N67" s="261">
        <f>IFERROR(INDEX(AO!$AI:$AI,MATCH($B67,AO!$C:$C,0)),0)</f>
        <v>0</v>
      </c>
      <c r="O67" s="261">
        <f>IFERROR(INDEX(AO!$AM:$AM,MATCH($B67,AO!$C:$C,0)),0)</f>
        <v>0</v>
      </c>
      <c r="Q67" s="1230">
        <f>IFERROR(INDEX(AO!$AT:$AT,MATCH($B67,AO!$C:$C,0)),0)</f>
        <v>0</v>
      </c>
      <c r="R67" s="1230">
        <f t="shared" si="14"/>
        <v>0</v>
      </c>
      <c r="S67" s="1287">
        <f t="shared" si="15"/>
        <v>0</v>
      </c>
      <c r="T67" s="1290">
        <f t="shared" si="16"/>
        <v>0</v>
      </c>
      <c r="U67" s="1287">
        <f t="shared" si="17"/>
        <v>0</v>
      </c>
      <c r="V67" s="1230"/>
      <c r="W67" s="1230">
        <f>IFERROR(INDEX(AA!$EN:$EN,MATCH($C67,AA!$C:$C,0)),0)</f>
        <v>0</v>
      </c>
      <c r="X67" s="1230">
        <f t="shared" si="18"/>
        <v>0</v>
      </c>
      <c r="Y67" s="1279">
        <f t="shared" si="19"/>
        <v>0</v>
      </c>
      <c r="Z67" s="1278">
        <f t="shared" si="20"/>
        <v>0</v>
      </c>
      <c r="AA67" s="1287">
        <f t="shared" si="21"/>
        <v>0</v>
      </c>
      <c r="AB67" s="258"/>
      <c r="AC67" s="261">
        <f>IFERROR(INDEX(AA!$GA:$GA,MATCH($C67,AA!$C:$C,0)),0)</f>
        <v>0</v>
      </c>
      <c r="AD67" s="261">
        <f t="shared" si="22"/>
        <v>0</v>
      </c>
      <c r="AE67" s="1287">
        <f t="shared" si="23"/>
        <v>0</v>
      </c>
      <c r="AF67" s="1278">
        <f t="shared" si="24"/>
        <v>0</v>
      </c>
      <c r="AG67" s="1287">
        <f t="shared" si="25"/>
        <v>0</v>
      </c>
      <c r="AH67" s="1230"/>
      <c r="AI67" s="261">
        <f>IFERROR(INDEX(AO!$CA:$CA,MATCH($B67,AO!$C:$C,0)),0)</f>
        <v>0</v>
      </c>
      <c r="AJ67" s="1291">
        <f>IFERROR(INDEX(PCF!$BK$60:$BK$62,MATCH($B67,PCF!$C$60:$C$62,0)),0)</f>
        <v>0</v>
      </c>
      <c r="AK67" s="1278">
        <f>IFERROR(INDEX(AO!$CC:$CC,MATCH($B67,AO!$C:$C,0)),0)</f>
        <v>0</v>
      </c>
      <c r="AL67" s="261">
        <f>IFERROR(INDEX(AO!$CE:$CE,MATCH($B67,AO!$C:$C,0)),0)</f>
        <v>0</v>
      </c>
      <c r="AM67" s="261">
        <f>IFERROR(INDEX(AO!$CN:$CN,MATCH($B67,AO!$C:$C,0)),0)</f>
        <v>0</v>
      </c>
      <c r="AN67" s="261">
        <f>IFERROR(INDEX(AO!$CS:$CS,MATCH($B67,AO!$C:$C,0)),0)</f>
        <v>0</v>
      </c>
    </row>
    <row r="68" spans="2:40">
      <c r="B68" s="73">
        <v>61</v>
      </c>
      <c r="C68" s="49">
        <f t="shared" si="13"/>
        <v>61</v>
      </c>
      <c r="D68" s="261">
        <f>IFERROR(INDEX(AA!$AC:$AC,MATCH($C68,AA!$C:$C,0)),0)</f>
        <v>0</v>
      </c>
      <c r="E68" s="261">
        <f>IFERROR(INDEX(AA!$AG:$AG,MATCH($C68,AA!$C:$C,0)),0)</f>
        <v>0</v>
      </c>
      <c r="F68" s="261">
        <f>IFERROR(INDEX(AA!$AL:$AL,MATCH($C68,AA!$C:$C,0)),0)</f>
        <v>0</v>
      </c>
      <c r="G68" s="261">
        <f>IFERROR(INDEX(AA!$AI:$AI,MATCH($C68,AA!$C:$C,0)),0)</f>
        <v>0</v>
      </c>
      <c r="H68" s="261">
        <f>IFERROR(INDEX(AA!$AN:$AN,MATCH($C68,AA!$C:$C,0)),0)</f>
        <v>0</v>
      </c>
      <c r="I68" s="261"/>
      <c r="J68" s="261">
        <f>IFERROR(INDEX(AO!$Q:$Q,MATCH($B68,AO!$C:$C,0)),0)</f>
        <v>0</v>
      </c>
      <c r="K68" s="1289">
        <f>IFERROR(INDEX(AO!$AP:$AP,MATCH($B68,AO!$C:$C,0)),0)</f>
        <v>0</v>
      </c>
      <c r="L68" s="1278">
        <f>IFERROR(INDEX(AO!$U:$U,MATCH($B68,AO!$C:$C,0)),0)</f>
        <v>0</v>
      </c>
      <c r="M68" s="261">
        <f>IFERROR(INDEX(AO!$Y:$Y,MATCH($B68,AO!$C:$C,0)),0)</f>
        <v>0</v>
      </c>
      <c r="N68" s="261">
        <f>IFERROR(INDEX(AO!$AI:$AI,MATCH($B68,AO!$C:$C,0)),0)</f>
        <v>0</v>
      </c>
      <c r="O68" s="261">
        <f>IFERROR(INDEX(AO!$AM:$AM,MATCH($B68,AO!$C:$C,0)),0)</f>
        <v>0</v>
      </c>
      <c r="Q68" s="1230">
        <f>IFERROR(INDEX(AO!$AT:$AT,MATCH($B68,AO!$C:$C,0)),0)</f>
        <v>0</v>
      </c>
      <c r="R68" s="1230">
        <f t="shared" si="14"/>
        <v>0</v>
      </c>
      <c r="S68" s="1287">
        <f t="shared" si="15"/>
        <v>0</v>
      </c>
      <c r="T68" s="1290">
        <f t="shared" si="16"/>
        <v>0</v>
      </c>
      <c r="U68" s="1287">
        <f t="shared" si="17"/>
        <v>0</v>
      </c>
      <c r="V68" s="1230"/>
      <c r="W68" s="1230">
        <f>IFERROR(INDEX(AA!$EN:$EN,MATCH($C68,AA!$C:$C,0)),0)</f>
        <v>0</v>
      </c>
      <c r="X68" s="1230">
        <f t="shared" si="18"/>
        <v>0</v>
      </c>
      <c r="Y68" s="1279">
        <f t="shared" si="19"/>
        <v>0</v>
      </c>
      <c r="Z68" s="1278">
        <f t="shared" si="20"/>
        <v>0</v>
      </c>
      <c r="AA68" s="1287">
        <f t="shared" si="21"/>
        <v>0</v>
      </c>
      <c r="AB68" s="258"/>
      <c r="AC68" s="261">
        <f>IFERROR(INDEX(AA!$GA:$GA,MATCH($C68,AA!$C:$C,0)),0)</f>
        <v>0</v>
      </c>
      <c r="AD68" s="261">
        <f t="shared" si="22"/>
        <v>0</v>
      </c>
      <c r="AE68" s="1287">
        <f t="shared" si="23"/>
        <v>0</v>
      </c>
      <c r="AF68" s="1278">
        <f t="shared" si="24"/>
        <v>0</v>
      </c>
      <c r="AG68" s="1287">
        <f t="shared" si="25"/>
        <v>0</v>
      </c>
      <c r="AH68" s="1230"/>
      <c r="AI68" s="261">
        <f>IFERROR(INDEX(AO!$CA:$CA,MATCH($B68,AO!$C:$C,0)),0)</f>
        <v>0</v>
      </c>
      <c r="AJ68" s="1291">
        <f>IFERROR(INDEX(PCF!$BK$60:$BK$62,MATCH($B68,PCF!$C$60:$C$62,0)),0)</f>
        <v>0</v>
      </c>
      <c r="AK68" s="1278">
        <f>IFERROR(INDEX(AO!$CC:$CC,MATCH($B68,AO!$C:$C,0)),0)</f>
        <v>0</v>
      </c>
      <c r="AL68" s="261">
        <f>IFERROR(INDEX(AO!$CE:$CE,MATCH($B68,AO!$C:$C,0)),0)</f>
        <v>0</v>
      </c>
      <c r="AM68" s="261">
        <f>IFERROR(INDEX(AO!$CN:$CN,MATCH($B68,AO!$C:$C,0)),0)</f>
        <v>0</v>
      </c>
      <c r="AN68" s="261">
        <f>IFERROR(INDEX(AO!$CS:$CS,MATCH($B68,AO!$C:$C,0)),0)</f>
        <v>0</v>
      </c>
    </row>
    <row r="69" spans="2:40">
      <c r="B69" s="73">
        <v>62</v>
      </c>
      <c r="C69" s="49">
        <f t="shared" si="13"/>
        <v>62</v>
      </c>
      <c r="D69" s="261">
        <f>IFERROR(INDEX(AA!$AC:$AC,MATCH($C69,AA!$C:$C,0)),0)</f>
        <v>0</v>
      </c>
      <c r="E69" s="261">
        <f>IFERROR(INDEX(AA!$AG:$AG,MATCH($C69,AA!$C:$C,0)),0)</f>
        <v>0</v>
      </c>
      <c r="F69" s="261">
        <f>IFERROR(INDEX(AA!$AL:$AL,MATCH($C69,AA!$C:$C,0)),0)</f>
        <v>0</v>
      </c>
      <c r="G69" s="261">
        <f>IFERROR(INDEX(AA!$AI:$AI,MATCH($C69,AA!$C:$C,0)),0)</f>
        <v>0</v>
      </c>
      <c r="H69" s="261">
        <f>IFERROR(INDEX(AA!$AN:$AN,MATCH($C69,AA!$C:$C,0)),0)</f>
        <v>0</v>
      </c>
      <c r="I69" s="261"/>
      <c r="J69" s="261">
        <f>IFERROR(INDEX(AO!$Q:$Q,MATCH($B69,AO!$C:$C,0)),0)</f>
        <v>0</v>
      </c>
      <c r="K69" s="1289">
        <f>IFERROR(INDEX(AO!$AP:$AP,MATCH($B69,AO!$C:$C,0)),0)</f>
        <v>0</v>
      </c>
      <c r="L69" s="1278">
        <f>IFERROR(INDEX(AO!$U:$U,MATCH($B69,AO!$C:$C,0)),0)</f>
        <v>0</v>
      </c>
      <c r="M69" s="261">
        <f>IFERROR(INDEX(AO!$Y:$Y,MATCH($B69,AO!$C:$C,0)),0)</f>
        <v>0</v>
      </c>
      <c r="N69" s="261">
        <f>IFERROR(INDEX(AO!$AI:$AI,MATCH($B69,AO!$C:$C,0)),0)</f>
        <v>0</v>
      </c>
      <c r="O69" s="261">
        <f>IFERROR(INDEX(AO!$AM:$AM,MATCH($B69,AO!$C:$C,0)),0)</f>
        <v>0</v>
      </c>
      <c r="Q69" s="1230">
        <f>IFERROR(INDEX(AO!$AT:$AT,MATCH($B69,AO!$C:$C,0)),0)</f>
        <v>0</v>
      </c>
      <c r="R69" s="1230">
        <f t="shared" si="14"/>
        <v>0</v>
      </c>
      <c r="S69" s="1287">
        <f t="shared" si="15"/>
        <v>0</v>
      </c>
      <c r="T69" s="1290">
        <f t="shared" si="16"/>
        <v>0</v>
      </c>
      <c r="U69" s="1287">
        <f t="shared" si="17"/>
        <v>0</v>
      </c>
      <c r="V69" s="1230"/>
      <c r="W69" s="1230">
        <f>IFERROR(INDEX(AA!$EN:$EN,MATCH($C69,AA!$C:$C,0)),0)</f>
        <v>0</v>
      </c>
      <c r="X69" s="1230">
        <f t="shared" si="18"/>
        <v>0</v>
      </c>
      <c r="Y69" s="1279">
        <f t="shared" si="19"/>
        <v>0</v>
      </c>
      <c r="Z69" s="1278">
        <f t="shared" si="20"/>
        <v>0</v>
      </c>
      <c r="AA69" s="1287">
        <f t="shared" si="21"/>
        <v>0</v>
      </c>
      <c r="AB69" s="258"/>
      <c r="AC69" s="261">
        <f>IFERROR(INDEX(AA!$GA:$GA,MATCH($C69,AA!$C:$C,0)),0)</f>
        <v>0</v>
      </c>
      <c r="AD69" s="261">
        <f t="shared" si="22"/>
        <v>0</v>
      </c>
      <c r="AE69" s="1287">
        <f t="shared" si="23"/>
        <v>0</v>
      </c>
      <c r="AF69" s="1278">
        <f t="shared" si="24"/>
        <v>0</v>
      </c>
      <c r="AG69" s="1287">
        <f t="shared" si="25"/>
        <v>0</v>
      </c>
      <c r="AH69" s="1230"/>
      <c r="AI69" s="261">
        <f>IFERROR(INDEX(AO!$CA:$CA,MATCH($B69,AO!$C:$C,0)),0)</f>
        <v>0</v>
      </c>
      <c r="AJ69" s="1291">
        <f>IFERROR(INDEX(PCF!$BK$60:$BK$62,MATCH($B69,PCF!$C$60:$C$62,0)),0)</f>
        <v>0</v>
      </c>
      <c r="AK69" s="1278">
        <f>IFERROR(INDEX(AO!$CC:$CC,MATCH($B69,AO!$C:$C,0)),0)</f>
        <v>0</v>
      </c>
      <c r="AL69" s="261">
        <f>IFERROR(INDEX(AO!$CE:$CE,MATCH($B69,AO!$C:$C,0)),0)</f>
        <v>0</v>
      </c>
      <c r="AM69" s="261">
        <f>IFERROR(INDEX(AO!$CN:$CN,MATCH($B69,AO!$C:$C,0)),0)</f>
        <v>0</v>
      </c>
      <c r="AN69" s="261">
        <f>IFERROR(INDEX(AO!$CS:$CS,MATCH($B69,AO!$C:$C,0)),0)</f>
        <v>0</v>
      </c>
    </row>
    <row r="70" spans="2:40">
      <c r="B70" s="73">
        <v>63</v>
      </c>
      <c r="C70" s="49">
        <f t="shared" si="13"/>
        <v>63</v>
      </c>
      <c r="D70" s="261">
        <f>IFERROR(INDEX(AA!$AC:$AC,MATCH($C70,AA!$C:$C,0)),0)</f>
        <v>0</v>
      </c>
      <c r="E70" s="261">
        <f>IFERROR(INDEX(AA!$AG:$AG,MATCH($C70,AA!$C:$C,0)),0)</f>
        <v>0</v>
      </c>
      <c r="F70" s="261">
        <f>IFERROR(INDEX(AA!$AL:$AL,MATCH($C70,AA!$C:$C,0)),0)</f>
        <v>0</v>
      </c>
      <c r="G70" s="261">
        <f>IFERROR(INDEX(AA!$AI:$AI,MATCH($C70,AA!$C:$C,0)),0)</f>
        <v>0</v>
      </c>
      <c r="H70" s="261">
        <f>IFERROR(INDEX(AA!$AN:$AN,MATCH($C70,AA!$C:$C,0)),0)</f>
        <v>0</v>
      </c>
      <c r="I70" s="261"/>
      <c r="J70" s="261">
        <f>IFERROR(INDEX(AO!$Q:$Q,MATCH($B70,AO!$C:$C,0)),0)</f>
        <v>0</v>
      </c>
      <c r="K70" s="1289">
        <f>IFERROR(INDEX(AO!$AP:$AP,MATCH($B70,AO!$C:$C,0)),0)</f>
        <v>0</v>
      </c>
      <c r="L70" s="1278">
        <f>IFERROR(INDEX(AO!$U:$U,MATCH($B70,AO!$C:$C,0)),0)</f>
        <v>0</v>
      </c>
      <c r="M70" s="261">
        <f>IFERROR(INDEX(AO!$Y:$Y,MATCH($B70,AO!$C:$C,0)),0)</f>
        <v>0</v>
      </c>
      <c r="N70" s="261">
        <f>IFERROR(INDEX(AO!$AI:$AI,MATCH($B70,AO!$C:$C,0)),0)</f>
        <v>0</v>
      </c>
      <c r="O70" s="261">
        <f>IFERROR(INDEX(AO!$AM:$AM,MATCH($B70,AO!$C:$C,0)),0)</f>
        <v>0</v>
      </c>
      <c r="Q70" s="1230">
        <f>IFERROR(INDEX(AO!$AT:$AT,MATCH($B70,AO!$C:$C,0)),0)</f>
        <v>0</v>
      </c>
      <c r="R70" s="1230">
        <f t="shared" si="14"/>
        <v>0</v>
      </c>
      <c r="S70" s="1287">
        <f t="shared" si="15"/>
        <v>0</v>
      </c>
      <c r="T70" s="1290">
        <f t="shared" si="16"/>
        <v>0</v>
      </c>
      <c r="U70" s="1287">
        <f t="shared" si="17"/>
        <v>0</v>
      </c>
      <c r="V70" s="1230"/>
      <c r="W70" s="1230">
        <f>IFERROR(INDEX(AA!$EN:$EN,MATCH($C70,AA!$C:$C,0)),0)</f>
        <v>0</v>
      </c>
      <c r="X70" s="1230">
        <f t="shared" si="18"/>
        <v>0</v>
      </c>
      <c r="Y70" s="1279">
        <f t="shared" si="19"/>
        <v>0</v>
      </c>
      <c r="Z70" s="1278">
        <f t="shared" si="20"/>
        <v>0</v>
      </c>
      <c r="AA70" s="1287">
        <f t="shared" si="21"/>
        <v>0</v>
      </c>
      <c r="AB70" s="258"/>
      <c r="AC70" s="261">
        <f>IFERROR(INDEX(AA!$GA:$GA,MATCH($C70,AA!$C:$C,0)),0)</f>
        <v>0</v>
      </c>
      <c r="AD70" s="261">
        <f t="shared" si="22"/>
        <v>0</v>
      </c>
      <c r="AE70" s="1287">
        <f t="shared" si="23"/>
        <v>0</v>
      </c>
      <c r="AF70" s="1278">
        <f t="shared" si="24"/>
        <v>0</v>
      </c>
      <c r="AG70" s="1287">
        <f t="shared" si="25"/>
        <v>0</v>
      </c>
      <c r="AH70" s="1230"/>
      <c r="AI70" s="261">
        <f>IFERROR(INDEX(AO!$CA:$CA,MATCH($B70,AO!$C:$C,0)),0)</f>
        <v>0</v>
      </c>
      <c r="AJ70" s="1291">
        <f>IFERROR(INDEX(PCF!$BK$60:$BK$62,MATCH($B70,PCF!$C$60:$C$62,0)),0)</f>
        <v>0</v>
      </c>
      <c r="AK70" s="1278">
        <f>IFERROR(INDEX(AO!$CC:$CC,MATCH($B70,AO!$C:$C,0)),0)</f>
        <v>0</v>
      </c>
      <c r="AL70" s="261">
        <f>IFERROR(INDEX(AO!$CE:$CE,MATCH($B70,AO!$C:$C,0)),0)</f>
        <v>0</v>
      </c>
      <c r="AM70" s="261">
        <f>IFERROR(INDEX(AO!$CN:$CN,MATCH($B70,AO!$C:$C,0)),0)</f>
        <v>0</v>
      </c>
      <c r="AN70" s="261">
        <f>IFERROR(INDEX(AO!$CS:$CS,MATCH($B70,AO!$C:$C,0)),0)</f>
        <v>0</v>
      </c>
    </row>
    <row r="71" spans="2:40">
      <c r="B71" s="73">
        <v>64</v>
      </c>
      <c r="C71" s="49">
        <f t="shared" si="13"/>
        <v>64</v>
      </c>
      <c r="D71" s="261">
        <f>IFERROR(INDEX(AA!$AC:$AC,MATCH($C71,AA!$C:$C,0)),0)</f>
        <v>0</v>
      </c>
      <c r="E71" s="261">
        <f>IFERROR(INDEX(AA!$AG:$AG,MATCH($C71,AA!$C:$C,0)),0)</f>
        <v>0</v>
      </c>
      <c r="F71" s="261">
        <f>IFERROR(INDEX(AA!$AL:$AL,MATCH($C71,AA!$C:$C,0)),0)</f>
        <v>0</v>
      </c>
      <c r="G71" s="261">
        <f>IFERROR(INDEX(AA!$AI:$AI,MATCH($C71,AA!$C:$C,0)),0)</f>
        <v>0</v>
      </c>
      <c r="H71" s="261">
        <f>IFERROR(INDEX(AA!$AN:$AN,MATCH($C71,AA!$C:$C,0)),0)</f>
        <v>0</v>
      </c>
      <c r="I71" s="261"/>
      <c r="J71" s="261">
        <f>IFERROR(INDEX(AO!$Q:$Q,MATCH($B71,AO!$C:$C,0)),0)</f>
        <v>0</v>
      </c>
      <c r="K71" s="1289">
        <f>IFERROR(INDEX(AO!$AP:$AP,MATCH($B71,AO!$C:$C,0)),0)</f>
        <v>0</v>
      </c>
      <c r="L71" s="1278">
        <f>IFERROR(INDEX(AO!$U:$U,MATCH($B71,AO!$C:$C,0)),0)</f>
        <v>0</v>
      </c>
      <c r="M71" s="261">
        <f>IFERROR(INDEX(AO!$Y:$Y,MATCH($B71,AO!$C:$C,0)),0)</f>
        <v>0</v>
      </c>
      <c r="N71" s="261">
        <f>IFERROR(INDEX(AO!$AI:$AI,MATCH($B71,AO!$C:$C,0)),0)</f>
        <v>0</v>
      </c>
      <c r="O71" s="261">
        <f>IFERROR(INDEX(AO!$AM:$AM,MATCH($B71,AO!$C:$C,0)),0)</f>
        <v>0</v>
      </c>
      <c r="Q71" s="1230">
        <f>IFERROR(INDEX(AO!$AT:$AT,MATCH($B71,AO!$C:$C,0)),0)</f>
        <v>0</v>
      </c>
      <c r="R71" s="1230">
        <f t="shared" si="14"/>
        <v>0</v>
      </c>
      <c r="S71" s="1287">
        <f t="shared" si="15"/>
        <v>0</v>
      </c>
      <c r="T71" s="1290">
        <f t="shared" si="16"/>
        <v>0</v>
      </c>
      <c r="U71" s="1287">
        <f t="shared" si="17"/>
        <v>0</v>
      </c>
      <c r="V71" s="1230"/>
      <c r="W71" s="1230">
        <f>IFERROR(INDEX(AA!$EN:$EN,MATCH($C71,AA!$C:$C,0)),0)</f>
        <v>0</v>
      </c>
      <c r="X71" s="1230">
        <f t="shared" si="18"/>
        <v>0</v>
      </c>
      <c r="Y71" s="1279">
        <f t="shared" si="19"/>
        <v>0</v>
      </c>
      <c r="Z71" s="1278">
        <f t="shared" si="20"/>
        <v>0</v>
      </c>
      <c r="AA71" s="1287">
        <f t="shared" si="21"/>
        <v>0</v>
      </c>
      <c r="AB71" s="258"/>
      <c r="AC71" s="261">
        <f>IFERROR(INDEX(AA!$GA:$GA,MATCH($C71,AA!$C:$C,0)),0)</f>
        <v>0</v>
      </c>
      <c r="AD71" s="261">
        <f t="shared" si="22"/>
        <v>0</v>
      </c>
      <c r="AE71" s="1287">
        <f t="shared" si="23"/>
        <v>0</v>
      </c>
      <c r="AF71" s="1278">
        <f t="shared" si="24"/>
        <v>0</v>
      </c>
      <c r="AG71" s="1287">
        <f t="shared" si="25"/>
        <v>0</v>
      </c>
      <c r="AH71" s="1230"/>
      <c r="AI71" s="261">
        <f>IFERROR(INDEX(AO!$CA:$CA,MATCH($B71,AO!$C:$C,0)),0)</f>
        <v>0</v>
      </c>
      <c r="AJ71" s="1291">
        <f>IFERROR(INDEX(PCF!$BK$60:$BK$62,MATCH($B71,PCF!$C$60:$C$62,0)),0)</f>
        <v>0</v>
      </c>
      <c r="AK71" s="1278">
        <f>IFERROR(INDEX(AO!$CC:$CC,MATCH($B71,AO!$C:$C,0)),0)</f>
        <v>0</v>
      </c>
      <c r="AL71" s="261">
        <f>IFERROR(INDEX(AO!$CE:$CE,MATCH($B71,AO!$C:$C,0)),0)</f>
        <v>0</v>
      </c>
      <c r="AM71" s="261">
        <f>IFERROR(INDEX(AO!$CN:$CN,MATCH($B71,AO!$C:$C,0)),0)</f>
        <v>0</v>
      </c>
      <c r="AN71" s="261">
        <f>IFERROR(INDEX(AO!$CS:$CS,MATCH($B71,AO!$C:$C,0)),0)</f>
        <v>0</v>
      </c>
    </row>
    <row r="72" spans="2:40">
      <c r="B72" s="73">
        <v>65</v>
      </c>
      <c r="C72" s="49">
        <f t="shared" si="13"/>
        <v>65</v>
      </c>
      <c r="D72" s="261">
        <f>IFERROR(INDEX(AA!$AC:$AC,MATCH($C72,AA!$C:$C,0)),0)</f>
        <v>0</v>
      </c>
      <c r="E72" s="261">
        <f>IFERROR(INDEX(AA!$AG:$AG,MATCH($C72,AA!$C:$C,0)),0)</f>
        <v>0</v>
      </c>
      <c r="F72" s="261">
        <f>IFERROR(INDEX(AA!$AL:$AL,MATCH($C72,AA!$C:$C,0)),0)</f>
        <v>0</v>
      </c>
      <c r="G72" s="261">
        <f>IFERROR(INDEX(AA!$AI:$AI,MATCH($C72,AA!$C:$C,0)),0)</f>
        <v>0</v>
      </c>
      <c r="H72" s="261">
        <f>IFERROR(INDEX(AA!$AN:$AN,MATCH($C72,AA!$C:$C,0)),0)</f>
        <v>0</v>
      </c>
      <c r="I72" s="261"/>
      <c r="J72" s="261">
        <f>IFERROR(INDEX(AO!$Q:$Q,MATCH($B72,AO!$C:$C,0)),0)</f>
        <v>0</v>
      </c>
      <c r="K72" s="1289">
        <f>IFERROR(INDEX(AO!$AP:$AP,MATCH($B72,AO!$C:$C,0)),0)</f>
        <v>0</v>
      </c>
      <c r="L72" s="1278">
        <f>IFERROR(INDEX(AO!$U:$U,MATCH($B72,AO!$C:$C,0)),0)</f>
        <v>0</v>
      </c>
      <c r="M72" s="261">
        <f>IFERROR(INDEX(AO!$Y:$Y,MATCH($B72,AO!$C:$C,0)),0)</f>
        <v>0</v>
      </c>
      <c r="N72" s="261">
        <f>IFERROR(INDEX(AO!$AI:$AI,MATCH($B72,AO!$C:$C,0)),0)</f>
        <v>0</v>
      </c>
      <c r="O72" s="261">
        <f>IFERROR(INDEX(AO!$AM:$AM,MATCH($B72,AO!$C:$C,0)),0)</f>
        <v>0</v>
      </c>
      <c r="Q72" s="1230">
        <f>IFERROR(INDEX(AO!$AT:$AT,MATCH($B72,AO!$C:$C,0)),0)</f>
        <v>0</v>
      </c>
      <c r="R72" s="1230">
        <f t="shared" si="14"/>
        <v>0</v>
      </c>
      <c r="S72" s="1287">
        <f t="shared" si="15"/>
        <v>0</v>
      </c>
      <c r="T72" s="1290">
        <f t="shared" si="16"/>
        <v>0</v>
      </c>
      <c r="U72" s="1287">
        <f t="shared" si="17"/>
        <v>0</v>
      </c>
      <c r="V72" s="1230"/>
      <c r="W72" s="1230">
        <f>IFERROR(INDEX(AA!$EN:$EN,MATCH($C72,AA!$C:$C,0)),0)</f>
        <v>0</v>
      </c>
      <c r="X72" s="1230">
        <f t="shared" si="18"/>
        <v>0</v>
      </c>
      <c r="Y72" s="1279">
        <f t="shared" si="19"/>
        <v>0</v>
      </c>
      <c r="Z72" s="1278">
        <f t="shared" si="20"/>
        <v>0</v>
      </c>
      <c r="AA72" s="1287">
        <f t="shared" si="21"/>
        <v>0</v>
      </c>
      <c r="AB72" s="258"/>
      <c r="AC72" s="261">
        <f>IFERROR(INDEX(AA!$GA:$GA,MATCH($C72,AA!$C:$C,0)),0)</f>
        <v>0</v>
      </c>
      <c r="AD72" s="261">
        <f t="shared" si="22"/>
        <v>0</v>
      </c>
      <c r="AE72" s="1287">
        <f t="shared" si="23"/>
        <v>0</v>
      </c>
      <c r="AF72" s="1278">
        <f t="shared" si="24"/>
        <v>0</v>
      </c>
      <c r="AG72" s="1287">
        <f t="shared" si="25"/>
        <v>0</v>
      </c>
      <c r="AH72" s="1230"/>
      <c r="AI72" s="261">
        <f>IFERROR(INDEX(AO!$CA:$CA,MATCH($B72,AO!$C:$C,0)),0)</f>
        <v>0</v>
      </c>
      <c r="AJ72" s="1291">
        <f>IFERROR(INDEX(PCF!$BK$60:$BK$62,MATCH($B72,PCF!$C$60:$C$62,0)),0)</f>
        <v>0</v>
      </c>
      <c r="AK72" s="1278">
        <f>IFERROR(INDEX(AO!$CC:$CC,MATCH($B72,AO!$C:$C,0)),0)</f>
        <v>0</v>
      </c>
      <c r="AL72" s="261">
        <f>IFERROR(INDEX(AO!$CE:$CE,MATCH($B72,AO!$C:$C,0)),0)</f>
        <v>0</v>
      </c>
      <c r="AM72" s="261">
        <f>IFERROR(INDEX(AO!$CN:$CN,MATCH($B72,AO!$C:$C,0)),0)</f>
        <v>0</v>
      </c>
      <c r="AN72" s="261">
        <f>IFERROR(INDEX(AO!$CS:$CS,MATCH($B72,AO!$C:$C,0)),0)</f>
        <v>0</v>
      </c>
    </row>
    <row r="73" spans="2:40">
      <c r="B73" s="73">
        <v>66</v>
      </c>
      <c r="C73" s="49">
        <f t="shared" si="13"/>
        <v>66</v>
      </c>
      <c r="D73" s="261">
        <f>IFERROR(INDEX(AA!$AC:$AC,MATCH($C73,AA!$C:$C,0)),0)</f>
        <v>0</v>
      </c>
      <c r="E73" s="261">
        <f>IFERROR(INDEX(AA!$AG:$AG,MATCH($C73,AA!$C:$C,0)),0)</f>
        <v>0</v>
      </c>
      <c r="F73" s="261">
        <f>IFERROR(INDEX(AA!$AL:$AL,MATCH($C73,AA!$C:$C,0)),0)</f>
        <v>0</v>
      </c>
      <c r="G73" s="261">
        <f>IFERROR(INDEX(AA!$AI:$AI,MATCH($C73,AA!$C:$C,0)),0)</f>
        <v>0</v>
      </c>
      <c r="H73" s="261">
        <f>IFERROR(INDEX(AA!$AN:$AN,MATCH($C73,AA!$C:$C,0)),0)</f>
        <v>0</v>
      </c>
      <c r="I73" s="261"/>
      <c r="J73" s="261">
        <f>IFERROR(INDEX(AO!$Q:$Q,MATCH($B73,AO!$C:$C,0)),0)</f>
        <v>0</v>
      </c>
      <c r="K73" s="1289">
        <f>IFERROR(INDEX(AO!$AP:$AP,MATCH($B73,AO!$C:$C,0)),0)</f>
        <v>0</v>
      </c>
      <c r="L73" s="1278">
        <f>IFERROR(INDEX(AO!$U:$U,MATCH($B73,AO!$C:$C,0)),0)</f>
        <v>0</v>
      </c>
      <c r="M73" s="261">
        <f>IFERROR(INDEX(AO!$Y:$Y,MATCH($B73,AO!$C:$C,0)),0)</f>
        <v>0</v>
      </c>
      <c r="N73" s="261">
        <f>IFERROR(INDEX(AO!$AI:$AI,MATCH($B73,AO!$C:$C,0)),0)</f>
        <v>0</v>
      </c>
      <c r="O73" s="261">
        <f>IFERROR(INDEX(AO!$AM:$AM,MATCH($B73,AO!$C:$C,0)),0)</f>
        <v>0</v>
      </c>
      <c r="Q73" s="1230">
        <f>IFERROR(INDEX(AO!$AT:$AT,MATCH($B73,AO!$C:$C,0)),0)</f>
        <v>0</v>
      </c>
      <c r="R73" s="1230">
        <f t="shared" si="14"/>
        <v>0</v>
      </c>
      <c r="S73" s="1287">
        <f t="shared" si="15"/>
        <v>0</v>
      </c>
      <c r="T73" s="1290">
        <f t="shared" si="16"/>
        <v>0</v>
      </c>
      <c r="U73" s="1287">
        <f t="shared" si="17"/>
        <v>0</v>
      </c>
      <c r="V73" s="1230"/>
      <c r="W73" s="1230">
        <f>IFERROR(INDEX(AA!$EN:$EN,MATCH($C73,AA!$C:$C,0)),0)</f>
        <v>0</v>
      </c>
      <c r="X73" s="1230">
        <f t="shared" si="18"/>
        <v>0</v>
      </c>
      <c r="Y73" s="1279">
        <f t="shared" si="19"/>
        <v>0</v>
      </c>
      <c r="Z73" s="1278">
        <f t="shared" si="20"/>
        <v>0</v>
      </c>
      <c r="AA73" s="1287">
        <f t="shared" si="21"/>
        <v>0</v>
      </c>
      <c r="AB73" s="258"/>
      <c r="AC73" s="261">
        <f>IFERROR(INDEX(AA!$GA:$GA,MATCH($C73,AA!$C:$C,0)),0)</f>
        <v>0</v>
      </c>
      <c r="AD73" s="261">
        <f t="shared" si="22"/>
        <v>0</v>
      </c>
      <c r="AE73" s="1287">
        <f t="shared" si="23"/>
        <v>0</v>
      </c>
      <c r="AF73" s="1278">
        <f t="shared" si="24"/>
        <v>0</v>
      </c>
      <c r="AG73" s="1287">
        <f t="shared" si="25"/>
        <v>0</v>
      </c>
      <c r="AH73" s="1230"/>
      <c r="AI73" s="261">
        <f>IFERROR(INDEX(AO!$CA:$CA,MATCH($B73,AO!$C:$C,0)),0)</f>
        <v>0</v>
      </c>
      <c r="AJ73" s="1291">
        <f>IFERROR(INDEX(PCF!$BK$60:$BK$62,MATCH($B73,PCF!$C$60:$C$62,0)),0)</f>
        <v>0</v>
      </c>
      <c r="AK73" s="1278">
        <f>IFERROR(INDEX(AO!$CC:$CC,MATCH($B73,AO!$C:$C,0)),0)</f>
        <v>0</v>
      </c>
      <c r="AL73" s="261">
        <f>IFERROR(INDEX(AO!$CE:$CE,MATCH($B73,AO!$C:$C,0)),0)</f>
        <v>0</v>
      </c>
      <c r="AM73" s="261">
        <f>IFERROR(INDEX(AO!$CN:$CN,MATCH($B73,AO!$C:$C,0)),0)</f>
        <v>0</v>
      </c>
      <c r="AN73" s="261">
        <f>IFERROR(INDEX(AO!$CS:$CS,MATCH($B73,AO!$C:$C,0)),0)</f>
        <v>0</v>
      </c>
    </row>
    <row r="74" spans="2:40">
      <c r="B74" s="73">
        <v>67</v>
      </c>
      <c r="C74" s="49">
        <f t="shared" ref="C74:C106" si="26">B74</f>
        <v>67</v>
      </c>
      <c r="D74" s="261">
        <f>IFERROR(INDEX(AA!$AC:$AC,MATCH($C74,AA!$C:$C,0)),0)</f>
        <v>0</v>
      </c>
      <c r="E74" s="261">
        <f>IFERROR(INDEX(AA!$AG:$AG,MATCH($C74,AA!$C:$C,0)),0)</f>
        <v>0</v>
      </c>
      <c r="F74" s="261">
        <f>IFERROR(INDEX(AA!$AL:$AL,MATCH($C74,AA!$C:$C,0)),0)</f>
        <v>0</v>
      </c>
      <c r="G74" s="261">
        <f>IFERROR(INDEX(AA!$AI:$AI,MATCH($C74,AA!$C:$C,0)),0)</f>
        <v>0</v>
      </c>
      <c r="H74" s="261">
        <f>IFERROR(INDEX(AA!$AN:$AN,MATCH($C74,AA!$C:$C,0)),0)</f>
        <v>0</v>
      </c>
      <c r="I74" s="261"/>
      <c r="J74" s="261">
        <f>IFERROR(INDEX(AO!$Q:$Q,MATCH($B74,AO!$C:$C,0)),0)</f>
        <v>0</v>
      </c>
      <c r="K74" s="1289">
        <f>IFERROR(INDEX(AO!$AP:$AP,MATCH($B74,AO!$C:$C,0)),0)</f>
        <v>0</v>
      </c>
      <c r="L74" s="1278">
        <f>IFERROR(INDEX(AO!$U:$U,MATCH($B74,AO!$C:$C,0)),0)</f>
        <v>0</v>
      </c>
      <c r="M74" s="261">
        <f>IFERROR(INDEX(AO!$Y:$Y,MATCH($B74,AO!$C:$C,0)),0)</f>
        <v>0</v>
      </c>
      <c r="N74" s="261">
        <f>IFERROR(INDEX(AO!$AI:$AI,MATCH($B74,AO!$C:$C,0)),0)</f>
        <v>0</v>
      </c>
      <c r="O74" s="261">
        <f>IFERROR(INDEX(AO!$AM:$AM,MATCH($B74,AO!$C:$C,0)),0)</f>
        <v>0</v>
      </c>
      <c r="Q74" s="1230">
        <f>IFERROR(INDEX(AO!$AT:$AT,MATCH($B74,AO!$C:$C,0)),0)</f>
        <v>0</v>
      </c>
      <c r="R74" s="1230">
        <f t="shared" ref="R74:R106" si="27">IFERROR(Q74/J74,0)</f>
        <v>0</v>
      </c>
      <c r="S74" s="1287">
        <f t="shared" ref="S74:S106" si="28">IFERROR(Q74/M74,0)</f>
        <v>0</v>
      </c>
      <c r="T74" s="1290">
        <f t="shared" ref="T74:T106" si="29">IFERROR(N74/Q74,0)</f>
        <v>0</v>
      </c>
      <c r="U74" s="1287">
        <f t="shared" ref="U74:U106" si="30">IFERROR(Q74/O74,0)</f>
        <v>0</v>
      </c>
      <c r="V74" s="1230"/>
      <c r="W74" s="1230">
        <f>IFERROR(INDEX(AA!$EN:$EN,MATCH($C74,AA!$C:$C,0)),0)</f>
        <v>0</v>
      </c>
      <c r="X74" s="1230">
        <f t="shared" ref="X74:X106" si="31">IFERROR(W74/J74,0)</f>
        <v>0</v>
      </c>
      <c r="Y74" s="1279">
        <f t="shared" ref="Y74:Y106" si="32">IFERROR(W74/M74,0)</f>
        <v>0</v>
      </c>
      <c r="Z74" s="1278">
        <f t="shared" ref="Z74:Z106" si="33">IFERROR(N74/W74,0)</f>
        <v>0</v>
      </c>
      <c r="AA74" s="1287">
        <f t="shared" ref="AA74:AA106" si="34">IFERROR(W74/O74,0)</f>
        <v>0</v>
      </c>
      <c r="AB74" s="258"/>
      <c r="AC74" s="261">
        <f>IFERROR(INDEX(AA!$GA:$GA,MATCH($C74,AA!$C:$C,0)),0)</f>
        <v>0</v>
      </c>
      <c r="AD74" s="261">
        <f t="shared" ref="AD74:AD106" si="35">IFERROR(AC74/AI74,0)</f>
        <v>0</v>
      </c>
      <c r="AE74" s="1287">
        <f t="shared" ref="AE74:AE106" si="36">IFERROR($AC74/AL74,0)</f>
        <v>0</v>
      </c>
      <c r="AF74" s="1278">
        <f t="shared" ref="AF74:AF106" si="37">IFERROR(AM74/$AC74,0)</f>
        <v>0</v>
      </c>
      <c r="AG74" s="1287">
        <f t="shared" ref="AG74:AG106" si="38">IFERROR($AC74/AN74,0)</f>
        <v>0</v>
      </c>
      <c r="AH74" s="1230"/>
      <c r="AI74" s="261">
        <f>IFERROR(INDEX(AO!$CA:$CA,MATCH($B74,AO!$C:$C,0)),0)</f>
        <v>0</v>
      </c>
      <c r="AJ74" s="1291">
        <f>IFERROR(INDEX(PCF!$BK$60:$BK$62,MATCH($B74,PCF!$C$60:$C$62,0)),0)</f>
        <v>0</v>
      </c>
      <c r="AK74" s="1278">
        <f>IFERROR(INDEX(AO!$CC:$CC,MATCH($B74,AO!$C:$C,0)),0)</f>
        <v>0</v>
      </c>
      <c r="AL74" s="261">
        <f>IFERROR(INDEX(AO!$CE:$CE,MATCH($B74,AO!$C:$C,0)),0)</f>
        <v>0</v>
      </c>
      <c r="AM74" s="261">
        <f>IFERROR(INDEX(AO!$CN:$CN,MATCH($B74,AO!$C:$C,0)),0)</f>
        <v>0</v>
      </c>
      <c r="AN74" s="261">
        <f>IFERROR(INDEX(AO!$CS:$CS,MATCH($B74,AO!$C:$C,0)),0)</f>
        <v>0</v>
      </c>
    </row>
    <row r="75" spans="2:40">
      <c r="B75" s="73">
        <v>68</v>
      </c>
      <c r="C75" s="49">
        <f t="shared" si="26"/>
        <v>68</v>
      </c>
      <c r="D75" s="261">
        <f>IFERROR(INDEX(AA!$AC:$AC,MATCH($C75,AA!$C:$C,0)),0)</f>
        <v>0</v>
      </c>
      <c r="E75" s="261">
        <f>IFERROR(INDEX(AA!$AG:$AG,MATCH($C75,AA!$C:$C,0)),0)</f>
        <v>0</v>
      </c>
      <c r="F75" s="261">
        <f>IFERROR(INDEX(AA!$AL:$AL,MATCH($C75,AA!$C:$C,0)),0)</f>
        <v>0</v>
      </c>
      <c r="G75" s="261">
        <f>IFERROR(INDEX(AA!$AI:$AI,MATCH($C75,AA!$C:$C,0)),0)</f>
        <v>0</v>
      </c>
      <c r="H75" s="261">
        <f>IFERROR(INDEX(AA!$AN:$AN,MATCH($C75,AA!$C:$C,0)),0)</f>
        <v>0</v>
      </c>
      <c r="I75" s="261"/>
      <c r="J75" s="261">
        <f>IFERROR(INDEX(AO!$Q:$Q,MATCH($B75,AO!$C:$C,0)),0)</f>
        <v>0</v>
      </c>
      <c r="K75" s="1289">
        <f>IFERROR(INDEX(AO!$AP:$AP,MATCH($B75,AO!$C:$C,0)),0)</f>
        <v>0</v>
      </c>
      <c r="L75" s="1278">
        <f>IFERROR(INDEX(AO!$U:$U,MATCH($B75,AO!$C:$C,0)),0)</f>
        <v>0</v>
      </c>
      <c r="M75" s="261">
        <f>IFERROR(INDEX(AO!$Y:$Y,MATCH($B75,AO!$C:$C,0)),0)</f>
        <v>0</v>
      </c>
      <c r="N75" s="261">
        <f>IFERROR(INDEX(AO!$AI:$AI,MATCH($B75,AO!$C:$C,0)),0)</f>
        <v>0</v>
      </c>
      <c r="O75" s="261">
        <f>IFERROR(INDEX(AO!$AM:$AM,MATCH($B75,AO!$C:$C,0)),0)</f>
        <v>0</v>
      </c>
      <c r="Q75" s="1230">
        <f>IFERROR(INDEX(AO!$AT:$AT,MATCH($B75,AO!$C:$C,0)),0)</f>
        <v>0</v>
      </c>
      <c r="R75" s="1230">
        <f t="shared" si="27"/>
        <v>0</v>
      </c>
      <c r="S75" s="1287">
        <f t="shared" si="28"/>
        <v>0</v>
      </c>
      <c r="T75" s="1290">
        <f t="shared" si="29"/>
        <v>0</v>
      </c>
      <c r="U75" s="1287">
        <f t="shared" si="30"/>
        <v>0</v>
      </c>
      <c r="V75" s="1230"/>
      <c r="W75" s="1230">
        <f>IFERROR(INDEX(AA!$EN:$EN,MATCH($C75,AA!$C:$C,0)),0)</f>
        <v>0</v>
      </c>
      <c r="X75" s="1230">
        <f t="shared" si="31"/>
        <v>0</v>
      </c>
      <c r="Y75" s="1279">
        <f t="shared" si="32"/>
        <v>0</v>
      </c>
      <c r="Z75" s="1278">
        <f t="shared" si="33"/>
        <v>0</v>
      </c>
      <c r="AA75" s="1287">
        <f t="shared" si="34"/>
        <v>0</v>
      </c>
      <c r="AB75" s="258"/>
      <c r="AC75" s="261">
        <f>IFERROR(INDEX(AA!$GA:$GA,MATCH($C75,AA!$C:$C,0)),0)</f>
        <v>0</v>
      </c>
      <c r="AD75" s="261">
        <f t="shared" si="35"/>
        <v>0</v>
      </c>
      <c r="AE75" s="1287">
        <f t="shared" si="36"/>
        <v>0</v>
      </c>
      <c r="AF75" s="1278">
        <f t="shared" si="37"/>
        <v>0</v>
      </c>
      <c r="AG75" s="1287">
        <f t="shared" si="38"/>
        <v>0</v>
      </c>
      <c r="AH75" s="1230"/>
      <c r="AI75" s="261">
        <f>IFERROR(INDEX(AO!$CA:$CA,MATCH($B75,AO!$C:$C,0)),0)</f>
        <v>0</v>
      </c>
      <c r="AJ75" s="1291">
        <f>IFERROR(INDEX(PCF!$BK$60:$BK$62,MATCH($B75,PCF!$C$60:$C$62,0)),0)</f>
        <v>0</v>
      </c>
      <c r="AK75" s="1278">
        <f>IFERROR(INDEX(AO!$CC:$CC,MATCH($B75,AO!$C:$C,0)),0)</f>
        <v>0</v>
      </c>
      <c r="AL75" s="261">
        <f>IFERROR(INDEX(AO!$CE:$CE,MATCH($B75,AO!$C:$C,0)),0)</f>
        <v>0</v>
      </c>
      <c r="AM75" s="261">
        <f>IFERROR(INDEX(AO!$CN:$CN,MATCH($B75,AO!$C:$C,0)),0)</f>
        <v>0</v>
      </c>
      <c r="AN75" s="261">
        <f>IFERROR(INDEX(AO!$CS:$CS,MATCH($B75,AO!$C:$C,0)),0)</f>
        <v>0</v>
      </c>
    </row>
    <row r="76" spans="2:40">
      <c r="B76" s="73">
        <v>69</v>
      </c>
      <c r="C76" s="49">
        <f t="shared" si="26"/>
        <v>69</v>
      </c>
      <c r="D76" s="261">
        <f>IFERROR(INDEX(AA!$AC:$AC,MATCH($C76,AA!$C:$C,0)),0)</f>
        <v>0</v>
      </c>
      <c r="E76" s="261">
        <f>IFERROR(INDEX(AA!$AG:$AG,MATCH($C76,AA!$C:$C,0)),0)</f>
        <v>0</v>
      </c>
      <c r="F76" s="261">
        <f>IFERROR(INDEX(AA!$AL:$AL,MATCH($C76,AA!$C:$C,0)),0)</f>
        <v>0</v>
      </c>
      <c r="G76" s="261">
        <f>IFERROR(INDEX(AA!$AI:$AI,MATCH($C76,AA!$C:$C,0)),0)</f>
        <v>0</v>
      </c>
      <c r="H76" s="261">
        <f>IFERROR(INDEX(AA!$AN:$AN,MATCH($C76,AA!$C:$C,0)),0)</f>
        <v>0</v>
      </c>
      <c r="I76" s="261"/>
      <c r="J76" s="261">
        <f>IFERROR(INDEX(AO!$Q:$Q,MATCH($B76,AO!$C:$C,0)),0)</f>
        <v>0</v>
      </c>
      <c r="K76" s="1289">
        <f>IFERROR(INDEX(AO!$AP:$AP,MATCH($B76,AO!$C:$C,0)),0)</f>
        <v>0</v>
      </c>
      <c r="L76" s="1278">
        <f>IFERROR(INDEX(AO!$U:$U,MATCH($B76,AO!$C:$C,0)),0)</f>
        <v>0</v>
      </c>
      <c r="M76" s="261">
        <f>IFERROR(INDEX(AO!$Y:$Y,MATCH($B76,AO!$C:$C,0)),0)</f>
        <v>0</v>
      </c>
      <c r="N76" s="261">
        <f>IFERROR(INDEX(AO!$AI:$AI,MATCH($B76,AO!$C:$C,0)),0)</f>
        <v>0</v>
      </c>
      <c r="O76" s="261">
        <f>IFERROR(INDEX(AO!$AM:$AM,MATCH($B76,AO!$C:$C,0)),0)</f>
        <v>0</v>
      </c>
      <c r="Q76" s="1230">
        <f>IFERROR(INDEX(AO!$AT:$AT,MATCH($B76,AO!$C:$C,0)),0)</f>
        <v>0</v>
      </c>
      <c r="R76" s="1230">
        <f t="shared" si="27"/>
        <v>0</v>
      </c>
      <c r="S76" s="1287">
        <f t="shared" si="28"/>
        <v>0</v>
      </c>
      <c r="T76" s="1290">
        <f t="shared" si="29"/>
        <v>0</v>
      </c>
      <c r="U76" s="1287">
        <f t="shared" si="30"/>
        <v>0</v>
      </c>
      <c r="V76" s="1230"/>
      <c r="W76" s="1230">
        <f>IFERROR(INDEX(AA!$EN:$EN,MATCH($C76,AA!$C:$C,0)),0)</f>
        <v>0</v>
      </c>
      <c r="X76" s="1230">
        <f t="shared" si="31"/>
        <v>0</v>
      </c>
      <c r="Y76" s="1279">
        <f t="shared" si="32"/>
        <v>0</v>
      </c>
      <c r="Z76" s="1278">
        <f t="shared" si="33"/>
        <v>0</v>
      </c>
      <c r="AA76" s="1287">
        <f t="shared" si="34"/>
        <v>0</v>
      </c>
      <c r="AB76" s="258"/>
      <c r="AC76" s="261">
        <f>IFERROR(INDEX(AA!$GA:$GA,MATCH($C76,AA!$C:$C,0)),0)</f>
        <v>0</v>
      </c>
      <c r="AD76" s="261">
        <f t="shared" si="35"/>
        <v>0</v>
      </c>
      <c r="AE76" s="1287">
        <f t="shared" si="36"/>
        <v>0</v>
      </c>
      <c r="AF76" s="1278">
        <f t="shared" si="37"/>
        <v>0</v>
      </c>
      <c r="AG76" s="1287">
        <f t="shared" si="38"/>
        <v>0</v>
      </c>
      <c r="AH76" s="1230"/>
      <c r="AI76" s="261">
        <f>IFERROR(INDEX(AO!$CA:$CA,MATCH($B76,AO!$C:$C,0)),0)</f>
        <v>0</v>
      </c>
      <c r="AJ76" s="1291">
        <f>IFERROR(INDEX(PCF!$BK$60:$BK$62,MATCH($B76,PCF!$C$60:$C$62,0)),0)</f>
        <v>0</v>
      </c>
      <c r="AK76" s="1278">
        <f>IFERROR(INDEX(AO!$CC:$CC,MATCH($B76,AO!$C:$C,0)),0)</f>
        <v>0</v>
      </c>
      <c r="AL76" s="261">
        <f>IFERROR(INDEX(AO!$CE:$CE,MATCH($B76,AO!$C:$C,0)),0)</f>
        <v>0</v>
      </c>
      <c r="AM76" s="261">
        <f>IFERROR(INDEX(AO!$CN:$CN,MATCH($B76,AO!$C:$C,0)),0)</f>
        <v>0</v>
      </c>
      <c r="AN76" s="261">
        <f>IFERROR(INDEX(AO!$CS:$CS,MATCH($B76,AO!$C:$C,0)),0)</f>
        <v>0</v>
      </c>
    </row>
    <row r="77" spans="2:40">
      <c r="B77" s="73">
        <v>70</v>
      </c>
      <c r="C77" s="49">
        <f t="shared" si="26"/>
        <v>70</v>
      </c>
      <c r="D77" s="261">
        <f>IFERROR(INDEX(AA!$AC:$AC,MATCH($C77,AA!$C:$C,0)),0)</f>
        <v>0</v>
      </c>
      <c r="E77" s="261">
        <f>IFERROR(INDEX(AA!$AG:$AG,MATCH($C77,AA!$C:$C,0)),0)</f>
        <v>0</v>
      </c>
      <c r="F77" s="261">
        <f>IFERROR(INDEX(AA!$AL:$AL,MATCH($C77,AA!$C:$C,0)),0)</f>
        <v>0</v>
      </c>
      <c r="G77" s="261">
        <f>IFERROR(INDEX(AA!$AI:$AI,MATCH($C77,AA!$C:$C,0)),0)</f>
        <v>0</v>
      </c>
      <c r="H77" s="261">
        <f>IFERROR(INDEX(AA!$AN:$AN,MATCH($C77,AA!$C:$C,0)),0)</f>
        <v>0</v>
      </c>
      <c r="I77" s="261"/>
      <c r="J77" s="261">
        <f>IFERROR(INDEX(AO!$Q:$Q,MATCH($B77,AO!$C:$C,0)),0)</f>
        <v>0</v>
      </c>
      <c r="K77" s="1289">
        <f>IFERROR(INDEX(AO!$AP:$AP,MATCH($B77,AO!$C:$C,0)),0)</f>
        <v>0</v>
      </c>
      <c r="L77" s="1278">
        <f>IFERROR(INDEX(AO!$U:$U,MATCH($B77,AO!$C:$C,0)),0)</f>
        <v>0</v>
      </c>
      <c r="M77" s="261">
        <f>IFERROR(INDEX(AO!$Y:$Y,MATCH($B77,AO!$C:$C,0)),0)</f>
        <v>0</v>
      </c>
      <c r="N77" s="261">
        <f>IFERROR(INDEX(AO!$AI:$AI,MATCH($B77,AO!$C:$C,0)),0)</f>
        <v>0</v>
      </c>
      <c r="O77" s="261">
        <f>IFERROR(INDEX(AO!$AM:$AM,MATCH($B77,AO!$C:$C,0)),0)</f>
        <v>0</v>
      </c>
      <c r="Q77" s="1230">
        <f>IFERROR(INDEX(AO!$AT:$AT,MATCH($B77,AO!$C:$C,0)),0)</f>
        <v>0</v>
      </c>
      <c r="R77" s="1230">
        <f t="shared" si="27"/>
        <v>0</v>
      </c>
      <c r="S77" s="1287">
        <f t="shared" si="28"/>
        <v>0</v>
      </c>
      <c r="T77" s="1290">
        <f t="shared" si="29"/>
        <v>0</v>
      </c>
      <c r="U77" s="1287">
        <f t="shared" si="30"/>
        <v>0</v>
      </c>
      <c r="V77" s="1230"/>
      <c r="W77" s="1230">
        <f>IFERROR(INDEX(AA!$EN:$EN,MATCH($C77,AA!$C:$C,0)),0)</f>
        <v>0</v>
      </c>
      <c r="X77" s="1230">
        <f t="shared" si="31"/>
        <v>0</v>
      </c>
      <c r="Y77" s="1279">
        <f t="shared" si="32"/>
        <v>0</v>
      </c>
      <c r="Z77" s="1278">
        <f t="shared" si="33"/>
        <v>0</v>
      </c>
      <c r="AA77" s="1287">
        <f t="shared" si="34"/>
        <v>0</v>
      </c>
      <c r="AB77" s="258"/>
      <c r="AC77" s="261">
        <f>IFERROR(INDEX(AA!$GA:$GA,MATCH($C77,AA!$C:$C,0)),0)</f>
        <v>0</v>
      </c>
      <c r="AD77" s="261">
        <f t="shared" si="35"/>
        <v>0</v>
      </c>
      <c r="AE77" s="1287">
        <f t="shared" si="36"/>
        <v>0</v>
      </c>
      <c r="AF77" s="1278">
        <f t="shared" si="37"/>
        <v>0</v>
      </c>
      <c r="AG77" s="1287">
        <f t="shared" si="38"/>
        <v>0</v>
      </c>
      <c r="AH77" s="1230"/>
      <c r="AI77" s="261">
        <f>IFERROR(INDEX(AO!$CA:$CA,MATCH($B77,AO!$C:$C,0)),0)</f>
        <v>0</v>
      </c>
      <c r="AJ77" s="1291">
        <f>IFERROR(INDEX(PCF!$BK$60:$BK$62,MATCH($B77,PCF!$C$60:$C$62,0)),0)</f>
        <v>0</v>
      </c>
      <c r="AK77" s="1278">
        <f>IFERROR(INDEX(AO!$CC:$CC,MATCH($B77,AO!$C:$C,0)),0)</f>
        <v>0</v>
      </c>
      <c r="AL77" s="261">
        <f>IFERROR(INDEX(AO!$CE:$CE,MATCH($B77,AO!$C:$C,0)),0)</f>
        <v>0</v>
      </c>
      <c r="AM77" s="261">
        <f>IFERROR(INDEX(AO!$CN:$CN,MATCH($B77,AO!$C:$C,0)),0)</f>
        <v>0</v>
      </c>
      <c r="AN77" s="261">
        <f>IFERROR(INDEX(AO!$CS:$CS,MATCH($B77,AO!$C:$C,0)),0)</f>
        <v>0</v>
      </c>
    </row>
    <row r="78" spans="2:40">
      <c r="B78" s="73">
        <v>71</v>
      </c>
      <c r="C78" s="49">
        <f t="shared" si="26"/>
        <v>71</v>
      </c>
      <c r="D78" s="261">
        <f>IFERROR(INDEX(AA!$AC:$AC,MATCH($C78,AA!$C:$C,0)),0)</f>
        <v>0</v>
      </c>
      <c r="E78" s="261">
        <f>IFERROR(INDEX(AA!$AG:$AG,MATCH($C78,AA!$C:$C,0)),0)</f>
        <v>0</v>
      </c>
      <c r="F78" s="261">
        <f>IFERROR(INDEX(AA!$AL:$AL,MATCH($C78,AA!$C:$C,0)),0)</f>
        <v>0</v>
      </c>
      <c r="G78" s="261">
        <f>IFERROR(INDEX(AA!$AI:$AI,MATCH($C78,AA!$C:$C,0)),0)</f>
        <v>0</v>
      </c>
      <c r="H78" s="261">
        <f>IFERROR(INDEX(AA!$AN:$AN,MATCH($C78,AA!$C:$C,0)),0)</f>
        <v>0</v>
      </c>
      <c r="I78" s="261"/>
      <c r="J78" s="261">
        <f>IFERROR(INDEX(AO!$Q:$Q,MATCH($B78,AO!$C:$C,0)),0)</f>
        <v>0</v>
      </c>
      <c r="K78" s="1289">
        <f>IFERROR(INDEX(AO!$AP:$AP,MATCH($B78,AO!$C:$C,0)),0)</f>
        <v>0</v>
      </c>
      <c r="L78" s="1278">
        <f>IFERROR(INDEX(AO!$U:$U,MATCH($B78,AO!$C:$C,0)),0)</f>
        <v>0</v>
      </c>
      <c r="M78" s="261">
        <f>IFERROR(INDEX(AO!$Y:$Y,MATCH($B78,AO!$C:$C,0)),0)</f>
        <v>0</v>
      </c>
      <c r="N78" s="261">
        <f>IFERROR(INDEX(AO!$AI:$AI,MATCH($B78,AO!$C:$C,0)),0)</f>
        <v>0</v>
      </c>
      <c r="O78" s="261">
        <f>IFERROR(INDEX(AO!$AM:$AM,MATCH($B78,AO!$C:$C,0)),0)</f>
        <v>0</v>
      </c>
      <c r="Q78" s="1230">
        <f>IFERROR(INDEX(AO!$AT:$AT,MATCH($B78,AO!$C:$C,0)),0)</f>
        <v>0</v>
      </c>
      <c r="R78" s="1230">
        <f t="shared" si="27"/>
        <v>0</v>
      </c>
      <c r="S78" s="1287">
        <f t="shared" si="28"/>
        <v>0</v>
      </c>
      <c r="T78" s="1290">
        <f t="shared" si="29"/>
        <v>0</v>
      </c>
      <c r="U78" s="1287">
        <f t="shared" si="30"/>
        <v>0</v>
      </c>
      <c r="V78" s="1230"/>
      <c r="W78" s="1230">
        <f>IFERROR(INDEX(AA!$EN:$EN,MATCH($C78,AA!$C:$C,0)),0)</f>
        <v>0</v>
      </c>
      <c r="X78" s="1230">
        <f t="shared" si="31"/>
        <v>0</v>
      </c>
      <c r="Y78" s="1279">
        <f t="shared" si="32"/>
        <v>0</v>
      </c>
      <c r="Z78" s="1278">
        <f t="shared" si="33"/>
        <v>0</v>
      </c>
      <c r="AA78" s="1287">
        <f t="shared" si="34"/>
        <v>0</v>
      </c>
      <c r="AB78" s="258"/>
      <c r="AC78" s="261">
        <f>IFERROR(INDEX(AA!$GA:$GA,MATCH($C78,AA!$C:$C,0)),0)</f>
        <v>0</v>
      </c>
      <c r="AD78" s="261">
        <f t="shared" si="35"/>
        <v>0</v>
      </c>
      <c r="AE78" s="1287">
        <f t="shared" si="36"/>
        <v>0</v>
      </c>
      <c r="AF78" s="1278">
        <f t="shared" si="37"/>
        <v>0</v>
      </c>
      <c r="AG78" s="1287">
        <f t="shared" si="38"/>
        <v>0</v>
      </c>
      <c r="AH78" s="1230"/>
      <c r="AI78" s="261">
        <f>IFERROR(INDEX(AO!$CA:$CA,MATCH($B78,AO!$C:$C,0)),0)</f>
        <v>0</v>
      </c>
      <c r="AJ78" s="1291">
        <f>IFERROR(INDEX(PCF!$BK$60:$BK$62,MATCH($B78,PCF!$C$60:$C$62,0)),0)</f>
        <v>0</v>
      </c>
      <c r="AK78" s="1278">
        <f>IFERROR(INDEX(AO!$CC:$CC,MATCH($B78,AO!$C:$C,0)),0)</f>
        <v>0</v>
      </c>
      <c r="AL78" s="261">
        <f>IFERROR(INDEX(AO!$CE:$CE,MATCH($B78,AO!$C:$C,0)),0)</f>
        <v>0</v>
      </c>
      <c r="AM78" s="261">
        <f>IFERROR(INDEX(AO!$CN:$CN,MATCH($B78,AO!$C:$C,0)),0)</f>
        <v>0</v>
      </c>
      <c r="AN78" s="261">
        <f>IFERROR(INDEX(AO!$CS:$CS,MATCH($B78,AO!$C:$C,0)),0)</f>
        <v>0</v>
      </c>
    </row>
    <row r="79" spans="2:40">
      <c r="B79" s="73">
        <v>72</v>
      </c>
      <c r="C79" s="49">
        <f t="shared" si="26"/>
        <v>72</v>
      </c>
      <c r="D79" s="261">
        <f>IFERROR(INDEX(AA!$AC:$AC,MATCH($C79,AA!$C:$C,0)),0)</f>
        <v>0</v>
      </c>
      <c r="E79" s="261">
        <f>IFERROR(INDEX(AA!$AG:$AG,MATCH($C79,AA!$C:$C,0)),0)</f>
        <v>0</v>
      </c>
      <c r="F79" s="261">
        <f>IFERROR(INDEX(AA!$AL:$AL,MATCH($C79,AA!$C:$C,0)),0)</f>
        <v>0</v>
      </c>
      <c r="G79" s="261">
        <f>IFERROR(INDEX(AA!$AI:$AI,MATCH($C79,AA!$C:$C,0)),0)</f>
        <v>0</v>
      </c>
      <c r="H79" s="261">
        <f>IFERROR(INDEX(AA!$AN:$AN,MATCH($C79,AA!$C:$C,0)),0)</f>
        <v>0</v>
      </c>
      <c r="I79" s="261"/>
      <c r="J79" s="261">
        <f>IFERROR(INDEX(AO!$Q:$Q,MATCH($B79,AO!$C:$C,0)),0)</f>
        <v>0</v>
      </c>
      <c r="K79" s="1289">
        <f>IFERROR(INDEX(AO!$AP:$AP,MATCH($B79,AO!$C:$C,0)),0)</f>
        <v>0</v>
      </c>
      <c r="L79" s="1278">
        <f>IFERROR(INDEX(AO!$U:$U,MATCH($B79,AO!$C:$C,0)),0)</f>
        <v>0</v>
      </c>
      <c r="M79" s="261">
        <f>IFERROR(INDEX(AO!$Y:$Y,MATCH($B79,AO!$C:$C,0)),0)</f>
        <v>0</v>
      </c>
      <c r="N79" s="261">
        <f>IFERROR(INDEX(AO!$AI:$AI,MATCH($B79,AO!$C:$C,0)),0)</f>
        <v>0</v>
      </c>
      <c r="O79" s="261">
        <f>IFERROR(INDEX(AO!$AM:$AM,MATCH($B79,AO!$C:$C,0)),0)</f>
        <v>0</v>
      </c>
      <c r="Q79" s="1230">
        <f>IFERROR(INDEX(AO!$AT:$AT,MATCH($B79,AO!$C:$C,0)),0)</f>
        <v>0</v>
      </c>
      <c r="R79" s="1230">
        <f t="shared" si="27"/>
        <v>0</v>
      </c>
      <c r="S79" s="1287">
        <f t="shared" si="28"/>
        <v>0</v>
      </c>
      <c r="T79" s="1290">
        <f t="shared" si="29"/>
        <v>0</v>
      </c>
      <c r="U79" s="1287">
        <f t="shared" si="30"/>
        <v>0</v>
      </c>
      <c r="V79" s="1230"/>
      <c r="W79" s="1230">
        <f>IFERROR(INDEX(AA!$EN:$EN,MATCH($C79,AA!$C:$C,0)),0)</f>
        <v>0</v>
      </c>
      <c r="X79" s="1230">
        <f t="shared" si="31"/>
        <v>0</v>
      </c>
      <c r="Y79" s="1279">
        <f t="shared" si="32"/>
        <v>0</v>
      </c>
      <c r="Z79" s="1278">
        <f t="shared" si="33"/>
        <v>0</v>
      </c>
      <c r="AA79" s="1287">
        <f t="shared" si="34"/>
        <v>0</v>
      </c>
      <c r="AB79" s="258"/>
      <c r="AC79" s="261">
        <f>IFERROR(INDEX(AA!$GA:$GA,MATCH($C79,AA!$C:$C,0)),0)</f>
        <v>0</v>
      </c>
      <c r="AD79" s="261">
        <f t="shared" si="35"/>
        <v>0</v>
      </c>
      <c r="AE79" s="1287">
        <f t="shared" si="36"/>
        <v>0</v>
      </c>
      <c r="AF79" s="1278">
        <f t="shared" si="37"/>
        <v>0</v>
      </c>
      <c r="AG79" s="1287">
        <f t="shared" si="38"/>
        <v>0</v>
      </c>
      <c r="AH79" s="1230"/>
      <c r="AI79" s="261">
        <f>IFERROR(INDEX(AO!$CA:$CA,MATCH($B79,AO!$C:$C,0)),0)</f>
        <v>0</v>
      </c>
      <c r="AJ79" s="1291">
        <f>IFERROR(INDEX(PCF!$BK$60:$BK$62,MATCH($B79,PCF!$C$60:$C$62,0)),0)</f>
        <v>0</v>
      </c>
      <c r="AK79" s="1278">
        <f>IFERROR(INDEX(AO!$CC:$CC,MATCH($B79,AO!$C:$C,0)),0)</f>
        <v>0</v>
      </c>
      <c r="AL79" s="261">
        <f>IFERROR(INDEX(AO!$CE:$CE,MATCH($B79,AO!$C:$C,0)),0)</f>
        <v>0</v>
      </c>
      <c r="AM79" s="261">
        <f>IFERROR(INDEX(AO!$CN:$CN,MATCH($B79,AO!$C:$C,0)),0)</f>
        <v>0</v>
      </c>
      <c r="AN79" s="261">
        <f>IFERROR(INDEX(AO!$CS:$CS,MATCH($B79,AO!$C:$C,0)),0)</f>
        <v>0</v>
      </c>
    </row>
    <row r="80" spans="2:40">
      <c r="B80" s="73">
        <v>73</v>
      </c>
      <c r="C80" s="49">
        <f t="shared" si="26"/>
        <v>73</v>
      </c>
      <c r="D80" s="261">
        <f>IFERROR(INDEX(AA!$AC:$AC,MATCH($C80,AA!$C:$C,0)),0)</f>
        <v>0</v>
      </c>
      <c r="E80" s="261">
        <f>IFERROR(INDEX(AA!$AG:$AG,MATCH($C80,AA!$C:$C,0)),0)</f>
        <v>0</v>
      </c>
      <c r="F80" s="261">
        <f>IFERROR(INDEX(AA!$AL:$AL,MATCH($C80,AA!$C:$C,0)),0)</f>
        <v>0</v>
      </c>
      <c r="G80" s="261">
        <f>IFERROR(INDEX(AA!$AI:$AI,MATCH($C80,AA!$C:$C,0)),0)</f>
        <v>0</v>
      </c>
      <c r="H80" s="261">
        <f>IFERROR(INDEX(AA!$AN:$AN,MATCH($C80,AA!$C:$C,0)),0)</f>
        <v>0</v>
      </c>
      <c r="I80" s="261"/>
      <c r="J80" s="261">
        <f>IFERROR(INDEX(AO!$Q:$Q,MATCH($B80,AO!$C:$C,0)),0)</f>
        <v>0</v>
      </c>
      <c r="K80" s="1289">
        <f>IFERROR(INDEX(AO!$AP:$AP,MATCH($B80,AO!$C:$C,0)),0)</f>
        <v>0</v>
      </c>
      <c r="L80" s="1278">
        <f>IFERROR(INDEX(AO!$U:$U,MATCH($B80,AO!$C:$C,0)),0)</f>
        <v>0</v>
      </c>
      <c r="M80" s="261">
        <f>IFERROR(INDEX(AO!$Y:$Y,MATCH($B80,AO!$C:$C,0)),0)</f>
        <v>0</v>
      </c>
      <c r="N80" s="261">
        <f>IFERROR(INDEX(AO!$AI:$AI,MATCH($B80,AO!$C:$C,0)),0)</f>
        <v>0</v>
      </c>
      <c r="O80" s="261">
        <f>IFERROR(INDEX(AO!$AM:$AM,MATCH($B80,AO!$C:$C,0)),0)</f>
        <v>0</v>
      </c>
      <c r="Q80" s="1230">
        <f>IFERROR(INDEX(AO!$AT:$AT,MATCH($B80,AO!$C:$C,0)),0)</f>
        <v>0</v>
      </c>
      <c r="R80" s="1230">
        <f t="shared" si="27"/>
        <v>0</v>
      </c>
      <c r="S80" s="1287">
        <f t="shared" si="28"/>
        <v>0</v>
      </c>
      <c r="T80" s="1290">
        <f t="shared" si="29"/>
        <v>0</v>
      </c>
      <c r="U80" s="1287">
        <f t="shared" si="30"/>
        <v>0</v>
      </c>
      <c r="V80" s="1230"/>
      <c r="W80" s="1230">
        <f>IFERROR(INDEX(AA!$EN:$EN,MATCH($C80,AA!$C:$C,0)),0)</f>
        <v>0</v>
      </c>
      <c r="X80" s="1230">
        <f t="shared" si="31"/>
        <v>0</v>
      </c>
      <c r="Y80" s="1279">
        <f t="shared" si="32"/>
        <v>0</v>
      </c>
      <c r="Z80" s="1278">
        <f t="shared" si="33"/>
        <v>0</v>
      </c>
      <c r="AA80" s="1287">
        <f t="shared" si="34"/>
        <v>0</v>
      </c>
      <c r="AB80" s="258"/>
      <c r="AC80" s="261">
        <f>IFERROR(INDEX(AA!$GA:$GA,MATCH($C80,AA!$C:$C,0)),0)</f>
        <v>0</v>
      </c>
      <c r="AD80" s="261">
        <f t="shared" si="35"/>
        <v>0</v>
      </c>
      <c r="AE80" s="1287">
        <f t="shared" si="36"/>
        <v>0</v>
      </c>
      <c r="AF80" s="1278">
        <f t="shared" si="37"/>
        <v>0</v>
      </c>
      <c r="AG80" s="1287">
        <f t="shared" si="38"/>
        <v>0</v>
      </c>
      <c r="AH80" s="1230"/>
      <c r="AI80" s="261">
        <f>IFERROR(INDEX(AO!$CA:$CA,MATCH($B80,AO!$C:$C,0)),0)</f>
        <v>0</v>
      </c>
      <c r="AJ80" s="1291">
        <f>IFERROR(INDEX(PCF!$BK$60:$BK$62,MATCH($B80,PCF!$C$60:$C$62,0)),0)</f>
        <v>0</v>
      </c>
      <c r="AK80" s="1278">
        <f>IFERROR(INDEX(AO!$CC:$CC,MATCH($B80,AO!$C:$C,0)),0)</f>
        <v>0</v>
      </c>
      <c r="AL80" s="261">
        <f>IFERROR(INDEX(AO!$CE:$CE,MATCH($B80,AO!$C:$C,0)),0)</f>
        <v>0</v>
      </c>
      <c r="AM80" s="261">
        <f>IFERROR(INDEX(AO!$CN:$CN,MATCH($B80,AO!$C:$C,0)),0)</f>
        <v>0</v>
      </c>
      <c r="AN80" s="261">
        <f>IFERROR(INDEX(AO!$CS:$CS,MATCH($B80,AO!$C:$C,0)),0)</f>
        <v>0</v>
      </c>
    </row>
    <row r="81" spans="2:40">
      <c r="B81" s="73">
        <v>74</v>
      </c>
      <c r="C81" s="49">
        <f t="shared" si="26"/>
        <v>74</v>
      </c>
      <c r="D81" s="261">
        <f>IFERROR(INDEX(AA!$AC:$AC,MATCH($C81,AA!$C:$C,0)),0)</f>
        <v>0</v>
      </c>
      <c r="E81" s="261">
        <f>IFERROR(INDEX(AA!$AG:$AG,MATCH($C81,AA!$C:$C,0)),0)</f>
        <v>0</v>
      </c>
      <c r="F81" s="261">
        <f>IFERROR(INDEX(AA!$AL:$AL,MATCH($C81,AA!$C:$C,0)),0)</f>
        <v>0</v>
      </c>
      <c r="G81" s="261">
        <f>IFERROR(INDEX(AA!$AI:$AI,MATCH($C81,AA!$C:$C,0)),0)</f>
        <v>0</v>
      </c>
      <c r="H81" s="261">
        <f>IFERROR(INDEX(AA!$AN:$AN,MATCH($C81,AA!$C:$C,0)),0)</f>
        <v>0</v>
      </c>
      <c r="I81" s="261"/>
      <c r="J81" s="261">
        <f>IFERROR(INDEX(AO!$Q:$Q,MATCH($B81,AO!$C:$C,0)),0)</f>
        <v>0</v>
      </c>
      <c r="K81" s="1289">
        <f>IFERROR(INDEX(AO!$AP:$AP,MATCH($B81,AO!$C:$C,0)),0)</f>
        <v>0</v>
      </c>
      <c r="L81" s="1278">
        <f>IFERROR(INDEX(AO!$U:$U,MATCH($B81,AO!$C:$C,0)),0)</f>
        <v>0</v>
      </c>
      <c r="M81" s="261">
        <f>IFERROR(INDEX(AO!$Y:$Y,MATCH($B81,AO!$C:$C,0)),0)</f>
        <v>0</v>
      </c>
      <c r="N81" s="261">
        <f>IFERROR(INDEX(AO!$AI:$AI,MATCH($B81,AO!$C:$C,0)),0)</f>
        <v>0</v>
      </c>
      <c r="O81" s="261">
        <f>IFERROR(INDEX(AO!$AM:$AM,MATCH($B81,AO!$C:$C,0)),0)</f>
        <v>0</v>
      </c>
      <c r="Q81" s="1230">
        <f>IFERROR(INDEX(AO!$AT:$AT,MATCH($B81,AO!$C:$C,0)),0)</f>
        <v>0</v>
      </c>
      <c r="R81" s="1230">
        <f t="shared" si="27"/>
        <v>0</v>
      </c>
      <c r="S81" s="1287">
        <f t="shared" si="28"/>
        <v>0</v>
      </c>
      <c r="T81" s="1290">
        <f t="shared" si="29"/>
        <v>0</v>
      </c>
      <c r="U81" s="1287">
        <f t="shared" si="30"/>
        <v>0</v>
      </c>
      <c r="V81" s="1230"/>
      <c r="W81" s="1230">
        <f>IFERROR(INDEX(AA!$EN:$EN,MATCH($C81,AA!$C:$C,0)),0)</f>
        <v>0</v>
      </c>
      <c r="X81" s="1230">
        <f t="shared" si="31"/>
        <v>0</v>
      </c>
      <c r="Y81" s="1279">
        <f t="shared" si="32"/>
        <v>0</v>
      </c>
      <c r="Z81" s="1278">
        <f t="shared" si="33"/>
        <v>0</v>
      </c>
      <c r="AA81" s="1287">
        <f t="shared" si="34"/>
        <v>0</v>
      </c>
      <c r="AB81" s="258"/>
      <c r="AC81" s="261">
        <f>IFERROR(INDEX(AA!$GA:$GA,MATCH($C81,AA!$C:$C,0)),0)</f>
        <v>0</v>
      </c>
      <c r="AD81" s="261">
        <f t="shared" si="35"/>
        <v>0</v>
      </c>
      <c r="AE81" s="1287">
        <f t="shared" si="36"/>
        <v>0</v>
      </c>
      <c r="AF81" s="1278">
        <f t="shared" si="37"/>
        <v>0</v>
      </c>
      <c r="AG81" s="1287">
        <f t="shared" si="38"/>
        <v>0</v>
      </c>
      <c r="AH81" s="1230"/>
      <c r="AI81" s="261">
        <f>IFERROR(INDEX(AO!$CA:$CA,MATCH($B81,AO!$C:$C,0)),0)</f>
        <v>0</v>
      </c>
      <c r="AJ81" s="1291">
        <f>IFERROR(INDEX(PCF!$BK$60:$BK$62,MATCH($B81,PCF!$C$60:$C$62,0)),0)</f>
        <v>0</v>
      </c>
      <c r="AK81" s="1278">
        <f>IFERROR(INDEX(AO!$CC:$CC,MATCH($B81,AO!$C:$C,0)),0)</f>
        <v>0</v>
      </c>
      <c r="AL81" s="261">
        <f>IFERROR(INDEX(AO!$CE:$CE,MATCH($B81,AO!$C:$C,0)),0)</f>
        <v>0</v>
      </c>
      <c r="AM81" s="261">
        <f>IFERROR(INDEX(AO!$CN:$CN,MATCH($B81,AO!$C:$C,0)),0)</f>
        <v>0</v>
      </c>
      <c r="AN81" s="261">
        <f>IFERROR(INDEX(AO!$CS:$CS,MATCH($B81,AO!$C:$C,0)),0)</f>
        <v>0</v>
      </c>
    </row>
    <row r="82" spans="2:40">
      <c r="B82" s="73">
        <v>75</v>
      </c>
      <c r="C82" s="49">
        <f t="shared" si="26"/>
        <v>75</v>
      </c>
      <c r="D82" s="261">
        <f>IFERROR(INDEX(AA!$AC:$AC,MATCH($C82,AA!$C:$C,0)),0)</f>
        <v>0</v>
      </c>
      <c r="E82" s="261">
        <f>IFERROR(INDEX(AA!$AG:$AG,MATCH($C82,AA!$C:$C,0)),0)</f>
        <v>0</v>
      </c>
      <c r="F82" s="261">
        <f>IFERROR(INDEX(AA!$AL:$AL,MATCH($C82,AA!$C:$C,0)),0)</f>
        <v>0</v>
      </c>
      <c r="G82" s="261">
        <f>IFERROR(INDEX(AA!$AI:$AI,MATCH($C82,AA!$C:$C,0)),0)</f>
        <v>0</v>
      </c>
      <c r="H82" s="261">
        <f>IFERROR(INDEX(AA!$AN:$AN,MATCH($C82,AA!$C:$C,0)),0)</f>
        <v>0</v>
      </c>
      <c r="I82" s="261"/>
      <c r="J82" s="261">
        <f>IFERROR(INDEX(AO!$Q:$Q,MATCH($B82,AO!$C:$C,0)),0)</f>
        <v>0</v>
      </c>
      <c r="K82" s="1289">
        <f>IFERROR(INDEX(AO!$AP:$AP,MATCH($B82,AO!$C:$C,0)),0)</f>
        <v>0</v>
      </c>
      <c r="L82" s="1278">
        <f>IFERROR(INDEX(AO!$U:$U,MATCH($B82,AO!$C:$C,0)),0)</f>
        <v>0</v>
      </c>
      <c r="M82" s="261">
        <f>IFERROR(INDEX(AO!$Y:$Y,MATCH($B82,AO!$C:$C,0)),0)</f>
        <v>0</v>
      </c>
      <c r="N82" s="261">
        <f>IFERROR(INDEX(AO!$AI:$AI,MATCH($B82,AO!$C:$C,0)),0)</f>
        <v>0</v>
      </c>
      <c r="O82" s="261">
        <f>IFERROR(INDEX(AO!$AM:$AM,MATCH($B82,AO!$C:$C,0)),0)</f>
        <v>0</v>
      </c>
      <c r="Q82" s="1230">
        <f>IFERROR(INDEX(AO!$AT:$AT,MATCH($B82,AO!$C:$C,0)),0)</f>
        <v>0</v>
      </c>
      <c r="R82" s="1230">
        <f t="shared" si="27"/>
        <v>0</v>
      </c>
      <c r="S82" s="1287">
        <f t="shared" si="28"/>
        <v>0</v>
      </c>
      <c r="T82" s="1290">
        <f t="shared" si="29"/>
        <v>0</v>
      </c>
      <c r="U82" s="1287">
        <f t="shared" si="30"/>
        <v>0</v>
      </c>
      <c r="V82" s="1230"/>
      <c r="W82" s="1230">
        <f>IFERROR(INDEX(AA!$EN:$EN,MATCH($C82,AA!$C:$C,0)),0)</f>
        <v>0</v>
      </c>
      <c r="X82" s="1230">
        <f t="shared" si="31"/>
        <v>0</v>
      </c>
      <c r="Y82" s="1279">
        <f t="shared" si="32"/>
        <v>0</v>
      </c>
      <c r="Z82" s="1278">
        <f t="shared" si="33"/>
        <v>0</v>
      </c>
      <c r="AA82" s="1287">
        <f t="shared" si="34"/>
        <v>0</v>
      </c>
      <c r="AB82" s="258"/>
      <c r="AC82" s="261">
        <f>IFERROR(INDEX(AA!$GA:$GA,MATCH($C82,AA!$C:$C,0)),0)</f>
        <v>0</v>
      </c>
      <c r="AD82" s="261">
        <f t="shared" si="35"/>
        <v>0</v>
      </c>
      <c r="AE82" s="1287">
        <f t="shared" si="36"/>
        <v>0</v>
      </c>
      <c r="AF82" s="1278">
        <f t="shared" si="37"/>
        <v>0</v>
      </c>
      <c r="AG82" s="1287">
        <f t="shared" si="38"/>
        <v>0</v>
      </c>
      <c r="AH82" s="1230"/>
      <c r="AI82" s="261">
        <f>IFERROR(INDEX(AO!$CA:$CA,MATCH($B82,AO!$C:$C,0)),0)</f>
        <v>0</v>
      </c>
      <c r="AJ82" s="1291">
        <f>IFERROR(INDEX(PCF!$BK$60:$BK$62,MATCH($B82,PCF!$C$60:$C$62,0)),0)</f>
        <v>0</v>
      </c>
      <c r="AK82" s="1278">
        <f>IFERROR(INDEX(AO!$CC:$CC,MATCH($B82,AO!$C:$C,0)),0)</f>
        <v>0</v>
      </c>
      <c r="AL82" s="261">
        <f>IFERROR(INDEX(AO!$CE:$CE,MATCH($B82,AO!$C:$C,0)),0)</f>
        <v>0</v>
      </c>
      <c r="AM82" s="261">
        <f>IFERROR(INDEX(AO!$CN:$CN,MATCH($B82,AO!$C:$C,0)),0)</f>
        <v>0</v>
      </c>
      <c r="AN82" s="261">
        <f>IFERROR(INDEX(AO!$CS:$CS,MATCH($B82,AO!$C:$C,0)),0)</f>
        <v>0</v>
      </c>
    </row>
    <row r="83" spans="2:40">
      <c r="B83" s="73">
        <v>76</v>
      </c>
      <c r="C83" s="49">
        <f t="shared" si="26"/>
        <v>76</v>
      </c>
      <c r="D83" s="261">
        <f>IFERROR(INDEX(AA!$AC:$AC,MATCH($C83,AA!$C:$C,0)),0)</f>
        <v>0</v>
      </c>
      <c r="E83" s="261">
        <f>IFERROR(INDEX(AA!$AG:$AG,MATCH($C83,AA!$C:$C,0)),0)</f>
        <v>0</v>
      </c>
      <c r="F83" s="261">
        <f>IFERROR(INDEX(AA!$AL:$AL,MATCH($C83,AA!$C:$C,0)),0)</f>
        <v>0</v>
      </c>
      <c r="G83" s="261">
        <f>IFERROR(INDEX(AA!$AI:$AI,MATCH($C83,AA!$C:$C,0)),0)</f>
        <v>0</v>
      </c>
      <c r="H83" s="261">
        <f>IFERROR(INDEX(AA!$AN:$AN,MATCH($C83,AA!$C:$C,0)),0)</f>
        <v>0</v>
      </c>
      <c r="I83" s="261"/>
      <c r="J83" s="261">
        <f>IFERROR(INDEX(AO!$Q:$Q,MATCH($B83,AO!$C:$C,0)),0)</f>
        <v>0</v>
      </c>
      <c r="K83" s="1289">
        <f>IFERROR(INDEX(AO!$AP:$AP,MATCH($B83,AO!$C:$C,0)),0)</f>
        <v>0</v>
      </c>
      <c r="L83" s="1278">
        <f>IFERROR(INDEX(AO!$U:$U,MATCH($B83,AO!$C:$C,0)),0)</f>
        <v>0</v>
      </c>
      <c r="M83" s="261">
        <f>IFERROR(INDEX(AO!$Y:$Y,MATCH($B83,AO!$C:$C,0)),0)</f>
        <v>0</v>
      </c>
      <c r="N83" s="261">
        <f>IFERROR(INDEX(AO!$AI:$AI,MATCH($B83,AO!$C:$C,0)),0)</f>
        <v>0</v>
      </c>
      <c r="O83" s="261">
        <f>IFERROR(INDEX(AO!$AM:$AM,MATCH($B83,AO!$C:$C,0)),0)</f>
        <v>0</v>
      </c>
      <c r="Q83" s="1230">
        <f>IFERROR(INDEX(AO!$AT:$AT,MATCH($B83,AO!$C:$C,0)),0)</f>
        <v>0</v>
      </c>
      <c r="R83" s="1230">
        <f t="shared" si="27"/>
        <v>0</v>
      </c>
      <c r="S83" s="1287">
        <f t="shared" si="28"/>
        <v>0</v>
      </c>
      <c r="T83" s="1290">
        <f t="shared" si="29"/>
        <v>0</v>
      </c>
      <c r="U83" s="1287">
        <f t="shared" si="30"/>
        <v>0</v>
      </c>
      <c r="V83" s="1230"/>
      <c r="W83" s="1230">
        <f>IFERROR(INDEX(AA!$EN:$EN,MATCH($C83,AA!$C:$C,0)),0)</f>
        <v>0</v>
      </c>
      <c r="X83" s="1230">
        <f t="shared" si="31"/>
        <v>0</v>
      </c>
      <c r="Y83" s="1279">
        <f t="shared" si="32"/>
        <v>0</v>
      </c>
      <c r="Z83" s="1278">
        <f t="shared" si="33"/>
        <v>0</v>
      </c>
      <c r="AA83" s="1287">
        <f t="shared" si="34"/>
        <v>0</v>
      </c>
      <c r="AB83" s="258"/>
      <c r="AC83" s="261">
        <f>IFERROR(INDEX(AA!$GA:$GA,MATCH($C83,AA!$C:$C,0)),0)</f>
        <v>0</v>
      </c>
      <c r="AD83" s="261">
        <f t="shared" si="35"/>
        <v>0</v>
      </c>
      <c r="AE83" s="1287">
        <f t="shared" si="36"/>
        <v>0</v>
      </c>
      <c r="AF83" s="1278">
        <f t="shared" si="37"/>
        <v>0</v>
      </c>
      <c r="AG83" s="1287">
        <f t="shared" si="38"/>
        <v>0</v>
      </c>
      <c r="AH83" s="1230"/>
      <c r="AI83" s="261">
        <f>IFERROR(INDEX(AO!$CA:$CA,MATCH($B83,AO!$C:$C,0)),0)</f>
        <v>0</v>
      </c>
      <c r="AJ83" s="1291">
        <f>IFERROR(INDEX(PCF!$BK$60:$BK$62,MATCH($B83,PCF!$C$60:$C$62,0)),0)</f>
        <v>0</v>
      </c>
      <c r="AK83" s="1278">
        <f>IFERROR(INDEX(AO!$CC:$CC,MATCH($B83,AO!$C:$C,0)),0)</f>
        <v>0</v>
      </c>
      <c r="AL83" s="261">
        <f>IFERROR(INDEX(AO!$CE:$CE,MATCH($B83,AO!$C:$C,0)),0)</f>
        <v>0</v>
      </c>
      <c r="AM83" s="261">
        <f>IFERROR(INDEX(AO!$CN:$CN,MATCH($B83,AO!$C:$C,0)),0)</f>
        <v>0</v>
      </c>
      <c r="AN83" s="261">
        <f>IFERROR(INDEX(AO!$CS:$CS,MATCH($B83,AO!$C:$C,0)),0)</f>
        <v>0</v>
      </c>
    </row>
    <row r="84" spans="2:40">
      <c r="B84" s="73">
        <v>77</v>
      </c>
      <c r="C84" s="49">
        <f t="shared" si="26"/>
        <v>77</v>
      </c>
      <c r="D84" s="261">
        <f>IFERROR(INDEX(AA!$AC:$AC,MATCH($C84,AA!$C:$C,0)),0)</f>
        <v>0</v>
      </c>
      <c r="E84" s="261">
        <f>IFERROR(INDEX(AA!$AG:$AG,MATCH($C84,AA!$C:$C,0)),0)</f>
        <v>0</v>
      </c>
      <c r="F84" s="261">
        <f>IFERROR(INDEX(AA!$AL:$AL,MATCH($C84,AA!$C:$C,0)),0)</f>
        <v>0</v>
      </c>
      <c r="G84" s="261">
        <f>IFERROR(INDEX(AA!$AI:$AI,MATCH($C84,AA!$C:$C,0)),0)</f>
        <v>0</v>
      </c>
      <c r="H84" s="261">
        <f>IFERROR(INDEX(AA!$AN:$AN,MATCH($C84,AA!$C:$C,0)),0)</f>
        <v>0</v>
      </c>
      <c r="I84" s="261"/>
      <c r="J84" s="261">
        <f>IFERROR(INDEX(AO!$Q:$Q,MATCH($B84,AO!$C:$C,0)),0)</f>
        <v>0</v>
      </c>
      <c r="K84" s="1289">
        <f>IFERROR(INDEX(AO!$AP:$AP,MATCH($B84,AO!$C:$C,0)),0)</f>
        <v>0</v>
      </c>
      <c r="L84" s="1278">
        <f>IFERROR(INDEX(AO!$U:$U,MATCH($B84,AO!$C:$C,0)),0)</f>
        <v>0</v>
      </c>
      <c r="M84" s="261">
        <f>IFERROR(INDEX(AO!$Y:$Y,MATCH($B84,AO!$C:$C,0)),0)</f>
        <v>0</v>
      </c>
      <c r="N84" s="261">
        <f>IFERROR(INDEX(AO!$AI:$AI,MATCH($B84,AO!$C:$C,0)),0)</f>
        <v>0</v>
      </c>
      <c r="O84" s="261">
        <f>IFERROR(INDEX(AO!$AM:$AM,MATCH($B84,AO!$C:$C,0)),0)</f>
        <v>0</v>
      </c>
      <c r="Q84" s="1230">
        <f>IFERROR(INDEX(AO!$AT:$AT,MATCH($B84,AO!$C:$C,0)),0)</f>
        <v>0</v>
      </c>
      <c r="R84" s="1230">
        <f t="shared" si="27"/>
        <v>0</v>
      </c>
      <c r="S84" s="1287">
        <f t="shared" si="28"/>
        <v>0</v>
      </c>
      <c r="T84" s="1290">
        <f t="shared" si="29"/>
        <v>0</v>
      </c>
      <c r="U84" s="1287">
        <f t="shared" si="30"/>
        <v>0</v>
      </c>
      <c r="V84" s="1230"/>
      <c r="W84" s="1230">
        <f>IFERROR(INDEX(AA!$EN:$EN,MATCH($C84,AA!$C:$C,0)),0)</f>
        <v>0</v>
      </c>
      <c r="X84" s="1230">
        <f t="shared" si="31"/>
        <v>0</v>
      </c>
      <c r="Y84" s="1279">
        <f t="shared" si="32"/>
        <v>0</v>
      </c>
      <c r="Z84" s="1278">
        <f t="shared" si="33"/>
        <v>0</v>
      </c>
      <c r="AA84" s="1287">
        <f t="shared" si="34"/>
        <v>0</v>
      </c>
      <c r="AB84" s="258"/>
      <c r="AC84" s="261">
        <f>IFERROR(INDEX(AA!$GA:$GA,MATCH($C84,AA!$C:$C,0)),0)</f>
        <v>0</v>
      </c>
      <c r="AD84" s="261">
        <f t="shared" si="35"/>
        <v>0</v>
      </c>
      <c r="AE84" s="1287">
        <f t="shared" si="36"/>
        <v>0</v>
      </c>
      <c r="AF84" s="1278">
        <f t="shared" si="37"/>
        <v>0</v>
      </c>
      <c r="AG84" s="1287">
        <f t="shared" si="38"/>
        <v>0</v>
      </c>
      <c r="AH84" s="1230"/>
      <c r="AI84" s="261">
        <f>IFERROR(INDEX(AO!$CA:$CA,MATCH($B84,AO!$C:$C,0)),0)</f>
        <v>0</v>
      </c>
      <c r="AJ84" s="1291">
        <f>IFERROR(INDEX(PCF!$BK$60:$BK$62,MATCH($B84,PCF!$C$60:$C$62,0)),0)</f>
        <v>0</v>
      </c>
      <c r="AK84" s="1278">
        <f>IFERROR(INDEX(AO!$CC:$CC,MATCH($B84,AO!$C:$C,0)),0)</f>
        <v>0</v>
      </c>
      <c r="AL84" s="261">
        <f>IFERROR(INDEX(AO!$CE:$CE,MATCH($B84,AO!$C:$C,0)),0)</f>
        <v>0</v>
      </c>
      <c r="AM84" s="261">
        <f>IFERROR(INDEX(AO!$CN:$CN,MATCH($B84,AO!$C:$C,0)),0)</f>
        <v>0</v>
      </c>
      <c r="AN84" s="261">
        <f>IFERROR(INDEX(AO!$CS:$CS,MATCH($B84,AO!$C:$C,0)),0)</f>
        <v>0</v>
      </c>
    </row>
    <row r="85" spans="2:40">
      <c r="B85" s="73">
        <v>78</v>
      </c>
      <c r="C85" s="49">
        <f t="shared" si="26"/>
        <v>78</v>
      </c>
      <c r="D85" s="261">
        <f>IFERROR(INDEX(AA!$AC:$AC,MATCH($C85,AA!$C:$C,0)),0)</f>
        <v>0</v>
      </c>
      <c r="E85" s="261">
        <f>IFERROR(INDEX(AA!$AG:$AG,MATCH($C85,AA!$C:$C,0)),0)</f>
        <v>0</v>
      </c>
      <c r="F85" s="261">
        <f>IFERROR(INDEX(AA!$AL:$AL,MATCH($C85,AA!$C:$C,0)),0)</f>
        <v>0</v>
      </c>
      <c r="G85" s="261">
        <f>IFERROR(INDEX(AA!$AI:$AI,MATCH($C85,AA!$C:$C,0)),0)</f>
        <v>0</v>
      </c>
      <c r="H85" s="261">
        <f>IFERROR(INDEX(AA!$AN:$AN,MATCH($C85,AA!$C:$C,0)),0)</f>
        <v>0</v>
      </c>
      <c r="I85" s="261"/>
      <c r="J85" s="261">
        <f>IFERROR(INDEX(AO!$Q:$Q,MATCH($B85,AO!$C:$C,0)),0)</f>
        <v>0</v>
      </c>
      <c r="K85" s="1289">
        <f>IFERROR(INDEX(AO!$AP:$AP,MATCH($B85,AO!$C:$C,0)),0)</f>
        <v>0</v>
      </c>
      <c r="L85" s="1278">
        <f>IFERROR(INDEX(AO!$U:$U,MATCH($B85,AO!$C:$C,0)),0)</f>
        <v>0</v>
      </c>
      <c r="M85" s="261">
        <f>IFERROR(INDEX(AO!$Y:$Y,MATCH($B85,AO!$C:$C,0)),0)</f>
        <v>0</v>
      </c>
      <c r="N85" s="261">
        <f>IFERROR(INDEX(AO!$AI:$AI,MATCH($B85,AO!$C:$C,0)),0)</f>
        <v>0</v>
      </c>
      <c r="O85" s="261">
        <f>IFERROR(INDEX(AO!$AM:$AM,MATCH($B85,AO!$C:$C,0)),0)</f>
        <v>0</v>
      </c>
      <c r="Q85" s="1230">
        <f>IFERROR(INDEX(AO!$AT:$AT,MATCH($B85,AO!$C:$C,0)),0)</f>
        <v>0</v>
      </c>
      <c r="R85" s="1230">
        <f t="shared" si="27"/>
        <v>0</v>
      </c>
      <c r="S85" s="1287">
        <f t="shared" si="28"/>
        <v>0</v>
      </c>
      <c r="T85" s="1290">
        <f t="shared" si="29"/>
        <v>0</v>
      </c>
      <c r="U85" s="1287">
        <f t="shared" si="30"/>
        <v>0</v>
      </c>
      <c r="V85" s="1230"/>
      <c r="W85" s="1230">
        <f>IFERROR(INDEX(AA!$EN:$EN,MATCH($C85,AA!$C:$C,0)),0)</f>
        <v>0</v>
      </c>
      <c r="X85" s="1230">
        <f t="shared" si="31"/>
        <v>0</v>
      </c>
      <c r="Y85" s="1279">
        <f t="shared" si="32"/>
        <v>0</v>
      </c>
      <c r="Z85" s="1278">
        <f t="shared" si="33"/>
        <v>0</v>
      </c>
      <c r="AA85" s="1287">
        <f t="shared" si="34"/>
        <v>0</v>
      </c>
      <c r="AB85" s="258"/>
      <c r="AC85" s="261">
        <f>IFERROR(INDEX(AA!$GA:$GA,MATCH($C85,AA!$C:$C,0)),0)</f>
        <v>0</v>
      </c>
      <c r="AD85" s="261">
        <f t="shared" si="35"/>
        <v>0</v>
      </c>
      <c r="AE85" s="1287">
        <f t="shared" si="36"/>
        <v>0</v>
      </c>
      <c r="AF85" s="1278">
        <f t="shared" si="37"/>
        <v>0</v>
      </c>
      <c r="AG85" s="1287">
        <f t="shared" si="38"/>
        <v>0</v>
      </c>
      <c r="AH85" s="1230"/>
      <c r="AI85" s="261">
        <f>IFERROR(INDEX(AO!$CA:$CA,MATCH($B85,AO!$C:$C,0)),0)</f>
        <v>0</v>
      </c>
      <c r="AJ85" s="1291">
        <f>IFERROR(INDEX(PCF!$BK$60:$BK$62,MATCH($B85,PCF!$C$60:$C$62,0)),0)</f>
        <v>0</v>
      </c>
      <c r="AK85" s="1278">
        <f>IFERROR(INDEX(AO!$CC:$CC,MATCH($B85,AO!$C:$C,0)),0)</f>
        <v>0</v>
      </c>
      <c r="AL85" s="261">
        <f>IFERROR(INDEX(AO!$CE:$CE,MATCH($B85,AO!$C:$C,0)),0)</f>
        <v>0</v>
      </c>
      <c r="AM85" s="261">
        <f>IFERROR(INDEX(AO!$CN:$CN,MATCH($B85,AO!$C:$C,0)),0)</f>
        <v>0</v>
      </c>
      <c r="AN85" s="261">
        <f>IFERROR(INDEX(AO!$CS:$CS,MATCH($B85,AO!$C:$C,0)),0)</f>
        <v>0</v>
      </c>
    </row>
    <row r="86" spans="2:40">
      <c r="B86" s="73">
        <v>79</v>
      </c>
      <c r="C86" s="49">
        <f t="shared" si="26"/>
        <v>79</v>
      </c>
      <c r="D86" s="261">
        <f>IFERROR(INDEX(AA!$AC:$AC,MATCH($C86,AA!$C:$C,0)),0)</f>
        <v>0</v>
      </c>
      <c r="E86" s="261">
        <f>IFERROR(INDEX(AA!$AG:$AG,MATCH($C86,AA!$C:$C,0)),0)</f>
        <v>0</v>
      </c>
      <c r="F86" s="261">
        <f>IFERROR(INDEX(AA!$AL:$AL,MATCH($C86,AA!$C:$C,0)),0)</f>
        <v>0</v>
      </c>
      <c r="G86" s="261">
        <f>IFERROR(INDEX(AA!$AI:$AI,MATCH($C86,AA!$C:$C,0)),0)</f>
        <v>0</v>
      </c>
      <c r="H86" s="261">
        <f>IFERROR(INDEX(AA!$AN:$AN,MATCH($C86,AA!$C:$C,0)),0)</f>
        <v>0</v>
      </c>
      <c r="I86" s="261"/>
      <c r="J86" s="261">
        <f>IFERROR(INDEX(AO!$Q:$Q,MATCH($B86,AO!$C:$C,0)),0)</f>
        <v>0</v>
      </c>
      <c r="K86" s="1289">
        <f>IFERROR(INDEX(AO!$AP:$AP,MATCH($B86,AO!$C:$C,0)),0)</f>
        <v>0</v>
      </c>
      <c r="L86" s="1278">
        <f>IFERROR(INDEX(AO!$U:$U,MATCH($B86,AO!$C:$C,0)),0)</f>
        <v>0</v>
      </c>
      <c r="M86" s="261">
        <f>IFERROR(INDEX(AO!$Y:$Y,MATCH($B86,AO!$C:$C,0)),0)</f>
        <v>0</v>
      </c>
      <c r="N86" s="261">
        <f>IFERROR(INDEX(AO!$AI:$AI,MATCH($B86,AO!$C:$C,0)),0)</f>
        <v>0</v>
      </c>
      <c r="O86" s="261">
        <f>IFERROR(INDEX(AO!$AM:$AM,MATCH($B86,AO!$C:$C,0)),0)</f>
        <v>0</v>
      </c>
      <c r="Q86" s="1230">
        <f>IFERROR(INDEX(AO!$AT:$AT,MATCH($B86,AO!$C:$C,0)),0)</f>
        <v>0</v>
      </c>
      <c r="R86" s="1230">
        <f t="shared" si="27"/>
        <v>0</v>
      </c>
      <c r="S86" s="1287">
        <f t="shared" si="28"/>
        <v>0</v>
      </c>
      <c r="T86" s="1290">
        <f t="shared" si="29"/>
        <v>0</v>
      </c>
      <c r="U86" s="1287">
        <f t="shared" si="30"/>
        <v>0</v>
      </c>
      <c r="V86" s="1230"/>
      <c r="W86" s="1230">
        <f>IFERROR(INDEX(AA!$EN:$EN,MATCH($C86,AA!$C:$C,0)),0)</f>
        <v>0</v>
      </c>
      <c r="X86" s="1230">
        <f t="shared" si="31"/>
        <v>0</v>
      </c>
      <c r="Y86" s="1279">
        <f t="shared" si="32"/>
        <v>0</v>
      </c>
      <c r="Z86" s="1278">
        <f t="shared" si="33"/>
        <v>0</v>
      </c>
      <c r="AA86" s="1287">
        <f t="shared" si="34"/>
        <v>0</v>
      </c>
      <c r="AB86" s="258"/>
      <c r="AC86" s="261">
        <f>IFERROR(INDEX(AA!$GA:$GA,MATCH($C86,AA!$C:$C,0)),0)</f>
        <v>0</v>
      </c>
      <c r="AD86" s="261">
        <f t="shared" si="35"/>
        <v>0</v>
      </c>
      <c r="AE86" s="1287">
        <f t="shared" si="36"/>
        <v>0</v>
      </c>
      <c r="AF86" s="1278">
        <f t="shared" si="37"/>
        <v>0</v>
      </c>
      <c r="AG86" s="1287">
        <f t="shared" si="38"/>
        <v>0</v>
      </c>
      <c r="AH86" s="1230"/>
      <c r="AI86" s="261">
        <f>IFERROR(INDEX(AO!$CA:$CA,MATCH($B86,AO!$C:$C,0)),0)</f>
        <v>0</v>
      </c>
      <c r="AJ86" s="1291">
        <f>IFERROR(INDEX(PCF!$BK$60:$BK$62,MATCH($B86,PCF!$C$60:$C$62,0)),0)</f>
        <v>0</v>
      </c>
      <c r="AK86" s="1278">
        <f>IFERROR(INDEX(AO!$CC:$CC,MATCH($B86,AO!$C:$C,0)),0)</f>
        <v>0</v>
      </c>
      <c r="AL86" s="261">
        <f>IFERROR(INDEX(AO!$CE:$CE,MATCH($B86,AO!$C:$C,0)),0)</f>
        <v>0</v>
      </c>
      <c r="AM86" s="261">
        <f>IFERROR(INDEX(AO!$CN:$CN,MATCH($B86,AO!$C:$C,0)),0)</f>
        <v>0</v>
      </c>
      <c r="AN86" s="261">
        <f>IFERROR(INDEX(AO!$CS:$CS,MATCH($B86,AO!$C:$C,0)),0)</f>
        <v>0</v>
      </c>
    </row>
    <row r="87" spans="2:40">
      <c r="B87" s="73">
        <v>80</v>
      </c>
      <c r="C87" s="49">
        <f t="shared" si="26"/>
        <v>80</v>
      </c>
      <c r="D87" s="261">
        <f>IFERROR(INDEX(AA!$AC:$AC,MATCH($C87,AA!$C:$C,0)),0)</f>
        <v>0</v>
      </c>
      <c r="E87" s="261">
        <f>IFERROR(INDEX(AA!$AG:$AG,MATCH($C87,AA!$C:$C,0)),0)</f>
        <v>0</v>
      </c>
      <c r="F87" s="261">
        <f>IFERROR(INDEX(AA!$AL:$AL,MATCH($C87,AA!$C:$C,0)),0)</f>
        <v>0</v>
      </c>
      <c r="G87" s="261">
        <f>IFERROR(INDEX(AA!$AI:$AI,MATCH($C87,AA!$C:$C,0)),0)</f>
        <v>0</v>
      </c>
      <c r="H87" s="261">
        <f>IFERROR(INDEX(AA!$AN:$AN,MATCH($C87,AA!$C:$C,0)),0)</f>
        <v>0</v>
      </c>
      <c r="I87" s="261"/>
      <c r="J87" s="261">
        <f>IFERROR(INDEX(AO!$Q:$Q,MATCH($B87,AO!$C:$C,0)),0)</f>
        <v>0</v>
      </c>
      <c r="K87" s="1289">
        <f>IFERROR(INDEX(AO!$AP:$AP,MATCH($B87,AO!$C:$C,0)),0)</f>
        <v>0</v>
      </c>
      <c r="L87" s="1278">
        <f>IFERROR(INDEX(AO!$U:$U,MATCH($B87,AO!$C:$C,0)),0)</f>
        <v>0</v>
      </c>
      <c r="M87" s="261">
        <f>IFERROR(INDEX(AO!$Y:$Y,MATCH($B87,AO!$C:$C,0)),0)</f>
        <v>0</v>
      </c>
      <c r="N87" s="261">
        <f>IFERROR(INDEX(AO!$AI:$AI,MATCH($B87,AO!$C:$C,0)),0)</f>
        <v>0</v>
      </c>
      <c r="O87" s="261">
        <f>IFERROR(INDEX(AO!$AM:$AM,MATCH($B87,AO!$C:$C,0)),0)</f>
        <v>0</v>
      </c>
      <c r="Q87" s="1230">
        <f>IFERROR(INDEX(AO!$AT:$AT,MATCH($B87,AO!$C:$C,0)),0)</f>
        <v>0</v>
      </c>
      <c r="R87" s="1230">
        <f t="shared" si="27"/>
        <v>0</v>
      </c>
      <c r="S87" s="1287">
        <f t="shared" si="28"/>
        <v>0</v>
      </c>
      <c r="T87" s="1290">
        <f t="shared" si="29"/>
        <v>0</v>
      </c>
      <c r="U87" s="1287">
        <f t="shared" si="30"/>
        <v>0</v>
      </c>
      <c r="V87" s="1230"/>
      <c r="W87" s="1230">
        <f>IFERROR(INDEX(AA!$EN:$EN,MATCH($C87,AA!$C:$C,0)),0)</f>
        <v>0</v>
      </c>
      <c r="X87" s="1230">
        <f t="shared" si="31"/>
        <v>0</v>
      </c>
      <c r="Y87" s="1279">
        <f t="shared" si="32"/>
        <v>0</v>
      </c>
      <c r="Z87" s="1278">
        <f t="shared" si="33"/>
        <v>0</v>
      </c>
      <c r="AA87" s="1287">
        <f t="shared" si="34"/>
        <v>0</v>
      </c>
      <c r="AB87" s="258"/>
      <c r="AC87" s="261">
        <f>IFERROR(INDEX(AA!$GA:$GA,MATCH($C87,AA!$C:$C,0)),0)</f>
        <v>0</v>
      </c>
      <c r="AD87" s="261">
        <f t="shared" si="35"/>
        <v>0</v>
      </c>
      <c r="AE87" s="1287">
        <f t="shared" si="36"/>
        <v>0</v>
      </c>
      <c r="AF87" s="1278">
        <f t="shared" si="37"/>
        <v>0</v>
      </c>
      <c r="AG87" s="1287">
        <f t="shared" si="38"/>
        <v>0</v>
      </c>
      <c r="AH87" s="1230"/>
      <c r="AI87" s="261">
        <f>IFERROR(INDEX(AO!$CA:$CA,MATCH($B87,AO!$C:$C,0)),0)</f>
        <v>0</v>
      </c>
      <c r="AJ87" s="1291">
        <f>IFERROR(INDEX(PCF!$BK$60:$BK$62,MATCH($B87,PCF!$C$60:$C$62,0)),0)</f>
        <v>0</v>
      </c>
      <c r="AK87" s="1278">
        <f>IFERROR(INDEX(AO!$CC:$CC,MATCH($B87,AO!$C:$C,0)),0)</f>
        <v>0</v>
      </c>
      <c r="AL87" s="261">
        <f>IFERROR(INDEX(AO!$CE:$CE,MATCH($B87,AO!$C:$C,0)),0)</f>
        <v>0</v>
      </c>
      <c r="AM87" s="261">
        <f>IFERROR(INDEX(AO!$CN:$CN,MATCH($B87,AO!$C:$C,0)),0)</f>
        <v>0</v>
      </c>
      <c r="AN87" s="261">
        <f>IFERROR(INDEX(AO!$CS:$CS,MATCH($B87,AO!$C:$C,0)),0)</f>
        <v>0</v>
      </c>
    </row>
    <row r="88" spans="2:40">
      <c r="B88" s="73">
        <v>81</v>
      </c>
      <c r="C88" s="49">
        <f t="shared" si="26"/>
        <v>81</v>
      </c>
      <c r="D88" s="261">
        <f>IFERROR(INDEX(AA!$AC:$AC,MATCH($C88,AA!$C:$C,0)),0)</f>
        <v>0</v>
      </c>
      <c r="E88" s="261">
        <f>IFERROR(INDEX(AA!$AG:$AG,MATCH($C88,AA!$C:$C,0)),0)</f>
        <v>0</v>
      </c>
      <c r="F88" s="261">
        <f>IFERROR(INDEX(AA!$AL:$AL,MATCH($C88,AA!$C:$C,0)),0)</f>
        <v>0</v>
      </c>
      <c r="G88" s="261">
        <f>IFERROR(INDEX(AA!$AI:$AI,MATCH($C88,AA!$C:$C,0)),0)</f>
        <v>0</v>
      </c>
      <c r="H88" s="261">
        <f>IFERROR(INDEX(AA!$AN:$AN,MATCH($C88,AA!$C:$C,0)),0)</f>
        <v>0</v>
      </c>
      <c r="I88" s="261"/>
      <c r="J88" s="261">
        <f>IFERROR(INDEX(AO!$Q:$Q,MATCH($B88,AO!$C:$C,0)),0)</f>
        <v>0</v>
      </c>
      <c r="K88" s="1289">
        <f>IFERROR(INDEX(AO!$AP:$AP,MATCH($B88,AO!$C:$C,0)),0)</f>
        <v>0</v>
      </c>
      <c r="L88" s="1278">
        <f>IFERROR(INDEX(AO!$U:$U,MATCH($B88,AO!$C:$C,0)),0)</f>
        <v>0</v>
      </c>
      <c r="M88" s="261">
        <f>IFERROR(INDEX(AO!$Y:$Y,MATCH($B88,AO!$C:$C,0)),0)</f>
        <v>0</v>
      </c>
      <c r="N88" s="261">
        <f>IFERROR(INDEX(AO!$AI:$AI,MATCH($B88,AO!$C:$C,0)),0)</f>
        <v>0</v>
      </c>
      <c r="O88" s="261">
        <f>IFERROR(INDEX(AO!$AM:$AM,MATCH($B88,AO!$C:$C,0)),0)</f>
        <v>0</v>
      </c>
      <c r="Q88" s="1230">
        <f>IFERROR(INDEX(AO!$AT:$AT,MATCH($B88,AO!$C:$C,0)),0)</f>
        <v>0</v>
      </c>
      <c r="R88" s="1230">
        <f t="shared" si="27"/>
        <v>0</v>
      </c>
      <c r="S88" s="1287">
        <f t="shared" si="28"/>
        <v>0</v>
      </c>
      <c r="T88" s="1290">
        <f t="shared" si="29"/>
        <v>0</v>
      </c>
      <c r="U88" s="1287">
        <f t="shared" si="30"/>
        <v>0</v>
      </c>
      <c r="V88" s="1230"/>
      <c r="W88" s="1230">
        <f>IFERROR(INDEX(AA!$EN:$EN,MATCH($C88,AA!$C:$C,0)),0)</f>
        <v>0</v>
      </c>
      <c r="X88" s="1230">
        <f t="shared" si="31"/>
        <v>0</v>
      </c>
      <c r="Y88" s="1279">
        <f t="shared" si="32"/>
        <v>0</v>
      </c>
      <c r="Z88" s="1278">
        <f t="shared" si="33"/>
        <v>0</v>
      </c>
      <c r="AA88" s="1287">
        <f t="shared" si="34"/>
        <v>0</v>
      </c>
      <c r="AB88" s="258"/>
      <c r="AC88" s="261">
        <f>IFERROR(INDEX(AA!$GA:$GA,MATCH($C88,AA!$C:$C,0)),0)</f>
        <v>0</v>
      </c>
      <c r="AD88" s="261">
        <f t="shared" si="35"/>
        <v>0</v>
      </c>
      <c r="AE88" s="1287">
        <f t="shared" si="36"/>
        <v>0</v>
      </c>
      <c r="AF88" s="1278">
        <f t="shared" si="37"/>
        <v>0</v>
      </c>
      <c r="AG88" s="1287">
        <f t="shared" si="38"/>
        <v>0</v>
      </c>
      <c r="AH88" s="1230"/>
      <c r="AI88" s="261">
        <f>IFERROR(INDEX(AO!$CA:$CA,MATCH($B88,AO!$C:$C,0)),0)</f>
        <v>0</v>
      </c>
      <c r="AJ88" s="1291">
        <f>IFERROR(INDEX(PCF!$BK$60:$BK$62,MATCH($B88,PCF!$C$60:$C$62,0)),0)</f>
        <v>0</v>
      </c>
      <c r="AK88" s="1278">
        <f>IFERROR(INDEX(AO!$CC:$CC,MATCH($B88,AO!$C:$C,0)),0)</f>
        <v>0</v>
      </c>
      <c r="AL88" s="261">
        <f>IFERROR(INDEX(AO!$CE:$CE,MATCH($B88,AO!$C:$C,0)),0)</f>
        <v>0</v>
      </c>
      <c r="AM88" s="261">
        <f>IFERROR(INDEX(AO!$CN:$CN,MATCH($B88,AO!$C:$C,0)),0)</f>
        <v>0</v>
      </c>
      <c r="AN88" s="261">
        <f>IFERROR(INDEX(AO!$CS:$CS,MATCH($B88,AO!$C:$C,0)),0)</f>
        <v>0</v>
      </c>
    </row>
    <row r="89" spans="2:40">
      <c r="B89" s="73">
        <v>82</v>
      </c>
      <c r="C89" s="49">
        <f t="shared" si="26"/>
        <v>82</v>
      </c>
      <c r="D89" s="261">
        <f>IFERROR(INDEX(AA!$AC:$AC,MATCH($C89,AA!$C:$C,0)),0)</f>
        <v>0</v>
      </c>
      <c r="E89" s="261">
        <f>IFERROR(INDEX(AA!$AG:$AG,MATCH($C89,AA!$C:$C,0)),0)</f>
        <v>0</v>
      </c>
      <c r="F89" s="261">
        <f>IFERROR(INDEX(AA!$AL:$AL,MATCH($C89,AA!$C:$C,0)),0)</f>
        <v>0</v>
      </c>
      <c r="G89" s="261">
        <f>IFERROR(INDEX(AA!$AI:$AI,MATCH($C89,AA!$C:$C,0)),0)</f>
        <v>0</v>
      </c>
      <c r="H89" s="261">
        <f>IFERROR(INDEX(AA!$AN:$AN,MATCH($C89,AA!$C:$C,0)),0)</f>
        <v>0</v>
      </c>
      <c r="I89" s="261"/>
      <c r="J89" s="261">
        <f>IFERROR(INDEX(AO!$Q:$Q,MATCH($B89,AO!$C:$C,0)),0)</f>
        <v>0</v>
      </c>
      <c r="K89" s="1289">
        <f>IFERROR(INDEX(AO!$AP:$AP,MATCH($B89,AO!$C:$C,0)),0)</f>
        <v>0</v>
      </c>
      <c r="L89" s="1278">
        <f>IFERROR(INDEX(AO!$U:$U,MATCH($B89,AO!$C:$C,0)),0)</f>
        <v>0</v>
      </c>
      <c r="M89" s="261">
        <f>IFERROR(INDEX(AO!$Y:$Y,MATCH($B89,AO!$C:$C,0)),0)</f>
        <v>0</v>
      </c>
      <c r="N89" s="261">
        <f>IFERROR(INDEX(AO!$AI:$AI,MATCH($B89,AO!$C:$C,0)),0)</f>
        <v>0</v>
      </c>
      <c r="O89" s="261">
        <f>IFERROR(INDEX(AO!$AM:$AM,MATCH($B89,AO!$C:$C,0)),0)</f>
        <v>0</v>
      </c>
      <c r="Q89" s="1230">
        <f>IFERROR(INDEX(AO!$AT:$AT,MATCH($B89,AO!$C:$C,0)),0)</f>
        <v>0</v>
      </c>
      <c r="R89" s="1230">
        <f t="shared" si="27"/>
        <v>0</v>
      </c>
      <c r="S89" s="1287">
        <f t="shared" si="28"/>
        <v>0</v>
      </c>
      <c r="T89" s="1290">
        <f t="shared" si="29"/>
        <v>0</v>
      </c>
      <c r="U89" s="1287">
        <f t="shared" si="30"/>
        <v>0</v>
      </c>
      <c r="V89" s="1230"/>
      <c r="W89" s="1230">
        <f>IFERROR(INDEX(AA!$EN:$EN,MATCH($C89,AA!$C:$C,0)),0)</f>
        <v>0</v>
      </c>
      <c r="X89" s="1230">
        <f t="shared" si="31"/>
        <v>0</v>
      </c>
      <c r="Y89" s="1279">
        <f t="shared" si="32"/>
        <v>0</v>
      </c>
      <c r="Z89" s="1278">
        <f t="shared" si="33"/>
        <v>0</v>
      </c>
      <c r="AA89" s="1287">
        <f t="shared" si="34"/>
        <v>0</v>
      </c>
      <c r="AB89" s="258"/>
      <c r="AC89" s="261">
        <f>IFERROR(INDEX(AA!$GA:$GA,MATCH($C89,AA!$C:$C,0)),0)</f>
        <v>0</v>
      </c>
      <c r="AD89" s="261">
        <f t="shared" si="35"/>
        <v>0</v>
      </c>
      <c r="AE89" s="1287">
        <f t="shared" si="36"/>
        <v>0</v>
      </c>
      <c r="AF89" s="1278">
        <f t="shared" si="37"/>
        <v>0</v>
      </c>
      <c r="AG89" s="1287">
        <f t="shared" si="38"/>
        <v>0</v>
      </c>
      <c r="AH89" s="1230"/>
      <c r="AI89" s="261">
        <f>IFERROR(INDEX(AO!$CA:$CA,MATCH($B89,AO!$C:$C,0)),0)</f>
        <v>0</v>
      </c>
      <c r="AJ89" s="1291">
        <f>IFERROR(INDEX(PCF!$BK$60:$BK$62,MATCH($B89,PCF!$C$60:$C$62,0)),0)</f>
        <v>0</v>
      </c>
      <c r="AK89" s="1278">
        <f>IFERROR(INDEX(AO!$CC:$CC,MATCH($B89,AO!$C:$C,0)),0)</f>
        <v>0</v>
      </c>
      <c r="AL89" s="261">
        <f>IFERROR(INDEX(AO!$CE:$CE,MATCH($B89,AO!$C:$C,0)),0)</f>
        <v>0</v>
      </c>
      <c r="AM89" s="261">
        <f>IFERROR(INDEX(AO!$CN:$CN,MATCH($B89,AO!$C:$C,0)),0)</f>
        <v>0</v>
      </c>
      <c r="AN89" s="261">
        <f>IFERROR(INDEX(AO!$CS:$CS,MATCH($B89,AO!$C:$C,0)),0)</f>
        <v>0</v>
      </c>
    </row>
    <row r="90" spans="2:40">
      <c r="B90" s="73">
        <v>83</v>
      </c>
      <c r="C90" s="49">
        <f t="shared" si="26"/>
        <v>83</v>
      </c>
      <c r="D90" s="261">
        <f>IFERROR(INDEX(AA!$AC:$AC,MATCH($C90,AA!$C:$C,0)),0)</f>
        <v>0</v>
      </c>
      <c r="E90" s="261">
        <f>IFERROR(INDEX(AA!$AG:$AG,MATCH($C90,AA!$C:$C,0)),0)</f>
        <v>0</v>
      </c>
      <c r="F90" s="261">
        <f>IFERROR(INDEX(AA!$AL:$AL,MATCH($C90,AA!$C:$C,0)),0)</f>
        <v>0</v>
      </c>
      <c r="G90" s="261">
        <f>IFERROR(INDEX(AA!$AI:$AI,MATCH($C90,AA!$C:$C,0)),0)</f>
        <v>0</v>
      </c>
      <c r="H90" s="261">
        <f>IFERROR(INDEX(AA!$AN:$AN,MATCH($C90,AA!$C:$C,0)),0)</f>
        <v>0</v>
      </c>
      <c r="I90" s="261"/>
      <c r="J90" s="261">
        <f>IFERROR(INDEX(AO!$Q:$Q,MATCH($B90,AO!$C:$C,0)),0)</f>
        <v>0</v>
      </c>
      <c r="K90" s="1289">
        <f>IFERROR(INDEX(AO!$AP:$AP,MATCH($B90,AO!$C:$C,0)),0)</f>
        <v>0</v>
      </c>
      <c r="L90" s="1278">
        <f>IFERROR(INDEX(AO!$U:$U,MATCH($B90,AO!$C:$C,0)),0)</f>
        <v>0</v>
      </c>
      <c r="M90" s="261">
        <f>IFERROR(INDEX(AO!$Y:$Y,MATCH($B90,AO!$C:$C,0)),0)</f>
        <v>0</v>
      </c>
      <c r="N90" s="261">
        <f>IFERROR(INDEX(AO!$AI:$AI,MATCH($B90,AO!$C:$C,0)),0)</f>
        <v>0</v>
      </c>
      <c r="O90" s="261">
        <f>IFERROR(INDEX(AO!$AM:$AM,MATCH($B90,AO!$C:$C,0)),0)</f>
        <v>0</v>
      </c>
      <c r="Q90" s="1230">
        <f>IFERROR(INDEX(AO!$AT:$AT,MATCH($B90,AO!$C:$C,0)),0)</f>
        <v>0</v>
      </c>
      <c r="R90" s="1230">
        <f t="shared" si="27"/>
        <v>0</v>
      </c>
      <c r="S90" s="1287">
        <f t="shared" si="28"/>
        <v>0</v>
      </c>
      <c r="T90" s="1290">
        <f t="shared" si="29"/>
        <v>0</v>
      </c>
      <c r="U90" s="1287">
        <f t="shared" si="30"/>
        <v>0</v>
      </c>
      <c r="V90" s="1230"/>
      <c r="W90" s="1230">
        <f>IFERROR(INDEX(AA!$EN:$EN,MATCH($C90,AA!$C:$C,0)),0)</f>
        <v>0</v>
      </c>
      <c r="X90" s="1230">
        <f t="shared" si="31"/>
        <v>0</v>
      </c>
      <c r="Y90" s="1279">
        <f t="shared" si="32"/>
        <v>0</v>
      </c>
      <c r="Z90" s="1278">
        <f t="shared" si="33"/>
        <v>0</v>
      </c>
      <c r="AA90" s="1287">
        <f t="shared" si="34"/>
        <v>0</v>
      </c>
      <c r="AB90" s="258"/>
      <c r="AC90" s="261">
        <f>IFERROR(INDEX(AA!$GA:$GA,MATCH($C90,AA!$C:$C,0)),0)</f>
        <v>0</v>
      </c>
      <c r="AD90" s="261">
        <f t="shared" si="35"/>
        <v>0</v>
      </c>
      <c r="AE90" s="1287">
        <f t="shared" si="36"/>
        <v>0</v>
      </c>
      <c r="AF90" s="1278">
        <f t="shared" si="37"/>
        <v>0</v>
      </c>
      <c r="AG90" s="1287">
        <f t="shared" si="38"/>
        <v>0</v>
      </c>
      <c r="AH90" s="1230"/>
      <c r="AI90" s="261">
        <f>IFERROR(INDEX(AO!$CA:$CA,MATCH($B90,AO!$C:$C,0)),0)</f>
        <v>0</v>
      </c>
      <c r="AJ90" s="1291">
        <f>IFERROR(INDEX(PCF!$BK$60:$BK$62,MATCH($B90,PCF!$C$60:$C$62,0)),0)</f>
        <v>0</v>
      </c>
      <c r="AK90" s="1278">
        <f>IFERROR(INDEX(AO!$CC:$CC,MATCH($B90,AO!$C:$C,0)),0)</f>
        <v>0</v>
      </c>
      <c r="AL90" s="261">
        <f>IFERROR(INDEX(AO!$CE:$CE,MATCH($B90,AO!$C:$C,0)),0)</f>
        <v>0</v>
      </c>
      <c r="AM90" s="261">
        <f>IFERROR(INDEX(AO!$CN:$CN,MATCH($B90,AO!$C:$C,0)),0)</f>
        <v>0</v>
      </c>
      <c r="AN90" s="261">
        <f>IFERROR(INDEX(AO!$CS:$CS,MATCH($B90,AO!$C:$C,0)),0)</f>
        <v>0</v>
      </c>
    </row>
    <row r="91" spans="2:40">
      <c r="B91" s="73">
        <v>84</v>
      </c>
      <c r="C91" s="49">
        <f t="shared" si="26"/>
        <v>84</v>
      </c>
      <c r="D91" s="261">
        <f>IFERROR(INDEX(AA!$AC:$AC,MATCH($C91,AA!$C:$C,0)),0)</f>
        <v>0</v>
      </c>
      <c r="E91" s="261">
        <f>IFERROR(INDEX(AA!$AG:$AG,MATCH($C91,AA!$C:$C,0)),0)</f>
        <v>0</v>
      </c>
      <c r="F91" s="261">
        <f>IFERROR(INDEX(AA!$AL:$AL,MATCH($C91,AA!$C:$C,0)),0)</f>
        <v>0</v>
      </c>
      <c r="G91" s="261">
        <f>IFERROR(INDEX(AA!$AI:$AI,MATCH($C91,AA!$C:$C,0)),0)</f>
        <v>0</v>
      </c>
      <c r="H91" s="261">
        <f>IFERROR(INDEX(AA!$AN:$AN,MATCH($C91,AA!$C:$C,0)),0)</f>
        <v>0</v>
      </c>
      <c r="I91" s="261"/>
      <c r="J91" s="261">
        <f>IFERROR(INDEX(AO!$Q:$Q,MATCH($B91,AO!$C:$C,0)),0)</f>
        <v>0</v>
      </c>
      <c r="K91" s="1289">
        <f>IFERROR(INDEX(AO!$AP:$AP,MATCH($B91,AO!$C:$C,0)),0)</f>
        <v>0</v>
      </c>
      <c r="L91" s="1278">
        <f>IFERROR(INDEX(AO!$U:$U,MATCH($B91,AO!$C:$C,0)),0)</f>
        <v>0</v>
      </c>
      <c r="M91" s="261">
        <f>IFERROR(INDEX(AO!$Y:$Y,MATCH($B91,AO!$C:$C,0)),0)</f>
        <v>0</v>
      </c>
      <c r="N91" s="261">
        <f>IFERROR(INDEX(AO!$AI:$AI,MATCH($B91,AO!$C:$C,0)),0)</f>
        <v>0</v>
      </c>
      <c r="O91" s="261">
        <f>IFERROR(INDEX(AO!$AM:$AM,MATCH($B91,AO!$C:$C,0)),0)</f>
        <v>0</v>
      </c>
      <c r="Q91" s="1230">
        <f>IFERROR(INDEX(AO!$AT:$AT,MATCH($B91,AO!$C:$C,0)),0)</f>
        <v>0</v>
      </c>
      <c r="R91" s="1230">
        <f t="shared" si="27"/>
        <v>0</v>
      </c>
      <c r="S91" s="1287">
        <f t="shared" si="28"/>
        <v>0</v>
      </c>
      <c r="T91" s="1290">
        <f t="shared" si="29"/>
        <v>0</v>
      </c>
      <c r="U91" s="1287">
        <f t="shared" si="30"/>
        <v>0</v>
      </c>
      <c r="V91" s="1230"/>
      <c r="W91" s="1230">
        <f>IFERROR(INDEX(AA!$EN:$EN,MATCH($C91,AA!$C:$C,0)),0)</f>
        <v>0</v>
      </c>
      <c r="X91" s="1230">
        <f t="shared" si="31"/>
        <v>0</v>
      </c>
      <c r="Y91" s="1279">
        <f t="shared" si="32"/>
        <v>0</v>
      </c>
      <c r="Z91" s="1278">
        <f t="shared" si="33"/>
        <v>0</v>
      </c>
      <c r="AA91" s="1287">
        <f t="shared" si="34"/>
        <v>0</v>
      </c>
      <c r="AB91" s="258"/>
      <c r="AC91" s="261">
        <f>IFERROR(INDEX(AA!$GA:$GA,MATCH($C91,AA!$C:$C,0)),0)</f>
        <v>0</v>
      </c>
      <c r="AD91" s="261">
        <f t="shared" si="35"/>
        <v>0</v>
      </c>
      <c r="AE91" s="1287">
        <f t="shared" si="36"/>
        <v>0</v>
      </c>
      <c r="AF91" s="1278">
        <f t="shared" si="37"/>
        <v>0</v>
      </c>
      <c r="AG91" s="1287">
        <f t="shared" si="38"/>
        <v>0</v>
      </c>
      <c r="AH91" s="1230"/>
      <c r="AI91" s="261">
        <f>IFERROR(INDEX(AO!$CA:$CA,MATCH($B91,AO!$C:$C,0)),0)</f>
        <v>0</v>
      </c>
      <c r="AJ91" s="1291">
        <f>IFERROR(INDEX(PCF!$BK$60:$BK$62,MATCH($B91,PCF!$C$60:$C$62,0)),0)</f>
        <v>0</v>
      </c>
      <c r="AK91" s="1278">
        <f>IFERROR(INDEX(AO!$CC:$CC,MATCH($B91,AO!$C:$C,0)),0)</f>
        <v>0</v>
      </c>
      <c r="AL91" s="261">
        <f>IFERROR(INDEX(AO!$CE:$CE,MATCH($B91,AO!$C:$C,0)),0)</f>
        <v>0</v>
      </c>
      <c r="AM91" s="261">
        <f>IFERROR(INDEX(AO!$CN:$CN,MATCH($B91,AO!$C:$C,0)),0)</f>
        <v>0</v>
      </c>
      <c r="AN91" s="261">
        <f>IFERROR(INDEX(AO!$CS:$CS,MATCH($B91,AO!$C:$C,0)),0)</f>
        <v>0</v>
      </c>
    </row>
    <row r="92" spans="2:40">
      <c r="B92" s="73">
        <v>85</v>
      </c>
      <c r="C92" s="49">
        <f t="shared" si="26"/>
        <v>85</v>
      </c>
      <c r="D92" s="261">
        <f>IFERROR(INDEX(AA!$AC:$AC,MATCH($C92,AA!$C:$C,0)),0)</f>
        <v>0</v>
      </c>
      <c r="E92" s="261">
        <f>IFERROR(INDEX(AA!$AG:$AG,MATCH($C92,AA!$C:$C,0)),0)</f>
        <v>0</v>
      </c>
      <c r="F92" s="261">
        <f>IFERROR(INDEX(AA!$AL:$AL,MATCH($C92,AA!$C:$C,0)),0)</f>
        <v>0</v>
      </c>
      <c r="G92" s="261">
        <f>IFERROR(INDEX(AA!$AI:$AI,MATCH($C92,AA!$C:$C,0)),0)</f>
        <v>0</v>
      </c>
      <c r="H92" s="261">
        <f>IFERROR(INDEX(AA!$AN:$AN,MATCH($C92,AA!$C:$C,0)),0)</f>
        <v>0</v>
      </c>
      <c r="I92" s="261"/>
      <c r="J92" s="261">
        <f>IFERROR(INDEX(AO!$Q:$Q,MATCH($B92,AO!$C:$C,0)),0)</f>
        <v>0</v>
      </c>
      <c r="K92" s="1289">
        <f>IFERROR(INDEX(AO!$AP:$AP,MATCH($B92,AO!$C:$C,0)),0)</f>
        <v>0</v>
      </c>
      <c r="L92" s="1278">
        <f>IFERROR(INDEX(AO!$U:$U,MATCH($B92,AO!$C:$C,0)),0)</f>
        <v>0</v>
      </c>
      <c r="M92" s="261">
        <f>IFERROR(INDEX(AO!$Y:$Y,MATCH($B92,AO!$C:$C,0)),0)</f>
        <v>0</v>
      </c>
      <c r="N92" s="261">
        <f>IFERROR(INDEX(AO!$AI:$AI,MATCH($B92,AO!$C:$C,0)),0)</f>
        <v>0</v>
      </c>
      <c r="O92" s="261">
        <f>IFERROR(INDEX(AO!$AM:$AM,MATCH($B92,AO!$C:$C,0)),0)</f>
        <v>0</v>
      </c>
      <c r="Q92" s="1230">
        <f>IFERROR(INDEX(AO!$AT:$AT,MATCH($B92,AO!$C:$C,0)),0)</f>
        <v>0</v>
      </c>
      <c r="R92" s="1230">
        <f t="shared" si="27"/>
        <v>0</v>
      </c>
      <c r="S92" s="1287">
        <f t="shared" si="28"/>
        <v>0</v>
      </c>
      <c r="T92" s="1290">
        <f t="shared" si="29"/>
        <v>0</v>
      </c>
      <c r="U92" s="1287">
        <f t="shared" si="30"/>
        <v>0</v>
      </c>
      <c r="V92" s="1230"/>
      <c r="W92" s="1230">
        <f>IFERROR(INDEX(AA!$EN:$EN,MATCH($C92,AA!$C:$C,0)),0)</f>
        <v>0</v>
      </c>
      <c r="X92" s="1230">
        <f t="shared" si="31"/>
        <v>0</v>
      </c>
      <c r="Y92" s="1279">
        <f t="shared" si="32"/>
        <v>0</v>
      </c>
      <c r="Z92" s="1278">
        <f t="shared" si="33"/>
        <v>0</v>
      </c>
      <c r="AA92" s="1287">
        <f t="shared" si="34"/>
        <v>0</v>
      </c>
      <c r="AB92" s="258"/>
      <c r="AC92" s="261">
        <f>IFERROR(INDEX(AA!$GA:$GA,MATCH($C92,AA!$C:$C,0)),0)</f>
        <v>0</v>
      </c>
      <c r="AD92" s="261">
        <f t="shared" si="35"/>
        <v>0</v>
      </c>
      <c r="AE92" s="1287">
        <f t="shared" si="36"/>
        <v>0</v>
      </c>
      <c r="AF92" s="1278">
        <f t="shared" si="37"/>
        <v>0</v>
      </c>
      <c r="AG92" s="1287">
        <f t="shared" si="38"/>
        <v>0</v>
      </c>
      <c r="AH92" s="1230"/>
      <c r="AI92" s="261">
        <f>IFERROR(INDEX(AO!$CA:$CA,MATCH($B92,AO!$C:$C,0)),0)</f>
        <v>0</v>
      </c>
      <c r="AJ92" s="1291">
        <f>IFERROR(INDEX(PCF!$BK$60:$BK$62,MATCH($B92,PCF!$C$60:$C$62,0)),0)</f>
        <v>0</v>
      </c>
      <c r="AK92" s="1278">
        <f>IFERROR(INDEX(AO!$CC:$CC,MATCH($B92,AO!$C:$C,0)),0)</f>
        <v>0</v>
      </c>
      <c r="AL92" s="261">
        <f>IFERROR(INDEX(AO!$CE:$CE,MATCH($B92,AO!$C:$C,0)),0)</f>
        <v>0</v>
      </c>
      <c r="AM92" s="261">
        <f>IFERROR(INDEX(AO!$CN:$CN,MATCH($B92,AO!$C:$C,0)),0)</f>
        <v>0</v>
      </c>
      <c r="AN92" s="261">
        <f>IFERROR(INDEX(AO!$CS:$CS,MATCH($B92,AO!$C:$C,0)),0)</f>
        <v>0</v>
      </c>
    </row>
    <row r="93" spans="2:40">
      <c r="B93" s="73">
        <v>86</v>
      </c>
      <c r="C93" s="49">
        <f t="shared" si="26"/>
        <v>86</v>
      </c>
      <c r="D93" s="261">
        <f>IFERROR(INDEX(AA!$AC:$AC,MATCH($C93,AA!$C:$C,0)),0)</f>
        <v>0</v>
      </c>
      <c r="E93" s="261">
        <f>IFERROR(INDEX(AA!$AG:$AG,MATCH($C93,AA!$C:$C,0)),0)</f>
        <v>0</v>
      </c>
      <c r="F93" s="261">
        <f>IFERROR(INDEX(AA!$AL:$AL,MATCH($C93,AA!$C:$C,0)),0)</f>
        <v>0</v>
      </c>
      <c r="G93" s="261">
        <f>IFERROR(INDEX(AA!$AI:$AI,MATCH($C93,AA!$C:$C,0)),0)</f>
        <v>0</v>
      </c>
      <c r="H93" s="261">
        <f>IFERROR(INDEX(AA!$AN:$AN,MATCH($C93,AA!$C:$C,0)),0)</f>
        <v>0</v>
      </c>
      <c r="I93" s="261"/>
      <c r="J93" s="261">
        <f>IFERROR(INDEX(AO!$Q:$Q,MATCH($B93,AO!$C:$C,0)),0)</f>
        <v>0</v>
      </c>
      <c r="K93" s="1289">
        <f>IFERROR(INDEX(AO!$AP:$AP,MATCH($B93,AO!$C:$C,0)),0)</f>
        <v>0</v>
      </c>
      <c r="L93" s="1278">
        <f>IFERROR(INDEX(AO!$U:$U,MATCH($B93,AO!$C:$C,0)),0)</f>
        <v>0</v>
      </c>
      <c r="M93" s="261">
        <f>IFERROR(INDEX(AO!$Y:$Y,MATCH($B93,AO!$C:$C,0)),0)</f>
        <v>0</v>
      </c>
      <c r="N93" s="261">
        <f>IFERROR(INDEX(AO!$AI:$AI,MATCH($B93,AO!$C:$C,0)),0)</f>
        <v>0</v>
      </c>
      <c r="O93" s="261">
        <f>IFERROR(INDEX(AO!$AM:$AM,MATCH($B93,AO!$C:$C,0)),0)</f>
        <v>0</v>
      </c>
      <c r="Q93" s="1230">
        <f>IFERROR(INDEX(AO!$AT:$AT,MATCH($B93,AO!$C:$C,0)),0)</f>
        <v>0</v>
      </c>
      <c r="R93" s="1230">
        <f t="shared" si="27"/>
        <v>0</v>
      </c>
      <c r="S93" s="1287">
        <f t="shared" si="28"/>
        <v>0</v>
      </c>
      <c r="T93" s="1290">
        <f t="shared" si="29"/>
        <v>0</v>
      </c>
      <c r="U93" s="1287">
        <f t="shared" si="30"/>
        <v>0</v>
      </c>
      <c r="V93" s="1230"/>
      <c r="W93" s="1230">
        <f>IFERROR(INDEX(AA!$EN:$EN,MATCH($C93,AA!$C:$C,0)),0)</f>
        <v>0</v>
      </c>
      <c r="X93" s="1230">
        <f t="shared" si="31"/>
        <v>0</v>
      </c>
      <c r="Y93" s="1279">
        <f t="shared" si="32"/>
        <v>0</v>
      </c>
      <c r="Z93" s="1278">
        <f t="shared" si="33"/>
        <v>0</v>
      </c>
      <c r="AA93" s="1287">
        <f t="shared" si="34"/>
        <v>0</v>
      </c>
      <c r="AB93" s="258"/>
      <c r="AC93" s="261">
        <f>IFERROR(INDEX(AA!$GA:$GA,MATCH($C93,AA!$C:$C,0)),0)</f>
        <v>0</v>
      </c>
      <c r="AD93" s="261">
        <f t="shared" si="35"/>
        <v>0</v>
      </c>
      <c r="AE93" s="1287">
        <f t="shared" si="36"/>
        <v>0</v>
      </c>
      <c r="AF93" s="1278">
        <f t="shared" si="37"/>
        <v>0</v>
      </c>
      <c r="AG93" s="1287">
        <f t="shared" si="38"/>
        <v>0</v>
      </c>
      <c r="AH93" s="1230"/>
      <c r="AI93" s="261">
        <f>IFERROR(INDEX(AO!$CA:$CA,MATCH($B93,AO!$C:$C,0)),0)</f>
        <v>0</v>
      </c>
      <c r="AJ93" s="1291">
        <f>IFERROR(INDEX(PCF!$BK$60:$BK$62,MATCH($B93,PCF!$C$60:$C$62,0)),0)</f>
        <v>0</v>
      </c>
      <c r="AK93" s="1278">
        <f>IFERROR(INDEX(AO!$CC:$CC,MATCH($B93,AO!$C:$C,0)),0)</f>
        <v>0</v>
      </c>
      <c r="AL93" s="261">
        <f>IFERROR(INDEX(AO!$CE:$CE,MATCH($B93,AO!$C:$C,0)),0)</f>
        <v>0</v>
      </c>
      <c r="AM93" s="261">
        <f>IFERROR(INDEX(AO!$CN:$CN,MATCH($B93,AO!$C:$C,0)),0)</f>
        <v>0</v>
      </c>
      <c r="AN93" s="261">
        <f>IFERROR(INDEX(AO!$CS:$CS,MATCH($B93,AO!$C:$C,0)),0)</f>
        <v>0</v>
      </c>
    </row>
    <row r="94" spans="2:40">
      <c r="B94" s="73">
        <v>87</v>
      </c>
      <c r="C94" s="49">
        <f t="shared" si="26"/>
        <v>87</v>
      </c>
      <c r="D94" s="261">
        <f>IFERROR(INDEX(AA!$AC:$AC,MATCH($C94,AA!$C:$C,0)),0)</f>
        <v>0</v>
      </c>
      <c r="E94" s="261">
        <f>IFERROR(INDEX(AA!$AG:$AG,MATCH($C94,AA!$C:$C,0)),0)</f>
        <v>0</v>
      </c>
      <c r="F94" s="261">
        <f>IFERROR(INDEX(AA!$AL:$AL,MATCH($C94,AA!$C:$C,0)),0)</f>
        <v>0</v>
      </c>
      <c r="G94" s="261">
        <f>IFERROR(INDEX(AA!$AI:$AI,MATCH($C94,AA!$C:$C,0)),0)</f>
        <v>0</v>
      </c>
      <c r="H94" s="261">
        <f>IFERROR(INDEX(AA!$AN:$AN,MATCH($C94,AA!$C:$C,0)),0)</f>
        <v>0</v>
      </c>
      <c r="I94" s="261"/>
      <c r="J94" s="261">
        <f>IFERROR(INDEX(AO!$Q:$Q,MATCH($B94,AO!$C:$C,0)),0)</f>
        <v>0</v>
      </c>
      <c r="K94" s="1289">
        <f>IFERROR(INDEX(AO!$AP:$AP,MATCH($B94,AO!$C:$C,0)),0)</f>
        <v>0</v>
      </c>
      <c r="L94" s="1278">
        <f>IFERROR(INDEX(AO!$U:$U,MATCH($B94,AO!$C:$C,0)),0)</f>
        <v>0</v>
      </c>
      <c r="M94" s="261">
        <f>IFERROR(INDEX(AO!$Y:$Y,MATCH($B94,AO!$C:$C,0)),0)</f>
        <v>0</v>
      </c>
      <c r="N94" s="261">
        <f>IFERROR(INDEX(AO!$AI:$AI,MATCH($B94,AO!$C:$C,0)),0)</f>
        <v>0</v>
      </c>
      <c r="O94" s="261">
        <f>IFERROR(INDEX(AO!$AM:$AM,MATCH($B94,AO!$C:$C,0)),0)</f>
        <v>0</v>
      </c>
      <c r="Q94" s="1230">
        <f>IFERROR(INDEX(AO!$AT:$AT,MATCH($B94,AO!$C:$C,0)),0)</f>
        <v>0</v>
      </c>
      <c r="R94" s="1230">
        <f t="shared" si="27"/>
        <v>0</v>
      </c>
      <c r="S94" s="1287">
        <f t="shared" si="28"/>
        <v>0</v>
      </c>
      <c r="T94" s="1290">
        <f t="shared" si="29"/>
        <v>0</v>
      </c>
      <c r="U94" s="1287">
        <f t="shared" si="30"/>
        <v>0</v>
      </c>
      <c r="V94" s="1230"/>
      <c r="W94" s="1230">
        <f>IFERROR(INDEX(AA!$EN:$EN,MATCH($C94,AA!$C:$C,0)),0)</f>
        <v>0</v>
      </c>
      <c r="X94" s="1230">
        <f t="shared" si="31"/>
        <v>0</v>
      </c>
      <c r="Y94" s="1279">
        <f t="shared" si="32"/>
        <v>0</v>
      </c>
      <c r="Z94" s="1278">
        <f t="shared" si="33"/>
        <v>0</v>
      </c>
      <c r="AA94" s="1287">
        <f t="shared" si="34"/>
        <v>0</v>
      </c>
      <c r="AB94" s="258"/>
      <c r="AC94" s="261">
        <f>IFERROR(INDEX(AA!$GA:$GA,MATCH($C94,AA!$C:$C,0)),0)</f>
        <v>0</v>
      </c>
      <c r="AD94" s="261">
        <f t="shared" si="35"/>
        <v>0</v>
      </c>
      <c r="AE94" s="1287">
        <f t="shared" si="36"/>
        <v>0</v>
      </c>
      <c r="AF94" s="1278">
        <f t="shared" si="37"/>
        <v>0</v>
      </c>
      <c r="AG94" s="1287">
        <f t="shared" si="38"/>
        <v>0</v>
      </c>
      <c r="AH94" s="1230"/>
      <c r="AI94" s="261">
        <f>IFERROR(INDEX(AO!$CA:$CA,MATCH($B94,AO!$C:$C,0)),0)</f>
        <v>0</v>
      </c>
      <c r="AJ94" s="1291">
        <f>IFERROR(INDEX(PCF!$BK$60:$BK$62,MATCH($B94,PCF!$C$60:$C$62,0)),0)</f>
        <v>0</v>
      </c>
      <c r="AK94" s="1278">
        <f>IFERROR(INDEX(AO!$CC:$CC,MATCH($B94,AO!$C:$C,0)),0)</f>
        <v>0</v>
      </c>
      <c r="AL94" s="261">
        <f>IFERROR(INDEX(AO!$CE:$CE,MATCH($B94,AO!$C:$C,0)),0)</f>
        <v>0</v>
      </c>
      <c r="AM94" s="261">
        <f>IFERROR(INDEX(AO!$CN:$CN,MATCH($B94,AO!$C:$C,0)),0)</f>
        <v>0</v>
      </c>
      <c r="AN94" s="261">
        <f>IFERROR(INDEX(AO!$CS:$CS,MATCH($B94,AO!$C:$C,0)),0)</f>
        <v>0</v>
      </c>
    </row>
    <row r="95" spans="2:40">
      <c r="B95" s="73">
        <v>88</v>
      </c>
      <c r="C95" s="49">
        <f t="shared" si="26"/>
        <v>88</v>
      </c>
      <c r="D95" s="261">
        <f>IFERROR(INDEX(AA!$AC:$AC,MATCH($C95,AA!$C:$C,0)),0)</f>
        <v>0</v>
      </c>
      <c r="E95" s="261">
        <f>IFERROR(INDEX(AA!$AG:$AG,MATCH($C95,AA!$C:$C,0)),0)</f>
        <v>0</v>
      </c>
      <c r="F95" s="261">
        <f>IFERROR(INDEX(AA!$AL:$AL,MATCH($C95,AA!$C:$C,0)),0)</f>
        <v>0</v>
      </c>
      <c r="G95" s="261">
        <f>IFERROR(INDEX(AA!$AI:$AI,MATCH($C95,AA!$C:$C,0)),0)</f>
        <v>0</v>
      </c>
      <c r="H95" s="261">
        <f>IFERROR(INDEX(AA!$AN:$AN,MATCH($C95,AA!$C:$C,0)),0)</f>
        <v>0</v>
      </c>
      <c r="I95" s="261"/>
      <c r="J95" s="261">
        <f>IFERROR(INDEX(AO!$Q:$Q,MATCH($B95,AO!$C:$C,0)),0)</f>
        <v>0</v>
      </c>
      <c r="K95" s="1289">
        <f>IFERROR(INDEX(AO!$AP:$AP,MATCH($B95,AO!$C:$C,0)),0)</f>
        <v>0</v>
      </c>
      <c r="L95" s="1278">
        <f>IFERROR(INDEX(AO!$U:$U,MATCH($B95,AO!$C:$C,0)),0)</f>
        <v>0</v>
      </c>
      <c r="M95" s="261">
        <f>IFERROR(INDEX(AO!$Y:$Y,MATCH($B95,AO!$C:$C,0)),0)</f>
        <v>0</v>
      </c>
      <c r="N95" s="261">
        <f>IFERROR(INDEX(AO!$AI:$AI,MATCH($B95,AO!$C:$C,0)),0)</f>
        <v>0</v>
      </c>
      <c r="O95" s="261">
        <f>IFERROR(INDEX(AO!$AM:$AM,MATCH($B95,AO!$C:$C,0)),0)</f>
        <v>0</v>
      </c>
      <c r="Q95" s="1230">
        <f>IFERROR(INDEX(AO!$AT:$AT,MATCH($B95,AO!$C:$C,0)),0)</f>
        <v>0</v>
      </c>
      <c r="R95" s="1230">
        <f t="shared" si="27"/>
        <v>0</v>
      </c>
      <c r="S95" s="1287">
        <f t="shared" si="28"/>
        <v>0</v>
      </c>
      <c r="T95" s="1290">
        <f t="shared" si="29"/>
        <v>0</v>
      </c>
      <c r="U95" s="1287">
        <f t="shared" si="30"/>
        <v>0</v>
      </c>
      <c r="V95" s="1230"/>
      <c r="W95" s="1230">
        <f>IFERROR(INDEX(AA!$EN:$EN,MATCH($C95,AA!$C:$C,0)),0)</f>
        <v>0</v>
      </c>
      <c r="X95" s="1230">
        <f t="shared" si="31"/>
        <v>0</v>
      </c>
      <c r="Y95" s="1279">
        <f t="shared" si="32"/>
        <v>0</v>
      </c>
      <c r="Z95" s="1278">
        <f t="shared" si="33"/>
        <v>0</v>
      </c>
      <c r="AA95" s="1287">
        <f t="shared" si="34"/>
        <v>0</v>
      </c>
      <c r="AB95" s="258"/>
      <c r="AC95" s="261">
        <f>IFERROR(INDEX(AA!$GA:$GA,MATCH($C95,AA!$C:$C,0)),0)</f>
        <v>0</v>
      </c>
      <c r="AD95" s="261">
        <f t="shared" si="35"/>
        <v>0</v>
      </c>
      <c r="AE95" s="1287">
        <f t="shared" si="36"/>
        <v>0</v>
      </c>
      <c r="AF95" s="1278">
        <f t="shared" si="37"/>
        <v>0</v>
      </c>
      <c r="AG95" s="1287">
        <f t="shared" si="38"/>
        <v>0</v>
      </c>
      <c r="AH95" s="1230"/>
      <c r="AI95" s="261">
        <f>IFERROR(INDEX(AO!$CA:$CA,MATCH($B95,AO!$C:$C,0)),0)</f>
        <v>0</v>
      </c>
      <c r="AJ95" s="1291">
        <f>IFERROR(INDEX(PCF!$BK$60:$BK$62,MATCH($B95,PCF!$C$60:$C$62,0)),0)</f>
        <v>0</v>
      </c>
      <c r="AK95" s="1278">
        <f>IFERROR(INDEX(AO!$CC:$CC,MATCH($B95,AO!$C:$C,0)),0)</f>
        <v>0</v>
      </c>
      <c r="AL95" s="261">
        <f>IFERROR(INDEX(AO!$CE:$CE,MATCH($B95,AO!$C:$C,0)),0)</f>
        <v>0</v>
      </c>
      <c r="AM95" s="261">
        <f>IFERROR(INDEX(AO!$CN:$CN,MATCH($B95,AO!$C:$C,0)),0)</f>
        <v>0</v>
      </c>
      <c r="AN95" s="261">
        <f>IFERROR(INDEX(AO!$CS:$CS,MATCH($B95,AO!$C:$C,0)),0)</f>
        <v>0</v>
      </c>
    </row>
    <row r="96" spans="2:40">
      <c r="B96" s="73">
        <v>89</v>
      </c>
      <c r="C96" s="49">
        <f t="shared" si="26"/>
        <v>89</v>
      </c>
      <c r="D96" s="261">
        <f>IFERROR(INDEX(AA!$AC:$AC,MATCH($C96,AA!$C:$C,0)),0)</f>
        <v>0</v>
      </c>
      <c r="E96" s="261">
        <f>IFERROR(INDEX(AA!$AG:$AG,MATCH($C96,AA!$C:$C,0)),0)</f>
        <v>0</v>
      </c>
      <c r="F96" s="261">
        <f>IFERROR(INDEX(AA!$AL:$AL,MATCH($C96,AA!$C:$C,0)),0)</f>
        <v>0</v>
      </c>
      <c r="G96" s="261">
        <f>IFERROR(INDEX(AA!$AI:$AI,MATCH($C96,AA!$C:$C,0)),0)</f>
        <v>0</v>
      </c>
      <c r="H96" s="261">
        <f>IFERROR(INDEX(AA!$AN:$AN,MATCH($C96,AA!$C:$C,0)),0)</f>
        <v>0</v>
      </c>
      <c r="I96" s="261"/>
      <c r="J96" s="261">
        <f>IFERROR(INDEX(AO!$Q:$Q,MATCH($B96,AO!$C:$C,0)),0)</f>
        <v>0</v>
      </c>
      <c r="K96" s="1289">
        <f>IFERROR(INDEX(AO!$AP:$AP,MATCH($B96,AO!$C:$C,0)),0)</f>
        <v>0</v>
      </c>
      <c r="L96" s="1278">
        <f>IFERROR(INDEX(AO!$U:$U,MATCH($B96,AO!$C:$C,0)),0)</f>
        <v>0</v>
      </c>
      <c r="M96" s="261">
        <f>IFERROR(INDEX(AO!$Y:$Y,MATCH($B96,AO!$C:$C,0)),0)</f>
        <v>0</v>
      </c>
      <c r="N96" s="261">
        <f>IFERROR(INDEX(AO!$AI:$AI,MATCH($B96,AO!$C:$C,0)),0)</f>
        <v>0</v>
      </c>
      <c r="O96" s="261">
        <f>IFERROR(INDEX(AO!$AM:$AM,MATCH($B96,AO!$C:$C,0)),0)</f>
        <v>0</v>
      </c>
      <c r="Q96" s="1230">
        <f>IFERROR(INDEX(AO!$AT:$AT,MATCH($B96,AO!$C:$C,0)),0)</f>
        <v>0</v>
      </c>
      <c r="R96" s="1230">
        <f t="shared" si="27"/>
        <v>0</v>
      </c>
      <c r="S96" s="1287">
        <f t="shared" si="28"/>
        <v>0</v>
      </c>
      <c r="T96" s="1290">
        <f t="shared" si="29"/>
        <v>0</v>
      </c>
      <c r="U96" s="1287">
        <f t="shared" si="30"/>
        <v>0</v>
      </c>
      <c r="V96" s="1230"/>
      <c r="W96" s="1230">
        <f>IFERROR(INDEX(AA!$EN:$EN,MATCH($C96,AA!$C:$C,0)),0)</f>
        <v>0</v>
      </c>
      <c r="X96" s="1230">
        <f t="shared" si="31"/>
        <v>0</v>
      </c>
      <c r="Y96" s="1279">
        <f t="shared" si="32"/>
        <v>0</v>
      </c>
      <c r="Z96" s="1278">
        <f t="shared" si="33"/>
        <v>0</v>
      </c>
      <c r="AA96" s="1287">
        <f t="shared" si="34"/>
        <v>0</v>
      </c>
      <c r="AB96" s="258"/>
      <c r="AC96" s="261">
        <f>IFERROR(INDEX(AA!$GA:$GA,MATCH($C96,AA!$C:$C,0)),0)</f>
        <v>0</v>
      </c>
      <c r="AD96" s="261">
        <f t="shared" si="35"/>
        <v>0</v>
      </c>
      <c r="AE96" s="1287">
        <f t="shared" si="36"/>
        <v>0</v>
      </c>
      <c r="AF96" s="1278">
        <f t="shared" si="37"/>
        <v>0</v>
      </c>
      <c r="AG96" s="1287">
        <f t="shared" si="38"/>
        <v>0</v>
      </c>
      <c r="AH96" s="1230"/>
      <c r="AI96" s="261">
        <f>IFERROR(INDEX(AO!$CA:$CA,MATCH($B96,AO!$C:$C,0)),0)</f>
        <v>0</v>
      </c>
      <c r="AJ96" s="1291">
        <f>IFERROR(INDEX(PCF!$BK$60:$BK$62,MATCH($B96,PCF!$C$60:$C$62,0)),0)</f>
        <v>0</v>
      </c>
      <c r="AK96" s="1278">
        <f>IFERROR(INDEX(AO!$CC:$CC,MATCH($B96,AO!$C:$C,0)),0)</f>
        <v>0</v>
      </c>
      <c r="AL96" s="261">
        <f>IFERROR(INDEX(AO!$CE:$CE,MATCH($B96,AO!$C:$C,0)),0)</f>
        <v>0</v>
      </c>
      <c r="AM96" s="261">
        <f>IFERROR(INDEX(AO!$CN:$CN,MATCH($B96,AO!$C:$C,0)),0)</f>
        <v>0</v>
      </c>
      <c r="AN96" s="261">
        <f>IFERROR(INDEX(AO!$CS:$CS,MATCH($B96,AO!$C:$C,0)),0)</f>
        <v>0</v>
      </c>
    </row>
    <row r="97" spans="2:40">
      <c r="B97" s="73">
        <v>90</v>
      </c>
      <c r="C97" s="49">
        <f t="shared" si="26"/>
        <v>90</v>
      </c>
      <c r="D97" s="261">
        <f>IFERROR(INDEX(AA!$AC:$AC,MATCH($C97,AA!$C:$C,0)),0)</f>
        <v>0</v>
      </c>
      <c r="E97" s="261">
        <f>IFERROR(INDEX(AA!$AG:$AG,MATCH($C97,AA!$C:$C,0)),0)</f>
        <v>0</v>
      </c>
      <c r="F97" s="261">
        <f>IFERROR(INDEX(AA!$AL:$AL,MATCH($C97,AA!$C:$C,0)),0)</f>
        <v>0</v>
      </c>
      <c r="G97" s="261">
        <f>IFERROR(INDEX(AA!$AI:$AI,MATCH($C97,AA!$C:$C,0)),0)</f>
        <v>0</v>
      </c>
      <c r="H97" s="261">
        <f>IFERROR(INDEX(AA!$AN:$AN,MATCH($C97,AA!$C:$C,0)),0)</f>
        <v>0</v>
      </c>
      <c r="I97" s="261"/>
      <c r="J97" s="261">
        <f>IFERROR(INDEX(AO!$Q:$Q,MATCH($B97,AO!$C:$C,0)),0)</f>
        <v>0</v>
      </c>
      <c r="K97" s="1289">
        <f>IFERROR(INDEX(AO!$AP:$AP,MATCH($B97,AO!$C:$C,0)),0)</f>
        <v>0</v>
      </c>
      <c r="L97" s="1278">
        <f>IFERROR(INDEX(AO!$U:$U,MATCH($B97,AO!$C:$C,0)),0)</f>
        <v>0</v>
      </c>
      <c r="M97" s="261">
        <f>IFERROR(INDEX(AO!$Y:$Y,MATCH($B97,AO!$C:$C,0)),0)</f>
        <v>0</v>
      </c>
      <c r="N97" s="261">
        <f>IFERROR(INDEX(AO!$AI:$AI,MATCH($B97,AO!$C:$C,0)),0)</f>
        <v>0</v>
      </c>
      <c r="O97" s="261">
        <f>IFERROR(INDEX(AO!$AM:$AM,MATCH($B97,AO!$C:$C,0)),0)</f>
        <v>0</v>
      </c>
      <c r="Q97" s="1230">
        <f>IFERROR(INDEX(AO!$AT:$AT,MATCH($B97,AO!$C:$C,0)),0)</f>
        <v>0</v>
      </c>
      <c r="R97" s="1230">
        <f t="shared" si="27"/>
        <v>0</v>
      </c>
      <c r="S97" s="1287">
        <f t="shared" si="28"/>
        <v>0</v>
      </c>
      <c r="T97" s="1290">
        <f t="shared" si="29"/>
        <v>0</v>
      </c>
      <c r="U97" s="1287">
        <f t="shared" si="30"/>
        <v>0</v>
      </c>
      <c r="V97" s="1230"/>
      <c r="W97" s="1230">
        <f>IFERROR(INDEX(AA!$EN:$EN,MATCH($C97,AA!$C:$C,0)),0)</f>
        <v>0</v>
      </c>
      <c r="X97" s="1230">
        <f t="shared" si="31"/>
        <v>0</v>
      </c>
      <c r="Y97" s="1279">
        <f t="shared" si="32"/>
        <v>0</v>
      </c>
      <c r="Z97" s="1278">
        <f t="shared" si="33"/>
        <v>0</v>
      </c>
      <c r="AA97" s="1287">
        <f t="shared" si="34"/>
        <v>0</v>
      </c>
      <c r="AB97" s="258"/>
      <c r="AC97" s="261">
        <f>IFERROR(INDEX(AA!$GA:$GA,MATCH($C97,AA!$C:$C,0)),0)</f>
        <v>0</v>
      </c>
      <c r="AD97" s="261">
        <f t="shared" si="35"/>
        <v>0</v>
      </c>
      <c r="AE97" s="1287">
        <f t="shared" si="36"/>
        <v>0</v>
      </c>
      <c r="AF97" s="1278">
        <f t="shared" si="37"/>
        <v>0</v>
      </c>
      <c r="AG97" s="1287">
        <f t="shared" si="38"/>
        <v>0</v>
      </c>
      <c r="AH97" s="1230"/>
      <c r="AI97" s="261">
        <f>IFERROR(INDEX(AO!$CA:$CA,MATCH($B97,AO!$C:$C,0)),0)</f>
        <v>0</v>
      </c>
      <c r="AJ97" s="1291">
        <f>IFERROR(INDEX(PCF!$BK$60:$BK$62,MATCH($B97,PCF!$C$60:$C$62,0)),0)</f>
        <v>0</v>
      </c>
      <c r="AK97" s="1278">
        <f>IFERROR(INDEX(AO!$CC:$CC,MATCH($B97,AO!$C:$C,0)),0)</f>
        <v>0</v>
      </c>
      <c r="AL97" s="261">
        <f>IFERROR(INDEX(AO!$CE:$CE,MATCH($B97,AO!$C:$C,0)),0)</f>
        <v>0</v>
      </c>
      <c r="AM97" s="261">
        <f>IFERROR(INDEX(AO!$CN:$CN,MATCH($B97,AO!$C:$C,0)),0)</f>
        <v>0</v>
      </c>
      <c r="AN97" s="261">
        <f>IFERROR(INDEX(AO!$CS:$CS,MATCH($B97,AO!$C:$C,0)),0)</f>
        <v>0</v>
      </c>
    </row>
    <row r="98" spans="2:40">
      <c r="B98" s="73">
        <v>91</v>
      </c>
      <c r="C98" s="49">
        <f t="shared" si="26"/>
        <v>91</v>
      </c>
      <c r="D98" s="261">
        <f>IFERROR(INDEX(AA!$AC:$AC,MATCH($C98,AA!$C:$C,0)),0)</f>
        <v>0</v>
      </c>
      <c r="E98" s="261">
        <f>IFERROR(INDEX(AA!$AG:$AG,MATCH($C98,AA!$C:$C,0)),0)</f>
        <v>0</v>
      </c>
      <c r="F98" s="261">
        <f>IFERROR(INDEX(AA!$AL:$AL,MATCH($C98,AA!$C:$C,0)),0)</f>
        <v>0</v>
      </c>
      <c r="G98" s="261">
        <f>IFERROR(INDEX(AA!$AI:$AI,MATCH($C98,AA!$C:$C,0)),0)</f>
        <v>0</v>
      </c>
      <c r="H98" s="261">
        <f>IFERROR(INDEX(AA!$AN:$AN,MATCH($C98,AA!$C:$C,0)),0)</f>
        <v>0</v>
      </c>
      <c r="I98" s="261"/>
      <c r="J98" s="261">
        <f>IFERROR(INDEX(AO!$Q:$Q,MATCH($B98,AO!$C:$C,0)),0)</f>
        <v>0</v>
      </c>
      <c r="K98" s="1289">
        <f>IFERROR(INDEX(AO!$AP:$AP,MATCH($B98,AO!$C:$C,0)),0)</f>
        <v>0</v>
      </c>
      <c r="L98" s="1278">
        <f>IFERROR(INDEX(AO!$U:$U,MATCH($B98,AO!$C:$C,0)),0)</f>
        <v>0</v>
      </c>
      <c r="M98" s="261">
        <f>IFERROR(INDEX(AO!$Y:$Y,MATCH($B98,AO!$C:$C,0)),0)</f>
        <v>0</v>
      </c>
      <c r="N98" s="261">
        <f>IFERROR(INDEX(AO!$AI:$AI,MATCH($B98,AO!$C:$C,0)),0)</f>
        <v>0</v>
      </c>
      <c r="O98" s="261">
        <f>IFERROR(INDEX(AO!$AM:$AM,MATCH($B98,AO!$C:$C,0)),0)</f>
        <v>0</v>
      </c>
      <c r="Q98" s="1230">
        <f>IFERROR(INDEX(AO!$AT:$AT,MATCH($B98,AO!$C:$C,0)),0)</f>
        <v>0</v>
      </c>
      <c r="R98" s="1230">
        <f t="shared" si="27"/>
        <v>0</v>
      </c>
      <c r="S98" s="1287">
        <f t="shared" si="28"/>
        <v>0</v>
      </c>
      <c r="T98" s="1290">
        <f t="shared" si="29"/>
        <v>0</v>
      </c>
      <c r="U98" s="1287">
        <f t="shared" si="30"/>
        <v>0</v>
      </c>
      <c r="V98" s="1230"/>
      <c r="W98" s="1230">
        <f>IFERROR(INDEX(AA!$EN:$EN,MATCH($C98,AA!$C:$C,0)),0)</f>
        <v>0</v>
      </c>
      <c r="X98" s="1230">
        <f t="shared" si="31"/>
        <v>0</v>
      </c>
      <c r="Y98" s="1279">
        <f t="shared" si="32"/>
        <v>0</v>
      </c>
      <c r="Z98" s="1278">
        <f t="shared" si="33"/>
        <v>0</v>
      </c>
      <c r="AA98" s="1287">
        <f t="shared" si="34"/>
        <v>0</v>
      </c>
      <c r="AB98" s="258"/>
      <c r="AC98" s="261">
        <f>IFERROR(INDEX(AA!$GA:$GA,MATCH($C98,AA!$C:$C,0)),0)</f>
        <v>0</v>
      </c>
      <c r="AD98" s="261">
        <f t="shared" si="35"/>
        <v>0</v>
      </c>
      <c r="AE98" s="1287">
        <f t="shared" si="36"/>
        <v>0</v>
      </c>
      <c r="AF98" s="1278">
        <f t="shared" si="37"/>
        <v>0</v>
      </c>
      <c r="AG98" s="1287">
        <f t="shared" si="38"/>
        <v>0</v>
      </c>
      <c r="AH98" s="1230"/>
      <c r="AI98" s="261">
        <f>IFERROR(INDEX(AO!$CA:$CA,MATCH($B98,AO!$C:$C,0)),0)</f>
        <v>0</v>
      </c>
      <c r="AJ98" s="1291">
        <f>IFERROR(INDEX(PCF!$BK$60:$BK$62,MATCH($B98,PCF!$C$60:$C$62,0)),0)</f>
        <v>0</v>
      </c>
      <c r="AK98" s="1278">
        <f>IFERROR(INDEX(AO!$CC:$CC,MATCH($B98,AO!$C:$C,0)),0)</f>
        <v>0</v>
      </c>
      <c r="AL98" s="261">
        <f>IFERROR(INDEX(AO!$CE:$CE,MATCH($B98,AO!$C:$C,0)),0)</f>
        <v>0</v>
      </c>
      <c r="AM98" s="261">
        <f>IFERROR(INDEX(AO!$CN:$CN,MATCH($B98,AO!$C:$C,0)),0)</f>
        <v>0</v>
      </c>
      <c r="AN98" s="261">
        <f>IFERROR(INDEX(AO!$CS:$CS,MATCH($B98,AO!$C:$C,0)),0)</f>
        <v>0</v>
      </c>
    </row>
    <row r="99" spans="2:40">
      <c r="B99" s="73">
        <v>92</v>
      </c>
      <c r="C99" s="49">
        <f t="shared" si="26"/>
        <v>92</v>
      </c>
      <c r="D99" s="261">
        <f>IFERROR(INDEX(AA!$AC:$AC,MATCH($C99,AA!$C:$C,0)),0)</f>
        <v>0</v>
      </c>
      <c r="E99" s="261">
        <f>IFERROR(INDEX(AA!$AG:$AG,MATCH($C99,AA!$C:$C,0)),0)</f>
        <v>0</v>
      </c>
      <c r="F99" s="261">
        <f>IFERROR(INDEX(AA!$AL:$AL,MATCH($C99,AA!$C:$C,0)),0)</f>
        <v>0</v>
      </c>
      <c r="G99" s="261">
        <f>IFERROR(INDEX(AA!$AI:$AI,MATCH($C99,AA!$C:$C,0)),0)</f>
        <v>0</v>
      </c>
      <c r="H99" s="261">
        <f>IFERROR(INDEX(AA!$AN:$AN,MATCH($C99,AA!$C:$C,0)),0)</f>
        <v>0</v>
      </c>
      <c r="I99" s="261"/>
      <c r="J99" s="261">
        <f>IFERROR(INDEX(AO!$Q:$Q,MATCH($B99,AO!$C:$C,0)),0)</f>
        <v>0</v>
      </c>
      <c r="K99" s="1289">
        <f>IFERROR(INDEX(AO!$AP:$AP,MATCH($B99,AO!$C:$C,0)),0)</f>
        <v>0</v>
      </c>
      <c r="L99" s="1278">
        <f>IFERROR(INDEX(AO!$U:$U,MATCH($B99,AO!$C:$C,0)),0)</f>
        <v>0</v>
      </c>
      <c r="M99" s="261">
        <f>IFERROR(INDEX(AO!$Y:$Y,MATCH($B99,AO!$C:$C,0)),0)</f>
        <v>0</v>
      </c>
      <c r="N99" s="261">
        <f>IFERROR(INDEX(AO!$AI:$AI,MATCH($B99,AO!$C:$C,0)),0)</f>
        <v>0</v>
      </c>
      <c r="O99" s="261">
        <f>IFERROR(INDEX(AO!$AM:$AM,MATCH($B99,AO!$C:$C,0)),0)</f>
        <v>0</v>
      </c>
      <c r="Q99" s="1230">
        <f>IFERROR(INDEX(AO!$AT:$AT,MATCH($B99,AO!$C:$C,0)),0)</f>
        <v>0</v>
      </c>
      <c r="R99" s="1230">
        <f t="shared" si="27"/>
        <v>0</v>
      </c>
      <c r="S99" s="1287">
        <f t="shared" si="28"/>
        <v>0</v>
      </c>
      <c r="T99" s="1290">
        <f t="shared" si="29"/>
        <v>0</v>
      </c>
      <c r="U99" s="1287">
        <f t="shared" si="30"/>
        <v>0</v>
      </c>
      <c r="V99" s="1230"/>
      <c r="W99" s="1230">
        <f>IFERROR(INDEX(AA!$EN:$EN,MATCH($C99,AA!$C:$C,0)),0)</f>
        <v>0</v>
      </c>
      <c r="X99" s="1230">
        <f t="shared" si="31"/>
        <v>0</v>
      </c>
      <c r="Y99" s="1279">
        <f t="shared" si="32"/>
        <v>0</v>
      </c>
      <c r="Z99" s="1278">
        <f t="shared" si="33"/>
        <v>0</v>
      </c>
      <c r="AA99" s="1287">
        <f t="shared" si="34"/>
        <v>0</v>
      </c>
      <c r="AB99" s="258"/>
      <c r="AC99" s="261">
        <f>IFERROR(INDEX(AA!$GA:$GA,MATCH($C99,AA!$C:$C,0)),0)</f>
        <v>0</v>
      </c>
      <c r="AD99" s="261">
        <f t="shared" si="35"/>
        <v>0</v>
      </c>
      <c r="AE99" s="1287">
        <f t="shared" si="36"/>
        <v>0</v>
      </c>
      <c r="AF99" s="1278">
        <f t="shared" si="37"/>
        <v>0</v>
      </c>
      <c r="AG99" s="1287">
        <f t="shared" si="38"/>
        <v>0</v>
      </c>
      <c r="AH99" s="1230"/>
      <c r="AI99" s="261">
        <f>IFERROR(INDEX(AO!$CA:$CA,MATCH($B99,AO!$C:$C,0)),0)</f>
        <v>0</v>
      </c>
      <c r="AJ99" s="1291">
        <f>IFERROR(INDEX(PCF!$BK$60:$BK$62,MATCH($B99,PCF!$C$60:$C$62,0)),0)</f>
        <v>0</v>
      </c>
      <c r="AK99" s="1278">
        <f>IFERROR(INDEX(AO!$CC:$CC,MATCH($B99,AO!$C:$C,0)),0)</f>
        <v>0</v>
      </c>
      <c r="AL99" s="261">
        <f>IFERROR(INDEX(AO!$CE:$CE,MATCH($B99,AO!$C:$C,0)),0)</f>
        <v>0</v>
      </c>
      <c r="AM99" s="261">
        <f>IFERROR(INDEX(AO!$CN:$CN,MATCH($B99,AO!$C:$C,0)),0)</f>
        <v>0</v>
      </c>
      <c r="AN99" s="261">
        <f>IFERROR(INDEX(AO!$CS:$CS,MATCH($B99,AO!$C:$C,0)),0)</f>
        <v>0</v>
      </c>
    </row>
    <row r="100" spans="2:40">
      <c r="B100" s="73">
        <v>93</v>
      </c>
      <c r="C100" s="49">
        <f t="shared" si="26"/>
        <v>93</v>
      </c>
      <c r="D100" s="261">
        <f>IFERROR(INDEX(AA!$AC:$AC,MATCH($C100,AA!$C:$C,0)),0)</f>
        <v>0</v>
      </c>
      <c r="E100" s="261">
        <f>IFERROR(INDEX(AA!$AG:$AG,MATCH($C100,AA!$C:$C,0)),0)</f>
        <v>0</v>
      </c>
      <c r="F100" s="261">
        <f>IFERROR(INDEX(AA!$AL:$AL,MATCH($C100,AA!$C:$C,0)),0)</f>
        <v>0</v>
      </c>
      <c r="G100" s="261">
        <f>IFERROR(INDEX(AA!$AI:$AI,MATCH($C100,AA!$C:$C,0)),0)</f>
        <v>0</v>
      </c>
      <c r="H100" s="261">
        <f>IFERROR(INDEX(AA!$AN:$AN,MATCH($C100,AA!$C:$C,0)),0)</f>
        <v>0</v>
      </c>
      <c r="I100" s="261"/>
      <c r="J100" s="261">
        <f>IFERROR(INDEX(AO!$Q:$Q,MATCH($B100,AO!$C:$C,0)),0)</f>
        <v>0</v>
      </c>
      <c r="K100" s="1289">
        <f>IFERROR(INDEX(AO!$AP:$AP,MATCH($B100,AO!$C:$C,0)),0)</f>
        <v>0</v>
      </c>
      <c r="L100" s="1278">
        <f>IFERROR(INDEX(AO!$U:$U,MATCH($B100,AO!$C:$C,0)),0)</f>
        <v>0</v>
      </c>
      <c r="M100" s="261">
        <f>IFERROR(INDEX(AO!$Y:$Y,MATCH($B100,AO!$C:$C,0)),0)</f>
        <v>0</v>
      </c>
      <c r="N100" s="261">
        <f>IFERROR(INDEX(AO!$AI:$AI,MATCH($B100,AO!$C:$C,0)),0)</f>
        <v>0</v>
      </c>
      <c r="O100" s="261">
        <f>IFERROR(INDEX(AO!$AM:$AM,MATCH($B100,AO!$C:$C,0)),0)</f>
        <v>0</v>
      </c>
      <c r="Q100" s="1230">
        <f>IFERROR(INDEX(AO!$AT:$AT,MATCH($B100,AO!$C:$C,0)),0)</f>
        <v>0</v>
      </c>
      <c r="R100" s="1230">
        <f t="shared" si="27"/>
        <v>0</v>
      </c>
      <c r="S100" s="1287">
        <f t="shared" si="28"/>
        <v>0</v>
      </c>
      <c r="T100" s="1290">
        <f t="shared" si="29"/>
        <v>0</v>
      </c>
      <c r="U100" s="1287">
        <f t="shared" si="30"/>
        <v>0</v>
      </c>
      <c r="V100" s="1230"/>
      <c r="W100" s="1230">
        <f>IFERROR(INDEX(AA!$EN:$EN,MATCH($C100,AA!$C:$C,0)),0)</f>
        <v>0</v>
      </c>
      <c r="X100" s="1230">
        <f t="shared" si="31"/>
        <v>0</v>
      </c>
      <c r="Y100" s="1279">
        <f t="shared" si="32"/>
        <v>0</v>
      </c>
      <c r="Z100" s="1278">
        <f t="shared" si="33"/>
        <v>0</v>
      </c>
      <c r="AA100" s="1287">
        <f t="shared" si="34"/>
        <v>0</v>
      </c>
      <c r="AB100" s="258"/>
      <c r="AC100" s="261">
        <f>IFERROR(INDEX(AA!$GA:$GA,MATCH($C100,AA!$C:$C,0)),0)</f>
        <v>0</v>
      </c>
      <c r="AD100" s="261">
        <f t="shared" si="35"/>
        <v>0</v>
      </c>
      <c r="AE100" s="1287">
        <f t="shared" si="36"/>
        <v>0</v>
      </c>
      <c r="AF100" s="1278">
        <f t="shared" si="37"/>
        <v>0</v>
      </c>
      <c r="AG100" s="1287">
        <f t="shared" si="38"/>
        <v>0</v>
      </c>
      <c r="AH100" s="1230"/>
      <c r="AI100" s="261">
        <f>IFERROR(INDEX(AO!$CA:$CA,MATCH($B100,AO!$C:$C,0)),0)</f>
        <v>0</v>
      </c>
      <c r="AJ100" s="1291">
        <f>IFERROR(INDEX(PCF!$BK$60:$BK$62,MATCH($B100,PCF!$C$60:$C$62,0)),0)</f>
        <v>0</v>
      </c>
      <c r="AK100" s="1278">
        <f>IFERROR(INDEX(AO!$CC:$CC,MATCH($B100,AO!$C:$C,0)),0)</f>
        <v>0</v>
      </c>
      <c r="AL100" s="261">
        <f>IFERROR(INDEX(AO!$CE:$CE,MATCH($B100,AO!$C:$C,0)),0)</f>
        <v>0</v>
      </c>
      <c r="AM100" s="261">
        <f>IFERROR(INDEX(AO!$CN:$CN,MATCH($B100,AO!$C:$C,0)),0)</f>
        <v>0</v>
      </c>
      <c r="AN100" s="261">
        <f>IFERROR(INDEX(AO!$CS:$CS,MATCH($B100,AO!$C:$C,0)),0)</f>
        <v>0</v>
      </c>
    </row>
    <row r="101" spans="2:40">
      <c r="B101" s="73">
        <v>94</v>
      </c>
      <c r="C101" s="49">
        <f t="shared" si="26"/>
        <v>94</v>
      </c>
      <c r="D101" s="261">
        <f>IFERROR(INDEX(AA!$AC:$AC,MATCH($C101,AA!$C:$C,0)),0)</f>
        <v>0</v>
      </c>
      <c r="E101" s="261">
        <f>IFERROR(INDEX(AA!$AG:$AG,MATCH($C101,AA!$C:$C,0)),0)</f>
        <v>0</v>
      </c>
      <c r="F101" s="261">
        <f>IFERROR(INDEX(AA!$AL:$AL,MATCH($C101,AA!$C:$C,0)),0)</f>
        <v>0</v>
      </c>
      <c r="G101" s="261">
        <f>IFERROR(INDEX(AA!$AI:$AI,MATCH($C101,AA!$C:$C,0)),0)</f>
        <v>0</v>
      </c>
      <c r="H101" s="261">
        <f>IFERROR(INDEX(AA!$AN:$AN,MATCH($C101,AA!$C:$C,0)),0)</f>
        <v>0</v>
      </c>
      <c r="I101" s="261"/>
      <c r="J101" s="261">
        <f>IFERROR(INDEX(AO!$Q:$Q,MATCH($B101,AO!$C:$C,0)),0)</f>
        <v>0</v>
      </c>
      <c r="K101" s="1289">
        <f>IFERROR(INDEX(AO!$AP:$AP,MATCH($B101,AO!$C:$C,0)),0)</f>
        <v>0</v>
      </c>
      <c r="L101" s="1278">
        <f>IFERROR(INDEX(AO!$U:$U,MATCH($B101,AO!$C:$C,0)),0)</f>
        <v>0</v>
      </c>
      <c r="M101" s="261">
        <f>IFERROR(INDEX(AO!$Y:$Y,MATCH($B101,AO!$C:$C,0)),0)</f>
        <v>0</v>
      </c>
      <c r="N101" s="261">
        <f>IFERROR(INDEX(AO!$AI:$AI,MATCH($B101,AO!$C:$C,0)),0)</f>
        <v>0</v>
      </c>
      <c r="O101" s="261">
        <f>IFERROR(INDEX(AO!$AM:$AM,MATCH($B101,AO!$C:$C,0)),0)</f>
        <v>0</v>
      </c>
      <c r="Q101" s="1230">
        <f>IFERROR(INDEX(AO!$AT:$AT,MATCH($B101,AO!$C:$C,0)),0)</f>
        <v>0</v>
      </c>
      <c r="R101" s="1230">
        <f t="shared" si="27"/>
        <v>0</v>
      </c>
      <c r="S101" s="1287">
        <f t="shared" si="28"/>
        <v>0</v>
      </c>
      <c r="T101" s="1290">
        <f t="shared" si="29"/>
        <v>0</v>
      </c>
      <c r="U101" s="1287">
        <f t="shared" si="30"/>
        <v>0</v>
      </c>
      <c r="V101" s="1230"/>
      <c r="W101" s="1230">
        <f>IFERROR(INDEX(AA!$EN:$EN,MATCH($C101,AA!$C:$C,0)),0)</f>
        <v>0</v>
      </c>
      <c r="X101" s="1230">
        <f t="shared" si="31"/>
        <v>0</v>
      </c>
      <c r="Y101" s="1279">
        <f t="shared" si="32"/>
        <v>0</v>
      </c>
      <c r="Z101" s="1278">
        <f t="shared" si="33"/>
        <v>0</v>
      </c>
      <c r="AA101" s="1287">
        <f t="shared" si="34"/>
        <v>0</v>
      </c>
      <c r="AB101" s="258"/>
      <c r="AC101" s="261">
        <f>IFERROR(INDEX(AA!$GA:$GA,MATCH($C101,AA!$C:$C,0)),0)</f>
        <v>0</v>
      </c>
      <c r="AD101" s="261">
        <f t="shared" si="35"/>
        <v>0</v>
      </c>
      <c r="AE101" s="1287">
        <f t="shared" si="36"/>
        <v>0</v>
      </c>
      <c r="AF101" s="1278">
        <f t="shared" si="37"/>
        <v>0</v>
      </c>
      <c r="AG101" s="1287">
        <f t="shared" si="38"/>
        <v>0</v>
      </c>
      <c r="AH101" s="1230"/>
      <c r="AI101" s="261">
        <f>IFERROR(INDEX(AO!$CA:$CA,MATCH($B101,AO!$C:$C,0)),0)</f>
        <v>0</v>
      </c>
      <c r="AJ101" s="1291">
        <f>IFERROR(INDEX(PCF!$BK$60:$BK$62,MATCH($B101,PCF!$C$60:$C$62,0)),0)</f>
        <v>0</v>
      </c>
      <c r="AK101" s="1278">
        <f>IFERROR(INDEX(AO!$CC:$CC,MATCH($B101,AO!$C:$C,0)),0)</f>
        <v>0</v>
      </c>
      <c r="AL101" s="261">
        <f>IFERROR(INDEX(AO!$CE:$CE,MATCH($B101,AO!$C:$C,0)),0)</f>
        <v>0</v>
      </c>
      <c r="AM101" s="261">
        <f>IFERROR(INDEX(AO!$CN:$CN,MATCH($B101,AO!$C:$C,0)),0)</f>
        <v>0</v>
      </c>
      <c r="AN101" s="261">
        <f>IFERROR(INDEX(AO!$CS:$CS,MATCH($B101,AO!$C:$C,0)),0)</f>
        <v>0</v>
      </c>
    </row>
    <row r="102" spans="2:40">
      <c r="B102" s="73">
        <v>95</v>
      </c>
      <c r="C102" s="49">
        <f t="shared" si="26"/>
        <v>95</v>
      </c>
      <c r="D102" s="261">
        <f>IFERROR(INDEX(AA!$AC:$AC,MATCH($C102,AA!$C:$C,0)),0)</f>
        <v>0</v>
      </c>
      <c r="E102" s="261">
        <f>IFERROR(INDEX(AA!$AG:$AG,MATCH($C102,AA!$C:$C,0)),0)</f>
        <v>0</v>
      </c>
      <c r="F102" s="261">
        <f>IFERROR(INDEX(AA!$AL:$AL,MATCH($C102,AA!$C:$C,0)),0)</f>
        <v>0</v>
      </c>
      <c r="G102" s="261">
        <f>IFERROR(INDEX(AA!$AI:$AI,MATCH($C102,AA!$C:$C,0)),0)</f>
        <v>0</v>
      </c>
      <c r="H102" s="261">
        <f>IFERROR(INDEX(AA!$AN:$AN,MATCH($C102,AA!$C:$C,0)),0)</f>
        <v>0</v>
      </c>
      <c r="I102" s="261"/>
      <c r="J102" s="261">
        <f>IFERROR(INDEX(AO!$Q:$Q,MATCH($B102,AO!$C:$C,0)),0)</f>
        <v>0</v>
      </c>
      <c r="K102" s="1289">
        <f>IFERROR(INDEX(AO!$AP:$AP,MATCH($B102,AO!$C:$C,0)),0)</f>
        <v>0</v>
      </c>
      <c r="L102" s="1278">
        <f>IFERROR(INDEX(AO!$U:$U,MATCH($B102,AO!$C:$C,0)),0)</f>
        <v>0</v>
      </c>
      <c r="M102" s="261">
        <f>IFERROR(INDEX(AO!$Y:$Y,MATCH($B102,AO!$C:$C,0)),0)</f>
        <v>0</v>
      </c>
      <c r="N102" s="261">
        <f>IFERROR(INDEX(AO!$AI:$AI,MATCH($B102,AO!$C:$C,0)),0)</f>
        <v>0</v>
      </c>
      <c r="O102" s="261">
        <f>IFERROR(INDEX(AO!$AM:$AM,MATCH($B102,AO!$C:$C,0)),0)</f>
        <v>0</v>
      </c>
      <c r="Q102" s="1230">
        <f>IFERROR(INDEX(AO!$AT:$AT,MATCH($B102,AO!$C:$C,0)),0)</f>
        <v>0</v>
      </c>
      <c r="R102" s="1230">
        <f t="shared" si="27"/>
        <v>0</v>
      </c>
      <c r="S102" s="1287">
        <f t="shared" si="28"/>
        <v>0</v>
      </c>
      <c r="T102" s="1290">
        <f t="shared" si="29"/>
        <v>0</v>
      </c>
      <c r="U102" s="1287">
        <f t="shared" si="30"/>
        <v>0</v>
      </c>
      <c r="V102" s="1230"/>
      <c r="W102" s="1230">
        <f>IFERROR(INDEX(AA!$EN:$EN,MATCH($C102,AA!$C:$C,0)),0)</f>
        <v>0</v>
      </c>
      <c r="X102" s="1230">
        <f t="shared" si="31"/>
        <v>0</v>
      </c>
      <c r="Y102" s="1279">
        <f t="shared" si="32"/>
        <v>0</v>
      </c>
      <c r="Z102" s="1278">
        <f t="shared" si="33"/>
        <v>0</v>
      </c>
      <c r="AA102" s="1287">
        <f t="shared" si="34"/>
        <v>0</v>
      </c>
      <c r="AB102" s="258"/>
      <c r="AC102" s="261">
        <f>IFERROR(INDEX(AA!$GA:$GA,MATCH($C102,AA!$C:$C,0)),0)</f>
        <v>0</v>
      </c>
      <c r="AD102" s="261">
        <f t="shared" si="35"/>
        <v>0</v>
      </c>
      <c r="AE102" s="1287">
        <f t="shared" si="36"/>
        <v>0</v>
      </c>
      <c r="AF102" s="1278">
        <f t="shared" si="37"/>
        <v>0</v>
      </c>
      <c r="AG102" s="1287">
        <f t="shared" si="38"/>
        <v>0</v>
      </c>
      <c r="AH102" s="1230"/>
      <c r="AI102" s="261">
        <f>IFERROR(INDEX(AO!$CA:$CA,MATCH($B102,AO!$C:$C,0)),0)</f>
        <v>0</v>
      </c>
      <c r="AJ102" s="1291">
        <f>IFERROR(INDEX(PCF!$BK$60:$BK$62,MATCH($B102,PCF!$C$60:$C$62,0)),0)</f>
        <v>0</v>
      </c>
      <c r="AK102" s="1278">
        <f>IFERROR(INDEX(AO!$CC:$CC,MATCH($B102,AO!$C:$C,0)),0)</f>
        <v>0</v>
      </c>
      <c r="AL102" s="261">
        <f>IFERROR(INDEX(AO!$CE:$CE,MATCH($B102,AO!$C:$C,0)),0)</f>
        <v>0</v>
      </c>
      <c r="AM102" s="261">
        <f>IFERROR(INDEX(AO!$CN:$CN,MATCH($B102,AO!$C:$C,0)),0)</f>
        <v>0</v>
      </c>
      <c r="AN102" s="261">
        <f>IFERROR(INDEX(AO!$CS:$CS,MATCH($B102,AO!$C:$C,0)),0)</f>
        <v>0</v>
      </c>
    </row>
    <row r="103" spans="2:40">
      <c r="B103" s="73">
        <v>96</v>
      </c>
      <c r="C103" s="49">
        <f t="shared" si="26"/>
        <v>96</v>
      </c>
      <c r="D103" s="261">
        <f>IFERROR(INDEX(AA!$AC:$AC,MATCH($C103,AA!$C:$C,0)),0)</f>
        <v>0</v>
      </c>
      <c r="E103" s="261">
        <f>IFERROR(INDEX(AA!$AG:$AG,MATCH($C103,AA!$C:$C,0)),0)</f>
        <v>0</v>
      </c>
      <c r="F103" s="261">
        <f>IFERROR(INDEX(AA!$AL:$AL,MATCH($C103,AA!$C:$C,0)),0)</f>
        <v>0</v>
      </c>
      <c r="G103" s="261">
        <f>IFERROR(INDEX(AA!$AI:$AI,MATCH($C103,AA!$C:$C,0)),0)</f>
        <v>0</v>
      </c>
      <c r="H103" s="261">
        <f>IFERROR(INDEX(AA!$AN:$AN,MATCH($C103,AA!$C:$C,0)),0)</f>
        <v>0</v>
      </c>
      <c r="I103" s="261"/>
      <c r="J103" s="261">
        <f>IFERROR(INDEX(AO!$Q:$Q,MATCH($B103,AO!$C:$C,0)),0)</f>
        <v>0</v>
      </c>
      <c r="K103" s="1289">
        <f>IFERROR(INDEX(AO!$AP:$AP,MATCH($B103,AO!$C:$C,0)),0)</f>
        <v>0</v>
      </c>
      <c r="L103" s="1278">
        <f>IFERROR(INDEX(AO!$U:$U,MATCH($B103,AO!$C:$C,0)),0)</f>
        <v>0</v>
      </c>
      <c r="M103" s="261">
        <f>IFERROR(INDEX(AO!$Y:$Y,MATCH($B103,AO!$C:$C,0)),0)</f>
        <v>0</v>
      </c>
      <c r="N103" s="261">
        <f>IFERROR(INDEX(AO!$AI:$AI,MATCH($B103,AO!$C:$C,0)),0)</f>
        <v>0</v>
      </c>
      <c r="O103" s="261">
        <f>IFERROR(INDEX(AO!$AM:$AM,MATCH($B103,AO!$C:$C,0)),0)</f>
        <v>0</v>
      </c>
      <c r="Q103" s="1230">
        <f>IFERROR(INDEX(AO!$AT:$AT,MATCH($B103,AO!$C:$C,0)),0)</f>
        <v>0</v>
      </c>
      <c r="R103" s="1230">
        <f t="shared" si="27"/>
        <v>0</v>
      </c>
      <c r="S103" s="1287">
        <f t="shared" si="28"/>
        <v>0</v>
      </c>
      <c r="T103" s="1290">
        <f t="shared" si="29"/>
        <v>0</v>
      </c>
      <c r="U103" s="1287">
        <f t="shared" si="30"/>
        <v>0</v>
      </c>
      <c r="V103" s="1230"/>
      <c r="W103" s="1230">
        <f>IFERROR(INDEX(AA!$EN:$EN,MATCH($C103,AA!$C:$C,0)),0)</f>
        <v>0</v>
      </c>
      <c r="X103" s="1230">
        <f t="shared" si="31"/>
        <v>0</v>
      </c>
      <c r="Y103" s="1279">
        <f t="shared" si="32"/>
        <v>0</v>
      </c>
      <c r="Z103" s="1278">
        <f t="shared" si="33"/>
        <v>0</v>
      </c>
      <c r="AA103" s="1287">
        <f t="shared" si="34"/>
        <v>0</v>
      </c>
      <c r="AB103" s="258"/>
      <c r="AC103" s="261">
        <f>IFERROR(INDEX(AA!$GA:$GA,MATCH($C103,AA!$C:$C,0)),0)</f>
        <v>0</v>
      </c>
      <c r="AD103" s="261">
        <f t="shared" si="35"/>
        <v>0</v>
      </c>
      <c r="AE103" s="1287">
        <f t="shared" si="36"/>
        <v>0</v>
      </c>
      <c r="AF103" s="1278">
        <f t="shared" si="37"/>
        <v>0</v>
      </c>
      <c r="AG103" s="1287">
        <f t="shared" si="38"/>
        <v>0</v>
      </c>
      <c r="AH103" s="1230"/>
      <c r="AI103" s="261">
        <f>IFERROR(INDEX(AO!$CA:$CA,MATCH($B103,AO!$C:$C,0)),0)</f>
        <v>0</v>
      </c>
      <c r="AJ103" s="1291">
        <f>IFERROR(INDEX(PCF!$BK$60:$BK$62,MATCH($B103,PCF!$C$60:$C$62,0)),0)</f>
        <v>0</v>
      </c>
      <c r="AK103" s="1278">
        <f>IFERROR(INDEX(AO!$CC:$CC,MATCH($B103,AO!$C:$C,0)),0)</f>
        <v>0</v>
      </c>
      <c r="AL103" s="261">
        <f>IFERROR(INDEX(AO!$CE:$CE,MATCH($B103,AO!$C:$C,0)),0)</f>
        <v>0</v>
      </c>
      <c r="AM103" s="261">
        <f>IFERROR(INDEX(AO!$CN:$CN,MATCH($B103,AO!$C:$C,0)),0)</f>
        <v>0</v>
      </c>
      <c r="AN103" s="261">
        <f>IFERROR(INDEX(AO!$CS:$CS,MATCH($B103,AO!$C:$C,0)),0)</f>
        <v>0</v>
      </c>
    </row>
    <row r="104" spans="2:40">
      <c r="B104" s="73">
        <v>97</v>
      </c>
      <c r="C104" s="49">
        <f t="shared" si="26"/>
        <v>97</v>
      </c>
      <c r="D104" s="261">
        <f>IFERROR(INDEX(AA!$AC:$AC,MATCH($C104,AA!$C:$C,0)),0)</f>
        <v>0</v>
      </c>
      <c r="E104" s="261">
        <f>IFERROR(INDEX(AA!$AG:$AG,MATCH($C104,AA!$C:$C,0)),0)</f>
        <v>0</v>
      </c>
      <c r="F104" s="261">
        <f>IFERROR(INDEX(AA!$AL:$AL,MATCH($C104,AA!$C:$C,0)),0)</f>
        <v>0</v>
      </c>
      <c r="G104" s="261">
        <f>IFERROR(INDEX(AA!$AI:$AI,MATCH($C104,AA!$C:$C,0)),0)</f>
        <v>0</v>
      </c>
      <c r="H104" s="261">
        <f>IFERROR(INDEX(AA!$AN:$AN,MATCH($C104,AA!$C:$C,0)),0)</f>
        <v>0</v>
      </c>
      <c r="I104" s="261"/>
      <c r="J104" s="261">
        <f>IFERROR(INDEX(AO!$Q:$Q,MATCH($B104,AO!$C:$C,0)),0)</f>
        <v>0</v>
      </c>
      <c r="K104" s="1289">
        <f>IFERROR(INDEX(AO!$AP:$AP,MATCH($B104,AO!$C:$C,0)),0)</f>
        <v>0</v>
      </c>
      <c r="L104" s="1278">
        <f>IFERROR(INDEX(AO!$U:$U,MATCH($B104,AO!$C:$C,0)),0)</f>
        <v>0</v>
      </c>
      <c r="M104" s="261">
        <f>IFERROR(INDEX(AO!$Y:$Y,MATCH($B104,AO!$C:$C,0)),0)</f>
        <v>0</v>
      </c>
      <c r="N104" s="261">
        <f>IFERROR(INDEX(AO!$AI:$AI,MATCH($B104,AO!$C:$C,0)),0)</f>
        <v>0</v>
      </c>
      <c r="O104" s="261">
        <f>IFERROR(INDEX(AO!$AM:$AM,MATCH($B104,AO!$C:$C,0)),0)</f>
        <v>0</v>
      </c>
      <c r="Q104" s="1230">
        <f>IFERROR(INDEX(AO!$AT:$AT,MATCH($B104,AO!$C:$C,0)),0)</f>
        <v>0</v>
      </c>
      <c r="R104" s="1230">
        <f t="shared" si="27"/>
        <v>0</v>
      </c>
      <c r="S104" s="1287">
        <f t="shared" si="28"/>
        <v>0</v>
      </c>
      <c r="T104" s="1290">
        <f t="shared" si="29"/>
        <v>0</v>
      </c>
      <c r="U104" s="1287">
        <f t="shared" si="30"/>
        <v>0</v>
      </c>
      <c r="V104" s="1230"/>
      <c r="W104" s="1230">
        <f>IFERROR(INDEX(AA!$EN:$EN,MATCH($C104,AA!$C:$C,0)),0)</f>
        <v>0</v>
      </c>
      <c r="X104" s="1230">
        <f t="shared" si="31"/>
        <v>0</v>
      </c>
      <c r="Y104" s="1279">
        <f t="shared" si="32"/>
        <v>0</v>
      </c>
      <c r="Z104" s="1278">
        <f t="shared" si="33"/>
        <v>0</v>
      </c>
      <c r="AA104" s="1287">
        <f t="shared" si="34"/>
        <v>0</v>
      </c>
      <c r="AB104" s="258"/>
      <c r="AC104" s="261">
        <f>IFERROR(INDEX(AA!$GA:$GA,MATCH($C104,AA!$C:$C,0)),0)</f>
        <v>0</v>
      </c>
      <c r="AD104" s="261">
        <f t="shared" si="35"/>
        <v>0</v>
      </c>
      <c r="AE104" s="1287">
        <f t="shared" si="36"/>
        <v>0</v>
      </c>
      <c r="AF104" s="1278">
        <f t="shared" si="37"/>
        <v>0</v>
      </c>
      <c r="AG104" s="1287">
        <f t="shared" si="38"/>
        <v>0</v>
      </c>
      <c r="AH104" s="1230"/>
      <c r="AI104" s="261">
        <f>IFERROR(INDEX(AO!$CA:$CA,MATCH($B104,AO!$C:$C,0)),0)</f>
        <v>0</v>
      </c>
      <c r="AJ104" s="1291">
        <f>IFERROR(INDEX(PCF!$BK$60:$BK$62,MATCH($B104,PCF!$C$60:$C$62,0)),0)</f>
        <v>0</v>
      </c>
      <c r="AK104" s="1278">
        <f>IFERROR(INDEX(AO!$CC:$CC,MATCH($B104,AO!$C:$C,0)),0)</f>
        <v>0</v>
      </c>
      <c r="AL104" s="261">
        <f>IFERROR(INDEX(AO!$CE:$CE,MATCH($B104,AO!$C:$C,0)),0)</f>
        <v>0</v>
      </c>
      <c r="AM104" s="261">
        <f>IFERROR(INDEX(AO!$CN:$CN,MATCH($B104,AO!$C:$C,0)),0)</f>
        <v>0</v>
      </c>
      <c r="AN104" s="261">
        <f>IFERROR(INDEX(AO!$CS:$CS,MATCH($B104,AO!$C:$C,0)),0)</f>
        <v>0</v>
      </c>
    </row>
    <row r="105" spans="2:40">
      <c r="B105" s="73">
        <v>98</v>
      </c>
      <c r="C105" s="49">
        <f t="shared" si="26"/>
        <v>98</v>
      </c>
      <c r="D105" s="261">
        <f>IFERROR(INDEX(AA!$AC:$AC,MATCH($C105,AA!$C:$C,0)),0)</f>
        <v>0</v>
      </c>
      <c r="E105" s="261">
        <f>IFERROR(INDEX(AA!$AG:$AG,MATCH($C105,AA!$C:$C,0)),0)</f>
        <v>0</v>
      </c>
      <c r="F105" s="261">
        <f>IFERROR(INDEX(AA!$AL:$AL,MATCH($C105,AA!$C:$C,0)),0)</f>
        <v>0</v>
      </c>
      <c r="G105" s="261">
        <f>IFERROR(INDEX(AA!$AI:$AI,MATCH($C105,AA!$C:$C,0)),0)</f>
        <v>0</v>
      </c>
      <c r="H105" s="261">
        <f>IFERROR(INDEX(AA!$AN:$AN,MATCH($C105,AA!$C:$C,0)),0)</f>
        <v>0</v>
      </c>
      <c r="I105" s="261"/>
      <c r="J105" s="261">
        <f>IFERROR(INDEX(AO!$Q:$Q,MATCH($B105,AO!$C:$C,0)),0)</f>
        <v>0</v>
      </c>
      <c r="K105" s="1289">
        <f>IFERROR(INDEX(AO!$AP:$AP,MATCH($B105,AO!$C:$C,0)),0)</f>
        <v>0</v>
      </c>
      <c r="L105" s="1278">
        <f>IFERROR(INDEX(AO!$U:$U,MATCH($B105,AO!$C:$C,0)),0)</f>
        <v>0</v>
      </c>
      <c r="M105" s="261">
        <f>IFERROR(INDEX(AO!$Y:$Y,MATCH($B105,AO!$C:$C,0)),0)</f>
        <v>0</v>
      </c>
      <c r="N105" s="261">
        <f>IFERROR(INDEX(AO!$AI:$AI,MATCH($B105,AO!$C:$C,0)),0)</f>
        <v>0</v>
      </c>
      <c r="O105" s="261">
        <f>IFERROR(INDEX(AO!$AM:$AM,MATCH($B105,AO!$C:$C,0)),0)</f>
        <v>0</v>
      </c>
      <c r="Q105" s="1230">
        <f>IFERROR(INDEX(AO!$AT:$AT,MATCH($B105,AO!$C:$C,0)),0)</f>
        <v>0</v>
      </c>
      <c r="R105" s="1230">
        <f t="shared" si="27"/>
        <v>0</v>
      </c>
      <c r="S105" s="1287">
        <f t="shared" si="28"/>
        <v>0</v>
      </c>
      <c r="T105" s="1290">
        <f t="shared" si="29"/>
        <v>0</v>
      </c>
      <c r="U105" s="1287">
        <f t="shared" si="30"/>
        <v>0</v>
      </c>
      <c r="V105" s="1230"/>
      <c r="W105" s="1230">
        <f>IFERROR(INDEX(AA!$EN:$EN,MATCH($C105,AA!$C:$C,0)),0)</f>
        <v>0</v>
      </c>
      <c r="X105" s="1230">
        <f t="shared" si="31"/>
        <v>0</v>
      </c>
      <c r="Y105" s="1279">
        <f t="shared" si="32"/>
        <v>0</v>
      </c>
      <c r="Z105" s="1278">
        <f t="shared" si="33"/>
        <v>0</v>
      </c>
      <c r="AA105" s="1287">
        <f t="shared" si="34"/>
        <v>0</v>
      </c>
      <c r="AB105" s="258"/>
      <c r="AC105" s="261">
        <f>IFERROR(INDEX(AA!$GA:$GA,MATCH($C105,AA!$C:$C,0)),0)</f>
        <v>0</v>
      </c>
      <c r="AD105" s="261">
        <f t="shared" si="35"/>
        <v>0</v>
      </c>
      <c r="AE105" s="1287">
        <f t="shared" si="36"/>
        <v>0</v>
      </c>
      <c r="AF105" s="1278">
        <f t="shared" si="37"/>
        <v>0</v>
      </c>
      <c r="AG105" s="1287">
        <f t="shared" si="38"/>
        <v>0</v>
      </c>
      <c r="AH105" s="1230"/>
      <c r="AI105" s="261">
        <f>IFERROR(INDEX(AO!$CA:$CA,MATCH($B105,AO!$C:$C,0)),0)</f>
        <v>0</v>
      </c>
      <c r="AJ105" s="1291">
        <f>IFERROR(INDEX(PCF!$BK$60:$BK$62,MATCH($B105,PCF!$C$60:$C$62,0)),0)</f>
        <v>0</v>
      </c>
      <c r="AK105" s="1278">
        <f>IFERROR(INDEX(AO!$CC:$CC,MATCH($B105,AO!$C:$C,0)),0)</f>
        <v>0</v>
      </c>
      <c r="AL105" s="261">
        <f>IFERROR(INDEX(AO!$CE:$CE,MATCH($B105,AO!$C:$C,0)),0)</f>
        <v>0</v>
      </c>
      <c r="AM105" s="261">
        <f>IFERROR(INDEX(AO!$CN:$CN,MATCH($B105,AO!$C:$C,0)),0)</f>
        <v>0</v>
      </c>
      <c r="AN105" s="261">
        <f>IFERROR(INDEX(AO!$CS:$CS,MATCH($B105,AO!$C:$C,0)),0)</f>
        <v>0</v>
      </c>
    </row>
    <row r="106" spans="2:40">
      <c r="B106" s="73">
        <v>99</v>
      </c>
      <c r="C106" s="49">
        <f t="shared" si="26"/>
        <v>99</v>
      </c>
      <c r="D106" s="261">
        <f>IFERROR(INDEX(AA!$AC:$AC,MATCH($C106,AA!$C:$C,0)),0)</f>
        <v>0</v>
      </c>
      <c r="E106" s="261">
        <f>IFERROR(INDEX(AA!$AG:$AG,MATCH($C106,AA!$C:$C,0)),0)</f>
        <v>0</v>
      </c>
      <c r="F106" s="261">
        <f>IFERROR(INDEX(AA!$AL:$AL,MATCH($C106,AA!$C:$C,0)),0)</f>
        <v>0</v>
      </c>
      <c r="G106" s="261">
        <f>IFERROR(INDEX(AA!$AI:$AI,MATCH($C106,AA!$C:$C,0)),0)</f>
        <v>0</v>
      </c>
      <c r="H106" s="261">
        <f>IFERROR(INDEX(AA!$AN:$AN,MATCH($C106,AA!$C:$C,0)),0)</f>
        <v>0</v>
      </c>
      <c r="I106" s="261"/>
      <c r="J106" s="261">
        <f>IFERROR(INDEX(AO!$Q:$Q,MATCH($B106,AO!$C:$C,0)),0)</f>
        <v>0</v>
      </c>
      <c r="K106" s="1289">
        <f>IFERROR(INDEX(AO!$AP:$AP,MATCH($B106,AO!$C:$C,0)),0)</f>
        <v>0</v>
      </c>
      <c r="L106" s="1278">
        <f>IFERROR(INDEX(AO!$U:$U,MATCH($B106,AO!$C:$C,0)),0)</f>
        <v>0</v>
      </c>
      <c r="M106" s="261">
        <f>IFERROR(INDEX(AO!$Y:$Y,MATCH($B106,AO!$C:$C,0)),0)</f>
        <v>0</v>
      </c>
      <c r="N106" s="261">
        <f>IFERROR(INDEX(AO!$AI:$AI,MATCH($B106,AO!$C:$C,0)),0)</f>
        <v>0</v>
      </c>
      <c r="O106" s="261">
        <f>IFERROR(INDEX(AO!$AM:$AM,MATCH($B106,AO!$C:$C,0)),0)</f>
        <v>0</v>
      </c>
      <c r="Q106" s="1230">
        <f>IFERROR(INDEX(AO!$AT:$AT,MATCH($B106,AO!$C:$C,0)),0)</f>
        <v>0</v>
      </c>
      <c r="R106" s="1230">
        <f t="shared" si="27"/>
        <v>0</v>
      </c>
      <c r="S106" s="1287">
        <f t="shared" si="28"/>
        <v>0</v>
      </c>
      <c r="T106" s="1290">
        <f t="shared" si="29"/>
        <v>0</v>
      </c>
      <c r="U106" s="1287">
        <f t="shared" si="30"/>
        <v>0</v>
      </c>
      <c r="V106" s="1230"/>
      <c r="W106" s="1230">
        <f>IFERROR(INDEX(AA!$EN:$EN,MATCH($C106,AA!$C:$C,0)),0)</f>
        <v>0</v>
      </c>
      <c r="X106" s="1230">
        <f t="shared" si="31"/>
        <v>0</v>
      </c>
      <c r="Y106" s="1279">
        <f t="shared" si="32"/>
        <v>0</v>
      </c>
      <c r="Z106" s="1278">
        <f t="shared" si="33"/>
        <v>0</v>
      </c>
      <c r="AA106" s="1287">
        <f t="shared" si="34"/>
        <v>0</v>
      </c>
      <c r="AB106" s="258"/>
      <c r="AC106" s="261">
        <f>IFERROR(INDEX(AA!$GA:$GA,MATCH($C106,AA!$C:$C,0)),0)</f>
        <v>0</v>
      </c>
      <c r="AD106" s="261">
        <f t="shared" si="35"/>
        <v>0</v>
      </c>
      <c r="AE106" s="1287">
        <f t="shared" si="36"/>
        <v>0</v>
      </c>
      <c r="AF106" s="1278">
        <f t="shared" si="37"/>
        <v>0</v>
      </c>
      <c r="AG106" s="1287">
        <f t="shared" si="38"/>
        <v>0</v>
      </c>
      <c r="AH106" s="1230"/>
      <c r="AI106" s="261">
        <f>IFERROR(INDEX(AO!$CA:$CA,MATCH($B106,AO!$C:$C,0)),0)</f>
        <v>0</v>
      </c>
      <c r="AJ106" s="1291">
        <f>IFERROR(INDEX(PCF!$BK$60:$BK$62,MATCH($B106,PCF!$C$60:$C$62,0)),0)</f>
        <v>0</v>
      </c>
      <c r="AK106" s="1278">
        <f>IFERROR(INDEX(AO!$CC:$CC,MATCH($B106,AO!$C:$C,0)),0)</f>
        <v>0</v>
      </c>
      <c r="AL106" s="261">
        <f>IFERROR(INDEX(AO!$CE:$CE,MATCH($B106,AO!$C:$C,0)),0)</f>
        <v>0</v>
      </c>
      <c r="AM106" s="261">
        <f>IFERROR(INDEX(AO!$CN:$CN,MATCH($B106,AO!$C:$C,0)),0)</f>
        <v>0</v>
      </c>
      <c r="AN106" s="261">
        <f>IFERROR(INDEX(AO!$CS:$CS,MATCH($B106,AO!$C:$C,0)),0)</f>
        <v>0</v>
      </c>
    </row>
    <row r="107" spans="2:40">
      <c r="B107" s="74">
        <v>100</v>
      </c>
      <c r="C107" s="49">
        <f t="shared" ref="C107" si="39">B107</f>
        <v>100</v>
      </c>
      <c r="D107" s="261">
        <f>IFERROR(INDEX(AA!$AC:$AC,MATCH($C107,AA!$C:$C,0)),0)</f>
        <v>0</v>
      </c>
      <c r="E107" s="261">
        <f>IFERROR(INDEX(AA!$AG:$AG,MATCH($C107,AA!$C:$C,0)),0)</f>
        <v>0</v>
      </c>
      <c r="F107" s="261">
        <f>IFERROR(INDEX(AA!$AL:$AL,MATCH($C107,AA!$C:$C,0)),0)</f>
        <v>0</v>
      </c>
      <c r="G107" s="261">
        <f>IFERROR(INDEX(AA!$AI:$AI,MATCH($C107,AA!$C:$C,0)),0)</f>
        <v>0</v>
      </c>
      <c r="H107" s="261">
        <f>IFERROR(INDEX(AA!$AN:$AN,MATCH($C107,AA!$C:$C,0)),0)</f>
        <v>0</v>
      </c>
      <c r="I107" s="261"/>
      <c r="J107" s="261">
        <f>IFERROR(INDEX(AO!$Q:$Q,MATCH($B107,AO!$C:$C,0)),0)</f>
        <v>0</v>
      </c>
      <c r="K107" s="1289">
        <f>IFERROR(INDEX(AO!$AP:$AP,MATCH($B107,AO!$C:$C,0)),0)</f>
        <v>0</v>
      </c>
      <c r="L107" s="1278">
        <f>IFERROR(INDEX(AO!$U:$U,MATCH($B107,AO!$C:$C,0)),0)</f>
        <v>0</v>
      </c>
      <c r="M107" s="261">
        <f>IFERROR(INDEX(AO!$Y:$Y,MATCH($B107,AO!$C:$C,0)),0)</f>
        <v>0</v>
      </c>
      <c r="N107" s="261">
        <f>IFERROR(INDEX(AO!$AI:$AI,MATCH($B107,AO!$C:$C,0)),0)</f>
        <v>0</v>
      </c>
      <c r="O107" s="261">
        <f>IFERROR(INDEX(AO!$AM:$AM,MATCH($B107,AO!$C:$C,0)),0)</f>
        <v>0</v>
      </c>
      <c r="Q107" s="1230">
        <f>IFERROR(INDEX(AO!$AT:$AT,MATCH($B107,AO!$C:$C,0)),0)</f>
        <v>0</v>
      </c>
      <c r="R107" s="1230">
        <f t="shared" ref="R107" si="40">IFERROR(Q107/J107,0)</f>
        <v>0</v>
      </c>
      <c r="S107" s="1287">
        <f t="shared" ref="S107" si="41">IFERROR(Q107/M107,0)</f>
        <v>0</v>
      </c>
      <c r="T107" s="1290">
        <f t="shared" ref="T107" si="42">IFERROR(N107/Q107,0)</f>
        <v>0</v>
      </c>
      <c r="U107" s="1287">
        <f t="shared" ref="U107" si="43">IFERROR(Q107/O107,0)</f>
        <v>0</v>
      </c>
      <c r="V107" s="1230"/>
      <c r="W107" s="1230">
        <f>IFERROR(INDEX(AA!$EN:$EN,MATCH($C107,AA!$C:$C,0)),0)</f>
        <v>0</v>
      </c>
      <c r="X107" s="1230">
        <f t="shared" ref="X107" si="44">IFERROR(W107/J107,0)</f>
        <v>0</v>
      </c>
      <c r="Y107" s="1279">
        <f t="shared" ref="Y107" si="45">IFERROR(W107/M107,0)</f>
        <v>0</v>
      </c>
      <c r="Z107" s="1278">
        <f t="shared" ref="Z107" si="46">IFERROR(N107/W107,0)</f>
        <v>0</v>
      </c>
      <c r="AA107" s="1287">
        <f t="shared" ref="AA107" si="47">IFERROR(W107/O107,0)</f>
        <v>0</v>
      </c>
      <c r="AB107" s="258"/>
      <c r="AC107" s="261">
        <f>IFERROR(INDEX(AA!$GA:$GA,MATCH($C107,AA!$C:$C,0)),0)</f>
        <v>0</v>
      </c>
      <c r="AD107" s="261">
        <f t="shared" ref="AD107" si="48">IFERROR(AC107/AI107,0)</f>
        <v>0</v>
      </c>
      <c r="AE107" s="1287">
        <f t="shared" ref="AE107" si="49">IFERROR($AC107/AL107,0)</f>
        <v>0</v>
      </c>
      <c r="AF107" s="1278">
        <f t="shared" ref="AF107" si="50">IFERROR(AM107/$AC107,0)</f>
        <v>0</v>
      </c>
      <c r="AG107" s="1287">
        <f t="shared" ref="AG107" si="51">IFERROR($AC107/AN107,0)</f>
        <v>0</v>
      </c>
      <c r="AH107" s="1230"/>
      <c r="AI107" s="261">
        <f>IFERROR(INDEX(AO!$CA:$CA,MATCH($B107,AO!$C:$C,0)),0)</f>
        <v>0</v>
      </c>
      <c r="AJ107" s="1291">
        <f>IFERROR(INDEX(PCF!$BK$60:$BK$62,MATCH($B107,PCF!$C$60:$C$62,0)),0)</f>
        <v>0</v>
      </c>
      <c r="AK107" s="1278">
        <f>IFERROR(INDEX(AO!$CC:$CC,MATCH($B107,AO!$C:$C,0)),0)</f>
        <v>0</v>
      </c>
      <c r="AL107" s="261">
        <f>IFERROR(INDEX(AO!$CE:$CE,MATCH($B107,AO!$C:$C,0)),0)</f>
        <v>0</v>
      </c>
      <c r="AM107" s="261">
        <f>IFERROR(INDEX(AO!$CN:$CN,MATCH($B107,AO!$C:$C,0)),0)</f>
        <v>0</v>
      </c>
      <c r="AN107" s="261">
        <f>IFERROR(INDEX(AO!$CS:$CS,MATCH($B107,AO!$C:$C,0)),0)</f>
        <v>0</v>
      </c>
    </row>
    <row r="109" spans="2:40">
      <c r="C109" s="863">
        <f>SUM(AA!E13:E15)</f>
        <v>3</v>
      </c>
      <c r="D109" s="268"/>
      <c r="E109" s="268"/>
      <c r="F109" s="268"/>
      <c r="G109" s="268"/>
      <c r="H109" s="268"/>
      <c r="I109" s="268"/>
      <c r="J109" s="869">
        <f>SUBTOTAL(9,J8:J107)</f>
        <v>3000</v>
      </c>
      <c r="K109" s="865">
        <f>SUMPRODUCT(K8:K107,M8:M107)/M109</f>
        <v>17.846575342465758</v>
      </c>
      <c r="L109" s="866">
        <f>SUMPRODUCT(L8:L107,J8:J107)/J109</f>
        <v>1</v>
      </c>
      <c r="M109" s="869">
        <f>SUBTOTAL(9,M8:M107)</f>
        <v>300000</v>
      </c>
      <c r="N109" s="869">
        <f>SUBTOTAL(9,N8:N107)</f>
        <v>274300</v>
      </c>
      <c r="O109" s="869">
        <f>SUBTOTAL(9,O8:O107)</f>
        <v>218275.46531086438</v>
      </c>
      <c r="P109" s="268"/>
      <c r="Q109" s="869">
        <f>SUBTOTAL(9,Q8:Q107)</f>
        <v>5000000</v>
      </c>
      <c r="R109" s="869">
        <f>Q109/J109</f>
        <v>1666.6666666666667</v>
      </c>
      <c r="S109" s="866">
        <f>M109/Q109</f>
        <v>0.06</v>
      </c>
      <c r="T109" s="866">
        <f>N109/Q109</f>
        <v>5.4859999999999999E-2</v>
      </c>
      <c r="U109" s="867">
        <f t="shared" si="4"/>
        <v>22.906834686523659</v>
      </c>
      <c r="W109" s="869">
        <f>SUBTOTAL(9,W8:W107)</f>
        <v>0</v>
      </c>
      <c r="X109" s="869">
        <f>W109/J109</f>
        <v>0</v>
      </c>
      <c r="Y109" s="869">
        <f>W109/M109</f>
        <v>0</v>
      </c>
      <c r="Z109" s="866">
        <f>IFERROR(N109/W109,0)</f>
        <v>0</v>
      </c>
      <c r="AA109" s="867">
        <f t="shared" si="8"/>
        <v>0</v>
      </c>
      <c r="AB109" s="864"/>
      <c r="AC109" s="869">
        <f>SUBTOTAL(9,AC8:AC107)</f>
        <v>3681609.018749997</v>
      </c>
      <c r="AD109" s="869">
        <f>AC109/AI109</f>
        <v>1227.2030062499989</v>
      </c>
      <c r="AE109" s="867">
        <f>$AC109/AL109</f>
        <v>12</v>
      </c>
      <c r="AF109" s="866">
        <f>AM109/$AC109</f>
        <v>7.606830587933848E-2</v>
      </c>
      <c r="AG109" s="867">
        <f>$AC109/AN109</f>
        <v>17.528866313773065</v>
      </c>
      <c r="AH109" s="869"/>
      <c r="AI109" s="864">
        <f>SUM(AI8:AI108)</f>
        <v>3000</v>
      </c>
      <c r="AJ109" s="865">
        <f>SUMPRODUCT(AJ8:AJ107,AL8:AL107)/AL109</f>
        <v>14.846575342465755</v>
      </c>
      <c r="AK109" s="866">
        <f>AO!CC22</f>
        <v>1</v>
      </c>
      <c r="AL109" s="869">
        <f>SUBTOTAL(9,AL8:AL107)</f>
        <v>306800.75156249973</v>
      </c>
      <c r="AM109" s="869">
        <f>SUBTOTAL(9,AM8:AM107)</f>
        <v>280053.76096640597</v>
      </c>
      <c r="AN109" s="869">
        <f>SUBTOTAL(9,AN8:AN107)</f>
        <v>210031.21096640592</v>
      </c>
    </row>
    <row r="113" spans="1:40" s="90" customFormat="1">
      <c r="A113" s="370"/>
      <c r="B113" s="91"/>
      <c r="C113" s="370" t="s">
        <v>759</v>
      </c>
      <c r="AE113" s="92"/>
      <c r="AM113" s="370" t="s">
        <v>759</v>
      </c>
      <c r="AN113" s="92"/>
    </row>
  </sheetData>
  <conditionalFormatting sqref="C8:P107 AC8:AG107 AI8:AN107 S8:S107 Y8:AA107 U8:U107">
    <cfRule type="expression" dxfId="1" priority="15">
      <formula>MOD(ROW(),2)=0</formula>
    </cfRule>
  </conditionalFormatting>
  <conditionalFormatting sqref="Q9:U107 T8:T107 Q8:R107 V8:X107 AB8:AB107 AH8:AH107 Y9:Y107 AA9:AA107">
    <cfRule type="expression" dxfId="0" priority="14">
      <formula>MOD(ROW(),2)=0</formula>
    </cfRule>
  </conditionalFormatting>
  <pageMargins left="0.7" right="0.7" top="0.75" bottom="0.75" header="0.3" footer="0.3"/>
  <pageSetup paperSize="9" scale="21" orientation="landscape" r:id="rId1"/>
  <ignoredErrors>
    <ignoredError sqref="AF8" formula="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47314-EBA6-4CE3-9974-F4E8ECFE7FC6}">
  <sheetPr codeName="Tabelle2">
    <tabColor rgb="FF7030A0"/>
  </sheetPr>
  <dimension ref="B1:W45"/>
  <sheetViews>
    <sheetView workbookViewId="0">
      <selection activeCell="F27" sqref="F27"/>
    </sheetView>
  </sheetViews>
  <sheetFormatPr baseColWidth="10" defaultColWidth="8.7109375" defaultRowHeight="12.75"/>
  <cols>
    <col min="1" max="1" width="2.7109375" style="148" customWidth="1"/>
    <col min="2" max="2" width="9.42578125" style="148" bestFit="1" customWidth="1"/>
    <col min="3" max="5" width="8.7109375" style="148"/>
    <col min="6" max="6" width="35.28515625" style="148" customWidth="1"/>
    <col min="7" max="7" width="17.42578125" style="148" customWidth="1"/>
    <col min="8" max="8" width="12.7109375" style="148" customWidth="1"/>
    <col min="9" max="9" width="12.28515625" style="148" customWidth="1"/>
    <col min="10" max="10" width="11" style="148" customWidth="1"/>
    <col min="11" max="11" width="14.28515625" style="148" customWidth="1"/>
    <col min="12" max="12" width="2.7109375" style="148" customWidth="1"/>
    <col min="13" max="16" width="8.7109375" style="148"/>
    <col min="17" max="17" width="2.28515625" style="148" customWidth="1"/>
    <col min="18" max="18" width="17.42578125" style="148" customWidth="1"/>
    <col min="19" max="19" width="17.5703125" style="148" customWidth="1"/>
    <col min="20" max="22" width="8.7109375" style="148"/>
    <col min="23" max="23" width="8.7109375" style="1626"/>
    <col min="24" max="16384" width="8.7109375" style="148"/>
  </cols>
  <sheetData>
    <row r="1" spans="2:23">
      <c r="W1" s="1626" t="s">
        <v>1574</v>
      </c>
    </row>
    <row r="2" spans="2:23">
      <c r="B2" s="1608" t="s">
        <v>4</v>
      </c>
      <c r="C2" s="1609">
        <v>1</v>
      </c>
      <c r="E2" s="148" t="str">
        <f>"ID: " &amp;C2&amp;", "&amp; INDEX(AA!AC:AC,MATCH(C2,AA!C:C,0))&amp;", " &amp; INDEX(AA!AE:AE,MATCH(C2,AA!C:C,0))</f>
        <v>ID: 1, backup, backup</v>
      </c>
      <c r="W2" s="1626" t="s">
        <v>1575</v>
      </c>
    </row>
    <row r="3" spans="2:23">
      <c r="B3" s="1608" t="s">
        <v>1573</v>
      </c>
      <c r="C3" s="1609" t="s">
        <v>1574</v>
      </c>
    </row>
    <row r="4" spans="2:23">
      <c r="E4" s="1612" t="str">
        <f>IF($C$3="DE","Mieterliste","Rent Roll")</f>
        <v>Mieterliste</v>
      </c>
      <c r="F4" s="1611"/>
      <c r="G4" s="1611"/>
      <c r="H4" s="1611"/>
      <c r="I4" s="1611"/>
      <c r="J4" s="1611"/>
      <c r="K4" s="1611"/>
    </row>
    <row r="5" spans="2:23">
      <c r="E5" s="148" t="str">
        <f>"ID "&amp;$C$2&amp;": "&amp;INDEX(RR!$H$23:$H$25,MATCH($C$2,RR!$C$23:$C$25,0))&amp;", "&amp;INDEX(RR!$I$23:$I$25,MATCH($C$2,RR!$C$23:$C$25,0))</f>
        <v>ID 1: backup, backup</v>
      </c>
    </row>
    <row r="6" spans="2:23" ht="30">
      <c r="E6" s="1600" t="s">
        <v>37</v>
      </c>
      <c r="F6" s="1600" t="str">
        <f>IF($C$3="DE","Mieter","Tenant")</f>
        <v>Mieter</v>
      </c>
      <c r="G6" s="1600" t="str">
        <f>IF($C$3="DE","Nutzung","Usage Type")</f>
        <v>Nutzung</v>
      </c>
      <c r="H6" s="1600" t="str">
        <f>IF($C$3="DE","Fläche","Lettable Area")</f>
        <v>Fläche</v>
      </c>
      <c r="I6" s="1600" t="str">
        <f>IF($C$3="DE","Nettokalt-
miete","NRI")</f>
        <v>Nettokalt-
miete</v>
      </c>
      <c r="J6" s="1600" t="str">
        <f>IF($C$3="DE","Miete
p.m²","Rent per sqm")</f>
        <v>Miete
p.m²</v>
      </c>
      <c r="K6" s="1600" t="str">
        <f>IF($C$3="DE","Frühestes Vertragsende","Earliest Break Date")</f>
        <v>Frühestes Vertragsende</v>
      </c>
    </row>
    <row r="7" spans="2:23">
      <c r="E7" s="1601"/>
      <c r="F7" s="1601"/>
      <c r="G7" s="1601"/>
      <c r="H7" s="1602" t="str">
        <f>IF($C$3="DE","m²","sqm")</f>
        <v>m²</v>
      </c>
      <c r="I7" s="1602" t="s">
        <v>1571</v>
      </c>
      <c r="J7" s="1602" t="s">
        <v>1572</v>
      </c>
      <c r="K7" s="1602"/>
    </row>
    <row r="8" spans="2:23" ht="15">
      <c r="D8" s="1625" t="str">
        <f>$C$2&amp;" - "&amp;E8</f>
        <v>1 - 1</v>
      </c>
      <c r="E8" s="1607">
        <v>1</v>
      </c>
      <c r="F8" s="1639" t="str">
        <f>IFERROR(INDEX(RR!$L$23:$L$25,MATCH(BB!$D8,RR!$E$23:$E$25,0)),0)</f>
        <v>backup</v>
      </c>
      <c r="G8" s="1640" t="str">
        <f>IFERROR(INDEX(RR!$J$23:$J$25,MATCH(BB!$D8,RR!$E$23:$E$25,0)),0)</f>
        <v>FMCG-F</v>
      </c>
      <c r="H8" s="345">
        <f>IFERROR(INDEX(RR!$P$23:$P$25,MATCH(BB!$D8,RR!$E$23:$E$25,0)),0)</f>
        <v>1000</v>
      </c>
      <c r="I8" s="345">
        <f>IFERROR(INDEX(RR!$Q$23:$Q$25,MATCH(BB!$D8,RR!$E$23:$E$25,0)),0)</f>
        <v>100000</v>
      </c>
      <c r="J8" s="1712">
        <f>IFERROR(I8/H8/12,0)</f>
        <v>8.3333333333333339</v>
      </c>
      <c r="K8" s="1711">
        <f>IFERROR(INDEX(RR!N:N,MATCH($D8,RR!E:E,0)),"-")</f>
        <v>50770</v>
      </c>
    </row>
    <row r="9" spans="2:23" ht="15">
      <c r="D9" s="1625" t="str">
        <f t="shared" ref="D9:D17" si="0">$C$2&amp;" - "&amp;E9</f>
        <v>1 - 2</v>
      </c>
      <c r="E9" s="1607">
        <v>2</v>
      </c>
      <c r="F9" s="1639">
        <f>IFERROR(INDEX(RR!$L$23:$L$25,MATCH(BB!$D9,RR!$E$23:$E$25,0)),0)</f>
        <v>0</v>
      </c>
      <c r="G9" s="1640">
        <f>IFERROR(INDEX(RR!$J$23:$J$25,MATCH(BB!$D9,RR!$E$23:$E$25,0)),0)</f>
        <v>0</v>
      </c>
      <c r="H9" s="345">
        <f>IFERROR(INDEX(RR!$P$23:$P$25,MATCH(BB!$D9,RR!$E$23:$E$25,0)),0)</f>
        <v>0</v>
      </c>
      <c r="I9" s="345">
        <f>IFERROR(INDEX(RR!$Q$23:$Q$25,MATCH(BB!$D9,RR!$E$23:$E$25,0)),0)</f>
        <v>0</v>
      </c>
      <c r="J9" s="1610">
        <f t="shared" ref="J9:J17" si="1">IFERROR(I9/H9/12,0)</f>
        <v>0</v>
      </c>
      <c r="K9" s="1711" t="str">
        <f>IFERROR(INDEX(RR!N:N,MATCH($D9,RR!E:E,0)),"-")</f>
        <v>-</v>
      </c>
    </row>
    <row r="10" spans="2:23" ht="15">
      <c r="D10" s="1625" t="str">
        <f t="shared" si="0"/>
        <v>1 - 3</v>
      </c>
      <c r="E10" s="1607">
        <v>3</v>
      </c>
      <c r="F10" s="1639">
        <f>IFERROR(INDEX(RR!$L$23:$L$25,MATCH(BB!$D10,RR!$E$23:$E$25,0)),0)</f>
        <v>0</v>
      </c>
      <c r="G10" s="1640">
        <f>IFERROR(INDEX(RR!$J$23:$J$25,MATCH(BB!$D10,RR!$E$23:$E$25,0)),0)</f>
        <v>0</v>
      </c>
      <c r="H10" s="345">
        <f>IFERROR(INDEX(RR!$P$23:$P$25,MATCH(BB!$D10,RR!$E$23:$E$25,0)),0)</f>
        <v>0</v>
      </c>
      <c r="I10" s="345">
        <f>IFERROR(INDEX(RR!$Q$23:$Q$25,MATCH(BB!$D10,RR!$E$23:$E$25,0)),0)</f>
        <v>0</v>
      </c>
      <c r="J10" s="1610">
        <f t="shared" si="1"/>
        <v>0</v>
      </c>
      <c r="K10" s="1711" t="str">
        <f>IFERROR(INDEX(RR!N:N,MATCH($D10,RR!E:E,0)),"-")</f>
        <v>-</v>
      </c>
    </row>
    <row r="11" spans="2:23" ht="15">
      <c r="D11" s="1625" t="str">
        <f t="shared" si="0"/>
        <v>1 - 4</v>
      </c>
      <c r="E11" s="1607">
        <v>4</v>
      </c>
      <c r="F11" s="1639">
        <f>IFERROR(INDEX(RR!$L$23:$L$25,MATCH(BB!$D11,RR!$E$23:$E$25,0)),0)</f>
        <v>0</v>
      </c>
      <c r="G11" s="1640">
        <f>IFERROR(INDEX(RR!$J$23:$J$25,MATCH(BB!$D11,RR!$E$23:$E$25,0)),0)</f>
        <v>0</v>
      </c>
      <c r="H11" s="345">
        <f>IFERROR(INDEX(RR!$P$23:$P$25,MATCH(BB!$D11,RR!$E$23:$E$25,0)),0)</f>
        <v>0</v>
      </c>
      <c r="I11" s="345">
        <f>IFERROR(INDEX(RR!$Q$23:$Q$25,MATCH(BB!$D11,RR!$E$23:$E$25,0)),0)</f>
        <v>0</v>
      </c>
      <c r="J11" s="1610">
        <f t="shared" si="1"/>
        <v>0</v>
      </c>
      <c r="K11" s="1711" t="str">
        <f>IFERROR(INDEX(RR!N:N,MATCH($D11,RR!E:E,0)),"-")</f>
        <v>-</v>
      </c>
    </row>
    <row r="12" spans="2:23" ht="15">
      <c r="D12" s="1625" t="str">
        <f t="shared" si="0"/>
        <v>1 - 5</v>
      </c>
      <c r="E12" s="1607">
        <v>5</v>
      </c>
      <c r="F12" s="1639">
        <f>IFERROR(INDEX(RR!$L$23:$L$25,MATCH(BB!$D12,RR!$E$23:$E$25,0)),0)</f>
        <v>0</v>
      </c>
      <c r="G12" s="1640">
        <f>IFERROR(INDEX(RR!$J$23:$J$25,MATCH(BB!$D12,RR!$E$23:$E$25,0)),0)</f>
        <v>0</v>
      </c>
      <c r="H12" s="345">
        <f>IFERROR(INDEX(RR!$P$23:$P$25,MATCH(BB!$D12,RR!$E$23:$E$25,0)),0)</f>
        <v>0</v>
      </c>
      <c r="I12" s="345">
        <f>IFERROR(INDEX(RR!$Q$23:$Q$25,MATCH(BB!$D12,RR!$E$23:$E$25,0)),0)</f>
        <v>0</v>
      </c>
      <c r="J12" s="1610">
        <f t="shared" si="1"/>
        <v>0</v>
      </c>
      <c r="K12" s="1711" t="str">
        <f>IFERROR(INDEX(RR!N:N,MATCH($D12,RR!E:E,0)),"-")</f>
        <v>-</v>
      </c>
    </row>
    <row r="13" spans="2:23" ht="15">
      <c r="D13" s="1625" t="str">
        <f t="shared" si="0"/>
        <v>1 - 6</v>
      </c>
      <c r="E13" s="1607">
        <v>6</v>
      </c>
      <c r="F13" s="1639">
        <f>IFERROR(INDEX(RR!$L$23:$L$25,MATCH(BB!$D13,RR!$E$23:$E$25,0)),0)</f>
        <v>0</v>
      </c>
      <c r="G13" s="1640">
        <f>IFERROR(INDEX(RR!$J$23:$J$25,MATCH(BB!$D13,RR!$E$23:$E$25,0)),0)</f>
        <v>0</v>
      </c>
      <c r="H13" s="345">
        <f>IFERROR(INDEX(RR!$P$23:$P$25,MATCH(BB!$D13,RR!$E$23:$E$25,0)),0)</f>
        <v>0</v>
      </c>
      <c r="I13" s="345">
        <f>IFERROR(INDEX(RR!$Q$23:$Q$25,MATCH(BB!$D13,RR!$E$23:$E$25,0)),0)</f>
        <v>0</v>
      </c>
      <c r="J13" s="1610">
        <f t="shared" si="1"/>
        <v>0</v>
      </c>
      <c r="K13" s="1711" t="str">
        <f>IFERROR(INDEX(RR!N:N,MATCH($D13,RR!E:E,0)),"-")</f>
        <v>-</v>
      </c>
    </row>
    <row r="14" spans="2:23" ht="15">
      <c r="D14" s="1625" t="str">
        <f t="shared" si="0"/>
        <v>1 - 7</v>
      </c>
      <c r="E14" s="1607">
        <v>7</v>
      </c>
      <c r="F14" s="1639">
        <f>IFERROR(INDEX(RR!$L$23:$L$25,MATCH(BB!$D14,RR!$E$23:$E$25,0)),0)</f>
        <v>0</v>
      </c>
      <c r="G14" s="1640">
        <f>IFERROR(INDEX(RR!$J$23:$J$25,MATCH(BB!$D14,RR!$E$23:$E$25,0)),0)</f>
        <v>0</v>
      </c>
      <c r="H14" s="345">
        <f>IFERROR(INDEX(RR!$P$23:$P$25,MATCH(BB!$D14,RR!$E$23:$E$25,0)),0)</f>
        <v>0</v>
      </c>
      <c r="I14" s="345">
        <f>IFERROR(INDEX(RR!$Q$23:$Q$25,MATCH(BB!$D14,RR!$E$23:$E$25,0)),0)</f>
        <v>0</v>
      </c>
      <c r="J14" s="1610">
        <f t="shared" si="1"/>
        <v>0</v>
      </c>
      <c r="K14" s="1711" t="str">
        <f>IFERROR(INDEX(RR!N:N,MATCH($D14,RR!E:E,0)),"-")</f>
        <v>-</v>
      </c>
    </row>
    <row r="15" spans="2:23" ht="15">
      <c r="D15" s="1625" t="str">
        <f t="shared" si="0"/>
        <v>1 - 8</v>
      </c>
      <c r="E15" s="1607">
        <v>8</v>
      </c>
      <c r="F15" s="1639">
        <f>IFERROR(INDEX(RR!$L$23:$L$25,MATCH(BB!$D15,RR!$E$23:$E$25,0)),0)</f>
        <v>0</v>
      </c>
      <c r="G15" s="1640">
        <f>IFERROR(INDEX(RR!$J$23:$J$25,MATCH(BB!$D15,RR!$E$23:$E$25,0)),0)</f>
        <v>0</v>
      </c>
      <c r="H15" s="345">
        <f>IFERROR(INDEX(RR!$P$23:$P$25,MATCH(BB!$D15,RR!$E$23:$E$25,0)),0)</f>
        <v>0</v>
      </c>
      <c r="I15" s="345">
        <f>IFERROR(INDEX(RR!$Q$23:$Q$25,MATCH(BB!$D15,RR!$E$23:$E$25,0)),0)</f>
        <v>0</v>
      </c>
      <c r="J15" s="1610">
        <f t="shared" si="1"/>
        <v>0</v>
      </c>
      <c r="K15" s="1711" t="str">
        <f>IFERROR(INDEX(RR!N:N,MATCH($D15,RR!E:E,0)),"-")</f>
        <v>-</v>
      </c>
    </row>
    <row r="16" spans="2:23" ht="15">
      <c r="D16" s="1625" t="str">
        <f t="shared" si="0"/>
        <v>1 - 9</v>
      </c>
      <c r="E16" s="1607">
        <v>9</v>
      </c>
      <c r="F16" s="1639">
        <f>IFERROR(INDEX(RR!$L$23:$L$25,MATCH(BB!$D16,RR!$E$23:$E$25,0)),0)</f>
        <v>0</v>
      </c>
      <c r="G16" s="1640">
        <f>IFERROR(INDEX(RR!$J$23:$J$25,MATCH(BB!$D16,RR!$E$23:$E$25,0)),0)</f>
        <v>0</v>
      </c>
      <c r="H16" s="345">
        <f>IFERROR(INDEX(RR!$P$23:$P$25,MATCH(BB!$D16,RR!$E$23:$E$25,0)),0)</f>
        <v>0</v>
      </c>
      <c r="I16" s="345">
        <f>IFERROR(INDEX(RR!$Q$23:$Q$25,MATCH(BB!$D16,RR!$E$23:$E$25,0)),0)</f>
        <v>0</v>
      </c>
      <c r="J16" s="1610">
        <f t="shared" si="1"/>
        <v>0</v>
      </c>
      <c r="K16" s="1711" t="str">
        <f>IFERROR(INDEX(RR!N:N,MATCH($D16,RR!E:E,0)),"-")</f>
        <v>-</v>
      </c>
    </row>
    <row r="17" spans="4:19" ht="15">
      <c r="D17" s="1625" t="str">
        <f t="shared" si="0"/>
        <v>1 - 10</v>
      </c>
      <c r="E17" s="1607">
        <v>10</v>
      </c>
      <c r="F17" s="1640">
        <f>IFERROR(INDEX(RR!$L$23:$L$25,MATCH(BB!$D17,RR!$E$23:$E$25,0)),0)</f>
        <v>0</v>
      </c>
      <c r="G17" s="1640">
        <f>IFERROR(INDEX(RR!$J$23:$J$25,MATCH(BB!$D17,RR!$E$23:$E$25,0)),0)</f>
        <v>0</v>
      </c>
      <c r="H17" s="345">
        <f>IFERROR(INDEX(RR!$P$23:$P$25,MATCH(BB!$D17,RR!$E$23:$E$25,0)),0)</f>
        <v>0</v>
      </c>
      <c r="I17" s="345">
        <f>IFERROR(INDEX(RR!$Q$23:$Q$25,MATCH(BB!$D17,RR!$E$23:$E$25,0)),0)</f>
        <v>0</v>
      </c>
      <c r="J17" s="1610">
        <f t="shared" si="1"/>
        <v>0</v>
      </c>
      <c r="K17" s="1711" t="str">
        <f>IFERROR(INDEX(RR!N:N,MATCH($D17,RR!E:E,0)),"-")</f>
        <v>-</v>
      </c>
    </row>
    <row r="18" spans="4:19">
      <c r="E18" s="1603" t="str">
        <f>+"Total"</f>
        <v>Total</v>
      </c>
      <c r="F18" s="1603"/>
      <c r="G18" s="1603"/>
      <c r="H18" s="1604">
        <f>SUM(H8:H17)</f>
        <v>1000</v>
      </c>
      <c r="I18" s="1604">
        <f>SUM(I8:I17)</f>
        <v>100000</v>
      </c>
      <c r="J18" s="1605">
        <f>IFERROR(I18/H18/12,0)</f>
        <v>8.3333333333333339</v>
      </c>
      <c r="K18" s="1605"/>
    </row>
    <row r="22" spans="4:19" ht="15">
      <c r="M22" s="1613" t="str">
        <f>IF($C$3="DE","Key-Facts Ankauf","Purchase Key-Facts")</f>
        <v>Key-Facts Ankauf</v>
      </c>
      <c r="N22" s="1613"/>
      <c r="O22" s="1613"/>
      <c r="P22" s="1613"/>
      <c r="R22" s="1613" t="str">
        <f>IF($C$3="DE","FMCG Anteil","FMCG Share")</f>
        <v>FMCG Anteil</v>
      </c>
      <c r="S22" s="1613"/>
    </row>
    <row r="23" spans="4:19" ht="3.6" customHeight="1">
      <c r="M23" s="1606"/>
      <c r="N23" s="1606"/>
      <c r="O23" s="1606"/>
      <c r="P23" s="1606"/>
    </row>
    <row r="24" spans="4:19" ht="15">
      <c r="M24" t="str">
        <f>IF($C$3="DE","Mietfläche (m²)","Lettable Area (sqm)")</f>
        <v>Mietfläche (m²)</v>
      </c>
      <c r="N24"/>
      <c r="O24"/>
      <c r="P24" s="345">
        <f>$H$18</f>
        <v>1000</v>
      </c>
    </row>
    <row r="25" spans="4:19" ht="15">
      <c r="M25" t="str">
        <f>IF($C$3="DE","Leerstand (m²)","Vacancy (sqm)")</f>
        <v>Leerstand (m²)</v>
      </c>
      <c r="N25"/>
      <c r="O25"/>
      <c r="P25" s="345">
        <f>IFERROR(SUMIFS(RR!$P$23:$P$25,RR!$C$23:$C$25,$C$2,RR!$K$23:$K$25,"vacant"),0)</f>
        <v>0</v>
      </c>
    </row>
    <row r="26" spans="4:19" ht="15">
      <c r="M26" s="1614" t="str">
        <f>IF($C$3="DE","Vermietungsstand","Occupancy")</f>
        <v>Vermietungsstand</v>
      </c>
      <c r="N26"/>
      <c r="O26"/>
      <c r="P26" s="1619">
        <f>IFERROR(1-($P$25/$P$24),0)</f>
        <v>1</v>
      </c>
    </row>
    <row r="27" spans="4:19" ht="15">
      <c r="M27" t="str">
        <f>IF($C$3="DE","WALT (Jahre)*","WALT (Years)*")</f>
        <v>WALT (Jahre)*</v>
      </c>
      <c r="N27"/>
      <c r="O27" s="1620"/>
      <c r="P27" s="1620">
        <f>IFERROR(INDEX(AO!$BR$18:$BR$20,MATCH($C$2,AO!$C$18:$C$20,0)),0)</f>
        <v>17.597260273972601</v>
      </c>
    </row>
    <row r="28" spans="4:19" ht="15">
      <c r="M28" s="1616" t="str">
        <f>IF($C$3="DE","Nettokaltmiete (€k p.a.)","NRI (€k p.a.)")</f>
        <v>Nettokaltmiete (€k p.a.)</v>
      </c>
      <c r="N28" s="1617"/>
      <c r="O28" s="1621"/>
      <c r="P28" s="1621">
        <f>$I$18</f>
        <v>100000</v>
      </c>
    </row>
    <row r="29" spans="4:19" ht="15">
      <c r="M29" s="1614" t="str">
        <f>IF($C$3="DE","Miete p.m² (€ p.m.)","Rent per sqm (€ p.m.)")</f>
        <v>Miete p.m² (€ p.m.)</v>
      </c>
      <c r="N29"/>
      <c r="O29"/>
      <c r="P29" s="1622">
        <f>IFERROR($P$28/$P$24/12,0)</f>
        <v>8.3333333333333339</v>
      </c>
    </row>
    <row r="30" spans="4:19" ht="15">
      <c r="M30" t="str">
        <f>IF($C$3="DE","NOI, geschätzt (€k p.a.)","NOI, estimated (€k p.a.)")</f>
        <v>NOI, geschätzt (€k p.a.)</v>
      </c>
      <c r="N30"/>
      <c r="O30"/>
      <c r="P30" s="1623">
        <f>IFERROR(INDEX(IC!$P$8:$P$10,MATCH($C$2,IC!$C$8:$C$10,0)),0)</f>
        <v>92400</v>
      </c>
    </row>
    <row r="31" spans="4:19" ht="15">
      <c r="M31" s="1614" t="str">
        <f>IF($C$3="DE","NOI-Marge","NOI-Margin")</f>
        <v>NOI-Marge</v>
      </c>
      <c r="N31"/>
      <c r="O31"/>
      <c r="P31" s="1615">
        <f>IFERROR(P30/P28,0)</f>
        <v>0.92400000000000004</v>
      </c>
      <c r="R31" s="1624"/>
    </row>
    <row r="32" spans="4:19" ht="3.6" customHeight="1">
      <c r="M32" s="1618"/>
      <c r="N32" s="1618"/>
      <c r="O32" s="1618"/>
      <c r="P32" s="1618"/>
    </row>
    <row r="34" spans="13:21" ht="15">
      <c r="M34" s="1632" t="s">
        <v>1576</v>
      </c>
      <c r="N34" s="1632"/>
      <c r="O34" s="1632"/>
      <c r="P34" s="1632"/>
    </row>
    <row r="35" spans="13:21" ht="3.6" customHeight="1">
      <c r="M35" s="1633"/>
      <c r="N35" s="1633"/>
      <c r="O35" s="1633"/>
      <c r="P35" s="1633"/>
    </row>
    <row r="36" spans="13:21">
      <c r="M36" s="1628" t="str">
        <f>IF($C$3="DE","Allokierter Kaufpreis (€k)**","Allocated Purchase Price(€k)**")</f>
        <v>Allokierter Kaufpreis (€k)**</v>
      </c>
      <c r="N36" s="1627"/>
      <c r="O36" s="1628"/>
      <c r="P36" s="1635">
        <f>IFERROR(INDEX(IC!$AR$8:$AR$10,MATCH($C$2,IC!$C$8:$C$10,0)),0)</f>
        <v>1702728.7550444414</v>
      </c>
    </row>
    <row r="37" spans="13:21">
      <c r="M37" s="1629" t="str">
        <f>IF($C$3="DE","Kaufpreis p.m² (€)","Purchase Price per sqm (€)")</f>
        <v>Kaufpreis p.m² (€)</v>
      </c>
      <c r="N37" s="1627"/>
      <c r="O37" s="1627"/>
      <c r="P37" s="1636">
        <f>IFERROR(INDEX(IC!$AR$8:$AR$10,MATCH($C$2,IC!$C$8:$C$10,0))/$P$24,0)</f>
        <v>1702.7287550444414</v>
      </c>
    </row>
    <row r="38" spans="13:21">
      <c r="M38" s="1627" t="str">
        <f>IF($C$3="DE","Mietmultiplikator","NRI Factor")</f>
        <v>Mietmultiplikator</v>
      </c>
      <c r="N38" s="1627"/>
      <c r="O38" s="1627"/>
      <c r="P38" s="1631">
        <f>IFERROR(P36/P28,0)</f>
        <v>17.027287550444413</v>
      </c>
    </row>
    <row r="39" spans="13:21" ht="12.6" customHeight="1">
      <c r="M39" s="1627" t="str">
        <f>IF($C$3="DE","NOI Rendite","NOI Yield")</f>
        <v>NOI Rendite</v>
      </c>
      <c r="N39" s="1627"/>
      <c r="O39" s="1627"/>
      <c r="P39" s="1630">
        <f>IFERROR(INDEX(IC!$AX$8:$AX$10,MATCH($C$2,IC!$C$8:$C$10,0)),0)</f>
        <v>5.4265836367806186E-2</v>
      </c>
    </row>
    <row r="40" spans="13:21" ht="3.6" customHeight="1">
      <c r="M40" s="1634"/>
      <c r="N40" s="1634"/>
      <c r="O40" s="1634"/>
      <c r="P40" s="1634"/>
      <c r="R40" s="1634"/>
      <c r="S40" s="1634"/>
      <c r="T40" s="1633"/>
      <c r="U40" s="1633"/>
    </row>
    <row r="43" spans="13:21">
      <c r="M43" s="148" t="s">
        <v>1107</v>
      </c>
      <c r="N43" s="1637">
        <f>IFERROR(INDEX(IC!$L$8:$L$10,MATCH($C$2,IC!$C$8:$C$10,0)),0)</f>
        <v>1</v>
      </c>
    </row>
    <row r="44" spans="13:21">
      <c r="M44" s="148" t="str">
        <f>IF($C$3="DE","Sonstige","Other")</f>
        <v>Sonstige</v>
      </c>
      <c r="N44" s="1638">
        <f>1-N43</f>
        <v>0</v>
      </c>
    </row>
    <row r="45" spans="13:21">
      <c r="M45" s="148" t="str">
        <f>IF($C$3="DE","NKM","NRI")</f>
        <v>NKM</v>
      </c>
      <c r="N45" s="148" t="str">
        <f>M45&amp;
" €"&amp;P28/1000&amp;"k p.a."</f>
        <v>NKM €100k p.a.</v>
      </c>
    </row>
  </sheetData>
  <dataValidations count="1">
    <dataValidation type="list" allowBlank="1" showInputMessage="1" showErrorMessage="1" sqref="C3" xr:uid="{DDB97506-7B78-4578-889D-C88D7116CC2E}">
      <formula1>$W$1:$W$2</formula1>
    </dataValidation>
  </dataValidations>
  <pageMargins left="0.7" right="0.7" top="0.75" bottom="0.75" header="0.3" footer="0.3"/>
  <pageSetup paperSize="9" orientation="portrait" r:id="rId1"/>
  <ignoredErrors>
    <ignoredError sqref="G8:G17" formula="1"/>
  </ignoredError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B4F20-CF08-42A7-A8C2-1B9A8A6290EE}">
  <sheetPr codeName="Sheet31">
    <tabColor rgb="FF7030A0"/>
  </sheetPr>
  <dimension ref="A1:FL107"/>
  <sheetViews>
    <sheetView workbookViewId="0"/>
  </sheetViews>
  <sheetFormatPr baseColWidth="10" defaultColWidth="8.7109375" defaultRowHeight="15" outlineLevelCol="1"/>
  <cols>
    <col min="1" max="1" width="2.28515625" customWidth="1"/>
    <col min="2" max="2" width="9.28515625" customWidth="1" outlineLevel="1"/>
    <col min="3" max="3" width="10.5703125" customWidth="1"/>
    <col min="4" max="4" width="23.42578125" bestFit="1" customWidth="1"/>
    <col min="5" max="5" width="9.5703125" customWidth="1"/>
    <col min="6" max="6" width="15.5703125" bestFit="1" customWidth="1"/>
    <col min="7" max="7" width="15.42578125" bestFit="1" customWidth="1"/>
    <col min="8" max="8" width="14.42578125" bestFit="1" customWidth="1"/>
    <col min="9" max="9" width="14.42578125" customWidth="1"/>
    <col min="10" max="10" width="14.5703125" bestFit="1" customWidth="1"/>
    <col min="11" max="11" width="14.5703125" customWidth="1"/>
    <col min="12" max="12" width="12.5703125" bestFit="1" customWidth="1"/>
    <col min="13" max="13" width="12.5703125" customWidth="1"/>
    <col min="14" max="14" width="15.42578125" bestFit="1" customWidth="1"/>
    <col min="15" max="15" width="15.5703125" bestFit="1" customWidth="1"/>
    <col min="16" max="16" width="13.7109375" bestFit="1" customWidth="1"/>
    <col min="18" max="18" width="3" customWidth="1"/>
  </cols>
  <sheetData>
    <row r="1" spans="1:168" s="35" customFormat="1">
      <c r="A1" s="1" t="str">
        <f ca="1">UPPER(MID(CELL("filename",A1),FIND("[",CELL("filename",A1))+1,FIND("]",CELL("filename",A1))-FIND("[",CELL("filename",A1))-5))</f>
        <v>VORLAGE.</v>
      </c>
      <c r="B1" s="1"/>
      <c r="D1" s="58"/>
      <c r="E1" s="58"/>
      <c r="G1" s="58"/>
      <c r="H1" s="58"/>
      <c r="I1" s="58"/>
      <c r="J1" s="58"/>
      <c r="K1" s="58"/>
      <c r="L1" s="58"/>
      <c r="M1" s="58"/>
      <c r="N1" s="58"/>
      <c r="O1" s="58"/>
      <c r="P1" s="58"/>
      <c r="AI1" s="58"/>
      <c r="AJ1" s="58"/>
      <c r="AK1" s="58"/>
      <c r="AL1" s="58"/>
      <c r="AM1" s="58"/>
      <c r="AN1" s="58"/>
      <c r="BT1" s="58"/>
      <c r="BX1" s="58"/>
      <c r="BY1" s="58"/>
      <c r="CL1" s="58"/>
      <c r="CY1" s="58"/>
      <c r="DL1" s="58"/>
      <c r="DM1" s="58"/>
      <c r="DN1" s="58"/>
      <c r="DO1" s="58"/>
      <c r="DP1" s="58"/>
      <c r="EH1" s="58"/>
      <c r="EN1" s="58"/>
      <c r="FJ1" s="58"/>
      <c r="FL1" s="58"/>
    </row>
    <row r="2" spans="1:168" s="35" customFormat="1">
      <c r="A2" s="1" t="s">
        <v>1289</v>
      </c>
      <c r="B2" s="1"/>
      <c r="D2" s="58"/>
      <c r="E2" s="58"/>
      <c r="G2" s="58"/>
      <c r="H2" s="58"/>
      <c r="I2" s="58"/>
      <c r="J2" s="58"/>
      <c r="K2" s="58"/>
      <c r="L2" s="58"/>
      <c r="M2" s="58"/>
      <c r="N2" s="58"/>
      <c r="O2" s="58"/>
      <c r="P2" s="58"/>
      <c r="AI2" s="58"/>
      <c r="AJ2" s="58"/>
      <c r="AK2" s="58"/>
      <c r="AL2" s="58"/>
      <c r="AM2" s="58"/>
      <c r="AN2" s="58"/>
      <c r="BT2" s="58"/>
      <c r="BX2" s="58"/>
      <c r="BY2" s="58"/>
      <c r="CL2" s="58"/>
      <c r="CY2" s="58"/>
      <c r="DL2" s="58"/>
      <c r="DM2" s="58"/>
      <c r="DN2" s="58"/>
      <c r="DO2" s="58"/>
      <c r="DP2" s="58"/>
      <c r="EH2" s="58"/>
      <c r="EN2" s="58"/>
      <c r="FJ2" s="58"/>
      <c r="FL2" s="58"/>
    </row>
    <row r="3" spans="1:168" s="35" customFormat="1" ht="17.25">
      <c r="D3" s="58"/>
      <c r="E3" s="58"/>
      <c r="G3" s="58"/>
      <c r="H3" s="58"/>
      <c r="I3" s="58"/>
      <c r="J3" s="58"/>
      <c r="K3" s="58"/>
      <c r="L3" s="58"/>
      <c r="M3" s="58"/>
      <c r="N3" s="58"/>
      <c r="O3" s="58"/>
      <c r="P3" s="58"/>
      <c r="S3" s="156"/>
      <c r="T3" s="156"/>
      <c r="U3" s="156"/>
      <c r="AI3" s="58"/>
      <c r="AJ3" s="58"/>
      <c r="AK3" s="58"/>
      <c r="AL3" s="58"/>
      <c r="AM3" s="58"/>
      <c r="AN3" s="58"/>
      <c r="BT3" s="58"/>
      <c r="BX3" s="58"/>
      <c r="BY3" s="58"/>
      <c r="CL3" s="58"/>
      <c r="CY3" s="58"/>
      <c r="DL3" s="58"/>
      <c r="DM3" s="58"/>
      <c r="DN3" s="58"/>
      <c r="DO3" s="58"/>
      <c r="DP3" s="58"/>
      <c r="EH3" s="58"/>
      <c r="EN3" s="58"/>
      <c r="FJ3" s="58"/>
      <c r="FL3" s="58"/>
    </row>
    <row r="4" spans="1:168" s="35" customFormat="1">
      <c r="D4" s="58"/>
      <c r="E4" s="58"/>
      <c r="G4" s="58"/>
      <c r="H4" s="58"/>
      <c r="I4" s="58"/>
      <c r="J4" s="58"/>
      <c r="K4" s="58"/>
      <c r="L4" s="58"/>
      <c r="M4" s="58"/>
      <c r="N4" s="58"/>
      <c r="O4" s="58"/>
      <c r="P4" s="58"/>
      <c r="S4" s="157"/>
      <c r="T4" s="157"/>
      <c r="U4" s="157"/>
      <c r="AI4" s="58"/>
      <c r="AJ4" s="58"/>
      <c r="AK4" s="58"/>
      <c r="AL4" s="58"/>
      <c r="AM4" s="58"/>
      <c r="AN4" s="58"/>
      <c r="BT4" s="58"/>
      <c r="BX4" s="58"/>
      <c r="BY4" s="58"/>
      <c r="CL4" s="58"/>
      <c r="CY4" s="58"/>
      <c r="DL4" s="58"/>
      <c r="DM4" s="58"/>
      <c r="DN4" s="58"/>
      <c r="DO4" s="58"/>
      <c r="DP4" s="58"/>
      <c r="EH4" s="58"/>
      <c r="EN4" s="58"/>
      <c r="FJ4" s="58"/>
      <c r="FL4" s="58"/>
    </row>
    <row r="6" spans="1:168" ht="34.5">
      <c r="C6" s="871" t="s">
        <v>888</v>
      </c>
      <c r="D6" s="871" t="s">
        <v>109</v>
      </c>
      <c r="E6" s="871" t="s">
        <v>117</v>
      </c>
      <c r="F6" s="871" t="s">
        <v>497</v>
      </c>
      <c r="G6" s="871" t="s">
        <v>442</v>
      </c>
      <c r="H6" s="871" t="s">
        <v>435</v>
      </c>
      <c r="I6" s="871" t="s">
        <v>439</v>
      </c>
      <c r="J6" s="871" t="s">
        <v>1290</v>
      </c>
      <c r="K6" s="871" t="s">
        <v>1416</v>
      </c>
      <c r="L6" s="871" t="s">
        <v>446</v>
      </c>
      <c r="M6" s="871" t="s">
        <v>1417</v>
      </c>
      <c r="N6" s="871" t="s">
        <v>926</v>
      </c>
      <c r="O6" s="871" t="s">
        <v>936</v>
      </c>
      <c r="P6" s="871" t="s">
        <v>1289</v>
      </c>
      <c r="Q6" s="871" t="s">
        <v>1291</v>
      </c>
    </row>
    <row r="7" spans="1:168">
      <c r="B7" s="72">
        <v>1</v>
      </c>
      <c r="C7">
        <f>B7</f>
        <v>1</v>
      </c>
      <c r="D7" t="str">
        <f>INDEX(AA!$AC:$AC,MATCH($C7,AA!$C:$C,0))</f>
        <v>backup</v>
      </c>
      <c r="E7" t="str">
        <f>INDEX(AO!$I:$I,MATCH($C7,AO!$C:$C,0))</f>
        <v>AVC1</v>
      </c>
      <c r="F7" s="261">
        <f>-INDEX(AO!$AT:$AT,MATCH($B7,AO!$C:$C,0))</f>
        <v>-1702728.7550444414</v>
      </c>
      <c r="G7" s="261">
        <f>-INDEX(AO!$AZ:$AZ,MATCH($B7,AO!$C:$C,0))</f>
        <v>-1925462.7034918049</v>
      </c>
      <c r="H7" s="261">
        <f>INDEX(AO!$Y:$Y,MATCH($B7,AO!$C:$C,0))</f>
        <v>100000</v>
      </c>
      <c r="I7" s="261">
        <f>INDEX(AO!$EG:$EG,MATCH($B7,AO!$C:$C,0))</f>
        <v>-17329.16433142624</v>
      </c>
      <c r="J7" s="261">
        <f>INDEX(AO!$EI:$EI,MATCH($B7,AO!$C:$C,0))</f>
        <v>0</v>
      </c>
      <c r="K7" s="261">
        <f>INDEX(AO!$CZ:$CZ,MATCH($B7,AO!$C:$C,0))</f>
        <v>0</v>
      </c>
      <c r="L7" s="261">
        <f>INDEX(AO!$EK:$EK,MATCH($B7,AO!$C:$C,0))</f>
        <v>0</v>
      </c>
      <c r="M7" s="261">
        <f>INDEX(AO!$ED:$ED,MATCH($B7,AO!$C:$C,0))</f>
        <v>280270.50433344883</v>
      </c>
      <c r="N7" s="261">
        <f>INDEX(AO!$DO:$DO,MATCH($B7,AO!$C:$C,0))</f>
        <v>1227203.0062499989</v>
      </c>
      <c r="O7" s="261">
        <f>INDEX(AO!$DS:$DS,MATCH($B7,AO!$C:$C,0))</f>
        <v>1225607.6423418738</v>
      </c>
      <c r="P7" s="261">
        <f>O7+G7+K7+J7+L7+M7</f>
        <v>-419584.55681648222</v>
      </c>
      <c r="Q7" s="1190">
        <f>IFERROR((-P7+G7)/G7,0)</f>
        <v>0.78208637536547954</v>
      </c>
    </row>
    <row r="8" spans="1:168">
      <c r="B8" s="73">
        <v>2</v>
      </c>
      <c r="C8">
        <f t="shared" ref="C8" si="0">B8</f>
        <v>2</v>
      </c>
      <c r="D8" t="str">
        <f>INDEX(AA!$AC:$AC,MATCH($C8,AA!$C:$C,0))</f>
        <v>backup</v>
      </c>
      <c r="E8" t="str">
        <f>INDEX(AO!$I:$I,MATCH($C8,AO!$C:$C,0))</f>
        <v>PTS</v>
      </c>
      <c r="F8" s="261">
        <f>-INDEX(AO!$AT:$AT,MATCH($B8,AO!$C:$C,0))</f>
        <v>-1662026.6877570669</v>
      </c>
      <c r="G8" s="261">
        <f>-INDEX(AO!$AZ:$AZ,MATCH($B8,AO!$C:$C,0))</f>
        <v>-1879436.3987825688</v>
      </c>
      <c r="H8" s="261">
        <f>INDEX(AO!$Y:$Y,MATCH($B8,AO!$C:$C,0))</f>
        <v>100000</v>
      </c>
      <c r="I8" s="261">
        <f>INDEX(AO!$EG:$EG,MATCH($B8,AO!$C:$C,0))</f>
        <v>-15505.350289956192</v>
      </c>
      <c r="J8" s="261">
        <f>INDEX(AO!$EI:$EI,MATCH($B8,AO!$C:$C,0))</f>
        <v>0</v>
      </c>
      <c r="K8" s="261">
        <f>INDEX(AO!$CZ:$CZ,MATCH($B8,AO!$C:$C,0))</f>
        <v>0</v>
      </c>
      <c r="L8" s="261">
        <f>INDEX(AO!$EK:$EK,MATCH($B8,AO!$C:$C,0))</f>
        <v>0</v>
      </c>
      <c r="M8" s="261">
        <f>INDEX(AO!$ED:$ED,MATCH($B8,AO!$C:$C,0))</f>
        <v>251038.24332743947</v>
      </c>
      <c r="N8" s="261">
        <f>INDEX(AO!$DO:$DO,MATCH($B8,AO!$C:$C,0))</f>
        <v>1227203.0062499989</v>
      </c>
      <c r="O8" s="261">
        <f>INDEX(AO!$DS:$DS,MATCH($B8,AO!$C:$C,0))</f>
        <v>1225607.6423418738</v>
      </c>
      <c r="P8" s="261">
        <f t="shared" ref="P8:P71" si="1">O8+G8+K8+J8+L8+M8</f>
        <v>-402790.51311325544</v>
      </c>
      <c r="Q8" s="1190">
        <f t="shared" ref="Q8:Q71" si="2">IFERROR((-P8+G8)/G8,0)</f>
        <v>0.78568547817091949</v>
      </c>
    </row>
    <row r="9" spans="1:168">
      <c r="B9" s="73">
        <f>B8+1</f>
        <v>3</v>
      </c>
      <c r="C9">
        <f t="shared" ref="C9:C72" si="3">B9</f>
        <v>3</v>
      </c>
      <c r="D9" t="str">
        <f>INDEX(AA!$AC:$AC,MATCH($C9,AA!$C:$C,0))</f>
        <v>backup</v>
      </c>
      <c r="E9" t="str">
        <f>INDEX(AO!$I:$I,MATCH($C9,AO!$C:$C,0))</f>
        <v>LTS</v>
      </c>
      <c r="F9" s="261">
        <f>-INDEX(AO!$AT:$AT,MATCH($B9,AO!$C:$C,0))</f>
        <v>-1635244.5571984914</v>
      </c>
      <c r="G9" s="261">
        <f>-INDEX(AO!$AZ:$AZ,MATCH($B9,AO!$C:$C,0))</f>
        <v>-1849150.8977256261</v>
      </c>
      <c r="H9" s="261">
        <f>INDEX(AO!$Y:$Y,MATCH($B9,AO!$C:$C,0))</f>
        <v>100000</v>
      </c>
      <c r="I9" s="261">
        <f>INDEX(AO!$EG:$EG,MATCH($B9,AO!$C:$C,0))</f>
        <v>-13868.631732942196</v>
      </c>
      <c r="J9" s="261">
        <f>INDEX(AO!$EI:$EI,MATCH($B9,AO!$C:$C,0))</f>
        <v>0</v>
      </c>
      <c r="K9" s="261">
        <f>INDEX(AO!$CZ:$CZ,MATCH($B9,AO!$C:$C,0))</f>
        <v>0</v>
      </c>
      <c r="L9" s="261">
        <f>INDEX(AO!$EK:$EK,MATCH($B9,AO!$C:$C,0))</f>
        <v>0</v>
      </c>
      <c r="M9" s="261">
        <f>INDEX(AO!$ED:$ED,MATCH($B9,AO!$C:$C,0))</f>
        <v>232353.82064425788</v>
      </c>
      <c r="N9" s="261">
        <f>INDEX(AO!$DO:$DO,MATCH($B9,AO!$C:$C,0))</f>
        <v>1227203.0062499989</v>
      </c>
      <c r="O9" s="261">
        <f>INDEX(AO!$DS:$DS,MATCH($B9,AO!$C:$C,0))</f>
        <v>1225607.6423418738</v>
      </c>
      <c r="P9" s="261">
        <f t="shared" si="1"/>
        <v>-391189.43473949441</v>
      </c>
      <c r="Q9" s="1190">
        <f t="shared" si="2"/>
        <v>0.78844915511187319</v>
      </c>
    </row>
    <row r="10" spans="1:168">
      <c r="B10" s="73">
        <f t="shared" ref="B10:B73" si="4">B9+1</f>
        <v>4</v>
      </c>
      <c r="C10">
        <f t="shared" si="3"/>
        <v>4</v>
      </c>
      <c r="D10" t="e">
        <f>INDEX(AA!$AC:$AC,MATCH($C10,AA!$C:$C,0))</f>
        <v>#N/A</v>
      </c>
      <c r="E10" t="e">
        <f>INDEX(AO!$I:$I,MATCH($C10,AO!$C:$C,0))</f>
        <v>#N/A</v>
      </c>
      <c r="F10" s="261" t="e">
        <f>-INDEX(AO!$AT:$AT,MATCH($B10,AO!$C:$C,0))</f>
        <v>#N/A</v>
      </c>
      <c r="G10" s="261" t="e">
        <f>-INDEX(AO!$AZ:$AZ,MATCH($B10,AO!$C:$C,0))</f>
        <v>#N/A</v>
      </c>
      <c r="H10" s="261" t="e">
        <f>INDEX(AO!$Y:$Y,MATCH($B10,AO!$C:$C,0))</f>
        <v>#N/A</v>
      </c>
      <c r="I10" s="261" t="e">
        <f>INDEX(AO!$EG:$EG,MATCH($B10,AO!$C:$C,0))</f>
        <v>#N/A</v>
      </c>
      <c r="J10" s="261" t="e">
        <f>INDEX(AO!$EI:$EI,MATCH($B10,AO!$C:$C,0))</f>
        <v>#N/A</v>
      </c>
      <c r="K10" s="261" t="e">
        <f>INDEX(AO!$CZ:$CZ,MATCH($B10,AO!$C:$C,0))</f>
        <v>#N/A</v>
      </c>
      <c r="L10" s="261" t="e">
        <f>INDEX(AO!$EK:$EK,MATCH($B10,AO!$C:$C,0))</f>
        <v>#N/A</v>
      </c>
      <c r="M10" s="261" t="e">
        <f>INDEX(AO!$ED:$ED,MATCH($B10,AO!$C:$C,0))</f>
        <v>#N/A</v>
      </c>
      <c r="N10" s="261" t="e">
        <f>INDEX(AO!$DO:$DO,MATCH($B10,AO!$C:$C,0))</f>
        <v>#N/A</v>
      </c>
      <c r="O10" s="261" t="e">
        <f>INDEX(AO!$DS:$DS,MATCH($B10,AO!$C:$C,0))</f>
        <v>#N/A</v>
      </c>
      <c r="P10" s="261" t="e">
        <f t="shared" si="1"/>
        <v>#N/A</v>
      </c>
      <c r="Q10" s="1190">
        <f t="shared" si="2"/>
        <v>0</v>
      </c>
    </row>
    <row r="11" spans="1:168">
      <c r="B11" s="73">
        <f t="shared" si="4"/>
        <v>5</v>
      </c>
      <c r="C11">
        <f t="shared" si="3"/>
        <v>5</v>
      </c>
      <c r="D11" t="e">
        <f>INDEX(AA!$AC:$AC,MATCH($C11,AA!$C:$C,0))</f>
        <v>#N/A</v>
      </c>
      <c r="E11" t="e">
        <f>INDEX(AO!$I:$I,MATCH($C11,AO!$C:$C,0))</f>
        <v>#N/A</v>
      </c>
      <c r="F11" s="261" t="e">
        <f>-INDEX(AO!$AT:$AT,MATCH($B11,AO!$C:$C,0))</f>
        <v>#N/A</v>
      </c>
      <c r="G11" s="261" t="e">
        <f>-INDEX(AO!$AZ:$AZ,MATCH($B11,AO!$C:$C,0))</f>
        <v>#N/A</v>
      </c>
      <c r="H11" s="261" t="e">
        <f>INDEX(AO!$Y:$Y,MATCH($B11,AO!$C:$C,0))</f>
        <v>#N/A</v>
      </c>
      <c r="I11" s="261" t="e">
        <f>INDEX(AO!$EG:$EG,MATCH($B11,AO!$C:$C,0))</f>
        <v>#N/A</v>
      </c>
      <c r="J11" s="261" t="e">
        <f>INDEX(AO!$EI:$EI,MATCH($B11,AO!$C:$C,0))</f>
        <v>#N/A</v>
      </c>
      <c r="K11" s="261" t="e">
        <f>INDEX(AO!$CZ:$CZ,MATCH($B11,AO!$C:$C,0))</f>
        <v>#N/A</v>
      </c>
      <c r="L11" s="261" t="e">
        <f>INDEX(AO!$EK:$EK,MATCH($B11,AO!$C:$C,0))</f>
        <v>#N/A</v>
      </c>
      <c r="M11" s="261" t="e">
        <f>INDEX(AO!$ED:$ED,MATCH($B11,AO!$C:$C,0))</f>
        <v>#N/A</v>
      </c>
      <c r="N11" s="261" t="e">
        <f>INDEX(AO!$DO:$DO,MATCH($B11,AO!$C:$C,0))</f>
        <v>#N/A</v>
      </c>
      <c r="O11" s="261" t="e">
        <f>INDEX(AO!$DS:$DS,MATCH($B11,AO!$C:$C,0))</f>
        <v>#N/A</v>
      </c>
      <c r="P11" s="261" t="e">
        <f t="shared" si="1"/>
        <v>#N/A</v>
      </c>
      <c r="Q11" s="1190">
        <f t="shared" si="2"/>
        <v>0</v>
      </c>
    </row>
    <row r="12" spans="1:168">
      <c r="B12" s="73">
        <f t="shared" si="4"/>
        <v>6</v>
      </c>
      <c r="C12">
        <f t="shared" si="3"/>
        <v>6</v>
      </c>
      <c r="D12" t="e">
        <f>INDEX(AA!$AC:$AC,MATCH($C12,AA!$C:$C,0))</f>
        <v>#N/A</v>
      </c>
      <c r="E12" t="e">
        <f>INDEX(AO!$I:$I,MATCH($C12,AO!$C:$C,0))</f>
        <v>#N/A</v>
      </c>
      <c r="F12" s="261" t="e">
        <f>-INDEX(AO!$AT:$AT,MATCH($B12,AO!$C:$C,0))</f>
        <v>#N/A</v>
      </c>
      <c r="G12" s="261" t="e">
        <f>-INDEX(AO!$AZ:$AZ,MATCH($B12,AO!$C:$C,0))</f>
        <v>#N/A</v>
      </c>
      <c r="H12" s="261" t="e">
        <f>INDEX(AO!$Y:$Y,MATCH($B12,AO!$C:$C,0))</f>
        <v>#N/A</v>
      </c>
      <c r="I12" s="261" t="e">
        <f>INDEX(AO!$EG:$EG,MATCH($B12,AO!$C:$C,0))</f>
        <v>#N/A</v>
      </c>
      <c r="J12" s="261" t="e">
        <f>INDEX(AO!$EI:$EI,MATCH($B12,AO!$C:$C,0))</f>
        <v>#N/A</v>
      </c>
      <c r="K12" s="261" t="e">
        <f>INDEX(AO!$CZ:$CZ,MATCH($B12,AO!$C:$C,0))</f>
        <v>#N/A</v>
      </c>
      <c r="L12" s="261" t="e">
        <f>INDEX(AO!$EK:$EK,MATCH($B12,AO!$C:$C,0))</f>
        <v>#N/A</v>
      </c>
      <c r="M12" s="261" t="e">
        <f>INDEX(AO!$ED:$ED,MATCH($B12,AO!$C:$C,0))</f>
        <v>#N/A</v>
      </c>
      <c r="N12" s="261" t="e">
        <f>INDEX(AO!$DO:$DO,MATCH($B12,AO!$C:$C,0))</f>
        <v>#N/A</v>
      </c>
      <c r="O12" s="261" t="e">
        <f>INDEX(AO!$DS:$DS,MATCH($B12,AO!$C:$C,0))</f>
        <v>#N/A</v>
      </c>
      <c r="P12" s="261" t="e">
        <f t="shared" si="1"/>
        <v>#N/A</v>
      </c>
      <c r="Q12" s="1190">
        <f t="shared" si="2"/>
        <v>0</v>
      </c>
    </row>
    <row r="13" spans="1:168">
      <c r="B13" s="73">
        <f t="shared" si="4"/>
        <v>7</v>
      </c>
      <c r="C13">
        <f t="shared" si="3"/>
        <v>7</v>
      </c>
      <c r="D13" t="e">
        <f>INDEX(AA!$AC:$AC,MATCH($C13,AA!$C:$C,0))</f>
        <v>#N/A</v>
      </c>
      <c r="E13" t="e">
        <f>INDEX(AO!$I:$I,MATCH($C13,AO!$C:$C,0))</f>
        <v>#N/A</v>
      </c>
      <c r="F13" s="261" t="e">
        <f>-INDEX(AO!$AT:$AT,MATCH($B13,AO!$C:$C,0))</f>
        <v>#N/A</v>
      </c>
      <c r="G13" s="261" t="e">
        <f>-INDEX(AO!$AZ:$AZ,MATCH($B13,AO!$C:$C,0))</f>
        <v>#N/A</v>
      </c>
      <c r="H13" s="261" t="e">
        <f>INDEX(AO!$Y:$Y,MATCH($B13,AO!$C:$C,0))</f>
        <v>#N/A</v>
      </c>
      <c r="I13" s="261" t="e">
        <f>INDEX(AO!$EG:$EG,MATCH($B13,AO!$C:$C,0))</f>
        <v>#N/A</v>
      </c>
      <c r="J13" s="261" t="e">
        <f>INDEX(AO!$EI:$EI,MATCH($B13,AO!$C:$C,0))</f>
        <v>#N/A</v>
      </c>
      <c r="K13" s="261" t="e">
        <f>INDEX(AO!$CZ:$CZ,MATCH($B13,AO!$C:$C,0))</f>
        <v>#N/A</v>
      </c>
      <c r="L13" s="261" t="e">
        <f>INDEX(AO!$EK:$EK,MATCH($B13,AO!$C:$C,0))</f>
        <v>#N/A</v>
      </c>
      <c r="M13" s="261" t="e">
        <f>INDEX(AO!$ED:$ED,MATCH($B13,AO!$C:$C,0))</f>
        <v>#N/A</v>
      </c>
      <c r="N13" s="261" t="e">
        <f>INDEX(AO!$DO:$DO,MATCH($B13,AO!$C:$C,0))</f>
        <v>#N/A</v>
      </c>
      <c r="O13" s="261" t="e">
        <f>INDEX(AO!$DS:$DS,MATCH($B13,AO!$C:$C,0))</f>
        <v>#N/A</v>
      </c>
      <c r="P13" s="261" t="e">
        <f t="shared" si="1"/>
        <v>#N/A</v>
      </c>
      <c r="Q13" s="1190">
        <f t="shared" si="2"/>
        <v>0</v>
      </c>
    </row>
    <row r="14" spans="1:168">
      <c r="B14" s="73">
        <f t="shared" si="4"/>
        <v>8</v>
      </c>
      <c r="C14">
        <f t="shared" si="3"/>
        <v>8</v>
      </c>
      <c r="D14" t="e">
        <f>INDEX(AA!$AC:$AC,MATCH($C14,AA!$C:$C,0))</f>
        <v>#N/A</v>
      </c>
      <c r="E14" t="e">
        <f>INDEX(AO!$I:$I,MATCH($C14,AO!$C:$C,0))</f>
        <v>#N/A</v>
      </c>
      <c r="F14" s="261" t="e">
        <f>-INDEX(AO!$AT:$AT,MATCH($B14,AO!$C:$C,0))</f>
        <v>#N/A</v>
      </c>
      <c r="G14" s="261" t="e">
        <f>-INDEX(AO!$AZ:$AZ,MATCH($B14,AO!$C:$C,0))</f>
        <v>#N/A</v>
      </c>
      <c r="H14" s="261" t="e">
        <f>INDEX(AO!$Y:$Y,MATCH($B14,AO!$C:$C,0))</f>
        <v>#N/A</v>
      </c>
      <c r="I14" s="261" t="e">
        <f>INDEX(AO!$EG:$EG,MATCH($B14,AO!$C:$C,0))</f>
        <v>#N/A</v>
      </c>
      <c r="J14" s="261" t="e">
        <f>INDEX(AO!$EI:$EI,MATCH($B14,AO!$C:$C,0))</f>
        <v>#N/A</v>
      </c>
      <c r="K14" s="261" t="e">
        <f>INDEX(AO!$CZ:$CZ,MATCH($B14,AO!$C:$C,0))</f>
        <v>#N/A</v>
      </c>
      <c r="L14" s="261" t="e">
        <f>INDEX(AO!$EK:$EK,MATCH($B14,AO!$C:$C,0))</f>
        <v>#N/A</v>
      </c>
      <c r="M14" s="261" t="e">
        <f>INDEX(AO!$ED:$ED,MATCH($B14,AO!$C:$C,0))</f>
        <v>#N/A</v>
      </c>
      <c r="N14" s="261" t="e">
        <f>INDEX(AO!$DO:$DO,MATCH($B14,AO!$C:$C,0))</f>
        <v>#N/A</v>
      </c>
      <c r="O14" s="261" t="e">
        <f>INDEX(AO!$DS:$DS,MATCH($B14,AO!$C:$C,0))</f>
        <v>#N/A</v>
      </c>
      <c r="P14" s="261" t="e">
        <f t="shared" si="1"/>
        <v>#N/A</v>
      </c>
      <c r="Q14" s="1190">
        <f t="shared" si="2"/>
        <v>0</v>
      </c>
    </row>
    <row r="15" spans="1:168">
      <c r="B15" s="73">
        <f t="shared" si="4"/>
        <v>9</v>
      </c>
      <c r="C15">
        <f t="shared" si="3"/>
        <v>9</v>
      </c>
      <c r="D15" t="e">
        <f>INDEX(AA!$AC:$AC,MATCH($C15,AA!$C:$C,0))</f>
        <v>#N/A</v>
      </c>
      <c r="E15" t="e">
        <f>INDEX(AO!$I:$I,MATCH($C15,AO!$C:$C,0))</f>
        <v>#N/A</v>
      </c>
      <c r="F15" s="261" t="e">
        <f>-INDEX(AO!$AT:$AT,MATCH($B15,AO!$C:$C,0))</f>
        <v>#N/A</v>
      </c>
      <c r="G15" s="261" t="e">
        <f>-INDEX(AO!$AZ:$AZ,MATCH($B15,AO!$C:$C,0))</f>
        <v>#N/A</v>
      </c>
      <c r="H15" s="261" t="e">
        <f>INDEX(AO!$Y:$Y,MATCH($B15,AO!$C:$C,0))</f>
        <v>#N/A</v>
      </c>
      <c r="I15" s="261" t="e">
        <f>INDEX(AO!$EG:$EG,MATCH($B15,AO!$C:$C,0))</f>
        <v>#N/A</v>
      </c>
      <c r="J15" s="261" t="e">
        <f>INDEX(AO!$EI:$EI,MATCH($B15,AO!$C:$C,0))</f>
        <v>#N/A</v>
      </c>
      <c r="K15" s="261" t="e">
        <f>INDEX(AO!$CZ:$CZ,MATCH($B15,AO!$C:$C,0))</f>
        <v>#N/A</v>
      </c>
      <c r="L15" s="261" t="e">
        <f>INDEX(AO!$EK:$EK,MATCH($B15,AO!$C:$C,0))</f>
        <v>#N/A</v>
      </c>
      <c r="M15" s="261" t="e">
        <f>INDEX(AO!$ED:$ED,MATCH($B15,AO!$C:$C,0))</f>
        <v>#N/A</v>
      </c>
      <c r="N15" s="261" t="e">
        <f>INDEX(AO!$DO:$DO,MATCH($B15,AO!$C:$C,0))</f>
        <v>#N/A</v>
      </c>
      <c r="O15" s="261" t="e">
        <f>INDEX(AO!$DS:$DS,MATCH($B15,AO!$C:$C,0))</f>
        <v>#N/A</v>
      </c>
      <c r="P15" s="261" t="e">
        <f t="shared" si="1"/>
        <v>#N/A</v>
      </c>
      <c r="Q15" s="1190">
        <f t="shared" si="2"/>
        <v>0</v>
      </c>
    </row>
    <row r="16" spans="1:168">
      <c r="B16" s="73">
        <f t="shared" si="4"/>
        <v>10</v>
      </c>
      <c r="C16">
        <f t="shared" si="3"/>
        <v>10</v>
      </c>
      <c r="D16" t="e">
        <f>INDEX(AA!$AC:$AC,MATCH($C16,AA!$C:$C,0))</f>
        <v>#N/A</v>
      </c>
      <c r="E16" t="e">
        <f>INDEX(AO!$I:$I,MATCH($C16,AO!$C:$C,0))</f>
        <v>#N/A</v>
      </c>
      <c r="F16" s="261" t="e">
        <f>-INDEX(AO!$AT:$AT,MATCH($B16,AO!$C:$C,0))</f>
        <v>#N/A</v>
      </c>
      <c r="G16" s="261" t="e">
        <f>-INDEX(AO!$AZ:$AZ,MATCH($B16,AO!$C:$C,0))</f>
        <v>#N/A</v>
      </c>
      <c r="H16" s="261" t="e">
        <f>INDEX(AO!$Y:$Y,MATCH($B16,AO!$C:$C,0))</f>
        <v>#N/A</v>
      </c>
      <c r="I16" s="261" t="e">
        <f>INDEX(AO!$EG:$EG,MATCH($B16,AO!$C:$C,0))</f>
        <v>#N/A</v>
      </c>
      <c r="J16" s="261" t="e">
        <f>INDEX(AO!$EI:$EI,MATCH($B16,AO!$C:$C,0))</f>
        <v>#N/A</v>
      </c>
      <c r="K16" s="261" t="e">
        <f>INDEX(AO!$CZ:$CZ,MATCH($B16,AO!$C:$C,0))</f>
        <v>#N/A</v>
      </c>
      <c r="L16" s="261" t="e">
        <f>INDEX(AO!$EK:$EK,MATCH($B16,AO!$C:$C,0))</f>
        <v>#N/A</v>
      </c>
      <c r="M16" s="261" t="e">
        <f>INDEX(AO!$ED:$ED,MATCH($B16,AO!$C:$C,0))</f>
        <v>#N/A</v>
      </c>
      <c r="N16" s="261" t="e">
        <f>INDEX(AO!$DO:$DO,MATCH($B16,AO!$C:$C,0))</f>
        <v>#N/A</v>
      </c>
      <c r="O16" s="261" t="e">
        <f>INDEX(AO!$DS:$DS,MATCH($B16,AO!$C:$C,0))</f>
        <v>#N/A</v>
      </c>
      <c r="P16" s="261" t="e">
        <f t="shared" si="1"/>
        <v>#N/A</v>
      </c>
      <c r="Q16" s="1190">
        <f t="shared" si="2"/>
        <v>0</v>
      </c>
    </row>
    <row r="17" spans="2:17">
      <c r="B17" s="73">
        <f t="shared" si="4"/>
        <v>11</v>
      </c>
      <c r="C17">
        <f t="shared" si="3"/>
        <v>11</v>
      </c>
      <c r="D17" t="e">
        <f>INDEX(AA!$AC:$AC,MATCH($C17,AA!$C:$C,0))</f>
        <v>#N/A</v>
      </c>
      <c r="E17" t="e">
        <f>INDEX(AO!$I:$I,MATCH($C17,AO!$C:$C,0))</f>
        <v>#N/A</v>
      </c>
      <c r="F17" s="261" t="e">
        <f>-INDEX(AO!$AT:$AT,MATCH($B17,AO!$C:$C,0))</f>
        <v>#N/A</v>
      </c>
      <c r="G17" s="261" t="e">
        <f>-INDEX(AO!$AZ:$AZ,MATCH($B17,AO!$C:$C,0))</f>
        <v>#N/A</v>
      </c>
      <c r="H17" s="261" t="e">
        <f>INDEX(AO!$Y:$Y,MATCH($B17,AO!$C:$C,0))</f>
        <v>#N/A</v>
      </c>
      <c r="I17" s="261" t="e">
        <f>INDEX(AO!$EG:$EG,MATCH($B17,AO!$C:$C,0))</f>
        <v>#N/A</v>
      </c>
      <c r="J17" s="261" t="e">
        <f>INDEX(AO!$EI:$EI,MATCH($B17,AO!$C:$C,0))</f>
        <v>#N/A</v>
      </c>
      <c r="K17" s="261" t="e">
        <f>INDEX(AO!$CZ:$CZ,MATCH($B17,AO!$C:$C,0))</f>
        <v>#N/A</v>
      </c>
      <c r="L17" s="261" t="e">
        <f>INDEX(AO!$EK:$EK,MATCH($B17,AO!$C:$C,0))</f>
        <v>#N/A</v>
      </c>
      <c r="M17" s="261" t="e">
        <f>INDEX(AO!$ED:$ED,MATCH($B17,AO!$C:$C,0))</f>
        <v>#N/A</v>
      </c>
      <c r="N17" s="261" t="e">
        <f>INDEX(AO!$DO:$DO,MATCH($B17,AO!$C:$C,0))</f>
        <v>#N/A</v>
      </c>
      <c r="O17" s="261" t="e">
        <f>INDEX(AO!$DS:$DS,MATCH($B17,AO!$C:$C,0))</f>
        <v>#N/A</v>
      </c>
      <c r="P17" s="261" t="e">
        <f t="shared" si="1"/>
        <v>#N/A</v>
      </c>
      <c r="Q17" s="1190">
        <f t="shared" si="2"/>
        <v>0</v>
      </c>
    </row>
    <row r="18" spans="2:17">
      <c r="B18" s="73">
        <f t="shared" si="4"/>
        <v>12</v>
      </c>
      <c r="C18">
        <f t="shared" si="3"/>
        <v>12</v>
      </c>
      <c r="D18" t="e">
        <f>INDEX(AA!$AC:$AC,MATCH($C18,AA!$C:$C,0))</f>
        <v>#N/A</v>
      </c>
      <c r="E18" t="e">
        <f>INDEX(AO!$I:$I,MATCH($C18,AO!$C:$C,0))</f>
        <v>#N/A</v>
      </c>
      <c r="F18" s="261" t="e">
        <f>-INDEX(AO!$AT:$AT,MATCH($B18,AO!$C:$C,0))</f>
        <v>#N/A</v>
      </c>
      <c r="G18" s="261" t="e">
        <f>-INDEX(AO!$AZ:$AZ,MATCH($B18,AO!$C:$C,0))</f>
        <v>#N/A</v>
      </c>
      <c r="H18" s="261" t="e">
        <f>INDEX(AO!$Y:$Y,MATCH($B18,AO!$C:$C,0))</f>
        <v>#N/A</v>
      </c>
      <c r="I18" s="261" t="e">
        <f>INDEX(AO!$EG:$EG,MATCH($B18,AO!$C:$C,0))</f>
        <v>#N/A</v>
      </c>
      <c r="J18" s="261" t="e">
        <f>INDEX(AO!$EI:$EI,MATCH($B18,AO!$C:$C,0))</f>
        <v>#N/A</v>
      </c>
      <c r="K18" s="261" t="e">
        <f>INDEX(AO!$CZ:$CZ,MATCH($B18,AO!$C:$C,0))</f>
        <v>#N/A</v>
      </c>
      <c r="L18" s="261" t="e">
        <f>INDEX(AO!$EK:$EK,MATCH($B18,AO!$C:$C,0))</f>
        <v>#N/A</v>
      </c>
      <c r="M18" s="261" t="e">
        <f>INDEX(AO!$ED:$ED,MATCH($B18,AO!$C:$C,0))</f>
        <v>#N/A</v>
      </c>
      <c r="N18" s="261" t="e">
        <f>INDEX(AO!$DO:$DO,MATCH($B18,AO!$C:$C,0))</f>
        <v>#N/A</v>
      </c>
      <c r="O18" s="261" t="e">
        <f>INDEX(AO!$DS:$DS,MATCH($B18,AO!$C:$C,0))</f>
        <v>#N/A</v>
      </c>
      <c r="P18" s="261" t="e">
        <f t="shared" si="1"/>
        <v>#N/A</v>
      </c>
      <c r="Q18" s="1190">
        <f t="shared" si="2"/>
        <v>0</v>
      </c>
    </row>
    <row r="19" spans="2:17">
      <c r="B19" s="73">
        <f t="shared" si="4"/>
        <v>13</v>
      </c>
      <c r="C19">
        <f t="shared" si="3"/>
        <v>13</v>
      </c>
      <c r="D19" t="e">
        <f>INDEX(AA!$AC:$AC,MATCH($C19,AA!$C:$C,0))</f>
        <v>#N/A</v>
      </c>
      <c r="E19" t="e">
        <f>INDEX(AO!$I:$I,MATCH($C19,AO!$C:$C,0))</f>
        <v>#N/A</v>
      </c>
      <c r="F19" s="261" t="e">
        <f>-INDEX(AO!$AT:$AT,MATCH($B19,AO!$C:$C,0))</f>
        <v>#N/A</v>
      </c>
      <c r="G19" s="261" t="e">
        <f>-INDEX(AO!$AZ:$AZ,MATCH($B19,AO!$C:$C,0))</f>
        <v>#N/A</v>
      </c>
      <c r="H19" s="261" t="e">
        <f>INDEX(AO!$Y:$Y,MATCH($B19,AO!$C:$C,0))</f>
        <v>#N/A</v>
      </c>
      <c r="I19" s="261" t="e">
        <f>INDEX(AO!$EG:$EG,MATCH($B19,AO!$C:$C,0))</f>
        <v>#N/A</v>
      </c>
      <c r="J19" s="261" t="e">
        <f>INDEX(AO!$EI:$EI,MATCH($B19,AO!$C:$C,0))</f>
        <v>#N/A</v>
      </c>
      <c r="K19" s="261" t="e">
        <f>INDEX(AO!$CZ:$CZ,MATCH($B19,AO!$C:$C,0))</f>
        <v>#N/A</v>
      </c>
      <c r="L19" s="261" t="e">
        <f>INDEX(AO!$EK:$EK,MATCH($B19,AO!$C:$C,0))</f>
        <v>#N/A</v>
      </c>
      <c r="M19" s="261" t="e">
        <f>INDEX(AO!$ED:$ED,MATCH($B19,AO!$C:$C,0))</f>
        <v>#N/A</v>
      </c>
      <c r="N19" s="261" t="e">
        <f>INDEX(AO!$DO:$DO,MATCH($B19,AO!$C:$C,0))</f>
        <v>#N/A</v>
      </c>
      <c r="O19" s="261" t="e">
        <f>INDEX(AO!$DS:$DS,MATCH($B19,AO!$C:$C,0))</f>
        <v>#N/A</v>
      </c>
      <c r="P19" s="261" t="e">
        <f t="shared" si="1"/>
        <v>#N/A</v>
      </c>
      <c r="Q19" s="1190">
        <f t="shared" si="2"/>
        <v>0</v>
      </c>
    </row>
    <row r="20" spans="2:17">
      <c r="B20" s="73">
        <f t="shared" si="4"/>
        <v>14</v>
      </c>
      <c r="C20">
        <f t="shared" si="3"/>
        <v>14</v>
      </c>
      <c r="D20" t="e">
        <f>INDEX(AA!$AC:$AC,MATCH($C20,AA!$C:$C,0))</f>
        <v>#N/A</v>
      </c>
      <c r="E20" t="e">
        <f>INDEX(AO!$I:$I,MATCH($C20,AO!$C:$C,0))</f>
        <v>#N/A</v>
      </c>
      <c r="F20" s="261" t="e">
        <f>-INDEX(AO!$AT:$AT,MATCH($B20,AO!$C:$C,0))</f>
        <v>#N/A</v>
      </c>
      <c r="G20" s="261" t="e">
        <f>-INDEX(AO!$AZ:$AZ,MATCH($B20,AO!$C:$C,0))</f>
        <v>#N/A</v>
      </c>
      <c r="H20" s="261" t="e">
        <f>INDEX(AO!$Y:$Y,MATCH($B20,AO!$C:$C,0))</f>
        <v>#N/A</v>
      </c>
      <c r="I20" s="261" t="e">
        <f>INDEX(AO!$EG:$EG,MATCH($B20,AO!$C:$C,0))</f>
        <v>#N/A</v>
      </c>
      <c r="J20" s="261" t="e">
        <f>INDEX(AO!$EI:$EI,MATCH($B20,AO!$C:$C,0))</f>
        <v>#N/A</v>
      </c>
      <c r="K20" s="261" t="e">
        <f>INDEX(AO!$CZ:$CZ,MATCH($B20,AO!$C:$C,0))</f>
        <v>#N/A</v>
      </c>
      <c r="L20" s="261" t="e">
        <f>INDEX(AO!$EK:$EK,MATCH($B20,AO!$C:$C,0))</f>
        <v>#N/A</v>
      </c>
      <c r="M20" s="261" t="e">
        <f>INDEX(AO!$ED:$ED,MATCH($B20,AO!$C:$C,0))</f>
        <v>#N/A</v>
      </c>
      <c r="N20" s="261" t="e">
        <f>INDEX(AO!$DO:$DO,MATCH($B20,AO!$C:$C,0))</f>
        <v>#N/A</v>
      </c>
      <c r="O20" s="261" t="e">
        <f>INDEX(AO!$DS:$DS,MATCH($B20,AO!$C:$C,0))</f>
        <v>#N/A</v>
      </c>
      <c r="P20" s="261" t="e">
        <f t="shared" si="1"/>
        <v>#N/A</v>
      </c>
      <c r="Q20" s="1190">
        <f t="shared" si="2"/>
        <v>0</v>
      </c>
    </row>
    <row r="21" spans="2:17">
      <c r="B21" s="73">
        <f t="shared" si="4"/>
        <v>15</v>
      </c>
      <c r="C21">
        <f t="shared" si="3"/>
        <v>15</v>
      </c>
      <c r="D21" t="e">
        <f>INDEX(AA!$AC:$AC,MATCH($C21,AA!$C:$C,0))</f>
        <v>#N/A</v>
      </c>
      <c r="E21" t="e">
        <f>INDEX(AO!$I:$I,MATCH($C21,AO!$C:$C,0))</f>
        <v>#N/A</v>
      </c>
      <c r="F21" s="261" t="e">
        <f>-INDEX(AO!$AT:$AT,MATCH($B21,AO!$C:$C,0))</f>
        <v>#N/A</v>
      </c>
      <c r="G21" s="261" t="e">
        <f>-INDEX(AO!$AZ:$AZ,MATCH($B21,AO!$C:$C,0))</f>
        <v>#N/A</v>
      </c>
      <c r="H21" s="261" t="e">
        <f>INDEX(AO!$Y:$Y,MATCH($B21,AO!$C:$C,0))</f>
        <v>#N/A</v>
      </c>
      <c r="I21" s="261" t="e">
        <f>INDEX(AO!$EG:$EG,MATCH($B21,AO!$C:$C,0))</f>
        <v>#N/A</v>
      </c>
      <c r="J21" s="261" t="e">
        <f>INDEX(AO!$EI:$EI,MATCH($B21,AO!$C:$C,0))</f>
        <v>#N/A</v>
      </c>
      <c r="K21" s="261" t="e">
        <f>INDEX(AO!$CZ:$CZ,MATCH($B21,AO!$C:$C,0))</f>
        <v>#N/A</v>
      </c>
      <c r="L21" s="261" t="e">
        <f>INDEX(AO!$EK:$EK,MATCH($B21,AO!$C:$C,0))</f>
        <v>#N/A</v>
      </c>
      <c r="M21" s="261" t="e">
        <f>INDEX(AO!$ED:$ED,MATCH($B21,AO!$C:$C,0))</f>
        <v>#N/A</v>
      </c>
      <c r="N21" s="261" t="e">
        <f>INDEX(AO!$DO:$DO,MATCH($B21,AO!$C:$C,0))</f>
        <v>#N/A</v>
      </c>
      <c r="O21" s="261" t="e">
        <f>INDEX(AO!$DS:$DS,MATCH($B21,AO!$C:$C,0))</f>
        <v>#N/A</v>
      </c>
      <c r="P21" s="261" t="e">
        <f t="shared" si="1"/>
        <v>#N/A</v>
      </c>
      <c r="Q21" s="1190">
        <f t="shared" si="2"/>
        <v>0</v>
      </c>
    </row>
    <row r="22" spans="2:17">
      <c r="B22" s="73">
        <f t="shared" si="4"/>
        <v>16</v>
      </c>
      <c r="C22">
        <f t="shared" si="3"/>
        <v>16</v>
      </c>
      <c r="D22" t="e">
        <f>INDEX(AA!$AC:$AC,MATCH($C22,AA!$C:$C,0))</f>
        <v>#N/A</v>
      </c>
      <c r="E22" t="e">
        <f>INDEX(AO!$I:$I,MATCH($C22,AO!$C:$C,0))</f>
        <v>#N/A</v>
      </c>
      <c r="F22" s="261" t="e">
        <f>-INDEX(AO!$AT:$AT,MATCH($B22,AO!$C:$C,0))</f>
        <v>#N/A</v>
      </c>
      <c r="G22" s="261" t="e">
        <f>-INDEX(AO!$AZ:$AZ,MATCH($B22,AO!$C:$C,0))</f>
        <v>#N/A</v>
      </c>
      <c r="H22" s="261" t="e">
        <f>INDEX(AO!$Y:$Y,MATCH($B22,AO!$C:$C,0))</f>
        <v>#N/A</v>
      </c>
      <c r="I22" s="261" t="e">
        <f>INDEX(AO!$EG:$EG,MATCH($B22,AO!$C:$C,0))</f>
        <v>#N/A</v>
      </c>
      <c r="J22" s="261" t="e">
        <f>INDEX(AO!$EI:$EI,MATCH($B22,AO!$C:$C,0))</f>
        <v>#N/A</v>
      </c>
      <c r="K22" s="261" t="e">
        <f>INDEX(AO!$CZ:$CZ,MATCH($B22,AO!$C:$C,0))</f>
        <v>#N/A</v>
      </c>
      <c r="L22" s="261" t="e">
        <f>INDEX(AO!$EK:$EK,MATCH($B22,AO!$C:$C,0))</f>
        <v>#N/A</v>
      </c>
      <c r="M22" s="261" t="e">
        <f>INDEX(AO!$ED:$ED,MATCH($B22,AO!$C:$C,0))</f>
        <v>#N/A</v>
      </c>
      <c r="N22" s="261" t="e">
        <f>INDEX(AO!$DO:$DO,MATCH($B22,AO!$C:$C,0))</f>
        <v>#N/A</v>
      </c>
      <c r="O22" s="261" t="e">
        <f>INDEX(AO!$DS:$DS,MATCH($B22,AO!$C:$C,0))</f>
        <v>#N/A</v>
      </c>
      <c r="P22" s="261" t="e">
        <f t="shared" si="1"/>
        <v>#N/A</v>
      </c>
      <c r="Q22" s="1190">
        <f t="shared" si="2"/>
        <v>0</v>
      </c>
    </row>
    <row r="23" spans="2:17">
      <c r="B23" s="73">
        <f t="shared" si="4"/>
        <v>17</v>
      </c>
      <c r="C23">
        <f t="shared" si="3"/>
        <v>17</v>
      </c>
      <c r="D23" t="e">
        <f>INDEX(AA!$AC:$AC,MATCH($C23,AA!$C:$C,0))</f>
        <v>#N/A</v>
      </c>
      <c r="E23" t="e">
        <f>INDEX(AO!$I:$I,MATCH($C23,AO!$C:$C,0))</f>
        <v>#N/A</v>
      </c>
      <c r="F23" s="261" t="e">
        <f>-INDEX(AO!$AT:$AT,MATCH($B23,AO!$C:$C,0))</f>
        <v>#N/A</v>
      </c>
      <c r="G23" s="261" t="e">
        <f>-INDEX(AO!$AZ:$AZ,MATCH($B23,AO!$C:$C,0))</f>
        <v>#N/A</v>
      </c>
      <c r="H23" s="261" t="e">
        <f>INDEX(AO!$Y:$Y,MATCH($B23,AO!$C:$C,0))</f>
        <v>#N/A</v>
      </c>
      <c r="I23" s="261" t="e">
        <f>INDEX(AO!$EG:$EG,MATCH($B23,AO!$C:$C,0))</f>
        <v>#N/A</v>
      </c>
      <c r="J23" s="261" t="e">
        <f>INDEX(AO!$EI:$EI,MATCH($B23,AO!$C:$C,0))</f>
        <v>#N/A</v>
      </c>
      <c r="K23" s="261" t="e">
        <f>INDEX(AO!$CZ:$CZ,MATCH($B23,AO!$C:$C,0))</f>
        <v>#N/A</v>
      </c>
      <c r="L23" s="261" t="e">
        <f>INDEX(AO!$EK:$EK,MATCH($B23,AO!$C:$C,0))</f>
        <v>#N/A</v>
      </c>
      <c r="M23" s="261" t="e">
        <f>INDEX(AO!$ED:$ED,MATCH($B23,AO!$C:$C,0))</f>
        <v>#N/A</v>
      </c>
      <c r="N23" s="261" t="e">
        <f>INDEX(AO!$DO:$DO,MATCH($B23,AO!$C:$C,0))</f>
        <v>#N/A</v>
      </c>
      <c r="O23" s="261" t="e">
        <f>INDEX(AO!$DS:$DS,MATCH($B23,AO!$C:$C,0))</f>
        <v>#N/A</v>
      </c>
      <c r="P23" s="261" t="e">
        <f t="shared" si="1"/>
        <v>#N/A</v>
      </c>
      <c r="Q23" s="1190">
        <f t="shared" si="2"/>
        <v>0</v>
      </c>
    </row>
    <row r="24" spans="2:17">
      <c r="B24" s="73">
        <f t="shared" si="4"/>
        <v>18</v>
      </c>
      <c r="C24">
        <f t="shared" si="3"/>
        <v>18</v>
      </c>
      <c r="D24" t="e">
        <f>INDEX(AA!$AC:$AC,MATCH($C24,AA!$C:$C,0))</f>
        <v>#N/A</v>
      </c>
      <c r="E24" t="e">
        <f>INDEX(AO!$I:$I,MATCH($C24,AO!$C:$C,0))</f>
        <v>#N/A</v>
      </c>
      <c r="F24" s="261" t="e">
        <f>-INDEX(AO!$AT:$AT,MATCH($B24,AO!$C:$C,0))</f>
        <v>#N/A</v>
      </c>
      <c r="G24" s="261" t="e">
        <f>-INDEX(AO!$AZ:$AZ,MATCH($B24,AO!$C:$C,0))</f>
        <v>#N/A</v>
      </c>
      <c r="H24" s="261" t="e">
        <f>INDEX(AO!$Y:$Y,MATCH($B24,AO!$C:$C,0))</f>
        <v>#N/A</v>
      </c>
      <c r="I24" s="261" t="e">
        <f>INDEX(AO!$EG:$EG,MATCH($B24,AO!$C:$C,0))</f>
        <v>#N/A</v>
      </c>
      <c r="J24" s="261" t="e">
        <f>INDEX(AO!$EI:$EI,MATCH($B24,AO!$C:$C,0))</f>
        <v>#N/A</v>
      </c>
      <c r="K24" s="261" t="e">
        <f>INDEX(AO!$CZ:$CZ,MATCH($B24,AO!$C:$C,0))</f>
        <v>#N/A</v>
      </c>
      <c r="L24" s="261" t="e">
        <f>INDEX(AO!$EK:$EK,MATCH($B24,AO!$C:$C,0))</f>
        <v>#N/A</v>
      </c>
      <c r="M24" s="261" t="e">
        <f>INDEX(AO!$ED:$ED,MATCH($B24,AO!$C:$C,0))</f>
        <v>#N/A</v>
      </c>
      <c r="N24" s="261" t="e">
        <f>INDEX(AO!$DO:$DO,MATCH($B24,AO!$C:$C,0))</f>
        <v>#N/A</v>
      </c>
      <c r="O24" s="261" t="e">
        <f>INDEX(AO!$DS:$DS,MATCH($B24,AO!$C:$C,0))</f>
        <v>#N/A</v>
      </c>
      <c r="P24" s="261" t="e">
        <f t="shared" si="1"/>
        <v>#N/A</v>
      </c>
      <c r="Q24" s="1190">
        <f t="shared" si="2"/>
        <v>0</v>
      </c>
    </row>
    <row r="25" spans="2:17">
      <c r="B25" s="73">
        <f t="shared" si="4"/>
        <v>19</v>
      </c>
      <c r="C25">
        <f t="shared" si="3"/>
        <v>19</v>
      </c>
      <c r="D25" t="e">
        <f>INDEX(AA!$AC:$AC,MATCH($C25,AA!$C:$C,0))</f>
        <v>#N/A</v>
      </c>
      <c r="E25" t="e">
        <f>INDEX(AO!$I:$I,MATCH($C25,AO!$C:$C,0))</f>
        <v>#N/A</v>
      </c>
      <c r="F25" s="261" t="e">
        <f>-INDEX(AO!$AT:$AT,MATCH($B25,AO!$C:$C,0))</f>
        <v>#N/A</v>
      </c>
      <c r="G25" s="261" t="e">
        <f>-INDEX(AO!$AZ:$AZ,MATCH($B25,AO!$C:$C,0))</f>
        <v>#N/A</v>
      </c>
      <c r="H25" s="261" t="e">
        <f>INDEX(AO!$Y:$Y,MATCH($B25,AO!$C:$C,0))</f>
        <v>#N/A</v>
      </c>
      <c r="I25" s="261" t="e">
        <f>INDEX(AO!$EG:$EG,MATCH($B25,AO!$C:$C,0))</f>
        <v>#N/A</v>
      </c>
      <c r="J25" s="261" t="e">
        <f>INDEX(AO!$EI:$EI,MATCH($B25,AO!$C:$C,0))</f>
        <v>#N/A</v>
      </c>
      <c r="K25" s="261" t="e">
        <f>INDEX(AO!$CZ:$CZ,MATCH($B25,AO!$C:$C,0))</f>
        <v>#N/A</v>
      </c>
      <c r="L25" s="261" t="e">
        <f>INDEX(AO!$EK:$EK,MATCH($B25,AO!$C:$C,0))</f>
        <v>#N/A</v>
      </c>
      <c r="M25" s="261" t="e">
        <f>INDEX(AO!$ED:$ED,MATCH($B25,AO!$C:$C,0))</f>
        <v>#N/A</v>
      </c>
      <c r="N25" s="261" t="e">
        <f>INDEX(AO!$DO:$DO,MATCH($B25,AO!$C:$C,0))</f>
        <v>#N/A</v>
      </c>
      <c r="O25" s="261" t="e">
        <f>INDEX(AO!$DS:$DS,MATCH($B25,AO!$C:$C,0))</f>
        <v>#N/A</v>
      </c>
      <c r="P25" s="261" t="e">
        <f t="shared" si="1"/>
        <v>#N/A</v>
      </c>
      <c r="Q25" s="1190">
        <f t="shared" si="2"/>
        <v>0</v>
      </c>
    </row>
    <row r="26" spans="2:17">
      <c r="B26" s="73">
        <f t="shared" si="4"/>
        <v>20</v>
      </c>
      <c r="C26">
        <f t="shared" si="3"/>
        <v>20</v>
      </c>
      <c r="D26" t="e">
        <f>INDEX(AA!$AC:$AC,MATCH($C26,AA!$C:$C,0))</f>
        <v>#N/A</v>
      </c>
      <c r="E26" t="e">
        <f>INDEX(AO!$I:$I,MATCH($C26,AO!$C:$C,0))</f>
        <v>#N/A</v>
      </c>
      <c r="F26" s="261" t="e">
        <f>-INDEX(AO!$AT:$AT,MATCH($B26,AO!$C:$C,0))</f>
        <v>#N/A</v>
      </c>
      <c r="G26" s="261" t="e">
        <f>-INDEX(AO!$AZ:$AZ,MATCH($B26,AO!$C:$C,0))</f>
        <v>#N/A</v>
      </c>
      <c r="H26" s="261" t="e">
        <f>INDEX(AO!$Y:$Y,MATCH($B26,AO!$C:$C,0))</f>
        <v>#N/A</v>
      </c>
      <c r="I26" s="261" t="e">
        <f>INDEX(AO!$EG:$EG,MATCH($B26,AO!$C:$C,0))</f>
        <v>#N/A</v>
      </c>
      <c r="J26" s="261" t="e">
        <f>INDEX(AO!$EI:$EI,MATCH($B26,AO!$C:$C,0))</f>
        <v>#N/A</v>
      </c>
      <c r="K26" s="261" t="e">
        <f>INDEX(AO!$CZ:$CZ,MATCH($B26,AO!$C:$C,0))</f>
        <v>#N/A</v>
      </c>
      <c r="L26" s="261" t="e">
        <f>INDEX(AO!$EK:$EK,MATCH($B26,AO!$C:$C,0))</f>
        <v>#N/A</v>
      </c>
      <c r="M26" s="261" t="e">
        <f>INDEX(AO!$ED:$ED,MATCH($B26,AO!$C:$C,0))</f>
        <v>#N/A</v>
      </c>
      <c r="N26" s="261" t="e">
        <f>INDEX(AO!$DO:$DO,MATCH($B26,AO!$C:$C,0))</f>
        <v>#N/A</v>
      </c>
      <c r="O26" s="261" t="e">
        <f>INDEX(AO!$DS:$DS,MATCH($B26,AO!$C:$C,0))</f>
        <v>#N/A</v>
      </c>
      <c r="P26" s="261" t="e">
        <f t="shared" si="1"/>
        <v>#N/A</v>
      </c>
      <c r="Q26" s="1190">
        <f t="shared" si="2"/>
        <v>0</v>
      </c>
    </row>
    <row r="27" spans="2:17">
      <c r="B27" s="73">
        <f t="shared" si="4"/>
        <v>21</v>
      </c>
      <c r="C27">
        <f t="shared" si="3"/>
        <v>21</v>
      </c>
      <c r="D27" t="e">
        <f>INDEX(AA!$AC:$AC,MATCH($C27,AA!$C:$C,0))</f>
        <v>#N/A</v>
      </c>
      <c r="E27" t="e">
        <f>INDEX(AO!$I:$I,MATCH($C27,AO!$C:$C,0))</f>
        <v>#N/A</v>
      </c>
      <c r="F27" s="261" t="e">
        <f>-INDEX(AO!$AT:$AT,MATCH($B27,AO!$C:$C,0))</f>
        <v>#N/A</v>
      </c>
      <c r="G27" s="261" t="e">
        <f>-INDEX(AO!$AZ:$AZ,MATCH($B27,AO!$C:$C,0))</f>
        <v>#N/A</v>
      </c>
      <c r="H27" s="261" t="e">
        <f>INDEX(AO!$Y:$Y,MATCH($B27,AO!$C:$C,0))</f>
        <v>#N/A</v>
      </c>
      <c r="I27" s="261" t="e">
        <f>INDEX(AO!$EG:$EG,MATCH($B27,AO!$C:$C,0))</f>
        <v>#N/A</v>
      </c>
      <c r="J27" s="261" t="e">
        <f>INDEX(AO!$EI:$EI,MATCH($B27,AO!$C:$C,0))</f>
        <v>#N/A</v>
      </c>
      <c r="K27" s="261" t="e">
        <f>INDEX(AO!$CZ:$CZ,MATCH($B27,AO!$C:$C,0))</f>
        <v>#N/A</v>
      </c>
      <c r="L27" s="261" t="e">
        <f>INDEX(AO!$EK:$EK,MATCH($B27,AO!$C:$C,0))</f>
        <v>#N/A</v>
      </c>
      <c r="M27" s="261" t="e">
        <f>INDEX(AO!$ED:$ED,MATCH($B27,AO!$C:$C,0))</f>
        <v>#N/A</v>
      </c>
      <c r="N27" s="261" t="e">
        <f>INDEX(AO!$DO:$DO,MATCH($B27,AO!$C:$C,0))</f>
        <v>#N/A</v>
      </c>
      <c r="O27" s="261" t="e">
        <f>INDEX(AO!$DS:$DS,MATCH($B27,AO!$C:$C,0))</f>
        <v>#N/A</v>
      </c>
      <c r="P27" s="261" t="e">
        <f t="shared" si="1"/>
        <v>#N/A</v>
      </c>
      <c r="Q27" s="1190">
        <f t="shared" si="2"/>
        <v>0</v>
      </c>
    </row>
    <row r="28" spans="2:17">
      <c r="B28" s="73">
        <f t="shared" si="4"/>
        <v>22</v>
      </c>
      <c r="C28">
        <f t="shared" si="3"/>
        <v>22</v>
      </c>
      <c r="D28" t="e">
        <f>INDEX(AA!$AC:$AC,MATCH($C28,AA!$C:$C,0))</f>
        <v>#N/A</v>
      </c>
      <c r="E28" t="e">
        <f>INDEX(AO!$I:$I,MATCH($C28,AO!$C:$C,0))</f>
        <v>#N/A</v>
      </c>
      <c r="F28" s="261" t="e">
        <f>-INDEX(AO!$AT:$AT,MATCH($B28,AO!$C:$C,0))</f>
        <v>#N/A</v>
      </c>
      <c r="G28" s="261" t="e">
        <f>-INDEX(AO!$AZ:$AZ,MATCH($B28,AO!$C:$C,0))</f>
        <v>#N/A</v>
      </c>
      <c r="H28" s="261" t="e">
        <f>INDEX(AO!$Y:$Y,MATCH($B28,AO!$C:$C,0))</f>
        <v>#N/A</v>
      </c>
      <c r="I28" s="261" t="e">
        <f>INDEX(AO!$EG:$EG,MATCH($B28,AO!$C:$C,0))</f>
        <v>#N/A</v>
      </c>
      <c r="J28" s="261" t="e">
        <f>INDEX(AO!$EI:$EI,MATCH($B28,AO!$C:$C,0))</f>
        <v>#N/A</v>
      </c>
      <c r="K28" s="261" t="e">
        <f>INDEX(AO!$CZ:$CZ,MATCH($B28,AO!$C:$C,0))</f>
        <v>#N/A</v>
      </c>
      <c r="L28" s="261" t="e">
        <f>INDEX(AO!$EK:$EK,MATCH($B28,AO!$C:$C,0))</f>
        <v>#N/A</v>
      </c>
      <c r="M28" s="261" t="e">
        <f>INDEX(AO!$ED:$ED,MATCH($B28,AO!$C:$C,0))</f>
        <v>#N/A</v>
      </c>
      <c r="N28" s="261" t="e">
        <f>INDEX(AO!$DO:$DO,MATCH($B28,AO!$C:$C,0))</f>
        <v>#N/A</v>
      </c>
      <c r="O28" s="261" t="e">
        <f>INDEX(AO!$DS:$DS,MATCH($B28,AO!$C:$C,0))</f>
        <v>#N/A</v>
      </c>
      <c r="P28" s="261" t="e">
        <f t="shared" si="1"/>
        <v>#N/A</v>
      </c>
      <c r="Q28" s="1190">
        <f t="shared" si="2"/>
        <v>0</v>
      </c>
    </row>
    <row r="29" spans="2:17">
      <c r="B29" s="73">
        <f t="shared" si="4"/>
        <v>23</v>
      </c>
      <c r="C29">
        <f t="shared" si="3"/>
        <v>23</v>
      </c>
      <c r="D29" t="e">
        <f>INDEX(AA!$AC:$AC,MATCH($C29,AA!$C:$C,0))</f>
        <v>#N/A</v>
      </c>
      <c r="E29" t="e">
        <f>INDEX(AO!$I:$I,MATCH($C29,AO!$C:$C,0))</f>
        <v>#N/A</v>
      </c>
      <c r="F29" s="261" t="e">
        <f>-INDEX(AO!$AT:$AT,MATCH($B29,AO!$C:$C,0))</f>
        <v>#N/A</v>
      </c>
      <c r="G29" s="261" t="e">
        <f>-INDEX(AO!$AZ:$AZ,MATCH($B29,AO!$C:$C,0))</f>
        <v>#N/A</v>
      </c>
      <c r="H29" s="261" t="e">
        <f>INDEX(AO!$Y:$Y,MATCH($B29,AO!$C:$C,0))</f>
        <v>#N/A</v>
      </c>
      <c r="I29" s="261" t="e">
        <f>INDEX(AO!$EG:$EG,MATCH($B29,AO!$C:$C,0))</f>
        <v>#N/A</v>
      </c>
      <c r="J29" s="261" t="e">
        <f>INDEX(AO!$EI:$EI,MATCH($B29,AO!$C:$C,0))</f>
        <v>#N/A</v>
      </c>
      <c r="K29" s="261" t="e">
        <f>INDEX(AO!$CZ:$CZ,MATCH($B29,AO!$C:$C,0))</f>
        <v>#N/A</v>
      </c>
      <c r="L29" s="261" t="e">
        <f>INDEX(AO!$EK:$EK,MATCH($B29,AO!$C:$C,0))</f>
        <v>#N/A</v>
      </c>
      <c r="M29" s="261" t="e">
        <f>INDEX(AO!$ED:$ED,MATCH($B29,AO!$C:$C,0))</f>
        <v>#N/A</v>
      </c>
      <c r="N29" s="261" t="e">
        <f>INDEX(AO!$DO:$DO,MATCH($B29,AO!$C:$C,0))</f>
        <v>#N/A</v>
      </c>
      <c r="O29" s="261" t="e">
        <f>INDEX(AO!$DS:$DS,MATCH($B29,AO!$C:$C,0))</f>
        <v>#N/A</v>
      </c>
      <c r="P29" s="261" t="e">
        <f t="shared" si="1"/>
        <v>#N/A</v>
      </c>
      <c r="Q29" s="1190">
        <f t="shared" si="2"/>
        <v>0</v>
      </c>
    </row>
    <row r="30" spans="2:17">
      <c r="B30" s="73">
        <f t="shared" si="4"/>
        <v>24</v>
      </c>
      <c r="C30">
        <f t="shared" si="3"/>
        <v>24</v>
      </c>
      <c r="D30" t="e">
        <f>INDEX(AA!$AC:$AC,MATCH($C30,AA!$C:$C,0))</f>
        <v>#N/A</v>
      </c>
      <c r="E30" t="e">
        <f>INDEX(AO!$I:$I,MATCH($C30,AO!$C:$C,0))</f>
        <v>#N/A</v>
      </c>
      <c r="F30" s="261" t="e">
        <f>-INDEX(AO!$AT:$AT,MATCH($B30,AO!$C:$C,0))</f>
        <v>#N/A</v>
      </c>
      <c r="G30" s="261" t="e">
        <f>-INDEX(AO!$AZ:$AZ,MATCH($B30,AO!$C:$C,0))</f>
        <v>#N/A</v>
      </c>
      <c r="H30" s="261" t="e">
        <f>INDEX(AO!$Y:$Y,MATCH($B30,AO!$C:$C,0))</f>
        <v>#N/A</v>
      </c>
      <c r="I30" s="261" t="e">
        <f>INDEX(AO!$EG:$EG,MATCH($B30,AO!$C:$C,0))</f>
        <v>#N/A</v>
      </c>
      <c r="J30" s="261" t="e">
        <f>INDEX(AO!$EI:$EI,MATCH($B30,AO!$C:$C,0))</f>
        <v>#N/A</v>
      </c>
      <c r="K30" s="261" t="e">
        <f>INDEX(AO!$CZ:$CZ,MATCH($B30,AO!$C:$C,0))</f>
        <v>#N/A</v>
      </c>
      <c r="L30" s="261" t="e">
        <f>INDEX(AO!$EK:$EK,MATCH($B30,AO!$C:$C,0))</f>
        <v>#N/A</v>
      </c>
      <c r="M30" s="261" t="e">
        <f>INDEX(AO!$ED:$ED,MATCH($B30,AO!$C:$C,0))</f>
        <v>#N/A</v>
      </c>
      <c r="N30" s="261" t="e">
        <f>INDEX(AO!$DO:$DO,MATCH($B30,AO!$C:$C,0))</f>
        <v>#N/A</v>
      </c>
      <c r="O30" s="261" t="e">
        <f>INDEX(AO!$DS:$DS,MATCH($B30,AO!$C:$C,0))</f>
        <v>#N/A</v>
      </c>
      <c r="P30" s="261" t="e">
        <f t="shared" si="1"/>
        <v>#N/A</v>
      </c>
      <c r="Q30" s="1190">
        <f t="shared" si="2"/>
        <v>0</v>
      </c>
    </row>
    <row r="31" spans="2:17">
      <c r="B31" s="73">
        <f t="shared" si="4"/>
        <v>25</v>
      </c>
      <c r="C31">
        <f t="shared" si="3"/>
        <v>25</v>
      </c>
      <c r="D31" t="e">
        <f>INDEX(AA!$AC:$AC,MATCH($C31,AA!$C:$C,0))</f>
        <v>#N/A</v>
      </c>
      <c r="E31" t="e">
        <f>INDEX(AO!$I:$I,MATCH($C31,AO!$C:$C,0))</f>
        <v>#N/A</v>
      </c>
      <c r="F31" s="261" t="e">
        <f>-INDEX(AO!$AT:$AT,MATCH($B31,AO!$C:$C,0))</f>
        <v>#N/A</v>
      </c>
      <c r="G31" s="261" t="e">
        <f>-INDEX(AO!$AZ:$AZ,MATCH($B31,AO!$C:$C,0))</f>
        <v>#N/A</v>
      </c>
      <c r="H31" s="261" t="e">
        <f>INDEX(AO!$Y:$Y,MATCH($B31,AO!$C:$C,0))</f>
        <v>#N/A</v>
      </c>
      <c r="I31" s="261" t="e">
        <f>INDEX(AO!$EG:$EG,MATCH($B31,AO!$C:$C,0))</f>
        <v>#N/A</v>
      </c>
      <c r="J31" s="261" t="e">
        <f>INDEX(AO!$EI:$EI,MATCH($B31,AO!$C:$C,0))</f>
        <v>#N/A</v>
      </c>
      <c r="K31" s="261" t="e">
        <f>INDEX(AO!$CZ:$CZ,MATCH($B31,AO!$C:$C,0))</f>
        <v>#N/A</v>
      </c>
      <c r="L31" s="261" t="e">
        <f>INDEX(AO!$EK:$EK,MATCH($B31,AO!$C:$C,0))</f>
        <v>#N/A</v>
      </c>
      <c r="M31" s="261" t="e">
        <f>INDEX(AO!$ED:$ED,MATCH($B31,AO!$C:$C,0))</f>
        <v>#N/A</v>
      </c>
      <c r="N31" s="261" t="e">
        <f>INDEX(AO!$DO:$DO,MATCH($B31,AO!$C:$C,0))</f>
        <v>#N/A</v>
      </c>
      <c r="O31" s="261" t="e">
        <f>INDEX(AO!$DS:$DS,MATCH($B31,AO!$C:$C,0))</f>
        <v>#N/A</v>
      </c>
      <c r="P31" s="261" t="e">
        <f t="shared" si="1"/>
        <v>#N/A</v>
      </c>
      <c r="Q31" s="1190">
        <f t="shared" si="2"/>
        <v>0</v>
      </c>
    </row>
    <row r="32" spans="2:17">
      <c r="B32" s="73">
        <f t="shared" si="4"/>
        <v>26</v>
      </c>
      <c r="C32">
        <f t="shared" si="3"/>
        <v>26</v>
      </c>
      <c r="D32" t="e">
        <f>INDEX(AA!$AC:$AC,MATCH($C32,AA!$C:$C,0))</f>
        <v>#N/A</v>
      </c>
      <c r="E32" t="e">
        <f>INDEX(AO!$I:$I,MATCH($C32,AO!$C:$C,0))</f>
        <v>#N/A</v>
      </c>
      <c r="F32" s="261" t="e">
        <f>-INDEX(AO!$AT:$AT,MATCH($B32,AO!$C:$C,0))</f>
        <v>#N/A</v>
      </c>
      <c r="G32" s="261" t="e">
        <f>-INDEX(AO!$AZ:$AZ,MATCH($B32,AO!$C:$C,0))</f>
        <v>#N/A</v>
      </c>
      <c r="H32" s="261" t="e">
        <f>INDEX(AO!$Y:$Y,MATCH($B32,AO!$C:$C,0))</f>
        <v>#N/A</v>
      </c>
      <c r="I32" s="261" t="e">
        <f>INDEX(AO!$EG:$EG,MATCH($B32,AO!$C:$C,0))</f>
        <v>#N/A</v>
      </c>
      <c r="J32" s="261" t="e">
        <f>INDEX(AO!$EI:$EI,MATCH($B32,AO!$C:$C,0))</f>
        <v>#N/A</v>
      </c>
      <c r="K32" s="261" t="e">
        <f>INDEX(AO!$CZ:$CZ,MATCH($B32,AO!$C:$C,0))</f>
        <v>#N/A</v>
      </c>
      <c r="L32" s="261" t="e">
        <f>INDEX(AO!$EK:$EK,MATCH($B32,AO!$C:$C,0))</f>
        <v>#N/A</v>
      </c>
      <c r="M32" s="261" t="e">
        <f>INDEX(AO!$ED:$ED,MATCH($B32,AO!$C:$C,0))</f>
        <v>#N/A</v>
      </c>
      <c r="N32" s="261" t="e">
        <f>INDEX(AO!$DO:$DO,MATCH($B32,AO!$C:$C,0))</f>
        <v>#N/A</v>
      </c>
      <c r="O32" s="261" t="e">
        <f>INDEX(AO!$DS:$DS,MATCH($B32,AO!$C:$C,0))</f>
        <v>#N/A</v>
      </c>
      <c r="P32" s="261" t="e">
        <f t="shared" si="1"/>
        <v>#N/A</v>
      </c>
      <c r="Q32" s="1190">
        <f t="shared" si="2"/>
        <v>0</v>
      </c>
    </row>
    <row r="33" spans="2:17">
      <c r="B33" s="73">
        <f t="shared" si="4"/>
        <v>27</v>
      </c>
      <c r="C33">
        <f t="shared" si="3"/>
        <v>27</v>
      </c>
      <c r="D33" t="e">
        <f>INDEX(AA!$AC:$AC,MATCH($C33,AA!$C:$C,0))</f>
        <v>#N/A</v>
      </c>
      <c r="E33" t="e">
        <f>INDEX(AO!$I:$I,MATCH($C33,AO!$C:$C,0))</f>
        <v>#N/A</v>
      </c>
      <c r="F33" s="261" t="e">
        <f>-INDEX(AO!$AT:$AT,MATCH($B33,AO!$C:$C,0))</f>
        <v>#N/A</v>
      </c>
      <c r="G33" s="261" t="e">
        <f>-INDEX(AO!$AZ:$AZ,MATCH($B33,AO!$C:$C,0))</f>
        <v>#N/A</v>
      </c>
      <c r="H33" s="261" t="e">
        <f>INDEX(AO!$Y:$Y,MATCH($B33,AO!$C:$C,0))</f>
        <v>#N/A</v>
      </c>
      <c r="I33" s="261" t="e">
        <f>INDEX(AO!$EG:$EG,MATCH($B33,AO!$C:$C,0))</f>
        <v>#N/A</v>
      </c>
      <c r="J33" s="261" t="e">
        <f>INDEX(AO!$EI:$EI,MATCH($B33,AO!$C:$C,0))</f>
        <v>#N/A</v>
      </c>
      <c r="K33" s="261" t="e">
        <f>INDEX(AO!$CZ:$CZ,MATCH($B33,AO!$C:$C,0))</f>
        <v>#N/A</v>
      </c>
      <c r="L33" s="261" t="e">
        <f>INDEX(AO!$EK:$EK,MATCH($B33,AO!$C:$C,0))</f>
        <v>#N/A</v>
      </c>
      <c r="M33" s="261" t="e">
        <f>INDEX(AO!$ED:$ED,MATCH($B33,AO!$C:$C,0))</f>
        <v>#N/A</v>
      </c>
      <c r="N33" s="261" t="e">
        <f>INDEX(AO!$DO:$DO,MATCH($B33,AO!$C:$C,0))</f>
        <v>#N/A</v>
      </c>
      <c r="O33" s="261" t="e">
        <f>INDEX(AO!$DS:$DS,MATCH($B33,AO!$C:$C,0))</f>
        <v>#N/A</v>
      </c>
      <c r="P33" s="261" t="e">
        <f t="shared" si="1"/>
        <v>#N/A</v>
      </c>
      <c r="Q33" s="1190">
        <f t="shared" si="2"/>
        <v>0</v>
      </c>
    </row>
    <row r="34" spans="2:17">
      <c r="B34" s="73">
        <f t="shared" si="4"/>
        <v>28</v>
      </c>
      <c r="C34">
        <f t="shared" si="3"/>
        <v>28</v>
      </c>
      <c r="D34" t="e">
        <f>INDEX(AA!$AC:$AC,MATCH($C34,AA!$C:$C,0))</f>
        <v>#N/A</v>
      </c>
      <c r="E34" t="e">
        <f>INDEX(AO!$I:$I,MATCH($C34,AO!$C:$C,0))</f>
        <v>#N/A</v>
      </c>
      <c r="F34" s="261" t="e">
        <f>-INDEX(AO!$AT:$AT,MATCH($B34,AO!$C:$C,0))</f>
        <v>#N/A</v>
      </c>
      <c r="G34" s="261" t="e">
        <f>-INDEX(AO!$AZ:$AZ,MATCH($B34,AO!$C:$C,0))</f>
        <v>#N/A</v>
      </c>
      <c r="H34" s="261" t="e">
        <f>INDEX(AO!$Y:$Y,MATCH($B34,AO!$C:$C,0))</f>
        <v>#N/A</v>
      </c>
      <c r="I34" s="261" t="e">
        <f>INDEX(AO!$EG:$EG,MATCH($B34,AO!$C:$C,0))</f>
        <v>#N/A</v>
      </c>
      <c r="J34" s="261" t="e">
        <f>INDEX(AO!$EI:$EI,MATCH($B34,AO!$C:$C,0))</f>
        <v>#N/A</v>
      </c>
      <c r="K34" s="261" t="e">
        <f>INDEX(AO!$CZ:$CZ,MATCH($B34,AO!$C:$C,0))</f>
        <v>#N/A</v>
      </c>
      <c r="L34" s="261" t="e">
        <f>INDEX(AO!$EK:$EK,MATCH($B34,AO!$C:$C,0))</f>
        <v>#N/A</v>
      </c>
      <c r="M34" s="261" t="e">
        <f>INDEX(AO!$ED:$ED,MATCH($B34,AO!$C:$C,0))</f>
        <v>#N/A</v>
      </c>
      <c r="N34" s="261" t="e">
        <f>INDEX(AO!$DO:$DO,MATCH($B34,AO!$C:$C,0))</f>
        <v>#N/A</v>
      </c>
      <c r="O34" s="261" t="e">
        <f>INDEX(AO!$DS:$DS,MATCH($B34,AO!$C:$C,0))</f>
        <v>#N/A</v>
      </c>
      <c r="P34" s="261" t="e">
        <f t="shared" si="1"/>
        <v>#N/A</v>
      </c>
      <c r="Q34" s="1190">
        <f t="shared" si="2"/>
        <v>0</v>
      </c>
    </row>
    <row r="35" spans="2:17">
      <c r="B35" s="73">
        <f t="shared" si="4"/>
        <v>29</v>
      </c>
      <c r="C35">
        <f t="shared" si="3"/>
        <v>29</v>
      </c>
      <c r="D35" t="e">
        <f>INDEX(AA!$AC:$AC,MATCH($C35,AA!$C:$C,0))</f>
        <v>#N/A</v>
      </c>
      <c r="E35" t="e">
        <f>INDEX(AO!$I:$I,MATCH($C35,AO!$C:$C,0))</f>
        <v>#N/A</v>
      </c>
      <c r="F35" s="261" t="e">
        <f>-INDEX(AO!$AT:$AT,MATCH($B35,AO!$C:$C,0))</f>
        <v>#N/A</v>
      </c>
      <c r="G35" s="261" t="e">
        <f>-INDEX(AO!$AZ:$AZ,MATCH($B35,AO!$C:$C,0))</f>
        <v>#N/A</v>
      </c>
      <c r="H35" s="261" t="e">
        <f>INDEX(AO!$Y:$Y,MATCH($B35,AO!$C:$C,0))</f>
        <v>#N/A</v>
      </c>
      <c r="I35" s="261" t="e">
        <f>INDEX(AO!$EG:$EG,MATCH($B35,AO!$C:$C,0))</f>
        <v>#N/A</v>
      </c>
      <c r="J35" s="261" t="e">
        <f>INDEX(AO!$EI:$EI,MATCH($B35,AO!$C:$C,0))</f>
        <v>#N/A</v>
      </c>
      <c r="K35" s="261" t="e">
        <f>INDEX(AO!$CZ:$CZ,MATCH($B35,AO!$C:$C,0))</f>
        <v>#N/A</v>
      </c>
      <c r="L35" s="261" t="e">
        <f>INDEX(AO!$EK:$EK,MATCH($B35,AO!$C:$C,0))</f>
        <v>#N/A</v>
      </c>
      <c r="M35" s="261" t="e">
        <f>INDEX(AO!$ED:$ED,MATCH($B35,AO!$C:$C,0))</f>
        <v>#N/A</v>
      </c>
      <c r="N35" s="261" t="e">
        <f>INDEX(AO!$DO:$DO,MATCH($B35,AO!$C:$C,0))</f>
        <v>#N/A</v>
      </c>
      <c r="O35" s="261" t="e">
        <f>INDEX(AO!$DS:$DS,MATCH($B35,AO!$C:$C,0))</f>
        <v>#N/A</v>
      </c>
      <c r="P35" s="261" t="e">
        <f t="shared" si="1"/>
        <v>#N/A</v>
      </c>
      <c r="Q35" s="1190">
        <f t="shared" si="2"/>
        <v>0</v>
      </c>
    </row>
    <row r="36" spans="2:17">
      <c r="B36" s="73">
        <f t="shared" si="4"/>
        <v>30</v>
      </c>
      <c r="C36">
        <f t="shared" si="3"/>
        <v>30</v>
      </c>
      <c r="D36" t="e">
        <f>INDEX(AA!$AC:$AC,MATCH($C36,AA!$C:$C,0))</f>
        <v>#N/A</v>
      </c>
      <c r="E36" t="e">
        <f>INDEX(AO!$I:$I,MATCH($C36,AO!$C:$C,0))</f>
        <v>#N/A</v>
      </c>
      <c r="F36" s="261" t="e">
        <f>-INDEX(AO!$AT:$AT,MATCH($B36,AO!$C:$C,0))</f>
        <v>#N/A</v>
      </c>
      <c r="G36" s="261" t="e">
        <f>-INDEX(AO!$AZ:$AZ,MATCH($B36,AO!$C:$C,0))</f>
        <v>#N/A</v>
      </c>
      <c r="H36" s="261" t="e">
        <f>INDEX(AO!$Y:$Y,MATCH($B36,AO!$C:$C,0))</f>
        <v>#N/A</v>
      </c>
      <c r="I36" s="261" t="e">
        <f>INDEX(AO!$EG:$EG,MATCH($B36,AO!$C:$C,0))</f>
        <v>#N/A</v>
      </c>
      <c r="J36" s="261" t="e">
        <f>INDEX(AO!$EI:$EI,MATCH($B36,AO!$C:$C,0))</f>
        <v>#N/A</v>
      </c>
      <c r="K36" s="261" t="e">
        <f>INDEX(AO!$CZ:$CZ,MATCH($B36,AO!$C:$C,0))</f>
        <v>#N/A</v>
      </c>
      <c r="L36" s="261" t="e">
        <f>INDEX(AO!$EK:$EK,MATCH($B36,AO!$C:$C,0))</f>
        <v>#N/A</v>
      </c>
      <c r="M36" s="261" t="e">
        <f>INDEX(AO!$ED:$ED,MATCH($B36,AO!$C:$C,0))</f>
        <v>#N/A</v>
      </c>
      <c r="N36" s="261" t="e">
        <f>INDEX(AO!$DO:$DO,MATCH($B36,AO!$C:$C,0))</f>
        <v>#N/A</v>
      </c>
      <c r="O36" s="261" t="e">
        <f>INDEX(AO!$DS:$DS,MATCH($B36,AO!$C:$C,0))</f>
        <v>#N/A</v>
      </c>
      <c r="P36" s="261" t="e">
        <f t="shared" si="1"/>
        <v>#N/A</v>
      </c>
      <c r="Q36" s="1190">
        <f t="shared" si="2"/>
        <v>0</v>
      </c>
    </row>
    <row r="37" spans="2:17">
      <c r="B37" s="73">
        <f t="shared" si="4"/>
        <v>31</v>
      </c>
      <c r="C37">
        <f t="shared" si="3"/>
        <v>31</v>
      </c>
      <c r="D37" t="e">
        <f>INDEX(AA!$AC:$AC,MATCH($C37,AA!$C:$C,0))</f>
        <v>#N/A</v>
      </c>
      <c r="E37" t="e">
        <f>INDEX(AO!$I:$I,MATCH($C37,AO!$C:$C,0))</f>
        <v>#N/A</v>
      </c>
      <c r="F37" s="261" t="e">
        <f>-INDEX(AO!$AT:$AT,MATCH($B37,AO!$C:$C,0))</f>
        <v>#N/A</v>
      </c>
      <c r="G37" s="261" t="e">
        <f>-INDEX(AO!$AZ:$AZ,MATCH($B37,AO!$C:$C,0))</f>
        <v>#N/A</v>
      </c>
      <c r="H37" s="261" t="e">
        <f>INDEX(AO!$Y:$Y,MATCH($B37,AO!$C:$C,0))</f>
        <v>#N/A</v>
      </c>
      <c r="I37" s="261" t="e">
        <f>INDEX(AO!$EG:$EG,MATCH($B37,AO!$C:$C,0))</f>
        <v>#N/A</v>
      </c>
      <c r="J37" s="261" t="e">
        <f>INDEX(AO!$EI:$EI,MATCH($B37,AO!$C:$C,0))</f>
        <v>#N/A</v>
      </c>
      <c r="K37" s="261" t="e">
        <f>INDEX(AO!$CZ:$CZ,MATCH($B37,AO!$C:$C,0))</f>
        <v>#N/A</v>
      </c>
      <c r="L37" s="261" t="e">
        <f>INDEX(AO!$EK:$EK,MATCH($B37,AO!$C:$C,0))</f>
        <v>#N/A</v>
      </c>
      <c r="M37" s="261" t="e">
        <f>INDEX(AO!$ED:$ED,MATCH($B37,AO!$C:$C,0))</f>
        <v>#N/A</v>
      </c>
      <c r="N37" s="261" t="e">
        <f>INDEX(AO!$DO:$DO,MATCH($B37,AO!$C:$C,0))</f>
        <v>#N/A</v>
      </c>
      <c r="O37" s="261" t="e">
        <f>INDEX(AO!$DS:$DS,MATCH($B37,AO!$C:$C,0))</f>
        <v>#N/A</v>
      </c>
      <c r="P37" s="261" t="e">
        <f t="shared" si="1"/>
        <v>#N/A</v>
      </c>
      <c r="Q37" s="1190">
        <f t="shared" si="2"/>
        <v>0</v>
      </c>
    </row>
    <row r="38" spans="2:17">
      <c r="B38" s="73">
        <f t="shared" si="4"/>
        <v>32</v>
      </c>
      <c r="C38">
        <f t="shared" si="3"/>
        <v>32</v>
      </c>
      <c r="D38" t="e">
        <f>INDEX(AA!$AC:$AC,MATCH($C38,AA!$C:$C,0))</f>
        <v>#N/A</v>
      </c>
      <c r="E38" t="e">
        <f>INDEX(AO!$I:$I,MATCH($C38,AO!$C:$C,0))</f>
        <v>#N/A</v>
      </c>
      <c r="F38" s="261" t="e">
        <f>-INDEX(AO!$AT:$AT,MATCH($B38,AO!$C:$C,0))</f>
        <v>#N/A</v>
      </c>
      <c r="G38" s="261" t="e">
        <f>-INDEX(AO!$AZ:$AZ,MATCH($B38,AO!$C:$C,0))</f>
        <v>#N/A</v>
      </c>
      <c r="H38" s="261" t="e">
        <f>INDEX(AO!$Y:$Y,MATCH($B38,AO!$C:$C,0))</f>
        <v>#N/A</v>
      </c>
      <c r="I38" s="261" t="e">
        <f>INDEX(AO!$EG:$EG,MATCH($B38,AO!$C:$C,0))</f>
        <v>#N/A</v>
      </c>
      <c r="J38" s="261" t="e">
        <f>INDEX(AO!$EI:$EI,MATCH($B38,AO!$C:$C,0))</f>
        <v>#N/A</v>
      </c>
      <c r="K38" s="261" t="e">
        <f>INDEX(AO!$CZ:$CZ,MATCH($B38,AO!$C:$C,0))</f>
        <v>#N/A</v>
      </c>
      <c r="L38" s="261" t="e">
        <f>INDEX(AO!$EK:$EK,MATCH($B38,AO!$C:$C,0))</f>
        <v>#N/A</v>
      </c>
      <c r="M38" s="261" t="e">
        <f>INDEX(AO!$ED:$ED,MATCH($B38,AO!$C:$C,0))</f>
        <v>#N/A</v>
      </c>
      <c r="N38" s="261" t="e">
        <f>INDEX(AO!$DO:$DO,MATCH($B38,AO!$C:$C,0))</f>
        <v>#N/A</v>
      </c>
      <c r="O38" s="261" t="e">
        <f>INDEX(AO!$DS:$DS,MATCH($B38,AO!$C:$C,0))</f>
        <v>#N/A</v>
      </c>
      <c r="P38" s="261" t="e">
        <f t="shared" si="1"/>
        <v>#N/A</v>
      </c>
      <c r="Q38" s="1190">
        <f t="shared" si="2"/>
        <v>0</v>
      </c>
    </row>
    <row r="39" spans="2:17">
      <c r="B39" s="73">
        <f t="shared" si="4"/>
        <v>33</v>
      </c>
      <c r="C39">
        <f t="shared" si="3"/>
        <v>33</v>
      </c>
      <c r="D39" t="e">
        <f>INDEX(AA!$AC:$AC,MATCH($C39,AA!$C:$C,0))</f>
        <v>#N/A</v>
      </c>
      <c r="E39" t="e">
        <f>INDEX(AO!$I:$I,MATCH($C39,AO!$C:$C,0))</f>
        <v>#N/A</v>
      </c>
      <c r="F39" s="261" t="e">
        <f>-INDEX(AO!$AT:$AT,MATCH($B39,AO!$C:$C,0))</f>
        <v>#N/A</v>
      </c>
      <c r="G39" s="261" t="e">
        <f>-INDEX(AO!$AZ:$AZ,MATCH($B39,AO!$C:$C,0))</f>
        <v>#N/A</v>
      </c>
      <c r="H39" s="261" t="e">
        <f>INDEX(AO!$Y:$Y,MATCH($B39,AO!$C:$C,0))</f>
        <v>#N/A</v>
      </c>
      <c r="I39" s="261" t="e">
        <f>INDEX(AO!$EG:$EG,MATCH($B39,AO!$C:$C,0))</f>
        <v>#N/A</v>
      </c>
      <c r="J39" s="261" t="e">
        <f>INDEX(AO!$EI:$EI,MATCH($B39,AO!$C:$C,0))</f>
        <v>#N/A</v>
      </c>
      <c r="K39" s="261" t="e">
        <f>INDEX(AO!$CZ:$CZ,MATCH($B39,AO!$C:$C,0))</f>
        <v>#N/A</v>
      </c>
      <c r="L39" s="261" t="e">
        <f>INDEX(AO!$EK:$EK,MATCH($B39,AO!$C:$C,0))</f>
        <v>#N/A</v>
      </c>
      <c r="M39" s="261" t="e">
        <f>INDEX(AO!$ED:$ED,MATCH($B39,AO!$C:$C,0))</f>
        <v>#N/A</v>
      </c>
      <c r="N39" s="261" t="e">
        <f>INDEX(AO!$DO:$DO,MATCH($B39,AO!$C:$C,0))</f>
        <v>#N/A</v>
      </c>
      <c r="O39" s="261" t="e">
        <f>INDEX(AO!$DS:$DS,MATCH($B39,AO!$C:$C,0))</f>
        <v>#N/A</v>
      </c>
      <c r="P39" s="261" t="e">
        <f t="shared" si="1"/>
        <v>#N/A</v>
      </c>
      <c r="Q39" s="1190">
        <f t="shared" si="2"/>
        <v>0</v>
      </c>
    </row>
    <row r="40" spans="2:17">
      <c r="B40" s="73">
        <f t="shared" si="4"/>
        <v>34</v>
      </c>
      <c r="C40">
        <f t="shared" si="3"/>
        <v>34</v>
      </c>
      <c r="D40" t="e">
        <f>INDEX(AA!$AC:$AC,MATCH($C40,AA!$C:$C,0))</f>
        <v>#N/A</v>
      </c>
      <c r="E40" t="e">
        <f>INDEX(AO!$I:$I,MATCH($C40,AO!$C:$C,0))</f>
        <v>#N/A</v>
      </c>
      <c r="F40" s="261" t="e">
        <f>-INDEX(AO!$AT:$AT,MATCH($B40,AO!$C:$C,0))</f>
        <v>#N/A</v>
      </c>
      <c r="G40" s="261" t="e">
        <f>-INDEX(AO!$AZ:$AZ,MATCH($B40,AO!$C:$C,0))</f>
        <v>#N/A</v>
      </c>
      <c r="H40" s="261" t="e">
        <f>INDEX(AO!$Y:$Y,MATCH($B40,AO!$C:$C,0))</f>
        <v>#N/A</v>
      </c>
      <c r="I40" s="261" t="e">
        <f>INDEX(AO!$EG:$EG,MATCH($B40,AO!$C:$C,0))</f>
        <v>#N/A</v>
      </c>
      <c r="J40" s="261" t="e">
        <f>INDEX(AO!$EI:$EI,MATCH($B40,AO!$C:$C,0))</f>
        <v>#N/A</v>
      </c>
      <c r="K40" s="261" t="e">
        <f>INDEX(AO!$CZ:$CZ,MATCH($B40,AO!$C:$C,0))</f>
        <v>#N/A</v>
      </c>
      <c r="L40" s="261" t="e">
        <f>INDEX(AO!$EK:$EK,MATCH($B40,AO!$C:$C,0))</f>
        <v>#N/A</v>
      </c>
      <c r="M40" s="261" t="e">
        <f>INDEX(AO!$ED:$ED,MATCH($B40,AO!$C:$C,0))</f>
        <v>#N/A</v>
      </c>
      <c r="N40" s="261" t="e">
        <f>INDEX(AO!$DO:$DO,MATCH($B40,AO!$C:$C,0))</f>
        <v>#N/A</v>
      </c>
      <c r="O40" s="261" t="e">
        <f>INDEX(AO!$DS:$DS,MATCH($B40,AO!$C:$C,0))</f>
        <v>#N/A</v>
      </c>
      <c r="P40" s="261" t="e">
        <f t="shared" si="1"/>
        <v>#N/A</v>
      </c>
      <c r="Q40" s="1190">
        <f t="shared" si="2"/>
        <v>0</v>
      </c>
    </row>
    <row r="41" spans="2:17">
      <c r="B41" s="73">
        <f t="shared" si="4"/>
        <v>35</v>
      </c>
      <c r="C41">
        <f t="shared" si="3"/>
        <v>35</v>
      </c>
      <c r="D41" t="e">
        <f>INDEX(AA!$AC:$AC,MATCH($C41,AA!$C:$C,0))</f>
        <v>#N/A</v>
      </c>
      <c r="E41" t="e">
        <f>INDEX(AO!$I:$I,MATCH($C41,AO!$C:$C,0))</f>
        <v>#N/A</v>
      </c>
      <c r="F41" s="261" t="e">
        <f>-INDEX(AO!$AT:$AT,MATCH($B41,AO!$C:$C,0))</f>
        <v>#N/A</v>
      </c>
      <c r="G41" s="261" t="e">
        <f>-INDEX(AO!$AZ:$AZ,MATCH($B41,AO!$C:$C,0))</f>
        <v>#N/A</v>
      </c>
      <c r="H41" s="261" t="e">
        <f>INDEX(AO!$Y:$Y,MATCH($B41,AO!$C:$C,0))</f>
        <v>#N/A</v>
      </c>
      <c r="I41" s="261" t="e">
        <f>INDEX(AO!$EG:$EG,MATCH($B41,AO!$C:$C,0))</f>
        <v>#N/A</v>
      </c>
      <c r="J41" s="261" t="e">
        <f>INDEX(AO!$EI:$EI,MATCH($B41,AO!$C:$C,0))</f>
        <v>#N/A</v>
      </c>
      <c r="K41" s="261" t="e">
        <f>INDEX(AO!$CZ:$CZ,MATCH($B41,AO!$C:$C,0))</f>
        <v>#N/A</v>
      </c>
      <c r="L41" s="261" t="e">
        <f>INDEX(AO!$EK:$EK,MATCH($B41,AO!$C:$C,0))</f>
        <v>#N/A</v>
      </c>
      <c r="M41" s="261" t="e">
        <f>INDEX(AO!$ED:$ED,MATCH($B41,AO!$C:$C,0))</f>
        <v>#N/A</v>
      </c>
      <c r="N41" s="261" t="e">
        <f>INDEX(AO!$DO:$DO,MATCH($B41,AO!$C:$C,0))</f>
        <v>#N/A</v>
      </c>
      <c r="O41" s="261" t="e">
        <f>INDEX(AO!$DS:$DS,MATCH($B41,AO!$C:$C,0))</f>
        <v>#N/A</v>
      </c>
      <c r="P41" s="261" t="e">
        <f t="shared" si="1"/>
        <v>#N/A</v>
      </c>
      <c r="Q41" s="1190">
        <f t="shared" si="2"/>
        <v>0</v>
      </c>
    </row>
    <row r="42" spans="2:17">
      <c r="B42" s="73">
        <f t="shared" si="4"/>
        <v>36</v>
      </c>
      <c r="C42">
        <f t="shared" si="3"/>
        <v>36</v>
      </c>
      <c r="D42" t="e">
        <f>INDEX(AA!$AC:$AC,MATCH($C42,AA!$C:$C,0))</f>
        <v>#N/A</v>
      </c>
      <c r="E42" t="e">
        <f>INDEX(AO!$I:$I,MATCH($C42,AO!$C:$C,0))</f>
        <v>#N/A</v>
      </c>
      <c r="F42" s="261" t="e">
        <f>-INDEX(AO!$AT:$AT,MATCH($B42,AO!$C:$C,0))</f>
        <v>#N/A</v>
      </c>
      <c r="G42" s="261" t="e">
        <f>-INDEX(AO!$AZ:$AZ,MATCH($B42,AO!$C:$C,0))</f>
        <v>#N/A</v>
      </c>
      <c r="H42" s="261" t="e">
        <f>INDEX(AO!$Y:$Y,MATCH($B42,AO!$C:$C,0))</f>
        <v>#N/A</v>
      </c>
      <c r="I42" s="261" t="e">
        <f>INDEX(AO!$EG:$EG,MATCH($B42,AO!$C:$C,0))</f>
        <v>#N/A</v>
      </c>
      <c r="J42" s="261" t="e">
        <f>INDEX(AO!$EI:$EI,MATCH($B42,AO!$C:$C,0))</f>
        <v>#N/A</v>
      </c>
      <c r="K42" s="261" t="e">
        <f>INDEX(AO!$CZ:$CZ,MATCH($B42,AO!$C:$C,0))</f>
        <v>#N/A</v>
      </c>
      <c r="L42" s="261" t="e">
        <f>INDEX(AO!$EK:$EK,MATCH($B42,AO!$C:$C,0))</f>
        <v>#N/A</v>
      </c>
      <c r="M42" s="261" t="e">
        <f>INDEX(AO!$ED:$ED,MATCH($B42,AO!$C:$C,0))</f>
        <v>#N/A</v>
      </c>
      <c r="N42" s="261" t="e">
        <f>INDEX(AO!$DO:$DO,MATCH($B42,AO!$C:$C,0))</f>
        <v>#N/A</v>
      </c>
      <c r="O42" s="261" t="e">
        <f>INDEX(AO!$DS:$DS,MATCH($B42,AO!$C:$C,0))</f>
        <v>#N/A</v>
      </c>
      <c r="P42" s="261" t="e">
        <f t="shared" si="1"/>
        <v>#N/A</v>
      </c>
      <c r="Q42" s="1190">
        <f t="shared" si="2"/>
        <v>0</v>
      </c>
    </row>
    <row r="43" spans="2:17">
      <c r="B43" s="73">
        <f t="shared" si="4"/>
        <v>37</v>
      </c>
      <c r="C43">
        <f t="shared" si="3"/>
        <v>37</v>
      </c>
      <c r="D43" t="e">
        <f>INDEX(AA!$AC:$AC,MATCH($C43,AA!$C:$C,0))</f>
        <v>#N/A</v>
      </c>
      <c r="E43" t="e">
        <f>INDEX(AO!$I:$I,MATCH($C43,AO!$C:$C,0))</f>
        <v>#N/A</v>
      </c>
      <c r="F43" s="261" t="e">
        <f>-INDEX(AO!$AT:$AT,MATCH($B43,AO!$C:$C,0))</f>
        <v>#N/A</v>
      </c>
      <c r="G43" s="261" t="e">
        <f>-INDEX(AO!$AZ:$AZ,MATCH($B43,AO!$C:$C,0))</f>
        <v>#N/A</v>
      </c>
      <c r="H43" s="261" t="e">
        <f>INDEX(AO!$Y:$Y,MATCH($B43,AO!$C:$C,0))</f>
        <v>#N/A</v>
      </c>
      <c r="I43" s="261" t="e">
        <f>INDEX(AO!$EG:$EG,MATCH($B43,AO!$C:$C,0))</f>
        <v>#N/A</v>
      </c>
      <c r="J43" s="261" t="e">
        <f>INDEX(AO!$EI:$EI,MATCH($B43,AO!$C:$C,0))</f>
        <v>#N/A</v>
      </c>
      <c r="K43" s="261" t="e">
        <f>INDEX(AO!$CZ:$CZ,MATCH($B43,AO!$C:$C,0))</f>
        <v>#N/A</v>
      </c>
      <c r="L43" s="261" t="e">
        <f>INDEX(AO!$EK:$EK,MATCH($B43,AO!$C:$C,0))</f>
        <v>#N/A</v>
      </c>
      <c r="M43" s="261" t="e">
        <f>INDEX(AO!$ED:$ED,MATCH($B43,AO!$C:$C,0))</f>
        <v>#N/A</v>
      </c>
      <c r="N43" s="261" t="e">
        <f>INDEX(AO!$DO:$DO,MATCH($B43,AO!$C:$C,0))</f>
        <v>#N/A</v>
      </c>
      <c r="O43" s="261" t="e">
        <f>INDEX(AO!$DS:$DS,MATCH($B43,AO!$C:$C,0))</f>
        <v>#N/A</v>
      </c>
      <c r="P43" s="261" t="e">
        <f t="shared" si="1"/>
        <v>#N/A</v>
      </c>
      <c r="Q43" s="1190">
        <f t="shared" si="2"/>
        <v>0</v>
      </c>
    </row>
    <row r="44" spans="2:17">
      <c r="B44" s="73">
        <f t="shared" si="4"/>
        <v>38</v>
      </c>
      <c r="C44">
        <f t="shared" si="3"/>
        <v>38</v>
      </c>
      <c r="D44" t="e">
        <f>INDEX(AA!$AC:$AC,MATCH($C44,AA!$C:$C,0))</f>
        <v>#N/A</v>
      </c>
      <c r="E44" t="e">
        <f>INDEX(AO!$I:$I,MATCH($C44,AO!$C:$C,0))</f>
        <v>#N/A</v>
      </c>
      <c r="F44" s="261" t="e">
        <f>-INDEX(AO!$AT:$AT,MATCH($B44,AO!$C:$C,0))</f>
        <v>#N/A</v>
      </c>
      <c r="G44" s="261" t="e">
        <f>-INDEX(AO!$AZ:$AZ,MATCH($B44,AO!$C:$C,0))</f>
        <v>#N/A</v>
      </c>
      <c r="H44" s="261" t="e">
        <f>INDEX(AO!$Y:$Y,MATCH($B44,AO!$C:$C,0))</f>
        <v>#N/A</v>
      </c>
      <c r="I44" s="261" t="e">
        <f>INDEX(AO!$EG:$EG,MATCH($B44,AO!$C:$C,0))</f>
        <v>#N/A</v>
      </c>
      <c r="J44" s="261" t="e">
        <f>INDEX(AO!$EI:$EI,MATCH($B44,AO!$C:$C,0))</f>
        <v>#N/A</v>
      </c>
      <c r="K44" s="261" t="e">
        <f>INDEX(AO!$CZ:$CZ,MATCH($B44,AO!$C:$C,0))</f>
        <v>#N/A</v>
      </c>
      <c r="L44" s="261" t="e">
        <f>INDEX(AO!$EK:$EK,MATCH($B44,AO!$C:$C,0))</f>
        <v>#N/A</v>
      </c>
      <c r="M44" s="261" t="e">
        <f>INDEX(AO!$ED:$ED,MATCH($B44,AO!$C:$C,0))</f>
        <v>#N/A</v>
      </c>
      <c r="N44" s="261" t="e">
        <f>INDEX(AO!$DO:$DO,MATCH($B44,AO!$C:$C,0))</f>
        <v>#N/A</v>
      </c>
      <c r="O44" s="261" t="e">
        <f>INDEX(AO!$DS:$DS,MATCH($B44,AO!$C:$C,0))</f>
        <v>#N/A</v>
      </c>
      <c r="P44" s="261" t="e">
        <f t="shared" si="1"/>
        <v>#N/A</v>
      </c>
      <c r="Q44" s="1190">
        <f t="shared" si="2"/>
        <v>0</v>
      </c>
    </row>
    <row r="45" spans="2:17">
      <c r="B45" s="73">
        <f t="shared" si="4"/>
        <v>39</v>
      </c>
      <c r="C45">
        <f t="shared" si="3"/>
        <v>39</v>
      </c>
      <c r="D45" t="e">
        <f>INDEX(AA!$AC:$AC,MATCH($C45,AA!$C:$C,0))</f>
        <v>#N/A</v>
      </c>
      <c r="E45" t="e">
        <f>INDEX(AO!$I:$I,MATCH($C45,AO!$C:$C,0))</f>
        <v>#N/A</v>
      </c>
      <c r="F45" s="261" t="e">
        <f>-INDEX(AO!$AT:$AT,MATCH($B45,AO!$C:$C,0))</f>
        <v>#N/A</v>
      </c>
      <c r="G45" s="261" t="e">
        <f>-INDEX(AO!$AZ:$AZ,MATCH($B45,AO!$C:$C,0))</f>
        <v>#N/A</v>
      </c>
      <c r="H45" s="261" t="e">
        <f>INDEX(AO!$Y:$Y,MATCH($B45,AO!$C:$C,0))</f>
        <v>#N/A</v>
      </c>
      <c r="I45" s="261" t="e">
        <f>INDEX(AO!$EG:$EG,MATCH($B45,AO!$C:$C,0))</f>
        <v>#N/A</v>
      </c>
      <c r="J45" s="261" t="e">
        <f>INDEX(AO!$EI:$EI,MATCH($B45,AO!$C:$C,0))</f>
        <v>#N/A</v>
      </c>
      <c r="K45" s="261" t="e">
        <f>INDEX(AO!$CZ:$CZ,MATCH($B45,AO!$C:$C,0))</f>
        <v>#N/A</v>
      </c>
      <c r="L45" s="261" t="e">
        <f>INDEX(AO!$EK:$EK,MATCH($B45,AO!$C:$C,0))</f>
        <v>#N/A</v>
      </c>
      <c r="M45" s="261" t="e">
        <f>INDEX(AO!$ED:$ED,MATCH($B45,AO!$C:$C,0))</f>
        <v>#N/A</v>
      </c>
      <c r="N45" s="261" t="e">
        <f>INDEX(AO!$DO:$DO,MATCH($B45,AO!$C:$C,0))</f>
        <v>#N/A</v>
      </c>
      <c r="O45" s="261" t="e">
        <f>INDEX(AO!$DS:$DS,MATCH($B45,AO!$C:$C,0))</f>
        <v>#N/A</v>
      </c>
      <c r="P45" s="261" t="e">
        <f t="shared" si="1"/>
        <v>#N/A</v>
      </c>
      <c r="Q45" s="1190">
        <f t="shared" si="2"/>
        <v>0</v>
      </c>
    </row>
    <row r="46" spans="2:17">
      <c r="B46" s="73">
        <f t="shared" si="4"/>
        <v>40</v>
      </c>
      <c r="C46">
        <f t="shared" si="3"/>
        <v>40</v>
      </c>
      <c r="D46" t="e">
        <f>INDEX(AA!$AC:$AC,MATCH($C46,AA!$C:$C,0))</f>
        <v>#N/A</v>
      </c>
      <c r="E46" t="e">
        <f>INDEX(AO!$I:$I,MATCH($C46,AO!$C:$C,0))</f>
        <v>#N/A</v>
      </c>
      <c r="F46" s="261" t="e">
        <f>-INDEX(AO!$AT:$AT,MATCH($B46,AO!$C:$C,0))</f>
        <v>#N/A</v>
      </c>
      <c r="G46" s="261" t="e">
        <f>-INDEX(AO!$AZ:$AZ,MATCH($B46,AO!$C:$C,0))</f>
        <v>#N/A</v>
      </c>
      <c r="H46" s="261" t="e">
        <f>INDEX(AO!$Y:$Y,MATCH($B46,AO!$C:$C,0))</f>
        <v>#N/A</v>
      </c>
      <c r="I46" s="261" t="e">
        <f>INDEX(AO!$EG:$EG,MATCH($B46,AO!$C:$C,0))</f>
        <v>#N/A</v>
      </c>
      <c r="J46" s="261" t="e">
        <f>INDEX(AO!$EI:$EI,MATCH($B46,AO!$C:$C,0))</f>
        <v>#N/A</v>
      </c>
      <c r="K46" s="261" t="e">
        <f>INDEX(AO!$CZ:$CZ,MATCH($B46,AO!$C:$C,0))</f>
        <v>#N/A</v>
      </c>
      <c r="L46" s="261" t="e">
        <f>INDEX(AO!$EK:$EK,MATCH($B46,AO!$C:$C,0))</f>
        <v>#N/A</v>
      </c>
      <c r="M46" s="261" t="e">
        <f>INDEX(AO!$ED:$ED,MATCH($B46,AO!$C:$C,0))</f>
        <v>#N/A</v>
      </c>
      <c r="N46" s="261" t="e">
        <f>INDEX(AO!$DO:$DO,MATCH($B46,AO!$C:$C,0))</f>
        <v>#N/A</v>
      </c>
      <c r="O46" s="261" t="e">
        <f>INDEX(AO!$DS:$DS,MATCH($B46,AO!$C:$C,0))</f>
        <v>#N/A</v>
      </c>
      <c r="P46" s="261" t="e">
        <f t="shared" si="1"/>
        <v>#N/A</v>
      </c>
      <c r="Q46" s="1190">
        <f t="shared" si="2"/>
        <v>0</v>
      </c>
    </row>
    <row r="47" spans="2:17">
      <c r="B47" s="73">
        <f t="shared" si="4"/>
        <v>41</v>
      </c>
      <c r="C47">
        <f t="shared" si="3"/>
        <v>41</v>
      </c>
      <c r="D47" t="e">
        <f>INDEX(AA!$AC:$AC,MATCH($C47,AA!$C:$C,0))</f>
        <v>#N/A</v>
      </c>
      <c r="E47" t="e">
        <f>INDEX(AO!$I:$I,MATCH($C47,AO!$C:$C,0))</f>
        <v>#N/A</v>
      </c>
      <c r="F47" s="261" t="e">
        <f>-INDEX(AO!$AT:$AT,MATCH($B47,AO!$C:$C,0))</f>
        <v>#N/A</v>
      </c>
      <c r="G47" s="261" t="e">
        <f>-INDEX(AO!$AZ:$AZ,MATCH($B47,AO!$C:$C,0))</f>
        <v>#N/A</v>
      </c>
      <c r="H47" s="261" t="e">
        <f>INDEX(AO!$Y:$Y,MATCH($B47,AO!$C:$C,0))</f>
        <v>#N/A</v>
      </c>
      <c r="I47" s="261" t="e">
        <f>INDEX(AO!$EG:$EG,MATCH($B47,AO!$C:$C,0))</f>
        <v>#N/A</v>
      </c>
      <c r="J47" s="261" t="e">
        <f>INDEX(AO!$EI:$EI,MATCH($B47,AO!$C:$C,0))</f>
        <v>#N/A</v>
      </c>
      <c r="K47" s="261" t="e">
        <f>INDEX(AO!$CZ:$CZ,MATCH($B47,AO!$C:$C,0))</f>
        <v>#N/A</v>
      </c>
      <c r="L47" s="261" t="e">
        <f>INDEX(AO!$EK:$EK,MATCH($B47,AO!$C:$C,0))</f>
        <v>#N/A</v>
      </c>
      <c r="M47" s="261" t="e">
        <f>INDEX(AO!$ED:$ED,MATCH($B47,AO!$C:$C,0))</f>
        <v>#N/A</v>
      </c>
      <c r="N47" s="261" t="e">
        <f>INDEX(AO!$DO:$DO,MATCH($B47,AO!$C:$C,0))</f>
        <v>#N/A</v>
      </c>
      <c r="O47" s="261" t="e">
        <f>INDEX(AO!$DS:$DS,MATCH($B47,AO!$C:$C,0))</f>
        <v>#N/A</v>
      </c>
      <c r="P47" s="261" t="e">
        <f t="shared" si="1"/>
        <v>#N/A</v>
      </c>
      <c r="Q47" s="1190">
        <f t="shared" si="2"/>
        <v>0</v>
      </c>
    </row>
    <row r="48" spans="2:17">
      <c r="B48" s="73">
        <f t="shared" si="4"/>
        <v>42</v>
      </c>
      <c r="C48">
        <f t="shared" si="3"/>
        <v>42</v>
      </c>
      <c r="D48" t="e">
        <f>INDEX(AA!$AC:$AC,MATCH($C48,AA!$C:$C,0))</f>
        <v>#N/A</v>
      </c>
      <c r="E48" t="e">
        <f>INDEX(AO!$I:$I,MATCH($C48,AO!$C:$C,0))</f>
        <v>#N/A</v>
      </c>
      <c r="F48" s="261" t="e">
        <f>-INDEX(AO!$AT:$AT,MATCH($B48,AO!$C:$C,0))</f>
        <v>#N/A</v>
      </c>
      <c r="G48" s="261" t="e">
        <f>-INDEX(AO!$AZ:$AZ,MATCH($B48,AO!$C:$C,0))</f>
        <v>#N/A</v>
      </c>
      <c r="H48" s="261" t="e">
        <f>INDEX(AO!$Y:$Y,MATCH($B48,AO!$C:$C,0))</f>
        <v>#N/A</v>
      </c>
      <c r="I48" s="261" t="e">
        <f>INDEX(AO!$EG:$EG,MATCH($B48,AO!$C:$C,0))</f>
        <v>#N/A</v>
      </c>
      <c r="J48" s="261" t="e">
        <f>INDEX(AO!$EI:$EI,MATCH($B48,AO!$C:$C,0))</f>
        <v>#N/A</v>
      </c>
      <c r="K48" s="261" t="e">
        <f>INDEX(AO!$CZ:$CZ,MATCH($B48,AO!$C:$C,0))</f>
        <v>#N/A</v>
      </c>
      <c r="L48" s="261" t="e">
        <f>INDEX(AO!$EK:$EK,MATCH($B48,AO!$C:$C,0))</f>
        <v>#N/A</v>
      </c>
      <c r="M48" s="261" t="e">
        <f>INDEX(AO!$ED:$ED,MATCH($B48,AO!$C:$C,0))</f>
        <v>#N/A</v>
      </c>
      <c r="N48" s="261" t="e">
        <f>INDEX(AO!$DO:$DO,MATCH($B48,AO!$C:$C,0))</f>
        <v>#N/A</v>
      </c>
      <c r="O48" s="261" t="e">
        <f>INDEX(AO!$DS:$DS,MATCH($B48,AO!$C:$C,0))</f>
        <v>#N/A</v>
      </c>
      <c r="P48" s="261" t="e">
        <f t="shared" si="1"/>
        <v>#N/A</v>
      </c>
      <c r="Q48" s="1190">
        <f t="shared" si="2"/>
        <v>0</v>
      </c>
    </row>
    <row r="49" spans="2:17">
      <c r="B49" s="73">
        <f t="shared" si="4"/>
        <v>43</v>
      </c>
      <c r="C49">
        <f t="shared" si="3"/>
        <v>43</v>
      </c>
      <c r="D49" t="e">
        <f>INDEX(AA!$AC:$AC,MATCH($C49,AA!$C:$C,0))</f>
        <v>#N/A</v>
      </c>
      <c r="E49" t="e">
        <f>INDEX(AO!$I:$I,MATCH($C49,AO!$C:$C,0))</f>
        <v>#N/A</v>
      </c>
      <c r="F49" s="261" t="e">
        <f>-INDEX(AO!$AT:$AT,MATCH($B49,AO!$C:$C,0))</f>
        <v>#N/A</v>
      </c>
      <c r="G49" s="261" t="e">
        <f>-INDEX(AO!$AZ:$AZ,MATCH($B49,AO!$C:$C,0))</f>
        <v>#N/A</v>
      </c>
      <c r="H49" s="261" t="e">
        <f>INDEX(AO!$Y:$Y,MATCH($B49,AO!$C:$C,0))</f>
        <v>#N/A</v>
      </c>
      <c r="I49" s="261" t="e">
        <f>INDEX(AO!$EG:$EG,MATCH($B49,AO!$C:$C,0))</f>
        <v>#N/A</v>
      </c>
      <c r="J49" s="261" t="e">
        <f>INDEX(AO!$EI:$EI,MATCH($B49,AO!$C:$C,0))</f>
        <v>#N/A</v>
      </c>
      <c r="K49" s="261" t="e">
        <f>INDEX(AO!$CZ:$CZ,MATCH($B49,AO!$C:$C,0))</f>
        <v>#N/A</v>
      </c>
      <c r="L49" s="261" t="e">
        <f>INDEX(AO!$EK:$EK,MATCH($B49,AO!$C:$C,0))</f>
        <v>#N/A</v>
      </c>
      <c r="M49" s="261" t="e">
        <f>INDEX(AO!$ED:$ED,MATCH($B49,AO!$C:$C,0))</f>
        <v>#N/A</v>
      </c>
      <c r="N49" s="261" t="e">
        <f>INDEX(AO!$DO:$DO,MATCH($B49,AO!$C:$C,0))</f>
        <v>#N/A</v>
      </c>
      <c r="O49" s="261" t="e">
        <f>INDEX(AO!$DS:$DS,MATCH($B49,AO!$C:$C,0))</f>
        <v>#N/A</v>
      </c>
      <c r="P49" s="261" t="e">
        <f t="shared" si="1"/>
        <v>#N/A</v>
      </c>
      <c r="Q49" s="1190">
        <f t="shared" si="2"/>
        <v>0</v>
      </c>
    </row>
    <row r="50" spans="2:17">
      <c r="B50" s="73">
        <f t="shared" si="4"/>
        <v>44</v>
      </c>
      <c r="C50">
        <f t="shared" si="3"/>
        <v>44</v>
      </c>
      <c r="D50" t="e">
        <f>INDEX(AA!$AC:$AC,MATCH($C50,AA!$C:$C,0))</f>
        <v>#N/A</v>
      </c>
      <c r="E50" t="e">
        <f>INDEX(AO!$I:$I,MATCH($C50,AO!$C:$C,0))</f>
        <v>#N/A</v>
      </c>
      <c r="F50" s="261" t="e">
        <f>-INDEX(AO!$AT:$AT,MATCH($B50,AO!$C:$C,0))</f>
        <v>#N/A</v>
      </c>
      <c r="G50" s="261" t="e">
        <f>-INDEX(AO!$AZ:$AZ,MATCH($B50,AO!$C:$C,0))</f>
        <v>#N/A</v>
      </c>
      <c r="H50" s="261" t="e">
        <f>INDEX(AO!$Y:$Y,MATCH($B50,AO!$C:$C,0))</f>
        <v>#N/A</v>
      </c>
      <c r="I50" s="261" t="e">
        <f>INDEX(AO!$EG:$EG,MATCH($B50,AO!$C:$C,0))</f>
        <v>#N/A</v>
      </c>
      <c r="J50" s="261" t="e">
        <f>INDEX(AO!$EI:$EI,MATCH($B50,AO!$C:$C,0))</f>
        <v>#N/A</v>
      </c>
      <c r="K50" s="261" t="e">
        <f>INDEX(AO!$CZ:$CZ,MATCH($B50,AO!$C:$C,0))</f>
        <v>#N/A</v>
      </c>
      <c r="L50" s="261" t="e">
        <f>INDEX(AO!$EK:$EK,MATCH($B50,AO!$C:$C,0))</f>
        <v>#N/A</v>
      </c>
      <c r="M50" s="261" t="e">
        <f>INDEX(AO!$ED:$ED,MATCH($B50,AO!$C:$C,0))</f>
        <v>#N/A</v>
      </c>
      <c r="N50" s="261" t="e">
        <f>INDEX(AO!$DO:$DO,MATCH($B50,AO!$C:$C,0))</f>
        <v>#N/A</v>
      </c>
      <c r="O50" s="261" t="e">
        <f>INDEX(AO!$DS:$DS,MATCH($B50,AO!$C:$C,0))</f>
        <v>#N/A</v>
      </c>
      <c r="P50" s="261" t="e">
        <f t="shared" si="1"/>
        <v>#N/A</v>
      </c>
      <c r="Q50" s="1190">
        <f t="shared" si="2"/>
        <v>0</v>
      </c>
    </row>
    <row r="51" spans="2:17">
      <c r="B51" s="73">
        <f t="shared" si="4"/>
        <v>45</v>
      </c>
      <c r="C51">
        <f t="shared" si="3"/>
        <v>45</v>
      </c>
      <c r="D51" t="e">
        <f>INDEX(AA!$AC:$AC,MATCH($C51,AA!$C:$C,0))</f>
        <v>#N/A</v>
      </c>
      <c r="E51" t="e">
        <f>INDEX(AO!$I:$I,MATCH($C51,AO!$C:$C,0))</f>
        <v>#N/A</v>
      </c>
      <c r="F51" s="261" t="e">
        <f>-INDEX(AO!$AT:$AT,MATCH($B51,AO!$C:$C,0))</f>
        <v>#N/A</v>
      </c>
      <c r="G51" s="261" t="e">
        <f>-INDEX(AO!$AZ:$AZ,MATCH($B51,AO!$C:$C,0))</f>
        <v>#N/A</v>
      </c>
      <c r="H51" s="261" t="e">
        <f>INDEX(AO!$Y:$Y,MATCH($B51,AO!$C:$C,0))</f>
        <v>#N/A</v>
      </c>
      <c r="I51" s="261" t="e">
        <f>INDEX(AO!$EG:$EG,MATCH($B51,AO!$C:$C,0))</f>
        <v>#N/A</v>
      </c>
      <c r="J51" s="261" t="e">
        <f>INDEX(AO!$EI:$EI,MATCH($B51,AO!$C:$C,0))</f>
        <v>#N/A</v>
      </c>
      <c r="K51" s="261" t="e">
        <f>INDEX(AO!$CZ:$CZ,MATCH($B51,AO!$C:$C,0))</f>
        <v>#N/A</v>
      </c>
      <c r="L51" s="261" t="e">
        <f>INDEX(AO!$EK:$EK,MATCH($B51,AO!$C:$C,0))</f>
        <v>#N/A</v>
      </c>
      <c r="M51" s="261" t="e">
        <f>INDEX(AO!$ED:$ED,MATCH($B51,AO!$C:$C,0))</f>
        <v>#N/A</v>
      </c>
      <c r="N51" s="261" t="e">
        <f>INDEX(AO!$DO:$DO,MATCH($B51,AO!$C:$C,0))</f>
        <v>#N/A</v>
      </c>
      <c r="O51" s="261" t="e">
        <f>INDEX(AO!$DS:$DS,MATCH($B51,AO!$C:$C,0))</f>
        <v>#N/A</v>
      </c>
      <c r="P51" s="261" t="e">
        <f t="shared" si="1"/>
        <v>#N/A</v>
      </c>
      <c r="Q51" s="1190">
        <f t="shared" si="2"/>
        <v>0</v>
      </c>
    </row>
    <row r="52" spans="2:17">
      <c r="B52" s="73">
        <f t="shared" si="4"/>
        <v>46</v>
      </c>
      <c r="C52">
        <f t="shared" si="3"/>
        <v>46</v>
      </c>
      <c r="D52" t="e">
        <f>INDEX(AA!$AC:$AC,MATCH($C52,AA!$C:$C,0))</f>
        <v>#N/A</v>
      </c>
      <c r="E52" t="e">
        <f>INDEX(AO!$I:$I,MATCH($C52,AO!$C:$C,0))</f>
        <v>#N/A</v>
      </c>
      <c r="F52" s="261" t="e">
        <f>-INDEX(AO!$AT:$AT,MATCH($B52,AO!$C:$C,0))</f>
        <v>#N/A</v>
      </c>
      <c r="G52" s="261" t="e">
        <f>-INDEX(AO!$AZ:$AZ,MATCH($B52,AO!$C:$C,0))</f>
        <v>#N/A</v>
      </c>
      <c r="H52" s="261" t="e">
        <f>INDEX(AO!$Y:$Y,MATCH($B52,AO!$C:$C,0))</f>
        <v>#N/A</v>
      </c>
      <c r="I52" s="261" t="e">
        <f>INDEX(AO!$EG:$EG,MATCH($B52,AO!$C:$C,0))</f>
        <v>#N/A</v>
      </c>
      <c r="J52" s="261" t="e">
        <f>INDEX(AO!$EI:$EI,MATCH($B52,AO!$C:$C,0))</f>
        <v>#N/A</v>
      </c>
      <c r="K52" s="261" t="e">
        <f>INDEX(AO!$CZ:$CZ,MATCH($B52,AO!$C:$C,0))</f>
        <v>#N/A</v>
      </c>
      <c r="L52" s="261" t="e">
        <f>INDEX(AO!$EK:$EK,MATCH($B52,AO!$C:$C,0))</f>
        <v>#N/A</v>
      </c>
      <c r="M52" s="261" t="e">
        <f>INDEX(AO!$ED:$ED,MATCH($B52,AO!$C:$C,0))</f>
        <v>#N/A</v>
      </c>
      <c r="N52" s="261" t="e">
        <f>INDEX(AO!$DO:$DO,MATCH($B52,AO!$C:$C,0))</f>
        <v>#N/A</v>
      </c>
      <c r="O52" s="261" t="e">
        <f>INDEX(AO!$DS:$DS,MATCH($B52,AO!$C:$C,0))</f>
        <v>#N/A</v>
      </c>
      <c r="P52" s="261" t="e">
        <f t="shared" si="1"/>
        <v>#N/A</v>
      </c>
      <c r="Q52" s="1190">
        <f t="shared" si="2"/>
        <v>0</v>
      </c>
    </row>
    <row r="53" spans="2:17">
      <c r="B53" s="73">
        <f t="shared" si="4"/>
        <v>47</v>
      </c>
      <c r="C53">
        <f t="shared" si="3"/>
        <v>47</v>
      </c>
      <c r="D53" t="e">
        <f>INDEX(AA!$AC:$AC,MATCH($C53,AA!$C:$C,0))</f>
        <v>#N/A</v>
      </c>
      <c r="E53" t="e">
        <f>INDEX(AO!$I:$I,MATCH($C53,AO!$C:$C,0))</f>
        <v>#N/A</v>
      </c>
      <c r="F53" s="261" t="e">
        <f>-INDEX(AO!$AT:$AT,MATCH($B53,AO!$C:$C,0))</f>
        <v>#N/A</v>
      </c>
      <c r="G53" s="261" t="e">
        <f>-INDEX(AO!$AZ:$AZ,MATCH($B53,AO!$C:$C,0))</f>
        <v>#N/A</v>
      </c>
      <c r="H53" s="261" t="e">
        <f>INDEX(AO!$Y:$Y,MATCH($B53,AO!$C:$C,0))</f>
        <v>#N/A</v>
      </c>
      <c r="I53" s="261" t="e">
        <f>INDEX(AO!$EG:$EG,MATCH($B53,AO!$C:$C,0))</f>
        <v>#N/A</v>
      </c>
      <c r="J53" s="261" t="e">
        <f>INDEX(AO!$EI:$EI,MATCH($B53,AO!$C:$C,0))</f>
        <v>#N/A</v>
      </c>
      <c r="K53" s="261" t="e">
        <f>INDEX(AO!$CZ:$CZ,MATCH($B53,AO!$C:$C,0))</f>
        <v>#N/A</v>
      </c>
      <c r="L53" s="261" t="e">
        <f>INDEX(AO!$EK:$EK,MATCH($B53,AO!$C:$C,0))</f>
        <v>#N/A</v>
      </c>
      <c r="M53" s="261" t="e">
        <f>INDEX(AO!$ED:$ED,MATCH($B53,AO!$C:$C,0))</f>
        <v>#N/A</v>
      </c>
      <c r="N53" s="261" t="e">
        <f>INDEX(AO!$DO:$DO,MATCH($B53,AO!$C:$C,0))</f>
        <v>#N/A</v>
      </c>
      <c r="O53" s="261" t="e">
        <f>INDEX(AO!$DS:$DS,MATCH($B53,AO!$C:$C,0))</f>
        <v>#N/A</v>
      </c>
      <c r="P53" s="261" t="e">
        <f t="shared" si="1"/>
        <v>#N/A</v>
      </c>
      <c r="Q53" s="1190">
        <f t="shared" si="2"/>
        <v>0</v>
      </c>
    </row>
    <row r="54" spans="2:17">
      <c r="B54" s="73">
        <f t="shared" si="4"/>
        <v>48</v>
      </c>
      <c r="C54">
        <f t="shared" si="3"/>
        <v>48</v>
      </c>
      <c r="D54" t="e">
        <f>INDEX(AA!$AC:$AC,MATCH($C54,AA!$C:$C,0))</f>
        <v>#N/A</v>
      </c>
      <c r="E54" t="e">
        <f>INDEX(AO!$I:$I,MATCH($C54,AO!$C:$C,0))</f>
        <v>#N/A</v>
      </c>
      <c r="F54" s="261" t="e">
        <f>-INDEX(AO!$AT:$AT,MATCH($B54,AO!$C:$C,0))</f>
        <v>#N/A</v>
      </c>
      <c r="G54" s="261" t="e">
        <f>-INDEX(AO!$AZ:$AZ,MATCH($B54,AO!$C:$C,0))</f>
        <v>#N/A</v>
      </c>
      <c r="H54" s="261" t="e">
        <f>INDEX(AO!$Y:$Y,MATCH($B54,AO!$C:$C,0))</f>
        <v>#N/A</v>
      </c>
      <c r="I54" s="261" t="e">
        <f>INDEX(AO!$EG:$EG,MATCH($B54,AO!$C:$C,0))</f>
        <v>#N/A</v>
      </c>
      <c r="J54" s="261" t="e">
        <f>INDEX(AO!$EI:$EI,MATCH($B54,AO!$C:$C,0))</f>
        <v>#N/A</v>
      </c>
      <c r="K54" s="261" t="e">
        <f>INDEX(AO!$CZ:$CZ,MATCH($B54,AO!$C:$C,0))</f>
        <v>#N/A</v>
      </c>
      <c r="L54" s="261" t="e">
        <f>INDEX(AO!$EK:$EK,MATCH($B54,AO!$C:$C,0))</f>
        <v>#N/A</v>
      </c>
      <c r="M54" s="261" t="e">
        <f>INDEX(AO!$ED:$ED,MATCH($B54,AO!$C:$C,0))</f>
        <v>#N/A</v>
      </c>
      <c r="N54" s="261" t="e">
        <f>INDEX(AO!$DO:$DO,MATCH($B54,AO!$C:$C,0))</f>
        <v>#N/A</v>
      </c>
      <c r="O54" s="261" t="e">
        <f>INDEX(AO!$DS:$DS,MATCH($B54,AO!$C:$C,0))</f>
        <v>#N/A</v>
      </c>
      <c r="P54" s="261" t="e">
        <f t="shared" si="1"/>
        <v>#N/A</v>
      </c>
      <c r="Q54" s="1190">
        <f t="shared" si="2"/>
        <v>0</v>
      </c>
    </row>
    <row r="55" spans="2:17">
      <c r="B55" s="73">
        <f t="shared" si="4"/>
        <v>49</v>
      </c>
      <c r="C55">
        <f t="shared" si="3"/>
        <v>49</v>
      </c>
      <c r="D55" t="e">
        <f>INDEX(AA!$AC:$AC,MATCH($C55,AA!$C:$C,0))</f>
        <v>#N/A</v>
      </c>
      <c r="E55" t="e">
        <f>INDEX(AO!$I:$I,MATCH($C55,AO!$C:$C,0))</f>
        <v>#N/A</v>
      </c>
      <c r="F55" s="261" t="e">
        <f>-INDEX(AO!$AT:$AT,MATCH($B55,AO!$C:$C,0))</f>
        <v>#N/A</v>
      </c>
      <c r="G55" s="261" t="e">
        <f>-INDEX(AO!$AZ:$AZ,MATCH($B55,AO!$C:$C,0))</f>
        <v>#N/A</v>
      </c>
      <c r="H55" s="261" t="e">
        <f>INDEX(AO!$Y:$Y,MATCH($B55,AO!$C:$C,0))</f>
        <v>#N/A</v>
      </c>
      <c r="I55" s="261" t="e">
        <f>INDEX(AO!$EG:$EG,MATCH($B55,AO!$C:$C,0))</f>
        <v>#N/A</v>
      </c>
      <c r="J55" s="261" t="e">
        <f>INDEX(AO!$EI:$EI,MATCH($B55,AO!$C:$C,0))</f>
        <v>#N/A</v>
      </c>
      <c r="K55" s="261" t="e">
        <f>INDEX(AO!$CZ:$CZ,MATCH($B55,AO!$C:$C,0))</f>
        <v>#N/A</v>
      </c>
      <c r="L55" s="261" t="e">
        <f>INDEX(AO!$EK:$EK,MATCH($B55,AO!$C:$C,0))</f>
        <v>#N/A</v>
      </c>
      <c r="M55" s="261" t="e">
        <f>INDEX(AO!$ED:$ED,MATCH($B55,AO!$C:$C,0))</f>
        <v>#N/A</v>
      </c>
      <c r="N55" s="261" t="e">
        <f>INDEX(AO!$DO:$DO,MATCH($B55,AO!$C:$C,0))</f>
        <v>#N/A</v>
      </c>
      <c r="O55" s="261" t="e">
        <f>INDEX(AO!$DS:$DS,MATCH($B55,AO!$C:$C,0))</f>
        <v>#N/A</v>
      </c>
      <c r="P55" s="261" t="e">
        <f t="shared" si="1"/>
        <v>#N/A</v>
      </c>
      <c r="Q55" s="1190">
        <f t="shared" si="2"/>
        <v>0</v>
      </c>
    </row>
    <row r="56" spans="2:17">
      <c r="B56" s="73">
        <f t="shared" si="4"/>
        <v>50</v>
      </c>
      <c r="C56">
        <f t="shared" si="3"/>
        <v>50</v>
      </c>
      <c r="D56" t="e">
        <f>INDEX(AA!$AC:$AC,MATCH($C56,AA!$C:$C,0))</f>
        <v>#N/A</v>
      </c>
      <c r="E56" t="e">
        <f>INDEX(AO!$I:$I,MATCH($C56,AO!$C:$C,0))</f>
        <v>#N/A</v>
      </c>
      <c r="F56" s="261" t="e">
        <f>-INDEX(AO!$AT:$AT,MATCH($B56,AO!$C:$C,0))</f>
        <v>#N/A</v>
      </c>
      <c r="G56" s="261" t="e">
        <f>-INDEX(AO!$AZ:$AZ,MATCH($B56,AO!$C:$C,0))</f>
        <v>#N/A</v>
      </c>
      <c r="H56" s="261" t="e">
        <f>INDEX(AO!$Y:$Y,MATCH($B56,AO!$C:$C,0))</f>
        <v>#N/A</v>
      </c>
      <c r="I56" s="261" t="e">
        <f>INDEX(AO!$EG:$EG,MATCH($B56,AO!$C:$C,0))</f>
        <v>#N/A</v>
      </c>
      <c r="J56" s="261" t="e">
        <f>INDEX(AO!$EI:$EI,MATCH($B56,AO!$C:$C,0))</f>
        <v>#N/A</v>
      </c>
      <c r="K56" s="261" t="e">
        <f>INDEX(AO!$CZ:$CZ,MATCH($B56,AO!$C:$C,0))</f>
        <v>#N/A</v>
      </c>
      <c r="L56" s="261" t="e">
        <f>INDEX(AO!$EK:$EK,MATCH($B56,AO!$C:$C,0))</f>
        <v>#N/A</v>
      </c>
      <c r="M56" s="261" t="e">
        <f>INDEX(AO!$ED:$ED,MATCH($B56,AO!$C:$C,0))</f>
        <v>#N/A</v>
      </c>
      <c r="N56" s="261" t="e">
        <f>INDEX(AO!$DO:$DO,MATCH($B56,AO!$C:$C,0))</f>
        <v>#N/A</v>
      </c>
      <c r="O56" s="261" t="e">
        <f>INDEX(AO!$DS:$DS,MATCH($B56,AO!$C:$C,0))</f>
        <v>#N/A</v>
      </c>
      <c r="P56" s="261" t="e">
        <f t="shared" si="1"/>
        <v>#N/A</v>
      </c>
      <c r="Q56" s="1190">
        <f t="shared" si="2"/>
        <v>0</v>
      </c>
    </row>
    <row r="57" spans="2:17">
      <c r="B57" s="73">
        <f t="shared" si="4"/>
        <v>51</v>
      </c>
      <c r="C57">
        <f t="shared" si="3"/>
        <v>51</v>
      </c>
      <c r="D57" t="e">
        <f>INDEX(AA!$AC:$AC,MATCH($C57,AA!$C:$C,0))</f>
        <v>#N/A</v>
      </c>
      <c r="E57" t="e">
        <f>INDEX(AO!$I:$I,MATCH($C57,AO!$C:$C,0))</f>
        <v>#N/A</v>
      </c>
      <c r="F57" s="261" t="e">
        <f>-INDEX(AO!$AT:$AT,MATCH($B57,AO!$C:$C,0))</f>
        <v>#N/A</v>
      </c>
      <c r="G57" s="261" t="e">
        <f>-INDEX(AO!$AZ:$AZ,MATCH($B57,AO!$C:$C,0))</f>
        <v>#N/A</v>
      </c>
      <c r="H57" s="261" t="e">
        <f>INDEX(AO!$Y:$Y,MATCH($B57,AO!$C:$C,0))</f>
        <v>#N/A</v>
      </c>
      <c r="I57" s="261" t="e">
        <f>INDEX(AO!$EG:$EG,MATCH($B57,AO!$C:$C,0))</f>
        <v>#N/A</v>
      </c>
      <c r="J57" s="261" t="e">
        <f>INDEX(AO!$EI:$EI,MATCH($B57,AO!$C:$C,0))</f>
        <v>#N/A</v>
      </c>
      <c r="K57" s="261" t="e">
        <f>INDEX(AO!$CZ:$CZ,MATCH($B57,AO!$C:$C,0))</f>
        <v>#N/A</v>
      </c>
      <c r="L57" s="261" t="e">
        <f>INDEX(AO!$EK:$EK,MATCH($B57,AO!$C:$C,0))</f>
        <v>#N/A</v>
      </c>
      <c r="M57" s="261" t="e">
        <f>INDEX(AO!$ED:$ED,MATCH($B57,AO!$C:$C,0))</f>
        <v>#N/A</v>
      </c>
      <c r="N57" s="261" t="e">
        <f>INDEX(AO!$DO:$DO,MATCH($B57,AO!$C:$C,0))</f>
        <v>#N/A</v>
      </c>
      <c r="O57" s="261" t="e">
        <f>INDEX(AO!$DS:$DS,MATCH($B57,AO!$C:$C,0))</f>
        <v>#N/A</v>
      </c>
      <c r="P57" s="261" t="e">
        <f t="shared" si="1"/>
        <v>#N/A</v>
      </c>
      <c r="Q57" s="1190">
        <f t="shared" si="2"/>
        <v>0</v>
      </c>
    </row>
    <row r="58" spans="2:17">
      <c r="B58" s="73">
        <f t="shared" si="4"/>
        <v>52</v>
      </c>
      <c r="C58">
        <f t="shared" si="3"/>
        <v>52</v>
      </c>
      <c r="D58" t="e">
        <f>INDEX(AA!$AC:$AC,MATCH($C58,AA!$C:$C,0))</f>
        <v>#N/A</v>
      </c>
      <c r="E58" t="e">
        <f>INDEX(AO!$I:$I,MATCH($C58,AO!$C:$C,0))</f>
        <v>#N/A</v>
      </c>
      <c r="F58" s="261" t="e">
        <f>-INDEX(AO!$AT:$AT,MATCH($B58,AO!$C:$C,0))</f>
        <v>#N/A</v>
      </c>
      <c r="G58" s="261" t="e">
        <f>-INDEX(AO!$AZ:$AZ,MATCH($B58,AO!$C:$C,0))</f>
        <v>#N/A</v>
      </c>
      <c r="H58" s="261" t="e">
        <f>INDEX(AO!$Y:$Y,MATCH($B58,AO!$C:$C,0))</f>
        <v>#N/A</v>
      </c>
      <c r="I58" s="261" t="e">
        <f>INDEX(AO!$EG:$EG,MATCH($B58,AO!$C:$C,0))</f>
        <v>#N/A</v>
      </c>
      <c r="J58" s="261" t="e">
        <f>INDEX(AO!$EI:$EI,MATCH($B58,AO!$C:$C,0))</f>
        <v>#N/A</v>
      </c>
      <c r="K58" s="261" t="e">
        <f>INDEX(AO!$CZ:$CZ,MATCH($B58,AO!$C:$C,0))</f>
        <v>#N/A</v>
      </c>
      <c r="L58" s="261" t="e">
        <f>INDEX(AO!$EK:$EK,MATCH($B58,AO!$C:$C,0))</f>
        <v>#N/A</v>
      </c>
      <c r="M58" s="261" t="e">
        <f>INDEX(AO!$ED:$ED,MATCH($B58,AO!$C:$C,0))</f>
        <v>#N/A</v>
      </c>
      <c r="N58" s="261" t="e">
        <f>INDEX(AO!$DO:$DO,MATCH($B58,AO!$C:$C,0))</f>
        <v>#N/A</v>
      </c>
      <c r="O58" s="261" t="e">
        <f>INDEX(AO!$DS:$DS,MATCH($B58,AO!$C:$C,0))</f>
        <v>#N/A</v>
      </c>
      <c r="P58" s="261" t="e">
        <f t="shared" si="1"/>
        <v>#N/A</v>
      </c>
      <c r="Q58" s="1190">
        <f t="shared" si="2"/>
        <v>0</v>
      </c>
    </row>
    <row r="59" spans="2:17">
      <c r="B59" s="73">
        <f t="shared" si="4"/>
        <v>53</v>
      </c>
      <c r="C59">
        <f t="shared" si="3"/>
        <v>53</v>
      </c>
      <c r="D59" t="e">
        <f>INDEX(AA!$AC:$AC,MATCH($C59,AA!$C:$C,0))</f>
        <v>#N/A</v>
      </c>
      <c r="E59" t="e">
        <f>INDEX(AO!$I:$I,MATCH($C59,AO!$C:$C,0))</f>
        <v>#N/A</v>
      </c>
      <c r="F59" s="261" t="e">
        <f>-INDEX(AO!$AT:$AT,MATCH($B59,AO!$C:$C,0))</f>
        <v>#N/A</v>
      </c>
      <c r="G59" s="261" t="e">
        <f>-INDEX(AO!$AZ:$AZ,MATCH($B59,AO!$C:$C,0))</f>
        <v>#N/A</v>
      </c>
      <c r="H59" s="261" t="e">
        <f>INDEX(AO!$Y:$Y,MATCH($B59,AO!$C:$C,0))</f>
        <v>#N/A</v>
      </c>
      <c r="I59" s="261" t="e">
        <f>INDEX(AO!$EG:$EG,MATCH($B59,AO!$C:$C,0))</f>
        <v>#N/A</v>
      </c>
      <c r="J59" s="261" t="e">
        <f>INDEX(AO!$EI:$EI,MATCH($B59,AO!$C:$C,0))</f>
        <v>#N/A</v>
      </c>
      <c r="K59" s="261" t="e">
        <f>INDEX(AO!$CZ:$CZ,MATCH($B59,AO!$C:$C,0))</f>
        <v>#N/A</v>
      </c>
      <c r="L59" s="261" t="e">
        <f>INDEX(AO!$EK:$EK,MATCH($B59,AO!$C:$C,0))</f>
        <v>#N/A</v>
      </c>
      <c r="M59" s="261" t="e">
        <f>INDEX(AO!$ED:$ED,MATCH($B59,AO!$C:$C,0))</f>
        <v>#N/A</v>
      </c>
      <c r="N59" s="261" t="e">
        <f>INDEX(AO!$DO:$DO,MATCH($B59,AO!$C:$C,0))</f>
        <v>#N/A</v>
      </c>
      <c r="O59" s="261" t="e">
        <f>INDEX(AO!$DS:$DS,MATCH($B59,AO!$C:$C,0))</f>
        <v>#N/A</v>
      </c>
      <c r="P59" s="261" t="e">
        <f t="shared" si="1"/>
        <v>#N/A</v>
      </c>
      <c r="Q59" s="1190">
        <f t="shared" si="2"/>
        <v>0</v>
      </c>
    </row>
    <row r="60" spans="2:17">
      <c r="B60" s="73">
        <f t="shared" si="4"/>
        <v>54</v>
      </c>
      <c r="C60">
        <f t="shared" si="3"/>
        <v>54</v>
      </c>
      <c r="D60" t="e">
        <f>INDEX(AA!$AC:$AC,MATCH($C60,AA!$C:$C,0))</f>
        <v>#N/A</v>
      </c>
      <c r="E60" t="e">
        <f>INDEX(AO!$I:$I,MATCH($C60,AO!$C:$C,0))</f>
        <v>#N/A</v>
      </c>
      <c r="F60" s="261" t="e">
        <f>-INDEX(AO!$AT:$AT,MATCH($B60,AO!$C:$C,0))</f>
        <v>#N/A</v>
      </c>
      <c r="G60" s="261" t="e">
        <f>-INDEX(AO!$AZ:$AZ,MATCH($B60,AO!$C:$C,0))</f>
        <v>#N/A</v>
      </c>
      <c r="H60" s="261" t="e">
        <f>INDEX(AO!$Y:$Y,MATCH($B60,AO!$C:$C,0))</f>
        <v>#N/A</v>
      </c>
      <c r="I60" s="261" t="e">
        <f>INDEX(AO!$EG:$EG,MATCH($B60,AO!$C:$C,0))</f>
        <v>#N/A</v>
      </c>
      <c r="J60" s="261" t="e">
        <f>INDEX(AO!$EI:$EI,MATCH($B60,AO!$C:$C,0))</f>
        <v>#N/A</v>
      </c>
      <c r="K60" s="261" t="e">
        <f>INDEX(AO!$CZ:$CZ,MATCH($B60,AO!$C:$C,0))</f>
        <v>#N/A</v>
      </c>
      <c r="L60" s="261" t="e">
        <f>INDEX(AO!$EK:$EK,MATCH($B60,AO!$C:$C,0))</f>
        <v>#N/A</v>
      </c>
      <c r="M60" s="261" t="e">
        <f>INDEX(AO!$ED:$ED,MATCH($B60,AO!$C:$C,0))</f>
        <v>#N/A</v>
      </c>
      <c r="N60" s="261" t="e">
        <f>INDEX(AO!$DO:$DO,MATCH($B60,AO!$C:$C,0))</f>
        <v>#N/A</v>
      </c>
      <c r="O60" s="261" t="e">
        <f>INDEX(AO!$DS:$DS,MATCH($B60,AO!$C:$C,0))</f>
        <v>#N/A</v>
      </c>
      <c r="P60" s="261" t="e">
        <f t="shared" si="1"/>
        <v>#N/A</v>
      </c>
      <c r="Q60" s="1190">
        <f t="shared" si="2"/>
        <v>0</v>
      </c>
    </row>
    <row r="61" spans="2:17">
      <c r="B61" s="73">
        <f t="shared" si="4"/>
        <v>55</v>
      </c>
      <c r="C61">
        <f t="shared" si="3"/>
        <v>55</v>
      </c>
      <c r="D61" t="e">
        <f>INDEX(AA!$AC:$AC,MATCH($C61,AA!$C:$C,0))</f>
        <v>#N/A</v>
      </c>
      <c r="E61" t="e">
        <f>INDEX(AO!$I:$I,MATCH($C61,AO!$C:$C,0))</f>
        <v>#N/A</v>
      </c>
      <c r="F61" s="261" t="e">
        <f>-INDEX(AO!$AT:$AT,MATCH($B61,AO!$C:$C,0))</f>
        <v>#N/A</v>
      </c>
      <c r="G61" s="261" t="e">
        <f>-INDEX(AO!$AZ:$AZ,MATCH($B61,AO!$C:$C,0))</f>
        <v>#N/A</v>
      </c>
      <c r="H61" s="261" t="e">
        <f>INDEX(AO!$Y:$Y,MATCH($B61,AO!$C:$C,0))</f>
        <v>#N/A</v>
      </c>
      <c r="I61" s="261" t="e">
        <f>INDEX(AO!$EG:$EG,MATCH($B61,AO!$C:$C,0))</f>
        <v>#N/A</v>
      </c>
      <c r="J61" s="261" t="e">
        <f>INDEX(AO!$EI:$EI,MATCH($B61,AO!$C:$C,0))</f>
        <v>#N/A</v>
      </c>
      <c r="K61" s="261" t="e">
        <f>INDEX(AO!$CZ:$CZ,MATCH($B61,AO!$C:$C,0))</f>
        <v>#N/A</v>
      </c>
      <c r="L61" s="261" t="e">
        <f>INDEX(AO!$EK:$EK,MATCH($B61,AO!$C:$C,0))</f>
        <v>#N/A</v>
      </c>
      <c r="M61" s="261" t="e">
        <f>INDEX(AO!$ED:$ED,MATCH($B61,AO!$C:$C,0))</f>
        <v>#N/A</v>
      </c>
      <c r="N61" s="261" t="e">
        <f>INDEX(AO!$DO:$DO,MATCH($B61,AO!$C:$C,0))</f>
        <v>#N/A</v>
      </c>
      <c r="O61" s="261" t="e">
        <f>INDEX(AO!$DS:$DS,MATCH($B61,AO!$C:$C,0))</f>
        <v>#N/A</v>
      </c>
      <c r="P61" s="261" t="e">
        <f t="shared" si="1"/>
        <v>#N/A</v>
      </c>
      <c r="Q61" s="1190">
        <f t="shared" si="2"/>
        <v>0</v>
      </c>
    </row>
    <row r="62" spans="2:17">
      <c r="B62" s="73">
        <f t="shared" si="4"/>
        <v>56</v>
      </c>
      <c r="C62">
        <f t="shared" si="3"/>
        <v>56</v>
      </c>
      <c r="D62" t="e">
        <f>INDEX(AA!$AC:$AC,MATCH($C62,AA!$C:$C,0))</f>
        <v>#N/A</v>
      </c>
      <c r="E62" t="e">
        <f>INDEX(AO!$I:$I,MATCH($C62,AO!$C:$C,0))</f>
        <v>#N/A</v>
      </c>
      <c r="F62" s="261" t="e">
        <f>-INDEX(AO!$AT:$AT,MATCH($B62,AO!$C:$C,0))</f>
        <v>#N/A</v>
      </c>
      <c r="G62" s="261" t="e">
        <f>-INDEX(AO!$AZ:$AZ,MATCH($B62,AO!$C:$C,0))</f>
        <v>#N/A</v>
      </c>
      <c r="H62" s="261" t="e">
        <f>INDEX(AO!$Y:$Y,MATCH($B62,AO!$C:$C,0))</f>
        <v>#N/A</v>
      </c>
      <c r="I62" s="261" t="e">
        <f>INDEX(AO!$EG:$EG,MATCH($B62,AO!$C:$C,0))</f>
        <v>#N/A</v>
      </c>
      <c r="J62" s="261" t="e">
        <f>INDEX(AO!$EI:$EI,MATCH($B62,AO!$C:$C,0))</f>
        <v>#N/A</v>
      </c>
      <c r="K62" s="261" t="e">
        <f>INDEX(AO!$CZ:$CZ,MATCH($B62,AO!$C:$C,0))</f>
        <v>#N/A</v>
      </c>
      <c r="L62" s="261" t="e">
        <f>INDEX(AO!$EK:$EK,MATCH($B62,AO!$C:$C,0))</f>
        <v>#N/A</v>
      </c>
      <c r="M62" s="261" t="e">
        <f>INDEX(AO!$ED:$ED,MATCH($B62,AO!$C:$C,0))</f>
        <v>#N/A</v>
      </c>
      <c r="N62" s="261" t="e">
        <f>INDEX(AO!$DO:$DO,MATCH($B62,AO!$C:$C,0))</f>
        <v>#N/A</v>
      </c>
      <c r="O62" s="261" t="e">
        <f>INDEX(AO!$DS:$DS,MATCH($B62,AO!$C:$C,0))</f>
        <v>#N/A</v>
      </c>
      <c r="P62" s="261" t="e">
        <f t="shared" si="1"/>
        <v>#N/A</v>
      </c>
      <c r="Q62" s="1190">
        <f t="shared" si="2"/>
        <v>0</v>
      </c>
    </row>
    <row r="63" spans="2:17">
      <c r="B63" s="73">
        <f t="shared" si="4"/>
        <v>57</v>
      </c>
      <c r="C63">
        <f t="shared" si="3"/>
        <v>57</v>
      </c>
      <c r="D63" t="e">
        <f>INDEX(AA!$AC:$AC,MATCH($C63,AA!$C:$C,0))</f>
        <v>#N/A</v>
      </c>
      <c r="E63" t="e">
        <f>INDEX(AO!$I:$I,MATCH($C63,AO!$C:$C,0))</f>
        <v>#N/A</v>
      </c>
      <c r="F63" s="261" t="e">
        <f>-INDEX(AO!$AT:$AT,MATCH($B63,AO!$C:$C,0))</f>
        <v>#N/A</v>
      </c>
      <c r="G63" s="261" t="e">
        <f>-INDEX(AO!$AZ:$AZ,MATCH($B63,AO!$C:$C,0))</f>
        <v>#N/A</v>
      </c>
      <c r="H63" s="261" t="e">
        <f>INDEX(AO!$Y:$Y,MATCH($B63,AO!$C:$C,0))</f>
        <v>#N/A</v>
      </c>
      <c r="I63" s="261" t="e">
        <f>INDEX(AO!$EG:$EG,MATCH($B63,AO!$C:$C,0))</f>
        <v>#N/A</v>
      </c>
      <c r="J63" s="261" t="e">
        <f>INDEX(AO!$EI:$EI,MATCH($B63,AO!$C:$C,0))</f>
        <v>#N/A</v>
      </c>
      <c r="K63" s="261" t="e">
        <f>INDEX(AO!$CZ:$CZ,MATCH($B63,AO!$C:$C,0))</f>
        <v>#N/A</v>
      </c>
      <c r="L63" s="261" t="e">
        <f>INDEX(AO!$EK:$EK,MATCH($B63,AO!$C:$C,0))</f>
        <v>#N/A</v>
      </c>
      <c r="M63" s="261" t="e">
        <f>INDEX(AO!$ED:$ED,MATCH($B63,AO!$C:$C,0))</f>
        <v>#N/A</v>
      </c>
      <c r="N63" s="261" t="e">
        <f>INDEX(AO!$DO:$DO,MATCH($B63,AO!$C:$C,0))</f>
        <v>#N/A</v>
      </c>
      <c r="O63" s="261" t="e">
        <f>INDEX(AO!$DS:$DS,MATCH($B63,AO!$C:$C,0))</f>
        <v>#N/A</v>
      </c>
      <c r="P63" s="261" t="e">
        <f t="shared" si="1"/>
        <v>#N/A</v>
      </c>
      <c r="Q63" s="1190">
        <f t="shared" si="2"/>
        <v>0</v>
      </c>
    </row>
    <row r="64" spans="2:17">
      <c r="B64" s="73">
        <f t="shared" si="4"/>
        <v>58</v>
      </c>
      <c r="C64">
        <f t="shared" si="3"/>
        <v>58</v>
      </c>
      <c r="D64" t="e">
        <f>INDEX(AA!$AC:$AC,MATCH($C64,AA!$C:$C,0))</f>
        <v>#N/A</v>
      </c>
      <c r="E64" t="e">
        <f>INDEX(AO!$I:$I,MATCH($C64,AO!$C:$C,0))</f>
        <v>#N/A</v>
      </c>
      <c r="F64" s="261" t="e">
        <f>-INDEX(AO!$AT:$AT,MATCH($B64,AO!$C:$C,0))</f>
        <v>#N/A</v>
      </c>
      <c r="G64" s="261" t="e">
        <f>-INDEX(AO!$AZ:$AZ,MATCH($B64,AO!$C:$C,0))</f>
        <v>#N/A</v>
      </c>
      <c r="H64" s="261" t="e">
        <f>INDEX(AO!$Y:$Y,MATCH($B64,AO!$C:$C,0))</f>
        <v>#N/A</v>
      </c>
      <c r="I64" s="261" t="e">
        <f>INDEX(AO!$EG:$EG,MATCH($B64,AO!$C:$C,0))</f>
        <v>#N/A</v>
      </c>
      <c r="J64" s="261" t="e">
        <f>INDEX(AO!$EI:$EI,MATCH($B64,AO!$C:$C,0))</f>
        <v>#N/A</v>
      </c>
      <c r="K64" s="261" t="e">
        <f>INDEX(AO!$CZ:$CZ,MATCH($B64,AO!$C:$C,0))</f>
        <v>#N/A</v>
      </c>
      <c r="L64" s="261" t="e">
        <f>INDEX(AO!$EK:$EK,MATCH($B64,AO!$C:$C,0))</f>
        <v>#N/A</v>
      </c>
      <c r="M64" s="261" t="e">
        <f>INDEX(AO!$ED:$ED,MATCH($B64,AO!$C:$C,0))</f>
        <v>#N/A</v>
      </c>
      <c r="N64" s="261" t="e">
        <f>INDEX(AO!$DO:$DO,MATCH($B64,AO!$C:$C,0))</f>
        <v>#N/A</v>
      </c>
      <c r="O64" s="261" t="e">
        <f>INDEX(AO!$DS:$DS,MATCH($B64,AO!$C:$C,0))</f>
        <v>#N/A</v>
      </c>
      <c r="P64" s="261" t="e">
        <f t="shared" si="1"/>
        <v>#N/A</v>
      </c>
      <c r="Q64" s="1190">
        <f t="shared" si="2"/>
        <v>0</v>
      </c>
    </row>
    <row r="65" spans="2:17">
      <c r="B65" s="73">
        <f t="shared" si="4"/>
        <v>59</v>
      </c>
      <c r="C65">
        <f t="shared" si="3"/>
        <v>59</v>
      </c>
      <c r="D65" t="e">
        <f>INDEX(AA!$AC:$AC,MATCH($C65,AA!$C:$C,0))</f>
        <v>#N/A</v>
      </c>
      <c r="E65" t="e">
        <f>INDEX(AO!$I:$I,MATCH($C65,AO!$C:$C,0))</f>
        <v>#N/A</v>
      </c>
      <c r="F65" s="261" t="e">
        <f>-INDEX(AO!$AT:$AT,MATCH($B65,AO!$C:$C,0))</f>
        <v>#N/A</v>
      </c>
      <c r="G65" s="261" t="e">
        <f>-INDEX(AO!$AZ:$AZ,MATCH($B65,AO!$C:$C,0))</f>
        <v>#N/A</v>
      </c>
      <c r="H65" s="261" t="e">
        <f>INDEX(AO!$Y:$Y,MATCH($B65,AO!$C:$C,0))</f>
        <v>#N/A</v>
      </c>
      <c r="I65" s="261" t="e">
        <f>INDEX(AO!$EG:$EG,MATCH($B65,AO!$C:$C,0))</f>
        <v>#N/A</v>
      </c>
      <c r="J65" s="261" t="e">
        <f>INDEX(AO!$EI:$EI,MATCH($B65,AO!$C:$C,0))</f>
        <v>#N/A</v>
      </c>
      <c r="K65" s="261" t="e">
        <f>INDEX(AO!$CZ:$CZ,MATCH($B65,AO!$C:$C,0))</f>
        <v>#N/A</v>
      </c>
      <c r="L65" s="261" t="e">
        <f>INDEX(AO!$EK:$EK,MATCH($B65,AO!$C:$C,0))</f>
        <v>#N/A</v>
      </c>
      <c r="M65" s="261" t="e">
        <f>INDEX(AO!$ED:$ED,MATCH($B65,AO!$C:$C,0))</f>
        <v>#N/A</v>
      </c>
      <c r="N65" s="261" t="e">
        <f>INDEX(AO!$DO:$DO,MATCH($B65,AO!$C:$C,0))</f>
        <v>#N/A</v>
      </c>
      <c r="O65" s="261" t="e">
        <f>INDEX(AO!$DS:$DS,MATCH($B65,AO!$C:$C,0))</f>
        <v>#N/A</v>
      </c>
      <c r="P65" s="261" t="e">
        <f t="shared" si="1"/>
        <v>#N/A</v>
      </c>
      <c r="Q65" s="1190">
        <f t="shared" si="2"/>
        <v>0</v>
      </c>
    </row>
    <row r="66" spans="2:17">
      <c r="B66" s="73">
        <f t="shared" si="4"/>
        <v>60</v>
      </c>
      <c r="C66">
        <f t="shared" si="3"/>
        <v>60</v>
      </c>
      <c r="D66" t="e">
        <f>INDEX(AA!$AC:$AC,MATCH($C66,AA!$C:$C,0))</f>
        <v>#N/A</v>
      </c>
      <c r="E66" t="e">
        <f>INDEX(AO!$I:$I,MATCH($C66,AO!$C:$C,0))</f>
        <v>#N/A</v>
      </c>
      <c r="F66" s="261" t="e">
        <f>-INDEX(AO!$AT:$AT,MATCH($B66,AO!$C:$C,0))</f>
        <v>#N/A</v>
      </c>
      <c r="G66" s="261" t="e">
        <f>-INDEX(AO!$AZ:$AZ,MATCH($B66,AO!$C:$C,0))</f>
        <v>#N/A</v>
      </c>
      <c r="H66" s="261" t="e">
        <f>INDEX(AO!$Y:$Y,MATCH($B66,AO!$C:$C,0))</f>
        <v>#N/A</v>
      </c>
      <c r="I66" s="261" t="e">
        <f>INDEX(AO!$EG:$EG,MATCH($B66,AO!$C:$C,0))</f>
        <v>#N/A</v>
      </c>
      <c r="J66" s="261" t="e">
        <f>INDEX(AO!$EI:$EI,MATCH($B66,AO!$C:$C,0))</f>
        <v>#N/A</v>
      </c>
      <c r="K66" s="261" t="e">
        <f>INDEX(AO!$CZ:$CZ,MATCH($B66,AO!$C:$C,0))</f>
        <v>#N/A</v>
      </c>
      <c r="L66" s="261" t="e">
        <f>INDEX(AO!$EK:$EK,MATCH($B66,AO!$C:$C,0))</f>
        <v>#N/A</v>
      </c>
      <c r="M66" s="261" t="e">
        <f>INDEX(AO!$ED:$ED,MATCH($B66,AO!$C:$C,0))</f>
        <v>#N/A</v>
      </c>
      <c r="N66" s="261" t="e">
        <f>INDEX(AO!$DO:$DO,MATCH($B66,AO!$C:$C,0))</f>
        <v>#N/A</v>
      </c>
      <c r="O66" s="261" t="e">
        <f>INDEX(AO!$DS:$DS,MATCH($B66,AO!$C:$C,0))</f>
        <v>#N/A</v>
      </c>
      <c r="P66" s="261" t="e">
        <f t="shared" si="1"/>
        <v>#N/A</v>
      </c>
      <c r="Q66" s="1190">
        <f t="shared" si="2"/>
        <v>0</v>
      </c>
    </row>
    <row r="67" spans="2:17">
      <c r="B67" s="73">
        <f t="shared" si="4"/>
        <v>61</v>
      </c>
      <c r="C67">
        <f t="shared" si="3"/>
        <v>61</v>
      </c>
      <c r="D67" t="e">
        <f>INDEX(AA!$AC:$AC,MATCH($C67,AA!$C:$C,0))</f>
        <v>#N/A</v>
      </c>
      <c r="E67" t="e">
        <f>INDEX(AO!$I:$I,MATCH($C67,AO!$C:$C,0))</f>
        <v>#N/A</v>
      </c>
      <c r="F67" s="261" t="e">
        <f>-INDEX(AO!$AT:$AT,MATCH($B67,AO!$C:$C,0))</f>
        <v>#N/A</v>
      </c>
      <c r="G67" s="261" t="e">
        <f>-INDEX(AO!$AZ:$AZ,MATCH($B67,AO!$C:$C,0))</f>
        <v>#N/A</v>
      </c>
      <c r="H67" s="261" t="e">
        <f>INDEX(AO!$Y:$Y,MATCH($B67,AO!$C:$C,0))</f>
        <v>#N/A</v>
      </c>
      <c r="I67" s="261" t="e">
        <f>INDEX(AO!$EG:$EG,MATCH($B67,AO!$C:$C,0))</f>
        <v>#N/A</v>
      </c>
      <c r="J67" s="261" t="e">
        <f>INDEX(AO!$EI:$EI,MATCH($B67,AO!$C:$C,0))</f>
        <v>#N/A</v>
      </c>
      <c r="K67" s="261" t="e">
        <f>INDEX(AO!$CZ:$CZ,MATCH($B67,AO!$C:$C,0))</f>
        <v>#N/A</v>
      </c>
      <c r="L67" s="261" t="e">
        <f>INDEX(AO!$EK:$EK,MATCH($B67,AO!$C:$C,0))</f>
        <v>#N/A</v>
      </c>
      <c r="M67" s="261" t="e">
        <f>INDEX(AO!$ED:$ED,MATCH($B67,AO!$C:$C,0))</f>
        <v>#N/A</v>
      </c>
      <c r="N67" s="261" t="e">
        <f>INDEX(AO!$DO:$DO,MATCH($B67,AO!$C:$C,0))</f>
        <v>#N/A</v>
      </c>
      <c r="O67" s="261" t="e">
        <f>INDEX(AO!$DS:$DS,MATCH($B67,AO!$C:$C,0))</f>
        <v>#N/A</v>
      </c>
      <c r="P67" s="261" t="e">
        <f t="shared" si="1"/>
        <v>#N/A</v>
      </c>
      <c r="Q67" s="1190">
        <f t="shared" si="2"/>
        <v>0</v>
      </c>
    </row>
    <row r="68" spans="2:17">
      <c r="B68" s="73">
        <f t="shared" si="4"/>
        <v>62</v>
      </c>
      <c r="C68">
        <f t="shared" si="3"/>
        <v>62</v>
      </c>
      <c r="D68" t="e">
        <f>INDEX(AA!$AC:$AC,MATCH($C68,AA!$C:$C,0))</f>
        <v>#N/A</v>
      </c>
      <c r="E68" t="e">
        <f>INDEX(AO!$I:$I,MATCH($C68,AO!$C:$C,0))</f>
        <v>#N/A</v>
      </c>
      <c r="F68" s="261" t="e">
        <f>-INDEX(AO!$AT:$AT,MATCH($B68,AO!$C:$C,0))</f>
        <v>#N/A</v>
      </c>
      <c r="G68" s="261" t="e">
        <f>-INDEX(AO!$AZ:$AZ,MATCH($B68,AO!$C:$C,0))</f>
        <v>#N/A</v>
      </c>
      <c r="H68" s="261" t="e">
        <f>INDEX(AO!$Y:$Y,MATCH($B68,AO!$C:$C,0))</f>
        <v>#N/A</v>
      </c>
      <c r="I68" s="261" t="e">
        <f>INDEX(AO!$EG:$EG,MATCH($B68,AO!$C:$C,0))</f>
        <v>#N/A</v>
      </c>
      <c r="J68" s="261" t="e">
        <f>INDEX(AO!$EI:$EI,MATCH($B68,AO!$C:$C,0))</f>
        <v>#N/A</v>
      </c>
      <c r="K68" s="261" t="e">
        <f>INDEX(AO!$CZ:$CZ,MATCH($B68,AO!$C:$C,0))</f>
        <v>#N/A</v>
      </c>
      <c r="L68" s="261" t="e">
        <f>INDEX(AO!$EK:$EK,MATCH($B68,AO!$C:$C,0))</f>
        <v>#N/A</v>
      </c>
      <c r="M68" s="261" t="e">
        <f>INDEX(AO!$ED:$ED,MATCH($B68,AO!$C:$C,0))</f>
        <v>#N/A</v>
      </c>
      <c r="N68" s="261" t="e">
        <f>INDEX(AO!$DO:$DO,MATCH($B68,AO!$C:$C,0))</f>
        <v>#N/A</v>
      </c>
      <c r="O68" s="261" t="e">
        <f>INDEX(AO!$DS:$DS,MATCH($B68,AO!$C:$C,0))</f>
        <v>#N/A</v>
      </c>
      <c r="P68" s="261" t="e">
        <f t="shared" si="1"/>
        <v>#N/A</v>
      </c>
      <c r="Q68" s="1190">
        <f t="shared" si="2"/>
        <v>0</v>
      </c>
    </row>
    <row r="69" spans="2:17">
      <c r="B69" s="73">
        <f t="shared" si="4"/>
        <v>63</v>
      </c>
      <c r="C69">
        <f t="shared" si="3"/>
        <v>63</v>
      </c>
      <c r="D69" t="e">
        <f>INDEX(AA!$AC:$AC,MATCH($C69,AA!$C:$C,0))</f>
        <v>#N/A</v>
      </c>
      <c r="E69" t="e">
        <f>INDEX(AO!$I:$I,MATCH($C69,AO!$C:$C,0))</f>
        <v>#N/A</v>
      </c>
      <c r="F69" s="261" t="e">
        <f>-INDEX(AO!$AT:$AT,MATCH($B69,AO!$C:$C,0))</f>
        <v>#N/A</v>
      </c>
      <c r="G69" s="261" t="e">
        <f>-INDEX(AO!$AZ:$AZ,MATCH($B69,AO!$C:$C,0))</f>
        <v>#N/A</v>
      </c>
      <c r="H69" s="261" t="e">
        <f>INDEX(AO!$Y:$Y,MATCH($B69,AO!$C:$C,0))</f>
        <v>#N/A</v>
      </c>
      <c r="I69" s="261" t="e">
        <f>INDEX(AO!$EG:$EG,MATCH($B69,AO!$C:$C,0))</f>
        <v>#N/A</v>
      </c>
      <c r="J69" s="261" t="e">
        <f>INDEX(AO!$EI:$EI,MATCH($B69,AO!$C:$C,0))</f>
        <v>#N/A</v>
      </c>
      <c r="K69" s="261" t="e">
        <f>INDEX(AO!$CZ:$CZ,MATCH($B69,AO!$C:$C,0))</f>
        <v>#N/A</v>
      </c>
      <c r="L69" s="261" t="e">
        <f>INDEX(AO!$EK:$EK,MATCH($B69,AO!$C:$C,0))</f>
        <v>#N/A</v>
      </c>
      <c r="M69" s="261" t="e">
        <f>INDEX(AO!$ED:$ED,MATCH($B69,AO!$C:$C,0))</f>
        <v>#N/A</v>
      </c>
      <c r="N69" s="261" t="e">
        <f>INDEX(AO!$DO:$DO,MATCH($B69,AO!$C:$C,0))</f>
        <v>#N/A</v>
      </c>
      <c r="O69" s="261" t="e">
        <f>INDEX(AO!$DS:$DS,MATCH($B69,AO!$C:$C,0))</f>
        <v>#N/A</v>
      </c>
      <c r="P69" s="261" t="e">
        <f t="shared" si="1"/>
        <v>#N/A</v>
      </c>
      <c r="Q69" s="1190">
        <f t="shared" si="2"/>
        <v>0</v>
      </c>
    </row>
    <row r="70" spans="2:17">
      <c r="B70" s="73">
        <f t="shared" si="4"/>
        <v>64</v>
      </c>
      <c r="C70">
        <f t="shared" si="3"/>
        <v>64</v>
      </c>
      <c r="D70" t="e">
        <f>INDEX(AA!$AC:$AC,MATCH($C70,AA!$C:$C,0))</f>
        <v>#N/A</v>
      </c>
      <c r="E70" t="e">
        <f>INDEX(AO!$I:$I,MATCH($C70,AO!$C:$C,0))</f>
        <v>#N/A</v>
      </c>
      <c r="F70" s="261" t="e">
        <f>-INDEX(AO!$AT:$AT,MATCH($B70,AO!$C:$C,0))</f>
        <v>#N/A</v>
      </c>
      <c r="G70" s="261" t="e">
        <f>-INDEX(AO!$AZ:$AZ,MATCH($B70,AO!$C:$C,0))</f>
        <v>#N/A</v>
      </c>
      <c r="H70" s="261" t="e">
        <f>INDEX(AO!$Y:$Y,MATCH($B70,AO!$C:$C,0))</f>
        <v>#N/A</v>
      </c>
      <c r="I70" s="261" t="e">
        <f>INDEX(AO!$EG:$EG,MATCH($B70,AO!$C:$C,0))</f>
        <v>#N/A</v>
      </c>
      <c r="J70" s="261" t="e">
        <f>INDEX(AO!$EI:$EI,MATCH($B70,AO!$C:$C,0))</f>
        <v>#N/A</v>
      </c>
      <c r="K70" s="261" t="e">
        <f>INDEX(AO!$CZ:$CZ,MATCH($B70,AO!$C:$C,0))</f>
        <v>#N/A</v>
      </c>
      <c r="L70" s="261" t="e">
        <f>INDEX(AO!$EK:$EK,MATCH($B70,AO!$C:$C,0))</f>
        <v>#N/A</v>
      </c>
      <c r="M70" s="261" t="e">
        <f>INDEX(AO!$ED:$ED,MATCH($B70,AO!$C:$C,0))</f>
        <v>#N/A</v>
      </c>
      <c r="N70" s="261" t="e">
        <f>INDEX(AO!$DO:$DO,MATCH($B70,AO!$C:$C,0))</f>
        <v>#N/A</v>
      </c>
      <c r="O70" s="261" t="e">
        <f>INDEX(AO!$DS:$DS,MATCH($B70,AO!$C:$C,0))</f>
        <v>#N/A</v>
      </c>
      <c r="P70" s="261" t="e">
        <f t="shared" si="1"/>
        <v>#N/A</v>
      </c>
      <c r="Q70" s="1190">
        <f t="shared" si="2"/>
        <v>0</v>
      </c>
    </row>
    <row r="71" spans="2:17">
      <c r="B71" s="73">
        <f t="shared" si="4"/>
        <v>65</v>
      </c>
      <c r="C71">
        <f t="shared" si="3"/>
        <v>65</v>
      </c>
      <c r="D71" t="e">
        <f>INDEX(AA!$AC:$AC,MATCH($C71,AA!$C:$C,0))</f>
        <v>#N/A</v>
      </c>
      <c r="E71" t="e">
        <f>INDEX(AO!$I:$I,MATCH($C71,AO!$C:$C,0))</f>
        <v>#N/A</v>
      </c>
      <c r="F71" s="261" t="e">
        <f>-INDEX(AO!$AT:$AT,MATCH($B71,AO!$C:$C,0))</f>
        <v>#N/A</v>
      </c>
      <c r="G71" s="261" t="e">
        <f>-INDEX(AO!$AZ:$AZ,MATCH($B71,AO!$C:$C,0))</f>
        <v>#N/A</v>
      </c>
      <c r="H71" s="261" t="e">
        <f>INDEX(AO!$Y:$Y,MATCH($B71,AO!$C:$C,0))</f>
        <v>#N/A</v>
      </c>
      <c r="I71" s="261" t="e">
        <f>INDEX(AO!$EG:$EG,MATCH($B71,AO!$C:$C,0))</f>
        <v>#N/A</v>
      </c>
      <c r="J71" s="261" t="e">
        <f>INDEX(AO!$EI:$EI,MATCH($B71,AO!$C:$C,0))</f>
        <v>#N/A</v>
      </c>
      <c r="K71" s="261" t="e">
        <f>INDEX(AO!$CZ:$CZ,MATCH($B71,AO!$C:$C,0))</f>
        <v>#N/A</v>
      </c>
      <c r="L71" s="261" t="e">
        <f>INDEX(AO!$EK:$EK,MATCH($B71,AO!$C:$C,0))</f>
        <v>#N/A</v>
      </c>
      <c r="M71" s="261" t="e">
        <f>INDEX(AO!$ED:$ED,MATCH($B71,AO!$C:$C,0))</f>
        <v>#N/A</v>
      </c>
      <c r="N71" s="261" t="e">
        <f>INDEX(AO!$DO:$DO,MATCH($B71,AO!$C:$C,0))</f>
        <v>#N/A</v>
      </c>
      <c r="O71" s="261" t="e">
        <f>INDEX(AO!$DS:$DS,MATCH($B71,AO!$C:$C,0))</f>
        <v>#N/A</v>
      </c>
      <c r="P71" s="261" t="e">
        <f t="shared" si="1"/>
        <v>#N/A</v>
      </c>
      <c r="Q71" s="1190">
        <f t="shared" si="2"/>
        <v>0</v>
      </c>
    </row>
    <row r="72" spans="2:17">
      <c r="B72" s="73">
        <f t="shared" si="4"/>
        <v>66</v>
      </c>
      <c r="C72">
        <f t="shared" si="3"/>
        <v>66</v>
      </c>
      <c r="D72" t="e">
        <f>INDEX(AA!$AC:$AC,MATCH($C72,AA!$C:$C,0))</f>
        <v>#N/A</v>
      </c>
      <c r="E72" t="e">
        <f>INDEX(AO!$I:$I,MATCH($C72,AO!$C:$C,0))</f>
        <v>#N/A</v>
      </c>
      <c r="F72" s="261" t="e">
        <f>-INDEX(AO!$AT:$AT,MATCH($B72,AO!$C:$C,0))</f>
        <v>#N/A</v>
      </c>
      <c r="G72" s="261" t="e">
        <f>-INDEX(AO!$AZ:$AZ,MATCH($B72,AO!$C:$C,0))</f>
        <v>#N/A</v>
      </c>
      <c r="H72" s="261" t="e">
        <f>INDEX(AO!$Y:$Y,MATCH($B72,AO!$C:$C,0))</f>
        <v>#N/A</v>
      </c>
      <c r="I72" s="261" t="e">
        <f>INDEX(AO!$EG:$EG,MATCH($B72,AO!$C:$C,0))</f>
        <v>#N/A</v>
      </c>
      <c r="J72" s="261" t="e">
        <f>INDEX(AO!$EI:$EI,MATCH($B72,AO!$C:$C,0))</f>
        <v>#N/A</v>
      </c>
      <c r="K72" s="261" t="e">
        <f>INDEX(AO!$CZ:$CZ,MATCH($B72,AO!$C:$C,0))</f>
        <v>#N/A</v>
      </c>
      <c r="L72" s="261" t="e">
        <f>INDEX(AO!$EK:$EK,MATCH($B72,AO!$C:$C,0))</f>
        <v>#N/A</v>
      </c>
      <c r="M72" s="261" t="e">
        <f>INDEX(AO!$ED:$ED,MATCH($B72,AO!$C:$C,0))</f>
        <v>#N/A</v>
      </c>
      <c r="N72" s="261" t="e">
        <f>INDEX(AO!$DO:$DO,MATCH($B72,AO!$C:$C,0))</f>
        <v>#N/A</v>
      </c>
      <c r="O72" s="261" t="e">
        <f>INDEX(AO!$DS:$DS,MATCH($B72,AO!$C:$C,0))</f>
        <v>#N/A</v>
      </c>
      <c r="P72" s="261" t="e">
        <f t="shared" ref="P72:P106" si="5">O72+G72+K72+J72+L72+M72</f>
        <v>#N/A</v>
      </c>
      <c r="Q72" s="1190">
        <f t="shared" ref="Q72:Q107" si="6">IFERROR((-P72+G72)/G72,0)</f>
        <v>0</v>
      </c>
    </row>
    <row r="73" spans="2:17">
      <c r="B73" s="73">
        <f t="shared" si="4"/>
        <v>67</v>
      </c>
      <c r="C73">
        <f t="shared" ref="C73:C105" si="7">B73</f>
        <v>67</v>
      </c>
      <c r="D73" t="e">
        <f>INDEX(AA!$AC:$AC,MATCH($C73,AA!$C:$C,0))</f>
        <v>#N/A</v>
      </c>
      <c r="E73" t="e">
        <f>INDEX(AO!$I:$I,MATCH($C73,AO!$C:$C,0))</f>
        <v>#N/A</v>
      </c>
      <c r="F73" s="261" t="e">
        <f>-INDEX(AO!$AT:$AT,MATCH($B73,AO!$C:$C,0))</f>
        <v>#N/A</v>
      </c>
      <c r="G73" s="261" t="e">
        <f>-INDEX(AO!$AZ:$AZ,MATCH($B73,AO!$C:$C,0))</f>
        <v>#N/A</v>
      </c>
      <c r="H73" s="261" t="e">
        <f>INDEX(AO!$Y:$Y,MATCH($B73,AO!$C:$C,0))</f>
        <v>#N/A</v>
      </c>
      <c r="I73" s="261" t="e">
        <f>INDEX(AO!$EG:$EG,MATCH($B73,AO!$C:$C,0))</f>
        <v>#N/A</v>
      </c>
      <c r="J73" s="261" t="e">
        <f>INDEX(AO!$EI:$EI,MATCH($B73,AO!$C:$C,0))</f>
        <v>#N/A</v>
      </c>
      <c r="K73" s="261" t="e">
        <f>INDEX(AO!$CZ:$CZ,MATCH($B73,AO!$C:$C,0))</f>
        <v>#N/A</v>
      </c>
      <c r="L73" s="261" t="e">
        <f>INDEX(AO!$EK:$EK,MATCH($B73,AO!$C:$C,0))</f>
        <v>#N/A</v>
      </c>
      <c r="M73" s="261" t="e">
        <f>INDEX(AO!$ED:$ED,MATCH($B73,AO!$C:$C,0))</f>
        <v>#N/A</v>
      </c>
      <c r="N73" s="261" t="e">
        <f>INDEX(AO!$DO:$DO,MATCH($B73,AO!$C:$C,0))</f>
        <v>#N/A</v>
      </c>
      <c r="O73" s="261" t="e">
        <f>INDEX(AO!$DS:$DS,MATCH($B73,AO!$C:$C,0))</f>
        <v>#N/A</v>
      </c>
      <c r="P73" s="261" t="e">
        <f t="shared" si="5"/>
        <v>#N/A</v>
      </c>
      <c r="Q73" s="1190">
        <f t="shared" si="6"/>
        <v>0</v>
      </c>
    </row>
    <row r="74" spans="2:17">
      <c r="B74" s="73">
        <f t="shared" ref="B74:B105" si="8">B73+1</f>
        <v>68</v>
      </c>
      <c r="C74">
        <f t="shared" si="7"/>
        <v>68</v>
      </c>
      <c r="D74" t="e">
        <f>INDEX(AA!$AC:$AC,MATCH($C74,AA!$C:$C,0))</f>
        <v>#N/A</v>
      </c>
      <c r="E74" t="e">
        <f>INDEX(AO!$I:$I,MATCH($C74,AO!$C:$C,0))</f>
        <v>#N/A</v>
      </c>
      <c r="F74" s="261" t="e">
        <f>-INDEX(AO!$AT:$AT,MATCH($B74,AO!$C:$C,0))</f>
        <v>#N/A</v>
      </c>
      <c r="G74" s="261" t="e">
        <f>-INDEX(AO!$AZ:$AZ,MATCH($B74,AO!$C:$C,0))</f>
        <v>#N/A</v>
      </c>
      <c r="H74" s="261" t="e">
        <f>INDEX(AO!$Y:$Y,MATCH($B74,AO!$C:$C,0))</f>
        <v>#N/A</v>
      </c>
      <c r="I74" s="261" t="e">
        <f>INDEX(AO!$EG:$EG,MATCH($B74,AO!$C:$C,0))</f>
        <v>#N/A</v>
      </c>
      <c r="J74" s="261" t="e">
        <f>INDEX(AO!$EI:$EI,MATCH($B74,AO!$C:$C,0))</f>
        <v>#N/A</v>
      </c>
      <c r="K74" s="261" t="e">
        <f>INDEX(AO!$CZ:$CZ,MATCH($B74,AO!$C:$C,0))</f>
        <v>#N/A</v>
      </c>
      <c r="L74" s="261" t="e">
        <f>INDEX(AO!$EK:$EK,MATCH($B74,AO!$C:$C,0))</f>
        <v>#N/A</v>
      </c>
      <c r="M74" s="261" t="e">
        <f>INDEX(AO!$ED:$ED,MATCH($B74,AO!$C:$C,0))</f>
        <v>#N/A</v>
      </c>
      <c r="N74" s="261" t="e">
        <f>INDEX(AO!$DO:$DO,MATCH($B74,AO!$C:$C,0))</f>
        <v>#N/A</v>
      </c>
      <c r="O74" s="261" t="e">
        <f>INDEX(AO!$DS:$DS,MATCH($B74,AO!$C:$C,0))</f>
        <v>#N/A</v>
      </c>
      <c r="P74" s="261" t="e">
        <f t="shared" si="5"/>
        <v>#N/A</v>
      </c>
      <c r="Q74" s="1190">
        <f t="shared" si="6"/>
        <v>0</v>
      </c>
    </row>
    <row r="75" spans="2:17">
      <c r="B75" s="73">
        <f t="shared" si="8"/>
        <v>69</v>
      </c>
      <c r="C75">
        <f t="shared" si="7"/>
        <v>69</v>
      </c>
      <c r="D75" t="e">
        <f>INDEX(AA!$AC:$AC,MATCH($C75,AA!$C:$C,0))</f>
        <v>#N/A</v>
      </c>
      <c r="E75" t="e">
        <f>INDEX(AO!$I:$I,MATCH($C75,AO!$C:$C,0))</f>
        <v>#N/A</v>
      </c>
      <c r="F75" s="261" t="e">
        <f>-INDEX(AO!$AT:$AT,MATCH($B75,AO!$C:$C,0))</f>
        <v>#N/A</v>
      </c>
      <c r="G75" s="261" t="e">
        <f>-INDEX(AO!$AZ:$AZ,MATCH($B75,AO!$C:$C,0))</f>
        <v>#N/A</v>
      </c>
      <c r="H75" s="261" t="e">
        <f>INDEX(AO!$Y:$Y,MATCH($B75,AO!$C:$C,0))</f>
        <v>#N/A</v>
      </c>
      <c r="I75" s="261" t="e">
        <f>INDEX(AO!$EG:$EG,MATCH($B75,AO!$C:$C,0))</f>
        <v>#N/A</v>
      </c>
      <c r="J75" s="261" t="e">
        <f>INDEX(AO!$EI:$EI,MATCH($B75,AO!$C:$C,0))</f>
        <v>#N/A</v>
      </c>
      <c r="K75" s="261" t="e">
        <f>INDEX(AO!$CZ:$CZ,MATCH($B75,AO!$C:$C,0))</f>
        <v>#N/A</v>
      </c>
      <c r="L75" s="261" t="e">
        <f>INDEX(AO!$EK:$EK,MATCH($B75,AO!$C:$C,0))</f>
        <v>#N/A</v>
      </c>
      <c r="M75" s="261" t="e">
        <f>INDEX(AO!$ED:$ED,MATCH($B75,AO!$C:$C,0))</f>
        <v>#N/A</v>
      </c>
      <c r="N75" s="261" t="e">
        <f>INDEX(AO!$DO:$DO,MATCH($B75,AO!$C:$C,0))</f>
        <v>#N/A</v>
      </c>
      <c r="O75" s="261" t="e">
        <f>INDEX(AO!$DS:$DS,MATCH($B75,AO!$C:$C,0))</f>
        <v>#N/A</v>
      </c>
      <c r="P75" s="261" t="e">
        <f t="shared" si="5"/>
        <v>#N/A</v>
      </c>
      <c r="Q75" s="1190">
        <f t="shared" si="6"/>
        <v>0</v>
      </c>
    </row>
    <row r="76" spans="2:17">
      <c r="B76" s="73">
        <f t="shared" si="8"/>
        <v>70</v>
      </c>
      <c r="C76">
        <f t="shared" si="7"/>
        <v>70</v>
      </c>
      <c r="D76" t="e">
        <f>INDEX(AA!$AC:$AC,MATCH($C76,AA!$C:$C,0))</f>
        <v>#N/A</v>
      </c>
      <c r="E76" t="e">
        <f>INDEX(AO!$I:$I,MATCH($C76,AO!$C:$C,0))</f>
        <v>#N/A</v>
      </c>
      <c r="F76" s="261" t="e">
        <f>-INDEX(AO!$AT:$AT,MATCH($B76,AO!$C:$C,0))</f>
        <v>#N/A</v>
      </c>
      <c r="G76" s="261" t="e">
        <f>-INDEX(AO!$AZ:$AZ,MATCH($B76,AO!$C:$C,0))</f>
        <v>#N/A</v>
      </c>
      <c r="H76" s="261" t="e">
        <f>INDEX(AO!$Y:$Y,MATCH($B76,AO!$C:$C,0))</f>
        <v>#N/A</v>
      </c>
      <c r="I76" s="261" t="e">
        <f>INDEX(AO!$EG:$EG,MATCH($B76,AO!$C:$C,0))</f>
        <v>#N/A</v>
      </c>
      <c r="J76" s="261" t="e">
        <f>INDEX(AO!$EI:$EI,MATCH($B76,AO!$C:$C,0))</f>
        <v>#N/A</v>
      </c>
      <c r="K76" s="261" t="e">
        <f>INDEX(AO!$CZ:$CZ,MATCH($B76,AO!$C:$C,0))</f>
        <v>#N/A</v>
      </c>
      <c r="L76" s="261" t="e">
        <f>INDEX(AO!$EK:$EK,MATCH($B76,AO!$C:$C,0))</f>
        <v>#N/A</v>
      </c>
      <c r="M76" s="261" t="e">
        <f>INDEX(AO!$ED:$ED,MATCH($B76,AO!$C:$C,0))</f>
        <v>#N/A</v>
      </c>
      <c r="N76" s="261" t="e">
        <f>INDEX(AO!$DO:$DO,MATCH($B76,AO!$C:$C,0))</f>
        <v>#N/A</v>
      </c>
      <c r="O76" s="261" t="e">
        <f>INDEX(AO!$DS:$DS,MATCH($B76,AO!$C:$C,0))</f>
        <v>#N/A</v>
      </c>
      <c r="P76" s="261" t="e">
        <f t="shared" si="5"/>
        <v>#N/A</v>
      </c>
      <c r="Q76" s="1190">
        <f t="shared" si="6"/>
        <v>0</v>
      </c>
    </row>
    <row r="77" spans="2:17">
      <c r="B77" s="73">
        <f t="shared" si="8"/>
        <v>71</v>
      </c>
      <c r="C77">
        <f t="shared" si="7"/>
        <v>71</v>
      </c>
      <c r="D77" t="e">
        <f>INDEX(AA!$AC:$AC,MATCH($C77,AA!$C:$C,0))</f>
        <v>#N/A</v>
      </c>
      <c r="E77" t="e">
        <f>INDEX(AO!$I:$I,MATCH($C77,AO!$C:$C,0))</f>
        <v>#N/A</v>
      </c>
      <c r="F77" s="261" t="e">
        <f>-INDEX(AO!$AT:$AT,MATCH($B77,AO!$C:$C,0))</f>
        <v>#N/A</v>
      </c>
      <c r="G77" s="261" t="e">
        <f>-INDEX(AO!$AZ:$AZ,MATCH($B77,AO!$C:$C,0))</f>
        <v>#N/A</v>
      </c>
      <c r="H77" s="261" t="e">
        <f>INDEX(AO!$Y:$Y,MATCH($B77,AO!$C:$C,0))</f>
        <v>#N/A</v>
      </c>
      <c r="I77" s="261" t="e">
        <f>INDEX(AO!$EG:$EG,MATCH($B77,AO!$C:$C,0))</f>
        <v>#N/A</v>
      </c>
      <c r="J77" s="261" t="e">
        <f>INDEX(AO!$EI:$EI,MATCH($B77,AO!$C:$C,0))</f>
        <v>#N/A</v>
      </c>
      <c r="K77" s="261" t="e">
        <f>INDEX(AO!$CZ:$CZ,MATCH($B77,AO!$C:$C,0))</f>
        <v>#N/A</v>
      </c>
      <c r="L77" s="261" t="e">
        <f>INDEX(AO!$EK:$EK,MATCH($B77,AO!$C:$C,0))</f>
        <v>#N/A</v>
      </c>
      <c r="M77" s="261" t="e">
        <f>INDEX(AO!$ED:$ED,MATCH($B77,AO!$C:$C,0))</f>
        <v>#N/A</v>
      </c>
      <c r="N77" s="261" t="e">
        <f>INDEX(AO!$DO:$DO,MATCH($B77,AO!$C:$C,0))</f>
        <v>#N/A</v>
      </c>
      <c r="O77" s="261" t="e">
        <f>INDEX(AO!$DS:$DS,MATCH($B77,AO!$C:$C,0))</f>
        <v>#N/A</v>
      </c>
      <c r="P77" s="261" t="e">
        <f t="shared" si="5"/>
        <v>#N/A</v>
      </c>
      <c r="Q77" s="1190">
        <f t="shared" si="6"/>
        <v>0</v>
      </c>
    </row>
    <row r="78" spans="2:17">
      <c r="B78" s="73">
        <f t="shared" si="8"/>
        <v>72</v>
      </c>
      <c r="C78">
        <f t="shared" si="7"/>
        <v>72</v>
      </c>
      <c r="D78" t="e">
        <f>INDEX(AA!$AC:$AC,MATCH($C78,AA!$C:$C,0))</f>
        <v>#N/A</v>
      </c>
      <c r="E78" t="e">
        <f>INDEX(AO!$I:$I,MATCH($C78,AO!$C:$C,0))</f>
        <v>#N/A</v>
      </c>
      <c r="F78" s="261" t="e">
        <f>-INDEX(AO!$AT:$AT,MATCH($B78,AO!$C:$C,0))</f>
        <v>#N/A</v>
      </c>
      <c r="G78" s="261" t="e">
        <f>-INDEX(AO!$AZ:$AZ,MATCH($B78,AO!$C:$C,0))</f>
        <v>#N/A</v>
      </c>
      <c r="H78" s="261" t="e">
        <f>INDEX(AO!$Y:$Y,MATCH($B78,AO!$C:$C,0))</f>
        <v>#N/A</v>
      </c>
      <c r="I78" s="261" t="e">
        <f>INDEX(AO!$EG:$EG,MATCH($B78,AO!$C:$C,0))</f>
        <v>#N/A</v>
      </c>
      <c r="J78" s="261" t="e">
        <f>INDEX(AO!$EI:$EI,MATCH($B78,AO!$C:$C,0))</f>
        <v>#N/A</v>
      </c>
      <c r="K78" s="261" t="e">
        <f>INDEX(AO!$CZ:$CZ,MATCH($B78,AO!$C:$C,0))</f>
        <v>#N/A</v>
      </c>
      <c r="L78" s="261" t="e">
        <f>INDEX(AO!$EK:$EK,MATCH($B78,AO!$C:$C,0))</f>
        <v>#N/A</v>
      </c>
      <c r="M78" s="261" t="e">
        <f>INDEX(AO!$ED:$ED,MATCH($B78,AO!$C:$C,0))</f>
        <v>#N/A</v>
      </c>
      <c r="N78" s="261" t="e">
        <f>INDEX(AO!$DO:$DO,MATCH($B78,AO!$C:$C,0))</f>
        <v>#N/A</v>
      </c>
      <c r="O78" s="261" t="e">
        <f>INDEX(AO!$DS:$DS,MATCH($B78,AO!$C:$C,0))</f>
        <v>#N/A</v>
      </c>
      <c r="P78" s="261" t="e">
        <f t="shared" si="5"/>
        <v>#N/A</v>
      </c>
      <c r="Q78" s="1190">
        <f t="shared" si="6"/>
        <v>0</v>
      </c>
    </row>
    <row r="79" spans="2:17">
      <c r="B79" s="73">
        <f t="shared" si="8"/>
        <v>73</v>
      </c>
      <c r="C79">
        <f t="shared" si="7"/>
        <v>73</v>
      </c>
      <c r="D79" t="e">
        <f>INDEX(AA!$AC:$AC,MATCH($C79,AA!$C:$C,0))</f>
        <v>#N/A</v>
      </c>
      <c r="E79" t="e">
        <f>INDEX(AO!$I:$I,MATCH($C79,AO!$C:$C,0))</f>
        <v>#N/A</v>
      </c>
      <c r="F79" s="261" t="e">
        <f>-INDEX(AO!$AT:$AT,MATCH($B79,AO!$C:$C,0))</f>
        <v>#N/A</v>
      </c>
      <c r="G79" s="261" t="e">
        <f>-INDEX(AO!$AZ:$AZ,MATCH($B79,AO!$C:$C,0))</f>
        <v>#N/A</v>
      </c>
      <c r="H79" s="261" t="e">
        <f>INDEX(AO!$Y:$Y,MATCH($B79,AO!$C:$C,0))</f>
        <v>#N/A</v>
      </c>
      <c r="I79" s="261" t="e">
        <f>INDEX(AO!$EG:$EG,MATCH($B79,AO!$C:$C,0))</f>
        <v>#N/A</v>
      </c>
      <c r="J79" s="261" t="e">
        <f>INDEX(AO!$EI:$EI,MATCH($B79,AO!$C:$C,0))</f>
        <v>#N/A</v>
      </c>
      <c r="K79" s="261" t="e">
        <f>INDEX(AO!$CZ:$CZ,MATCH($B79,AO!$C:$C,0))</f>
        <v>#N/A</v>
      </c>
      <c r="L79" s="261" t="e">
        <f>INDEX(AO!$EK:$EK,MATCH($B79,AO!$C:$C,0))</f>
        <v>#N/A</v>
      </c>
      <c r="M79" s="261" t="e">
        <f>INDEX(AO!$ED:$ED,MATCH($B79,AO!$C:$C,0))</f>
        <v>#N/A</v>
      </c>
      <c r="N79" s="261" t="e">
        <f>INDEX(AO!$DO:$DO,MATCH($B79,AO!$C:$C,0))</f>
        <v>#N/A</v>
      </c>
      <c r="O79" s="261" t="e">
        <f>INDEX(AO!$DS:$DS,MATCH($B79,AO!$C:$C,0))</f>
        <v>#N/A</v>
      </c>
      <c r="P79" s="261" t="e">
        <f t="shared" si="5"/>
        <v>#N/A</v>
      </c>
      <c r="Q79" s="1190">
        <f t="shared" si="6"/>
        <v>0</v>
      </c>
    </row>
    <row r="80" spans="2:17">
      <c r="B80" s="73">
        <f t="shared" si="8"/>
        <v>74</v>
      </c>
      <c r="C80">
        <f t="shared" si="7"/>
        <v>74</v>
      </c>
      <c r="D80" t="e">
        <f>INDEX(AA!$AC:$AC,MATCH($C80,AA!$C:$C,0))</f>
        <v>#N/A</v>
      </c>
      <c r="E80" t="e">
        <f>INDEX(AO!$I:$I,MATCH($C80,AO!$C:$C,0))</f>
        <v>#N/A</v>
      </c>
      <c r="F80" s="261" t="e">
        <f>-INDEX(AO!$AT:$AT,MATCH($B80,AO!$C:$C,0))</f>
        <v>#N/A</v>
      </c>
      <c r="G80" s="261" t="e">
        <f>-INDEX(AO!$AZ:$AZ,MATCH($B80,AO!$C:$C,0))</f>
        <v>#N/A</v>
      </c>
      <c r="H80" s="261" t="e">
        <f>INDEX(AO!$Y:$Y,MATCH($B80,AO!$C:$C,0))</f>
        <v>#N/A</v>
      </c>
      <c r="I80" s="261" t="e">
        <f>INDEX(AO!$EG:$EG,MATCH($B80,AO!$C:$C,0))</f>
        <v>#N/A</v>
      </c>
      <c r="J80" s="261" t="e">
        <f>INDEX(AO!$EI:$EI,MATCH($B80,AO!$C:$C,0))</f>
        <v>#N/A</v>
      </c>
      <c r="K80" s="261" t="e">
        <f>INDEX(AO!$CZ:$CZ,MATCH($B80,AO!$C:$C,0))</f>
        <v>#N/A</v>
      </c>
      <c r="L80" s="261" t="e">
        <f>INDEX(AO!$EK:$EK,MATCH($B80,AO!$C:$C,0))</f>
        <v>#N/A</v>
      </c>
      <c r="M80" s="261" t="e">
        <f>INDEX(AO!$ED:$ED,MATCH($B80,AO!$C:$C,0))</f>
        <v>#N/A</v>
      </c>
      <c r="N80" s="261" t="e">
        <f>INDEX(AO!$DO:$DO,MATCH($B80,AO!$C:$C,0))</f>
        <v>#N/A</v>
      </c>
      <c r="O80" s="261" t="e">
        <f>INDEX(AO!$DS:$DS,MATCH($B80,AO!$C:$C,0))</f>
        <v>#N/A</v>
      </c>
      <c r="P80" s="261" t="e">
        <f t="shared" si="5"/>
        <v>#N/A</v>
      </c>
      <c r="Q80" s="1190">
        <f t="shared" si="6"/>
        <v>0</v>
      </c>
    </row>
    <row r="81" spans="2:17">
      <c r="B81" s="73">
        <f t="shared" si="8"/>
        <v>75</v>
      </c>
      <c r="C81">
        <f t="shared" si="7"/>
        <v>75</v>
      </c>
      <c r="D81" t="e">
        <f>INDEX(AA!$AC:$AC,MATCH($C81,AA!$C:$C,0))</f>
        <v>#N/A</v>
      </c>
      <c r="E81" t="e">
        <f>INDEX(AO!$I:$I,MATCH($C81,AO!$C:$C,0))</f>
        <v>#N/A</v>
      </c>
      <c r="F81" s="261" t="e">
        <f>-INDEX(AO!$AT:$AT,MATCH($B81,AO!$C:$C,0))</f>
        <v>#N/A</v>
      </c>
      <c r="G81" s="261" t="e">
        <f>-INDEX(AO!$AZ:$AZ,MATCH($B81,AO!$C:$C,0))</f>
        <v>#N/A</v>
      </c>
      <c r="H81" s="261" t="e">
        <f>INDEX(AO!$Y:$Y,MATCH($B81,AO!$C:$C,0))</f>
        <v>#N/A</v>
      </c>
      <c r="I81" s="261" t="e">
        <f>INDEX(AO!$EG:$EG,MATCH($B81,AO!$C:$C,0))</f>
        <v>#N/A</v>
      </c>
      <c r="J81" s="261" t="e">
        <f>INDEX(AO!$EI:$EI,MATCH($B81,AO!$C:$C,0))</f>
        <v>#N/A</v>
      </c>
      <c r="K81" s="261" t="e">
        <f>INDEX(AO!$CZ:$CZ,MATCH($B81,AO!$C:$C,0))</f>
        <v>#N/A</v>
      </c>
      <c r="L81" s="261" t="e">
        <f>INDEX(AO!$EK:$EK,MATCH($B81,AO!$C:$C,0))</f>
        <v>#N/A</v>
      </c>
      <c r="M81" s="261" t="e">
        <f>INDEX(AO!$ED:$ED,MATCH($B81,AO!$C:$C,0))</f>
        <v>#N/A</v>
      </c>
      <c r="N81" s="261" t="e">
        <f>INDEX(AO!$DO:$DO,MATCH($B81,AO!$C:$C,0))</f>
        <v>#N/A</v>
      </c>
      <c r="O81" s="261" t="e">
        <f>INDEX(AO!$DS:$DS,MATCH($B81,AO!$C:$C,0))</f>
        <v>#N/A</v>
      </c>
      <c r="P81" s="261" t="e">
        <f t="shared" si="5"/>
        <v>#N/A</v>
      </c>
      <c r="Q81" s="1190">
        <f t="shared" si="6"/>
        <v>0</v>
      </c>
    </row>
    <row r="82" spans="2:17">
      <c r="B82" s="73">
        <f t="shared" si="8"/>
        <v>76</v>
      </c>
      <c r="C82">
        <f t="shared" si="7"/>
        <v>76</v>
      </c>
      <c r="D82" t="e">
        <f>INDEX(AA!$AC:$AC,MATCH($C82,AA!$C:$C,0))</f>
        <v>#N/A</v>
      </c>
      <c r="E82" t="e">
        <f>INDEX(AO!$I:$I,MATCH($C82,AO!$C:$C,0))</f>
        <v>#N/A</v>
      </c>
      <c r="F82" s="261" t="e">
        <f>-INDEX(AO!$AT:$AT,MATCH($B82,AO!$C:$C,0))</f>
        <v>#N/A</v>
      </c>
      <c r="G82" s="261" t="e">
        <f>-INDEX(AO!$AZ:$AZ,MATCH($B82,AO!$C:$C,0))</f>
        <v>#N/A</v>
      </c>
      <c r="H82" s="261" t="e">
        <f>INDEX(AO!$Y:$Y,MATCH($B82,AO!$C:$C,0))</f>
        <v>#N/A</v>
      </c>
      <c r="I82" s="261" t="e">
        <f>INDEX(AO!$EG:$EG,MATCH($B82,AO!$C:$C,0))</f>
        <v>#N/A</v>
      </c>
      <c r="J82" s="261" t="e">
        <f>INDEX(AO!$EI:$EI,MATCH($B82,AO!$C:$C,0))</f>
        <v>#N/A</v>
      </c>
      <c r="K82" s="261" t="e">
        <f>INDEX(AO!$CZ:$CZ,MATCH($B82,AO!$C:$C,0))</f>
        <v>#N/A</v>
      </c>
      <c r="L82" s="261" t="e">
        <f>INDEX(AO!$EK:$EK,MATCH($B82,AO!$C:$C,0))</f>
        <v>#N/A</v>
      </c>
      <c r="M82" s="261" t="e">
        <f>INDEX(AO!$ED:$ED,MATCH($B82,AO!$C:$C,0))</f>
        <v>#N/A</v>
      </c>
      <c r="N82" s="261" t="e">
        <f>INDEX(AO!$DO:$DO,MATCH($B82,AO!$C:$C,0))</f>
        <v>#N/A</v>
      </c>
      <c r="O82" s="261" t="e">
        <f>INDEX(AO!$DS:$DS,MATCH($B82,AO!$C:$C,0))</f>
        <v>#N/A</v>
      </c>
      <c r="P82" s="261" t="e">
        <f t="shared" si="5"/>
        <v>#N/A</v>
      </c>
      <c r="Q82" s="1190">
        <f t="shared" si="6"/>
        <v>0</v>
      </c>
    </row>
    <row r="83" spans="2:17">
      <c r="B83" s="73">
        <f t="shared" si="8"/>
        <v>77</v>
      </c>
      <c r="C83">
        <f t="shared" si="7"/>
        <v>77</v>
      </c>
      <c r="D83" t="e">
        <f>INDEX(AA!$AC:$AC,MATCH($C83,AA!$C:$C,0))</f>
        <v>#N/A</v>
      </c>
      <c r="E83" t="e">
        <f>INDEX(AO!$I:$I,MATCH($C83,AO!$C:$C,0))</f>
        <v>#N/A</v>
      </c>
      <c r="F83" s="261" t="e">
        <f>-INDEX(AO!$AT:$AT,MATCH($B83,AO!$C:$C,0))</f>
        <v>#N/A</v>
      </c>
      <c r="G83" s="261" t="e">
        <f>-INDEX(AO!$AZ:$AZ,MATCH($B83,AO!$C:$C,0))</f>
        <v>#N/A</v>
      </c>
      <c r="H83" s="261" t="e">
        <f>INDEX(AO!$Y:$Y,MATCH($B83,AO!$C:$C,0))</f>
        <v>#N/A</v>
      </c>
      <c r="I83" s="261" t="e">
        <f>INDEX(AO!$EG:$EG,MATCH($B83,AO!$C:$C,0))</f>
        <v>#N/A</v>
      </c>
      <c r="J83" s="261" t="e">
        <f>INDEX(AO!$EI:$EI,MATCH($B83,AO!$C:$C,0))</f>
        <v>#N/A</v>
      </c>
      <c r="K83" s="261" t="e">
        <f>INDEX(AO!$CZ:$CZ,MATCH($B83,AO!$C:$C,0))</f>
        <v>#N/A</v>
      </c>
      <c r="L83" s="261" t="e">
        <f>INDEX(AO!$EK:$EK,MATCH($B83,AO!$C:$C,0))</f>
        <v>#N/A</v>
      </c>
      <c r="M83" s="261" t="e">
        <f>INDEX(AO!$ED:$ED,MATCH($B83,AO!$C:$C,0))</f>
        <v>#N/A</v>
      </c>
      <c r="N83" s="261" t="e">
        <f>INDEX(AO!$DO:$DO,MATCH($B83,AO!$C:$C,0))</f>
        <v>#N/A</v>
      </c>
      <c r="O83" s="261" t="e">
        <f>INDEX(AO!$DS:$DS,MATCH($B83,AO!$C:$C,0))</f>
        <v>#N/A</v>
      </c>
      <c r="P83" s="261" t="e">
        <f t="shared" si="5"/>
        <v>#N/A</v>
      </c>
      <c r="Q83" s="1190">
        <f t="shared" si="6"/>
        <v>0</v>
      </c>
    </row>
    <row r="84" spans="2:17">
      <c r="B84" s="73">
        <f t="shared" si="8"/>
        <v>78</v>
      </c>
      <c r="C84">
        <f t="shared" si="7"/>
        <v>78</v>
      </c>
      <c r="D84" t="e">
        <f>INDEX(AA!$AC:$AC,MATCH($C84,AA!$C:$C,0))</f>
        <v>#N/A</v>
      </c>
      <c r="E84" t="e">
        <f>INDEX(AO!$I:$I,MATCH($C84,AO!$C:$C,0))</f>
        <v>#N/A</v>
      </c>
      <c r="F84" s="261" t="e">
        <f>-INDEX(AO!$AT:$AT,MATCH($B84,AO!$C:$C,0))</f>
        <v>#N/A</v>
      </c>
      <c r="G84" s="261" t="e">
        <f>-INDEX(AO!$AZ:$AZ,MATCH($B84,AO!$C:$C,0))</f>
        <v>#N/A</v>
      </c>
      <c r="H84" s="261" t="e">
        <f>INDEX(AO!$Y:$Y,MATCH($B84,AO!$C:$C,0))</f>
        <v>#N/A</v>
      </c>
      <c r="I84" s="261" t="e">
        <f>INDEX(AO!$EG:$EG,MATCH($B84,AO!$C:$C,0))</f>
        <v>#N/A</v>
      </c>
      <c r="J84" s="261" t="e">
        <f>INDEX(AO!$EI:$EI,MATCH($B84,AO!$C:$C,0))</f>
        <v>#N/A</v>
      </c>
      <c r="K84" s="261" t="e">
        <f>INDEX(AO!$CZ:$CZ,MATCH($B84,AO!$C:$C,0))</f>
        <v>#N/A</v>
      </c>
      <c r="L84" s="261" t="e">
        <f>INDEX(AO!$EK:$EK,MATCH($B84,AO!$C:$C,0))</f>
        <v>#N/A</v>
      </c>
      <c r="M84" s="261" t="e">
        <f>INDEX(AO!$ED:$ED,MATCH($B84,AO!$C:$C,0))</f>
        <v>#N/A</v>
      </c>
      <c r="N84" s="261" t="e">
        <f>INDEX(AO!$DO:$DO,MATCH($B84,AO!$C:$C,0))</f>
        <v>#N/A</v>
      </c>
      <c r="O84" s="261" t="e">
        <f>INDEX(AO!$DS:$DS,MATCH($B84,AO!$C:$C,0))</f>
        <v>#N/A</v>
      </c>
      <c r="P84" s="261" t="e">
        <f t="shared" si="5"/>
        <v>#N/A</v>
      </c>
      <c r="Q84" s="1190">
        <f t="shared" si="6"/>
        <v>0</v>
      </c>
    </row>
    <row r="85" spans="2:17">
      <c r="B85" s="73">
        <f t="shared" si="8"/>
        <v>79</v>
      </c>
      <c r="C85">
        <f t="shared" si="7"/>
        <v>79</v>
      </c>
      <c r="D85" t="e">
        <f>INDEX(AA!$AC:$AC,MATCH($C85,AA!$C:$C,0))</f>
        <v>#N/A</v>
      </c>
      <c r="E85" t="e">
        <f>INDEX(AO!$I:$I,MATCH($C85,AO!$C:$C,0))</f>
        <v>#N/A</v>
      </c>
      <c r="F85" s="261" t="e">
        <f>-INDEX(AO!$AT:$AT,MATCH($B85,AO!$C:$C,0))</f>
        <v>#N/A</v>
      </c>
      <c r="G85" s="261" t="e">
        <f>-INDEX(AO!$AZ:$AZ,MATCH($B85,AO!$C:$C,0))</f>
        <v>#N/A</v>
      </c>
      <c r="H85" s="261" t="e">
        <f>INDEX(AO!$Y:$Y,MATCH($B85,AO!$C:$C,0))</f>
        <v>#N/A</v>
      </c>
      <c r="I85" s="261" t="e">
        <f>INDEX(AO!$EG:$EG,MATCH($B85,AO!$C:$C,0))</f>
        <v>#N/A</v>
      </c>
      <c r="J85" s="261" t="e">
        <f>INDEX(AO!$EI:$EI,MATCH($B85,AO!$C:$C,0))</f>
        <v>#N/A</v>
      </c>
      <c r="K85" s="261" t="e">
        <f>INDEX(AO!$CZ:$CZ,MATCH($B85,AO!$C:$C,0))</f>
        <v>#N/A</v>
      </c>
      <c r="L85" s="261" t="e">
        <f>INDEX(AO!$EK:$EK,MATCH($B85,AO!$C:$C,0))</f>
        <v>#N/A</v>
      </c>
      <c r="M85" s="261" t="e">
        <f>INDEX(AO!$ED:$ED,MATCH($B85,AO!$C:$C,0))</f>
        <v>#N/A</v>
      </c>
      <c r="N85" s="261" t="e">
        <f>INDEX(AO!$DO:$DO,MATCH($B85,AO!$C:$C,0))</f>
        <v>#N/A</v>
      </c>
      <c r="O85" s="261" t="e">
        <f>INDEX(AO!$DS:$DS,MATCH($B85,AO!$C:$C,0))</f>
        <v>#N/A</v>
      </c>
      <c r="P85" s="261" t="e">
        <f t="shared" si="5"/>
        <v>#N/A</v>
      </c>
      <c r="Q85" s="1190">
        <f t="shared" si="6"/>
        <v>0</v>
      </c>
    </row>
    <row r="86" spans="2:17">
      <c r="B86" s="73">
        <f t="shared" si="8"/>
        <v>80</v>
      </c>
      <c r="C86">
        <f t="shared" si="7"/>
        <v>80</v>
      </c>
      <c r="D86" t="e">
        <f>INDEX(AA!$AC:$AC,MATCH($C86,AA!$C:$C,0))</f>
        <v>#N/A</v>
      </c>
      <c r="E86" t="e">
        <f>INDEX(AO!$I:$I,MATCH($C86,AO!$C:$C,0))</f>
        <v>#N/A</v>
      </c>
      <c r="F86" s="261" t="e">
        <f>-INDEX(AO!$AT:$AT,MATCH($B86,AO!$C:$C,0))</f>
        <v>#N/A</v>
      </c>
      <c r="G86" s="261" t="e">
        <f>-INDEX(AO!$AZ:$AZ,MATCH($B86,AO!$C:$C,0))</f>
        <v>#N/A</v>
      </c>
      <c r="H86" s="261" t="e">
        <f>INDEX(AO!$Y:$Y,MATCH($B86,AO!$C:$C,0))</f>
        <v>#N/A</v>
      </c>
      <c r="I86" s="261" t="e">
        <f>INDEX(AO!$EG:$EG,MATCH($B86,AO!$C:$C,0))</f>
        <v>#N/A</v>
      </c>
      <c r="J86" s="261" t="e">
        <f>INDEX(AO!$EI:$EI,MATCH($B86,AO!$C:$C,0))</f>
        <v>#N/A</v>
      </c>
      <c r="K86" s="261" t="e">
        <f>INDEX(AO!$CZ:$CZ,MATCH($B86,AO!$C:$C,0))</f>
        <v>#N/A</v>
      </c>
      <c r="L86" s="261" t="e">
        <f>INDEX(AO!$EK:$EK,MATCH($B86,AO!$C:$C,0))</f>
        <v>#N/A</v>
      </c>
      <c r="M86" s="261" t="e">
        <f>INDEX(AO!$ED:$ED,MATCH($B86,AO!$C:$C,0))</f>
        <v>#N/A</v>
      </c>
      <c r="N86" s="261" t="e">
        <f>INDEX(AO!$DO:$DO,MATCH($B86,AO!$C:$C,0))</f>
        <v>#N/A</v>
      </c>
      <c r="O86" s="261" t="e">
        <f>INDEX(AO!$DS:$DS,MATCH($B86,AO!$C:$C,0))</f>
        <v>#N/A</v>
      </c>
      <c r="P86" s="261" t="e">
        <f t="shared" si="5"/>
        <v>#N/A</v>
      </c>
      <c r="Q86" s="1190">
        <f t="shared" si="6"/>
        <v>0</v>
      </c>
    </row>
    <row r="87" spans="2:17">
      <c r="B87" s="73">
        <f t="shared" si="8"/>
        <v>81</v>
      </c>
      <c r="C87">
        <f t="shared" si="7"/>
        <v>81</v>
      </c>
      <c r="D87" t="e">
        <f>INDEX(AA!$AC:$AC,MATCH($C87,AA!$C:$C,0))</f>
        <v>#N/A</v>
      </c>
      <c r="E87" t="e">
        <f>INDEX(AO!$I:$I,MATCH($C87,AO!$C:$C,0))</f>
        <v>#N/A</v>
      </c>
      <c r="F87" s="261" t="e">
        <f>-INDEX(AO!$AT:$AT,MATCH($B87,AO!$C:$C,0))</f>
        <v>#N/A</v>
      </c>
      <c r="G87" s="261" t="e">
        <f>-INDEX(AO!$AZ:$AZ,MATCH($B87,AO!$C:$C,0))</f>
        <v>#N/A</v>
      </c>
      <c r="H87" s="261" t="e">
        <f>INDEX(AO!$Y:$Y,MATCH($B87,AO!$C:$C,0))</f>
        <v>#N/A</v>
      </c>
      <c r="I87" s="261" t="e">
        <f>INDEX(AO!$EG:$EG,MATCH($B87,AO!$C:$C,0))</f>
        <v>#N/A</v>
      </c>
      <c r="J87" s="261" t="e">
        <f>INDEX(AO!$EI:$EI,MATCH($B87,AO!$C:$C,0))</f>
        <v>#N/A</v>
      </c>
      <c r="K87" s="261" t="e">
        <f>INDEX(AO!$CZ:$CZ,MATCH($B87,AO!$C:$C,0))</f>
        <v>#N/A</v>
      </c>
      <c r="L87" s="261" t="e">
        <f>INDEX(AO!$EK:$EK,MATCH($B87,AO!$C:$C,0))</f>
        <v>#N/A</v>
      </c>
      <c r="M87" s="261" t="e">
        <f>INDEX(AO!$ED:$ED,MATCH($B87,AO!$C:$C,0))</f>
        <v>#N/A</v>
      </c>
      <c r="N87" s="261" t="e">
        <f>INDEX(AO!$DO:$DO,MATCH($B87,AO!$C:$C,0))</f>
        <v>#N/A</v>
      </c>
      <c r="O87" s="261" t="e">
        <f>INDEX(AO!$DS:$DS,MATCH($B87,AO!$C:$C,0))</f>
        <v>#N/A</v>
      </c>
      <c r="P87" s="261" t="e">
        <f t="shared" si="5"/>
        <v>#N/A</v>
      </c>
      <c r="Q87" s="1190">
        <f t="shared" si="6"/>
        <v>0</v>
      </c>
    </row>
    <row r="88" spans="2:17">
      <c r="B88" s="73">
        <f t="shared" si="8"/>
        <v>82</v>
      </c>
      <c r="C88">
        <f t="shared" si="7"/>
        <v>82</v>
      </c>
      <c r="D88" t="e">
        <f>INDEX(AA!$AC:$AC,MATCH($C88,AA!$C:$C,0))</f>
        <v>#N/A</v>
      </c>
      <c r="E88" t="e">
        <f>INDEX(AO!$I:$I,MATCH($C88,AO!$C:$C,0))</f>
        <v>#N/A</v>
      </c>
      <c r="F88" s="261" t="e">
        <f>-INDEX(AO!$AT:$AT,MATCH($B88,AO!$C:$C,0))</f>
        <v>#N/A</v>
      </c>
      <c r="G88" s="261" t="e">
        <f>-INDEX(AO!$AZ:$AZ,MATCH($B88,AO!$C:$C,0))</f>
        <v>#N/A</v>
      </c>
      <c r="H88" s="261" t="e">
        <f>INDEX(AO!$Y:$Y,MATCH($B88,AO!$C:$C,0))</f>
        <v>#N/A</v>
      </c>
      <c r="I88" s="261" t="e">
        <f>INDEX(AO!$EG:$EG,MATCH($B88,AO!$C:$C,0))</f>
        <v>#N/A</v>
      </c>
      <c r="J88" s="261" t="e">
        <f>INDEX(AO!$EI:$EI,MATCH($B88,AO!$C:$C,0))</f>
        <v>#N/A</v>
      </c>
      <c r="K88" s="261" t="e">
        <f>INDEX(AO!$CZ:$CZ,MATCH($B88,AO!$C:$C,0))</f>
        <v>#N/A</v>
      </c>
      <c r="L88" s="261" t="e">
        <f>INDEX(AO!$EK:$EK,MATCH($B88,AO!$C:$C,0))</f>
        <v>#N/A</v>
      </c>
      <c r="M88" s="261" t="e">
        <f>INDEX(AO!$ED:$ED,MATCH($B88,AO!$C:$C,0))</f>
        <v>#N/A</v>
      </c>
      <c r="N88" s="261" t="e">
        <f>INDEX(AO!$DO:$DO,MATCH($B88,AO!$C:$C,0))</f>
        <v>#N/A</v>
      </c>
      <c r="O88" s="261" t="e">
        <f>INDEX(AO!$DS:$DS,MATCH($B88,AO!$C:$C,0))</f>
        <v>#N/A</v>
      </c>
      <c r="P88" s="261" t="e">
        <f t="shared" si="5"/>
        <v>#N/A</v>
      </c>
      <c r="Q88" s="1190">
        <f t="shared" si="6"/>
        <v>0</v>
      </c>
    </row>
    <row r="89" spans="2:17">
      <c r="B89" s="73">
        <f t="shared" si="8"/>
        <v>83</v>
      </c>
      <c r="C89">
        <f t="shared" si="7"/>
        <v>83</v>
      </c>
      <c r="D89" t="e">
        <f>INDEX(AA!$AC:$AC,MATCH($C89,AA!$C:$C,0))</f>
        <v>#N/A</v>
      </c>
      <c r="E89" t="e">
        <f>INDEX(AO!$I:$I,MATCH($C89,AO!$C:$C,0))</f>
        <v>#N/A</v>
      </c>
      <c r="F89" s="261" t="e">
        <f>-INDEX(AO!$AT:$AT,MATCH($B89,AO!$C:$C,0))</f>
        <v>#N/A</v>
      </c>
      <c r="G89" s="261" t="e">
        <f>-INDEX(AO!$AZ:$AZ,MATCH($B89,AO!$C:$C,0))</f>
        <v>#N/A</v>
      </c>
      <c r="H89" s="261" t="e">
        <f>INDEX(AO!$Y:$Y,MATCH($B89,AO!$C:$C,0))</f>
        <v>#N/A</v>
      </c>
      <c r="I89" s="261" t="e">
        <f>INDEX(AO!$EG:$EG,MATCH($B89,AO!$C:$C,0))</f>
        <v>#N/A</v>
      </c>
      <c r="J89" s="261" t="e">
        <f>INDEX(AO!$EI:$EI,MATCH($B89,AO!$C:$C,0))</f>
        <v>#N/A</v>
      </c>
      <c r="K89" s="261" t="e">
        <f>INDEX(AO!$CZ:$CZ,MATCH($B89,AO!$C:$C,0))</f>
        <v>#N/A</v>
      </c>
      <c r="L89" s="261" t="e">
        <f>INDEX(AO!$EK:$EK,MATCH($B89,AO!$C:$C,0))</f>
        <v>#N/A</v>
      </c>
      <c r="M89" s="261" t="e">
        <f>INDEX(AO!$ED:$ED,MATCH($B89,AO!$C:$C,0))</f>
        <v>#N/A</v>
      </c>
      <c r="N89" s="261" t="e">
        <f>INDEX(AO!$DO:$DO,MATCH($B89,AO!$C:$C,0))</f>
        <v>#N/A</v>
      </c>
      <c r="O89" s="261" t="e">
        <f>INDEX(AO!$DS:$DS,MATCH($B89,AO!$C:$C,0))</f>
        <v>#N/A</v>
      </c>
      <c r="P89" s="261" t="e">
        <f t="shared" si="5"/>
        <v>#N/A</v>
      </c>
      <c r="Q89" s="1190">
        <f t="shared" si="6"/>
        <v>0</v>
      </c>
    </row>
    <row r="90" spans="2:17">
      <c r="B90" s="73">
        <f t="shared" si="8"/>
        <v>84</v>
      </c>
      <c r="C90">
        <f t="shared" si="7"/>
        <v>84</v>
      </c>
      <c r="D90" t="e">
        <f>INDEX(AA!$AC:$AC,MATCH($C90,AA!$C:$C,0))</f>
        <v>#N/A</v>
      </c>
      <c r="E90" t="e">
        <f>INDEX(AO!$I:$I,MATCH($C90,AO!$C:$C,0))</f>
        <v>#N/A</v>
      </c>
      <c r="F90" s="261" t="e">
        <f>-INDEX(AO!$AT:$AT,MATCH($B90,AO!$C:$C,0))</f>
        <v>#N/A</v>
      </c>
      <c r="G90" s="261" t="e">
        <f>-INDEX(AO!$AZ:$AZ,MATCH($B90,AO!$C:$C,0))</f>
        <v>#N/A</v>
      </c>
      <c r="H90" s="261" t="e">
        <f>INDEX(AO!$Y:$Y,MATCH($B90,AO!$C:$C,0))</f>
        <v>#N/A</v>
      </c>
      <c r="I90" s="261" t="e">
        <f>INDEX(AO!$EG:$EG,MATCH($B90,AO!$C:$C,0))</f>
        <v>#N/A</v>
      </c>
      <c r="J90" s="261" t="e">
        <f>INDEX(AO!$EI:$EI,MATCH($B90,AO!$C:$C,0))</f>
        <v>#N/A</v>
      </c>
      <c r="K90" s="261" t="e">
        <f>INDEX(AO!$CZ:$CZ,MATCH($B90,AO!$C:$C,0))</f>
        <v>#N/A</v>
      </c>
      <c r="L90" s="261" t="e">
        <f>INDEX(AO!$EK:$EK,MATCH($B90,AO!$C:$C,0))</f>
        <v>#N/A</v>
      </c>
      <c r="M90" s="261" t="e">
        <f>INDEX(AO!$ED:$ED,MATCH($B90,AO!$C:$C,0))</f>
        <v>#N/A</v>
      </c>
      <c r="N90" s="261" t="e">
        <f>INDEX(AO!$DO:$DO,MATCH($B90,AO!$C:$C,0))</f>
        <v>#N/A</v>
      </c>
      <c r="O90" s="261" t="e">
        <f>INDEX(AO!$DS:$DS,MATCH($B90,AO!$C:$C,0))</f>
        <v>#N/A</v>
      </c>
      <c r="P90" s="261" t="e">
        <f t="shared" si="5"/>
        <v>#N/A</v>
      </c>
      <c r="Q90" s="1190">
        <f t="shared" si="6"/>
        <v>0</v>
      </c>
    </row>
    <row r="91" spans="2:17">
      <c r="B91" s="73">
        <f t="shared" si="8"/>
        <v>85</v>
      </c>
      <c r="C91">
        <f t="shared" si="7"/>
        <v>85</v>
      </c>
      <c r="D91" t="e">
        <f>INDEX(AA!$AC:$AC,MATCH($C91,AA!$C:$C,0))</f>
        <v>#N/A</v>
      </c>
      <c r="E91" t="e">
        <f>INDEX(AO!$I:$I,MATCH($C91,AO!$C:$C,0))</f>
        <v>#N/A</v>
      </c>
      <c r="F91" s="261" t="e">
        <f>-INDEX(AO!$AT:$AT,MATCH($B91,AO!$C:$C,0))</f>
        <v>#N/A</v>
      </c>
      <c r="G91" s="261" t="e">
        <f>-INDEX(AO!$AZ:$AZ,MATCH($B91,AO!$C:$C,0))</f>
        <v>#N/A</v>
      </c>
      <c r="H91" s="261" t="e">
        <f>INDEX(AO!$Y:$Y,MATCH($B91,AO!$C:$C,0))</f>
        <v>#N/A</v>
      </c>
      <c r="I91" s="261" t="e">
        <f>INDEX(AO!$EG:$EG,MATCH($B91,AO!$C:$C,0))</f>
        <v>#N/A</v>
      </c>
      <c r="J91" s="261" t="e">
        <f>INDEX(AO!$EI:$EI,MATCH($B91,AO!$C:$C,0))</f>
        <v>#N/A</v>
      </c>
      <c r="K91" s="261" t="e">
        <f>INDEX(AO!$CZ:$CZ,MATCH($B91,AO!$C:$C,0))</f>
        <v>#N/A</v>
      </c>
      <c r="L91" s="261" t="e">
        <f>INDEX(AO!$EK:$EK,MATCH($B91,AO!$C:$C,0))</f>
        <v>#N/A</v>
      </c>
      <c r="M91" s="261" t="e">
        <f>INDEX(AO!$ED:$ED,MATCH($B91,AO!$C:$C,0))</f>
        <v>#N/A</v>
      </c>
      <c r="N91" s="261" t="e">
        <f>INDEX(AO!$DO:$DO,MATCH($B91,AO!$C:$C,0))</f>
        <v>#N/A</v>
      </c>
      <c r="O91" s="261" t="e">
        <f>INDEX(AO!$DS:$DS,MATCH($B91,AO!$C:$C,0))</f>
        <v>#N/A</v>
      </c>
      <c r="P91" s="261" t="e">
        <f t="shared" si="5"/>
        <v>#N/A</v>
      </c>
      <c r="Q91" s="1190">
        <f t="shared" si="6"/>
        <v>0</v>
      </c>
    </row>
    <row r="92" spans="2:17">
      <c r="B92" s="73">
        <f t="shared" si="8"/>
        <v>86</v>
      </c>
      <c r="C92">
        <f t="shared" si="7"/>
        <v>86</v>
      </c>
      <c r="D92" t="e">
        <f>INDEX(AA!$AC:$AC,MATCH($C92,AA!$C:$C,0))</f>
        <v>#N/A</v>
      </c>
      <c r="E92" t="e">
        <f>INDEX(AO!$I:$I,MATCH($C92,AO!$C:$C,0))</f>
        <v>#N/A</v>
      </c>
      <c r="F92" s="261" t="e">
        <f>-INDEX(AO!$AT:$AT,MATCH($B92,AO!$C:$C,0))</f>
        <v>#N/A</v>
      </c>
      <c r="G92" s="261" t="e">
        <f>-INDEX(AO!$AZ:$AZ,MATCH($B92,AO!$C:$C,0))</f>
        <v>#N/A</v>
      </c>
      <c r="H92" s="261" t="e">
        <f>INDEX(AO!$Y:$Y,MATCH($B92,AO!$C:$C,0))</f>
        <v>#N/A</v>
      </c>
      <c r="I92" s="261" t="e">
        <f>INDEX(AO!$EG:$EG,MATCH($B92,AO!$C:$C,0))</f>
        <v>#N/A</v>
      </c>
      <c r="J92" s="261" t="e">
        <f>INDEX(AO!$EI:$EI,MATCH($B92,AO!$C:$C,0))</f>
        <v>#N/A</v>
      </c>
      <c r="K92" s="261" t="e">
        <f>INDEX(AO!$CZ:$CZ,MATCH($B92,AO!$C:$C,0))</f>
        <v>#N/A</v>
      </c>
      <c r="L92" s="261" t="e">
        <f>INDEX(AO!$EK:$EK,MATCH($B92,AO!$C:$C,0))</f>
        <v>#N/A</v>
      </c>
      <c r="M92" s="261" t="e">
        <f>INDEX(AO!$ED:$ED,MATCH($B92,AO!$C:$C,0))</f>
        <v>#N/A</v>
      </c>
      <c r="N92" s="261" t="e">
        <f>INDEX(AO!$DO:$DO,MATCH($B92,AO!$C:$C,0))</f>
        <v>#N/A</v>
      </c>
      <c r="O92" s="261" t="e">
        <f>INDEX(AO!$DS:$DS,MATCH($B92,AO!$C:$C,0))</f>
        <v>#N/A</v>
      </c>
      <c r="P92" s="261" t="e">
        <f t="shared" si="5"/>
        <v>#N/A</v>
      </c>
      <c r="Q92" s="1190">
        <f t="shared" si="6"/>
        <v>0</v>
      </c>
    </row>
    <row r="93" spans="2:17">
      <c r="B93" s="73">
        <f t="shared" si="8"/>
        <v>87</v>
      </c>
      <c r="C93">
        <f t="shared" si="7"/>
        <v>87</v>
      </c>
      <c r="D93" t="e">
        <f>INDEX(AA!$AC:$AC,MATCH($C93,AA!$C:$C,0))</f>
        <v>#N/A</v>
      </c>
      <c r="E93" t="e">
        <f>INDEX(AO!$I:$I,MATCH($C93,AO!$C:$C,0))</f>
        <v>#N/A</v>
      </c>
      <c r="F93" s="261" t="e">
        <f>-INDEX(AO!$AT:$AT,MATCH($B93,AO!$C:$C,0))</f>
        <v>#N/A</v>
      </c>
      <c r="G93" s="261" t="e">
        <f>-INDEX(AO!$AZ:$AZ,MATCH($B93,AO!$C:$C,0))</f>
        <v>#N/A</v>
      </c>
      <c r="H93" s="261" t="e">
        <f>INDEX(AO!$Y:$Y,MATCH($B93,AO!$C:$C,0))</f>
        <v>#N/A</v>
      </c>
      <c r="I93" s="261" t="e">
        <f>INDEX(AO!$EG:$EG,MATCH($B93,AO!$C:$C,0))</f>
        <v>#N/A</v>
      </c>
      <c r="J93" s="261" t="e">
        <f>INDEX(AO!$EI:$EI,MATCH($B93,AO!$C:$C,0))</f>
        <v>#N/A</v>
      </c>
      <c r="K93" s="261" t="e">
        <f>INDEX(AO!$CZ:$CZ,MATCH($B93,AO!$C:$C,0))</f>
        <v>#N/A</v>
      </c>
      <c r="L93" s="261" t="e">
        <f>INDEX(AO!$EK:$EK,MATCH($B93,AO!$C:$C,0))</f>
        <v>#N/A</v>
      </c>
      <c r="M93" s="261" t="e">
        <f>INDEX(AO!$ED:$ED,MATCH($B93,AO!$C:$C,0))</f>
        <v>#N/A</v>
      </c>
      <c r="N93" s="261" t="e">
        <f>INDEX(AO!$DO:$DO,MATCH($B93,AO!$C:$C,0))</f>
        <v>#N/A</v>
      </c>
      <c r="O93" s="261" t="e">
        <f>INDEX(AO!$DS:$DS,MATCH($B93,AO!$C:$C,0))</f>
        <v>#N/A</v>
      </c>
      <c r="P93" s="261" t="e">
        <f t="shared" si="5"/>
        <v>#N/A</v>
      </c>
      <c r="Q93" s="1190">
        <f t="shared" si="6"/>
        <v>0</v>
      </c>
    </row>
    <row r="94" spans="2:17">
      <c r="B94" s="73">
        <f t="shared" si="8"/>
        <v>88</v>
      </c>
      <c r="C94">
        <f t="shared" si="7"/>
        <v>88</v>
      </c>
      <c r="D94" t="e">
        <f>INDEX(AA!$AC:$AC,MATCH($C94,AA!$C:$C,0))</f>
        <v>#N/A</v>
      </c>
      <c r="E94" t="e">
        <f>INDEX(AO!$I:$I,MATCH($C94,AO!$C:$C,0))</f>
        <v>#N/A</v>
      </c>
      <c r="F94" s="261" t="e">
        <f>-INDEX(AO!$AT:$AT,MATCH($B94,AO!$C:$C,0))</f>
        <v>#N/A</v>
      </c>
      <c r="G94" s="261" t="e">
        <f>-INDEX(AO!$AZ:$AZ,MATCH($B94,AO!$C:$C,0))</f>
        <v>#N/A</v>
      </c>
      <c r="H94" s="261" t="e">
        <f>INDEX(AO!$Y:$Y,MATCH($B94,AO!$C:$C,0))</f>
        <v>#N/A</v>
      </c>
      <c r="I94" s="261" t="e">
        <f>INDEX(AO!$EG:$EG,MATCH($B94,AO!$C:$C,0))</f>
        <v>#N/A</v>
      </c>
      <c r="J94" s="261" t="e">
        <f>INDEX(AO!$EI:$EI,MATCH($B94,AO!$C:$C,0))</f>
        <v>#N/A</v>
      </c>
      <c r="K94" s="261" t="e">
        <f>INDEX(AO!$CZ:$CZ,MATCH($B94,AO!$C:$C,0))</f>
        <v>#N/A</v>
      </c>
      <c r="L94" s="261" t="e">
        <f>INDEX(AO!$EK:$EK,MATCH($B94,AO!$C:$C,0))</f>
        <v>#N/A</v>
      </c>
      <c r="M94" s="261" t="e">
        <f>INDEX(AO!$ED:$ED,MATCH($B94,AO!$C:$C,0))</f>
        <v>#N/A</v>
      </c>
      <c r="N94" s="261" t="e">
        <f>INDEX(AO!$DO:$DO,MATCH($B94,AO!$C:$C,0))</f>
        <v>#N/A</v>
      </c>
      <c r="O94" s="261" t="e">
        <f>INDEX(AO!$DS:$DS,MATCH($B94,AO!$C:$C,0))</f>
        <v>#N/A</v>
      </c>
      <c r="P94" s="261" t="e">
        <f t="shared" si="5"/>
        <v>#N/A</v>
      </c>
      <c r="Q94" s="1190">
        <f t="shared" si="6"/>
        <v>0</v>
      </c>
    </row>
    <row r="95" spans="2:17">
      <c r="B95" s="73">
        <f t="shared" si="8"/>
        <v>89</v>
      </c>
      <c r="C95">
        <f t="shared" si="7"/>
        <v>89</v>
      </c>
      <c r="D95" t="e">
        <f>INDEX(AA!$AC:$AC,MATCH($C95,AA!$C:$C,0))</f>
        <v>#N/A</v>
      </c>
      <c r="E95" t="e">
        <f>INDEX(AO!$I:$I,MATCH($C95,AO!$C:$C,0))</f>
        <v>#N/A</v>
      </c>
      <c r="F95" s="261" t="e">
        <f>-INDEX(AO!$AT:$AT,MATCH($B95,AO!$C:$C,0))</f>
        <v>#N/A</v>
      </c>
      <c r="G95" s="261" t="e">
        <f>-INDEX(AO!$AZ:$AZ,MATCH($B95,AO!$C:$C,0))</f>
        <v>#N/A</v>
      </c>
      <c r="H95" s="261" t="e">
        <f>INDEX(AO!$Y:$Y,MATCH($B95,AO!$C:$C,0))</f>
        <v>#N/A</v>
      </c>
      <c r="I95" s="261" t="e">
        <f>INDEX(AO!$EG:$EG,MATCH($B95,AO!$C:$C,0))</f>
        <v>#N/A</v>
      </c>
      <c r="J95" s="261" t="e">
        <f>INDEX(AO!$EI:$EI,MATCH($B95,AO!$C:$C,0))</f>
        <v>#N/A</v>
      </c>
      <c r="K95" s="261" t="e">
        <f>INDEX(AO!$CZ:$CZ,MATCH($B95,AO!$C:$C,0))</f>
        <v>#N/A</v>
      </c>
      <c r="L95" s="261" t="e">
        <f>INDEX(AO!$EK:$EK,MATCH($B95,AO!$C:$C,0))</f>
        <v>#N/A</v>
      </c>
      <c r="M95" s="261" t="e">
        <f>INDEX(AO!$ED:$ED,MATCH($B95,AO!$C:$C,0))</f>
        <v>#N/A</v>
      </c>
      <c r="N95" s="261" t="e">
        <f>INDEX(AO!$DO:$DO,MATCH($B95,AO!$C:$C,0))</f>
        <v>#N/A</v>
      </c>
      <c r="O95" s="261" t="e">
        <f>INDEX(AO!$DS:$DS,MATCH($B95,AO!$C:$C,0))</f>
        <v>#N/A</v>
      </c>
      <c r="P95" s="261" t="e">
        <f t="shared" si="5"/>
        <v>#N/A</v>
      </c>
      <c r="Q95" s="1190">
        <f t="shared" si="6"/>
        <v>0</v>
      </c>
    </row>
    <row r="96" spans="2:17">
      <c r="B96" s="73">
        <f t="shared" si="8"/>
        <v>90</v>
      </c>
      <c r="C96">
        <f t="shared" si="7"/>
        <v>90</v>
      </c>
      <c r="D96" t="e">
        <f>INDEX(AA!$AC:$AC,MATCH($C96,AA!$C:$C,0))</f>
        <v>#N/A</v>
      </c>
      <c r="E96" t="e">
        <f>INDEX(AO!$I:$I,MATCH($C96,AO!$C:$C,0))</f>
        <v>#N/A</v>
      </c>
      <c r="F96" s="261" t="e">
        <f>-INDEX(AO!$AT:$AT,MATCH($B96,AO!$C:$C,0))</f>
        <v>#N/A</v>
      </c>
      <c r="G96" s="261" t="e">
        <f>-INDEX(AO!$AZ:$AZ,MATCH($B96,AO!$C:$C,0))</f>
        <v>#N/A</v>
      </c>
      <c r="H96" s="261" t="e">
        <f>INDEX(AO!$Y:$Y,MATCH($B96,AO!$C:$C,0))</f>
        <v>#N/A</v>
      </c>
      <c r="I96" s="261" t="e">
        <f>INDEX(AO!$EG:$EG,MATCH($B96,AO!$C:$C,0))</f>
        <v>#N/A</v>
      </c>
      <c r="J96" s="261" t="e">
        <f>INDEX(AO!$EI:$EI,MATCH($B96,AO!$C:$C,0))</f>
        <v>#N/A</v>
      </c>
      <c r="K96" s="261" t="e">
        <f>INDEX(AO!$CZ:$CZ,MATCH($B96,AO!$C:$C,0))</f>
        <v>#N/A</v>
      </c>
      <c r="L96" s="261" t="e">
        <f>INDEX(AO!$EK:$EK,MATCH($B96,AO!$C:$C,0))</f>
        <v>#N/A</v>
      </c>
      <c r="M96" s="261" t="e">
        <f>INDEX(AO!$ED:$ED,MATCH($B96,AO!$C:$C,0))</f>
        <v>#N/A</v>
      </c>
      <c r="N96" s="261" t="e">
        <f>INDEX(AO!$DO:$DO,MATCH($B96,AO!$C:$C,0))</f>
        <v>#N/A</v>
      </c>
      <c r="O96" s="261" t="e">
        <f>INDEX(AO!$DS:$DS,MATCH($B96,AO!$C:$C,0))</f>
        <v>#N/A</v>
      </c>
      <c r="P96" s="261" t="e">
        <f t="shared" si="5"/>
        <v>#N/A</v>
      </c>
      <c r="Q96" s="1190">
        <f t="shared" si="6"/>
        <v>0</v>
      </c>
    </row>
    <row r="97" spans="2:17">
      <c r="B97" s="73">
        <f t="shared" si="8"/>
        <v>91</v>
      </c>
      <c r="C97">
        <f t="shared" si="7"/>
        <v>91</v>
      </c>
      <c r="D97" t="e">
        <f>INDEX(AA!$AC:$AC,MATCH($C97,AA!$C:$C,0))</f>
        <v>#N/A</v>
      </c>
      <c r="E97" t="e">
        <f>INDEX(AO!$I:$I,MATCH($C97,AO!$C:$C,0))</f>
        <v>#N/A</v>
      </c>
      <c r="F97" s="261" t="e">
        <f>-INDEX(AO!$AT:$AT,MATCH($B97,AO!$C:$C,0))</f>
        <v>#N/A</v>
      </c>
      <c r="G97" s="261" t="e">
        <f>-INDEX(AO!$AZ:$AZ,MATCH($B97,AO!$C:$C,0))</f>
        <v>#N/A</v>
      </c>
      <c r="H97" s="261" t="e">
        <f>INDEX(AO!$Y:$Y,MATCH($B97,AO!$C:$C,0))</f>
        <v>#N/A</v>
      </c>
      <c r="I97" s="261" t="e">
        <f>INDEX(AO!$EG:$EG,MATCH($B97,AO!$C:$C,0))</f>
        <v>#N/A</v>
      </c>
      <c r="J97" s="261" t="e">
        <f>INDEX(AO!$EI:$EI,MATCH($B97,AO!$C:$C,0))</f>
        <v>#N/A</v>
      </c>
      <c r="K97" s="261" t="e">
        <f>INDEX(AO!$CZ:$CZ,MATCH($B97,AO!$C:$C,0))</f>
        <v>#N/A</v>
      </c>
      <c r="L97" s="261" t="e">
        <f>INDEX(AO!$EK:$EK,MATCH($B97,AO!$C:$C,0))</f>
        <v>#N/A</v>
      </c>
      <c r="M97" s="261" t="e">
        <f>INDEX(AO!$ED:$ED,MATCH($B97,AO!$C:$C,0))</f>
        <v>#N/A</v>
      </c>
      <c r="N97" s="261" t="e">
        <f>INDEX(AO!$DO:$DO,MATCH($B97,AO!$C:$C,0))</f>
        <v>#N/A</v>
      </c>
      <c r="O97" s="261" t="e">
        <f>INDEX(AO!$DS:$DS,MATCH($B97,AO!$C:$C,0))</f>
        <v>#N/A</v>
      </c>
      <c r="P97" s="261" t="e">
        <f t="shared" si="5"/>
        <v>#N/A</v>
      </c>
      <c r="Q97" s="1190">
        <f t="shared" si="6"/>
        <v>0</v>
      </c>
    </row>
    <row r="98" spans="2:17">
      <c r="B98" s="73">
        <f t="shared" si="8"/>
        <v>92</v>
      </c>
      <c r="C98">
        <f t="shared" si="7"/>
        <v>92</v>
      </c>
      <c r="D98" t="e">
        <f>INDEX(AA!$AC:$AC,MATCH($C98,AA!$C:$C,0))</f>
        <v>#N/A</v>
      </c>
      <c r="E98" t="e">
        <f>INDEX(AO!$I:$I,MATCH($C98,AO!$C:$C,0))</f>
        <v>#N/A</v>
      </c>
      <c r="F98" s="261" t="e">
        <f>-INDEX(AO!$AT:$AT,MATCH($B98,AO!$C:$C,0))</f>
        <v>#N/A</v>
      </c>
      <c r="G98" s="261" t="e">
        <f>-INDEX(AO!$AZ:$AZ,MATCH($B98,AO!$C:$C,0))</f>
        <v>#N/A</v>
      </c>
      <c r="H98" s="261" t="e">
        <f>INDEX(AO!$Y:$Y,MATCH($B98,AO!$C:$C,0))</f>
        <v>#N/A</v>
      </c>
      <c r="I98" s="261" t="e">
        <f>INDEX(AO!$EG:$EG,MATCH($B98,AO!$C:$C,0))</f>
        <v>#N/A</v>
      </c>
      <c r="J98" s="261" t="e">
        <f>INDEX(AO!$EI:$EI,MATCH($B98,AO!$C:$C,0))</f>
        <v>#N/A</v>
      </c>
      <c r="K98" s="261" t="e">
        <f>INDEX(AO!$CZ:$CZ,MATCH($B98,AO!$C:$C,0))</f>
        <v>#N/A</v>
      </c>
      <c r="L98" s="261" t="e">
        <f>INDEX(AO!$EK:$EK,MATCH($B98,AO!$C:$C,0))</f>
        <v>#N/A</v>
      </c>
      <c r="M98" s="261" t="e">
        <f>INDEX(AO!$ED:$ED,MATCH($B98,AO!$C:$C,0))</f>
        <v>#N/A</v>
      </c>
      <c r="N98" s="261" t="e">
        <f>INDEX(AO!$DO:$DO,MATCH($B98,AO!$C:$C,0))</f>
        <v>#N/A</v>
      </c>
      <c r="O98" s="261" t="e">
        <f>INDEX(AO!$DS:$DS,MATCH($B98,AO!$C:$C,0))</f>
        <v>#N/A</v>
      </c>
      <c r="P98" s="261" t="e">
        <f t="shared" si="5"/>
        <v>#N/A</v>
      </c>
      <c r="Q98" s="1190">
        <f t="shared" si="6"/>
        <v>0</v>
      </c>
    </row>
    <row r="99" spans="2:17">
      <c r="B99" s="73">
        <f t="shared" si="8"/>
        <v>93</v>
      </c>
      <c r="C99">
        <f t="shared" si="7"/>
        <v>93</v>
      </c>
      <c r="D99" t="e">
        <f>INDEX(AA!$AC:$AC,MATCH($C99,AA!$C:$C,0))</f>
        <v>#N/A</v>
      </c>
      <c r="E99" t="e">
        <f>INDEX(AO!$I:$I,MATCH($C99,AO!$C:$C,0))</f>
        <v>#N/A</v>
      </c>
      <c r="F99" s="261" t="e">
        <f>-INDEX(AO!$AT:$AT,MATCH($B99,AO!$C:$C,0))</f>
        <v>#N/A</v>
      </c>
      <c r="G99" s="261" t="e">
        <f>-INDEX(AO!$AZ:$AZ,MATCH($B99,AO!$C:$C,0))</f>
        <v>#N/A</v>
      </c>
      <c r="H99" s="261" t="e">
        <f>INDEX(AO!$Y:$Y,MATCH($B99,AO!$C:$C,0))</f>
        <v>#N/A</v>
      </c>
      <c r="I99" s="261" t="e">
        <f>INDEX(AO!$EG:$EG,MATCH($B99,AO!$C:$C,0))</f>
        <v>#N/A</v>
      </c>
      <c r="J99" s="261" t="e">
        <f>INDEX(AO!$EI:$EI,MATCH($B99,AO!$C:$C,0))</f>
        <v>#N/A</v>
      </c>
      <c r="K99" s="261" t="e">
        <f>INDEX(AO!$CZ:$CZ,MATCH($B99,AO!$C:$C,0))</f>
        <v>#N/A</v>
      </c>
      <c r="L99" s="261" t="e">
        <f>INDEX(AO!$EK:$EK,MATCH($B99,AO!$C:$C,0))</f>
        <v>#N/A</v>
      </c>
      <c r="M99" s="261" t="e">
        <f>INDEX(AO!$ED:$ED,MATCH($B99,AO!$C:$C,0))</f>
        <v>#N/A</v>
      </c>
      <c r="N99" s="261" t="e">
        <f>INDEX(AO!$DO:$DO,MATCH($B99,AO!$C:$C,0))</f>
        <v>#N/A</v>
      </c>
      <c r="O99" s="261" t="e">
        <f>INDEX(AO!$DS:$DS,MATCH($B99,AO!$C:$C,0))</f>
        <v>#N/A</v>
      </c>
      <c r="P99" s="261" t="e">
        <f t="shared" si="5"/>
        <v>#N/A</v>
      </c>
      <c r="Q99" s="1190">
        <f t="shared" si="6"/>
        <v>0</v>
      </c>
    </row>
    <row r="100" spans="2:17">
      <c r="B100" s="73">
        <f t="shared" si="8"/>
        <v>94</v>
      </c>
      <c r="C100">
        <f t="shared" si="7"/>
        <v>94</v>
      </c>
      <c r="D100" t="e">
        <f>INDEX(AA!$AC:$AC,MATCH($C100,AA!$C:$C,0))</f>
        <v>#N/A</v>
      </c>
      <c r="E100" t="e">
        <f>INDEX(AO!$I:$I,MATCH($C100,AO!$C:$C,0))</f>
        <v>#N/A</v>
      </c>
      <c r="F100" s="261" t="e">
        <f>-INDEX(AO!$AT:$AT,MATCH($B100,AO!$C:$C,0))</f>
        <v>#N/A</v>
      </c>
      <c r="G100" s="261" t="e">
        <f>-INDEX(AO!$AZ:$AZ,MATCH($B100,AO!$C:$C,0))</f>
        <v>#N/A</v>
      </c>
      <c r="H100" s="261" t="e">
        <f>INDEX(AO!$Y:$Y,MATCH($B100,AO!$C:$C,0))</f>
        <v>#N/A</v>
      </c>
      <c r="I100" s="261" t="e">
        <f>INDEX(AO!$EG:$EG,MATCH($B100,AO!$C:$C,0))</f>
        <v>#N/A</v>
      </c>
      <c r="J100" s="261" t="e">
        <f>INDEX(AO!$EI:$EI,MATCH($B100,AO!$C:$C,0))</f>
        <v>#N/A</v>
      </c>
      <c r="K100" s="261" t="e">
        <f>INDEX(AO!$CZ:$CZ,MATCH($B100,AO!$C:$C,0))</f>
        <v>#N/A</v>
      </c>
      <c r="L100" s="261" t="e">
        <f>INDEX(AO!$EK:$EK,MATCH($B100,AO!$C:$C,0))</f>
        <v>#N/A</v>
      </c>
      <c r="M100" s="261" t="e">
        <f>INDEX(AO!$ED:$ED,MATCH($B100,AO!$C:$C,0))</f>
        <v>#N/A</v>
      </c>
      <c r="N100" s="261" t="e">
        <f>INDEX(AO!$DO:$DO,MATCH($B100,AO!$C:$C,0))</f>
        <v>#N/A</v>
      </c>
      <c r="O100" s="261" t="e">
        <f>INDEX(AO!$DS:$DS,MATCH($B100,AO!$C:$C,0))</f>
        <v>#N/A</v>
      </c>
      <c r="P100" s="261" t="e">
        <f t="shared" si="5"/>
        <v>#N/A</v>
      </c>
      <c r="Q100" s="1190">
        <f t="shared" si="6"/>
        <v>0</v>
      </c>
    </row>
    <row r="101" spans="2:17">
      <c r="B101" s="73">
        <f t="shared" si="8"/>
        <v>95</v>
      </c>
      <c r="C101">
        <f t="shared" si="7"/>
        <v>95</v>
      </c>
      <c r="D101" t="e">
        <f>INDEX(AA!$AC:$AC,MATCH($C101,AA!$C:$C,0))</f>
        <v>#N/A</v>
      </c>
      <c r="E101" t="e">
        <f>INDEX(AO!$I:$I,MATCH($C101,AO!$C:$C,0))</f>
        <v>#N/A</v>
      </c>
      <c r="F101" s="261" t="e">
        <f>-INDEX(AO!$AT:$AT,MATCH($B101,AO!$C:$C,0))</f>
        <v>#N/A</v>
      </c>
      <c r="G101" s="261" t="e">
        <f>-INDEX(AO!$AZ:$AZ,MATCH($B101,AO!$C:$C,0))</f>
        <v>#N/A</v>
      </c>
      <c r="H101" s="261" t="e">
        <f>INDEX(AO!$Y:$Y,MATCH($B101,AO!$C:$C,0))</f>
        <v>#N/A</v>
      </c>
      <c r="I101" s="261" t="e">
        <f>INDEX(AO!$EG:$EG,MATCH($B101,AO!$C:$C,0))</f>
        <v>#N/A</v>
      </c>
      <c r="J101" s="261" t="e">
        <f>INDEX(AO!$EI:$EI,MATCH($B101,AO!$C:$C,0))</f>
        <v>#N/A</v>
      </c>
      <c r="K101" s="261" t="e">
        <f>INDEX(AO!$CZ:$CZ,MATCH($B101,AO!$C:$C,0))</f>
        <v>#N/A</v>
      </c>
      <c r="L101" s="261" t="e">
        <f>INDEX(AO!$EK:$EK,MATCH($B101,AO!$C:$C,0))</f>
        <v>#N/A</v>
      </c>
      <c r="M101" s="261" t="e">
        <f>INDEX(AO!$ED:$ED,MATCH($B101,AO!$C:$C,0))</f>
        <v>#N/A</v>
      </c>
      <c r="N101" s="261" t="e">
        <f>INDEX(AO!$DO:$DO,MATCH($B101,AO!$C:$C,0))</f>
        <v>#N/A</v>
      </c>
      <c r="O101" s="261" t="e">
        <f>INDEX(AO!$DS:$DS,MATCH($B101,AO!$C:$C,0))</f>
        <v>#N/A</v>
      </c>
      <c r="P101" s="261" t="e">
        <f t="shared" si="5"/>
        <v>#N/A</v>
      </c>
      <c r="Q101" s="1190">
        <f t="shared" si="6"/>
        <v>0</v>
      </c>
    </row>
    <row r="102" spans="2:17">
      <c r="B102" s="73">
        <f t="shared" si="8"/>
        <v>96</v>
      </c>
      <c r="C102">
        <f t="shared" si="7"/>
        <v>96</v>
      </c>
      <c r="D102" t="e">
        <f>INDEX(AA!$AC:$AC,MATCH($C102,AA!$C:$C,0))</f>
        <v>#N/A</v>
      </c>
      <c r="E102" t="e">
        <f>INDEX(AO!$I:$I,MATCH($C102,AO!$C:$C,0))</f>
        <v>#N/A</v>
      </c>
      <c r="F102" s="261" t="e">
        <f>-INDEX(AO!$AT:$AT,MATCH($B102,AO!$C:$C,0))</f>
        <v>#N/A</v>
      </c>
      <c r="G102" s="261" t="e">
        <f>-INDEX(AO!$AZ:$AZ,MATCH($B102,AO!$C:$C,0))</f>
        <v>#N/A</v>
      </c>
      <c r="H102" s="261" t="e">
        <f>INDEX(AO!$Y:$Y,MATCH($B102,AO!$C:$C,0))</f>
        <v>#N/A</v>
      </c>
      <c r="I102" s="261" t="e">
        <f>INDEX(AO!$EG:$EG,MATCH($B102,AO!$C:$C,0))</f>
        <v>#N/A</v>
      </c>
      <c r="J102" s="261" t="e">
        <f>INDEX(AO!$EI:$EI,MATCH($B102,AO!$C:$C,0))</f>
        <v>#N/A</v>
      </c>
      <c r="K102" s="261" t="e">
        <f>INDEX(AO!$CZ:$CZ,MATCH($B102,AO!$C:$C,0))</f>
        <v>#N/A</v>
      </c>
      <c r="L102" s="261" t="e">
        <f>INDEX(AO!$EK:$EK,MATCH($B102,AO!$C:$C,0))</f>
        <v>#N/A</v>
      </c>
      <c r="M102" s="261" t="e">
        <f>INDEX(AO!$ED:$ED,MATCH($B102,AO!$C:$C,0))</f>
        <v>#N/A</v>
      </c>
      <c r="N102" s="261" t="e">
        <f>INDEX(AO!$DO:$DO,MATCH($B102,AO!$C:$C,0))</f>
        <v>#N/A</v>
      </c>
      <c r="O102" s="261" t="e">
        <f>INDEX(AO!$DS:$DS,MATCH($B102,AO!$C:$C,0))</f>
        <v>#N/A</v>
      </c>
      <c r="P102" s="261" t="e">
        <f t="shared" si="5"/>
        <v>#N/A</v>
      </c>
      <c r="Q102" s="1190">
        <f t="shared" si="6"/>
        <v>0</v>
      </c>
    </row>
    <row r="103" spans="2:17">
      <c r="B103" s="73">
        <f t="shared" si="8"/>
        <v>97</v>
      </c>
      <c r="C103">
        <f t="shared" si="7"/>
        <v>97</v>
      </c>
      <c r="D103" t="e">
        <f>INDEX(AA!$AC:$AC,MATCH($C103,AA!$C:$C,0))</f>
        <v>#N/A</v>
      </c>
      <c r="E103" t="e">
        <f>INDEX(AO!$I:$I,MATCH($C103,AO!$C:$C,0))</f>
        <v>#N/A</v>
      </c>
      <c r="F103" s="261" t="e">
        <f>-INDEX(AO!$AT:$AT,MATCH($B103,AO!$C:$C,0))</f>
        <v>#N/A</v>
      </c>
      <c r="G103" s="261" t="e">
        <f>-INDEX(AO!$AZ:$AZ,MATCH($B103,AO!$C:$C,0))</f>
        <v>#N/A</v>
      </c>
      <c r="H103" s="261" t="e">
        <f>INDEX(AO!$Y:$Y,MATCH($B103,AO!$C:$C,0))</f>
        <v>#N/A</v>
      </c>
      <c r="I103" s="261" t="e">
        <f>INDEX(AO!$EG:$EG,MATCH($B103,AO!$C:$C,0))</f>
        <v>#N/A</v>
      </c>
      <c r="J103" s="261" t="e">
        <f>INDEX(AO!$EI:$EI,MATCH($B103,AO!$C:$C,0))</f>
        <v>#N/A</v>
      </c>
      <c r="K103" s="261" t="e">
        <f>INDEX(AO!$CZ:$CZ,MATCH($B103,AO!$C:$C,0))</f>
        <v>#N/A</v>
      </c>
      <c r="L103" s="261" t="e">
        <f>INDEX(AO!$EK:$EK,MATCH($B103,AO!$C:$C,0))</f>
        <v>#N/A</v>
      </c>
      <c r="M103" s="261" t="e">
        <f>INDEX(AO!$ED:$ED,MATCH($B103,AO!$C:$C,0))</f>
        <v>#N/A</v>
      </c>
      <c r="N103" s="261" t="e">
        <f>INDEX(AO!$DO:$DO,MATCH($B103,AO!$C:$C,0))</f>
        <v>#N/A</v>
      </c>
      <c r="O103" s="261" t="e">
        <f>INDEX(AO!$DS:$DS,MATCH($B103,AO!$C:$C,0))</f>
        <v>#N/A</v>
      </c>
      <c r="P103" s="261" t="e">
        <f t="shared" si="5"/>
        <v>#N/A</v>
      </c>
      <c r="Q103" s="1190">
        <f t="shared" si="6"/>
        <v>0</v>
      </c>
    </row>
    <row r="104" spans="2:17">
      <c r="B104" s="73">
        <f t="shared" si="8"/>
        <v>98</v>
      </c>
      <c r="C104">
        <f t="shared" si="7"/>
        <v>98</v>
      </c>
      <c r="D104" t="e">
        <f>INDEX(AA!$AC:$AC,MATCH($C104,AA!$C:$C,0))</f>
        <v>#N/A</v>
      </c>
      <c r="E104" t="e">
        <f>INDEX(AO!$I:$I,MATCH($C104,AO!$C:$C,0))</f>
        <v>#N/A</v>
      </c>
      <c r="F104" s="261" t="e">
        <f>-INDEX(AO!$AT:$AT,MATCH($B104,AO!$C:$C,0))</f>
        <v>#N/A</v>
      </c>
      <c r="G104" s="261" t="e">
        <f>-INDEX(AO!$AZ:$AZ,MATCH($B104,AO!$C:$C,0))</f>
        <v>#N/A</v>
      </c>
      <c r="H104" s="261" t="e">
        <f>INDEX(AO!$Y:$Y,MATCH($B104,AO!$C:$C,0))</f>
        <v>#N/A</v>
      </c>
      <c r="I104" s="261" t="e">
        <f>INDEX(AO!$EG:$EG,MATCH($B104,AO!$C:$C,0))</f>
        <v>#N/A</v>
      </c>
      <c r="J104" s="261" t="e">
        <f>INDEX(AO!$EI:$EI,MATCH($B104,AO!$C:$C,0))</f>
        <v>#N/A</v>
      </c>
      <c r="K104" s="261" t="e">
        <f>INDEX(AO!$CZ:$CZ,MATCH($B104,AO!$C:$C,0))</f>
        <v>#N/A</v>
      </c>
      <c r="L104" s="261" t="e">
        <f>INDEX(AO!$EK:$EK,MATCH($B104,AO!$C:$C,0))</f>
        <v>#N/A</v>
      </c>
      <c r="M104" s="261" t="e">
        <f>INDEX(AO!$ED:$ED,MATCH($B104,AO!$C:$C,0))</f>
        <v>#N/A</v>
      </c>
      <c r="N104" s="261" t="e">
        <f>INDEX(AO!$DO:$DO,MATCH($B104,AO!$C:$C,0))</f>
        <v>#N/A</v>
      </c>
      <c r="O104" s="261" t="e">
        <f>INDEX(AO!$DS:$DS,MATCH($B104,AO!$C:$C,0))</f>
        <v>#N/A</v>
      </c>
      <c r="P104" s="261" t="e">
        <f t="shared" si="5"/>
        <v>#N/A</v>
      </c>
      <c r="Q104" s="1190">
        <f t="shared" si="6"/>
        <v>0</v>
      </c>
    </row>
    <row r="105" spans="2:17">
      <c r="B105" s="73">
        <f t="shared" si="8"/>
        <v>99</v>
      </c>
      <c r="C105">
        <f t="shared" si="7"/>
        <v>99</v>
      </c>
      <c r="D105" t="e">
        <f>INDEX(AA!$AC:$AC,MATCH($C105,AA!$C:$C,0))</f>
        <v>#N/A</v>
      </c>
      <c r="E105" t="e">
        <f>INDEX(AO!$I:$I,MATCH($C105,AO!$C:$C,0))</f>
        <v>#N/A</v>
      </c>
      <c r="F105" s="261" t="e">
        <f>-INDEX(AO!$AT:$AT,MATCH($B105,AO!$C:$C,0))</f>
        <v>#N/A</v>
      </c>
      <c r="G105" s="261" t="e">
        <f>-INDEX(AO!$AZ:$AZ,MATCH($B105,AO!$C:$C,0))</f>
        <v>#N/A</v>
      </c>
      <c r="H105" s="261" t="e">
        <f>INDEX(AO!$Y:$Y,MATCH($B105,AO!$C:$C,0))</f>
        <v>#N/A</v>
      </c>
      <c r="I105" s="261" t="e">
        <f>INDEX(AO!$EG:$EG,MATCH($B105,AO!$C:$C,0))</f>
        <v>#N/A</v>
      </c>
      <c r="J105" s="261" t="e">
        <f>INDEX(AO!$EI:$EI,MATCH($B105,AO!$C:$C,0))</f>
        <v>#N/A</v>
      </c>
      <c r="K105" s="261" t="e">
        <f>INDEX(AO!$CZ:$CZ,MATCH($B105,AO!$C:$C,0))</f>
        <v>#N/A</v>
      </c>
      <c r="L105" s="261" t="e">
        <f>INDEX(AO!$EK:$EK,MATCH($B105,AO!$C:$C,0))</f>
        <v>#N/A</v>
      </c>
      <c r="M105" s="261" t="e">
        <f>INDEX(AO!$ED:$ED,MATCH($B105,AO!$C:$C,0))</f>
        <v>#N/A</v>
      </c>
      <c r="N105" s="261" t="e">
        <f>INDEX(AO!$DO:$DO,MATCH($B105,AO!$C:$C,0))</f>
        <v>#N/A</v>
      </c>
      <c r="O105" s="261" t="e">
        <f>INDEX(AO!$DS:$DS,MATCH($B105,AO!$C:$C,0))</f>
        <v>#N/A</v>
      </c>
      <c r="P105" s="261" t="e">
        <f t="shared" si="5"/>
        <v>#N/A</v>
      </c>
      <c r="Q105" s="1190">
        <f t="shared" si="6"/>
        <v>0</v>
      </c>
    </row>
    <row r="106" spans="2:17">
      <c r="B106" s="74">
        <v>100</v>
      </c>
      <c r="C106">
        <f t="shared" ref="C106" si="9">B106</f>
        <v>100</v>
      </c>
      <c r="D106" t="e">
        <f>INDEX(AA!$AC:$AC,MATCH($C106,AA!$C:$C,0))</f>
        <v>#N/A</v>
      </c>
      <c r="E106" t="e">
        <f>INDEX(AO!$I:$I,MATCH($C106,AO!$C:$C,0))</f>
        <v>#N/A</v>
      </c>
      <c r="F106" s="261" t="e">
        <f>-INDEX(AO!$AT:$AT,MATCH($B106,AO!$C:$C,0))</f>
        <v>#N/A</v>
      </c>
      <c r="G106" s="261" t="e">
        <f>-INDEX(AO!$AZ:$AZ,MATCH($B106,AO!$C:$C,0))</f>
        <v>#N/A</v>
      </c>
      <c r="H106" s="261" t="e">
        <f>INDEX(AO!$Y:$Y,MATCH($B106,AO!$C:$C,0))</f>
        <v>#N/A</v>
      </c>
      <c r="I106" s="261" t="e">
        <f>INDEX(AO!$EG:$EG,MATCH($B106,AO!$C:$C,0))</f>
        <v>#N/A</v>
      </c>
      <c r="J106" s="261" t="e">
        <f>INDEX(AO!$EI:$EI,MATCH($B106,AO!$C:$C,0))</f>
        <v>#N/A</v>
      </c>
      <c r="K106" s="261" t="e">
        <f>INDEX(AO!$CZ:$CZ,MATCH($B106,AO!$C:$C,0))</f>
        <v>#N/A</v>
      </c>
      <c r="L106" s="261" t="e">
        <f>INDEX(AO!$EK:$EK,MATCH($B106,AO!$C:$C,0))</f>
        <v>#N/A</v>
      </c>
      <c r="M106" s="261" t="e">
        <f>INDEX(AO!$ED:$ED,MATCH($B106,AO!$C:$C,0))</f>
        <v>#N/A</v>
      </c>
      <c r="N106" s="261" t="e">
        <f>INDEX(AO!$DO:$DO,MATCH($B106,AO!$C:$C,0))</f>
        <v>#N/A</v>
      </c>
      <c r="O106" s="261" t="e">
        <f>INDEX(AO!$DS:$DS,MATCH($B106,AO!$C:$C,0))</f>
        <v>#N/A</v>
      </c>
      <c r="P106" s="261" t="e">
        <f t="shared" si="5"/>
        <v>#N/A</v>
      </c>
      <c r="Q106" s="1190">
        <f t="shared" si="6"/>
        <v>0</v>
      </c>
    </row>
    <row r="107" spans="2:17">
      <c r="B107" s="268"/>
      <c r="C107" s="253">
        <f>SUBTOTAL(2,C7:C106)</f>
        <v>100</v>
      </c>
      <c r="D107" s="268"/>
      <c r="E107" s="268"/>
      <c r="F107" s="1143" t="e">
        <f t="shared" ref="F107:P107" si="10">SUBTOTAL(9,F7:F106)</f>
        <v>#N/A</v>
      </c>
      <c r="G107" s="1143" t="e">
        <f t="shared" si="10"/>
        <v>#N/A</v>
      </c>
      <c r="H107" s="1143" t="e">
        <f t="shared" si="10"/>
        <v>#N/A</v>
      </c>
      <c r="I107" s="1143" t="e">
        <f t="shared" si="10"/>
        <v>#N/A</v>
      </c>
      <c r="J107" s="1143" t="e">
        <f t="shared" si="10"/>
        <v>#N/A</v>
      </c>
      <c r="K107" s="1143" t="e">
        <f t="shared" si="10"/>
        <v>#N/A</v>
      </c>
      <c r="L107" s="1143" t="e">
        <f t="shared" si="10"/>
        <v>#N/A</v>
      </c>
      <c r="M107" s="1143" t="e">
        <f t="shared" si="10"/>
        <v>#N/A</v>
      </c>
      <c r="N107" s="1143" t="e">
        <f t="shared" si="10"/>
        <v>#N/A</v>
      </c>
      <c r="O107" s="1143" t="e">
        <f t="shared" si="10"/>
        <v>#N/A</v>
      </c>
      <c r="P107" s="1143" t="e">
        <f t="shared" si="10"/>
        <v>#N/A</v>
      </c>
      <c r="Q107" s="867">
        <f t="shared" si="6"/>
        <v>0</v>
      </c>
    </row>
  </sheetData>
  <pageMargins left="0.7" right="0.7" top="0.75" bottom="0.75" header="0.3" footer="0.3"/>
  <pageSetup paperSize="9" scale="44"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AEC90-CB7E-474A-93C5-94B3450D920B}">
  <sheetPr codeName="Sheet35">
    <tabColor rgb="FF7030A0"/>
  </sheetPr>
  <dimension ref="A1:EU45"/>
  <sheetViews>
    <sheetView workbookViewId="0"/>
  </sheetViews>
  <sheetFormatPr baseColWidth="10" defaultColWidth="8.7109375" defaultRowHeight="15"/>
  <cols>
    <col min="2" max="2" width="23.7109375" bestFit="1" customWidth="1"/>
    <col min="3" max="3" width="16.5703125" bestFit="1" customWidth="1"/>
    <col min="5" max="5" width="13.28515625" bestFit="1" customWidth="1"/>
    <col min="7" max="7" width="17.42578125" customWidth="1"/>
    <col min="8" max="8" width="14" customWidth="1"/>
    <col min="9" max="9" width="21.28515625" customWidth="1"/>
    <col min="10" max="10" width="25" customWidth="1"/>
    <col min="11" max="11" width="12" customWidth="1"/>
    <col min="15" max="15" width="15.7109375" bestFit="1" customWidth="1"/>
    <col min="16" max="16" width="15.42578125" bestFit="1" customWidth="1"/>
    <col min="17" max="17" width="12.5703125" bestFit="1" customWidth="1"/>
    <col min="20" max="21" width="12.42578125" bestFit="1" customWidth="1"/>
  </cols>
  <sheetData>
    <row r="1" spans="1:151" s="35" customFormat="1">
      <c r="A1" s="1" t="str">
        <f ca="1">UPPER(MID(CELL("filename",A1),FIND("[",CELL("filename",A1))+1,FIND("]",CELL("filename",A1))-FIND("[",CELL("filename",A1))-5))</f>
        <v>VORLAGE.</v>
      </c>
      <c r="B1" s="1"/>
      <c r="E1" s="58"/>
      <c r="F1" s="58"/>
      <c r="G1" s="58"/>
      <c r="I1" s="58"/>
      <c r="J1" s="58"/>
      <c r="K1" s="58"/>
      <c r="L1" s="58"/>
      <c r="M1" s="58"/>
      <c r="Z1" s="58"/>
      <c r="BC1" s="58"/>
      <c r="BG1" s="58"/>
      <c r="BH1" s="58"/>
      <c r="BU1" s="58"/>
      <c r="CH1" s="58"/>
      <c r="CU1" s="58"/>
      <c r="CV1" s="58"/>
      <c r="CW1" s="58"/>
      <c r="CX1" s="58"/>
      <c r="CY1" s="58"/>
      <c r="DQ1" s="58"/>
      <c r="DW1" s="58"/>
      <c r="ES1" s="58"/>
      <c r="EU1" s="58"/>
    </row>
    <row r="2" spans="1:151" s="35" customFormat="1">
      <c r="A2" s="1" t="s">
        <v>1412</v>
      </c>
      <c r="B2" s="1"/>
      <c r="E2" s="58"/>
      <c r="F2" s="58"/>
      <c r="G2" s="58"/>
      <c r="I2" s="58"/>
      <c r="J2" s="58"/>
      <c r="K2" s="58"/>
      <c r="L2" s="58"/>
      <c r="M2" s="58"/>
      <c r="Z2" s="58"/>
      <c r="BC2" s="58"/>
      <c r="BG2" s="58"/>
      <c r="BH2" s="58"/>
      <c r="BU2" s="58"/>
      <c r="CH2" s="58"/>
      <c r="CU2" s="58"/>
      <c r="CV2" s="58"/>
      <c r="CW2" s="58"/>
      <c r="CX2" s="58"/>
      <c r="CY2" s="58"/>
      <c r="DQ2" s="58"/>
      <c r="DW2" s="58"/>
      <c r="ES2" s="58"/>
      <c r="EU2" s="58"/>
    </row>
    <row r="3" spans="1:151" s="35" customFormat="1" ht="17.25">
      <c r="E3" s="58"/>
      <c r="F3" s="58"/>
      <c r="G3" s="58"/>
      <c r="I3" s="58"/>
      <c r="J3" s="58"/>
      <c r="K3" s="58"/>
      <c r="L3" s="58"/>
      <c r="M3" s="58"/>
      <c r="Z3" s="58"/>
      <c r="AD3" s="156"/>
      <c r="AE3" s="156"/>
      <c r="AF3" s="156"/>
      <c r="BC3" s="58"/>
      <c r="BG3" s="58"/>
      <c r="BH3" s="58"/>
      <c r="BU3" s="58"/>
      <c r="CH3" s="58"/>
      <c r="CU3" s="58"/>
      <c r="CV3" s="58"/>
      <c r="CW3" s="58"/>
      <c r="CX3" s="58"/>
      <c r="CY3" s="58"/>
      <c r="DQ3" s="58"/>
      <c r="DW3" s="58"/>
      <c r="ES3" s="58"/>
      <c r="EU3" s="58"/>
    </row>
    <row r="4" spans="1:151" s="35" customFormat="1">
      <c r="E4" s="58"/>
      <c r="F4" s="58"/>
      <c r="G4" s="58"/>
      <c r="I4" s="58"/>
      <c r="J4" s="58"/>
      <c r="K4" s="58"/>
      <c r="L4" s="58"/>
      <c r="M4" s="58"/>
      <c r="Z4" s="58"/>
      <c r="AD4" s="157"/>
      <c r="AE4" s="157"/>
      <c r="AF4" s="157"/>
      <c r="BC4" s="58"/>
      <c r="BG4" s="58"/>
      <c r="BH4" s="58"/>
      <c r="BU4" s="58"/>
      <c r="CH4" s="58"/>
      <c r="CU4" s="58"/>
      <c r="CV4" s="58"/>
      <c r="CW4" s="58"/>
      <c r="CX4" s="58"/>
      <c r="CY4" s="58"/>
      <c r="DQ4" s="58"/>
      <c r="DW4" s="58"/>
      <c r="ES4" s="58"/>
      <c r="EU4" s="58"/>
    </row>
    <row r="19" spans="15:21">
      <c r="O19" t="s">
        <v>334</v>
      </c>
      <c r="S19" t="s">
        <v>1443</v>
      </c>
    </row>
    <row r="21" spans="15:21">
      <c r="S21" t="s">
        <v>442</v>
      </c>
      <c r="T21">
        <v>0</v>
      </c>
      <c r="U21" s="259">
        <f>-SUM(DCF!R71:S74)</f>
        <v>2357438.2092934325</v>
      </c>
    </row>
    <row r="22" spans="15:21">
      <c r="S22" t="s">
        <v>499</v>
      </c>
      <c r="T22" s="259">
        <f>U21-U22</f>
        <v>1703388.2092934325</v>
      </c>
      <c r="U22" s="1468">
        <f>-SUM(DCF!R73:S74)</f>
        <v>654050</v>
      </c>
    </row>
    <row r="23" spans="15:21">
      <c r="O23" t="s">
        <v>56</v>
      </c>
      <c r="P23" s="259">
        <f t="shared" ref="P23:P24" si="0">SUM(P22:Q22)</f>
        <v>0</v>
      </c>
      <c r="Q23" s="259">
        <f>PP</f>
        <v>5000000</v>
      </c>
      <c r="S23" t="s">
        <v>56</v>
      </c>
      <c r="T23" s="259">
        <v>0</v>
      </c>
      <c r="U23" s="259">
        <f>PP</f>
        <v>5000000</v>
      </c>
    </row>
    <row r="24" spans="15:21">
      <c r="O24" t="s">
        <v>1450</v>
      </c>
      <c r="P24" s="259">
        <f t="shared" si="0"/>
        <v>5000000</v>
      </c>
      <c r="Q24" s="259">
        <f>$C$37</f>
        <v>-1400000</v>
      </c>
      <c r="S24" t="s">
        <v>1450</v>
      </c>
      <c r="T24" s="259">
        <f t="shared" ref="T24" si="1">SUM(T23:U23)</f>
        <v>5000000</v>
      </c>
      <c r="U24" s="259">
        <f>$C$37</f>
        <v>-1400000</v>
      </c>
    </row>
    <row r="25" spans="15:21">
      <c r="O25" t="s">
        <v>1419</v>
      </c>
      <c r="P25" s="259">
        <f>SUM(P24:Q24)</f>
        <v>3600000</v>
      </c>
      <c r="Q25" s="259">
        <f>$C$38</f>
        <v>0</v>
      </c>
      <c r="S25" t="s">
        <v>1419</v>
      </c>
      <c r="T25" s="259">
        <f>SUM(T24:U24)</f>
        <v>3600000</v>
      </c>
      <c r="U25" s="259">
        <f>$C$38</f>
        <v>0</v>
      </c>
    </row>
    <row r="26" spans="15:21">
      <c r="O26" t="s">
        <v>402</v>
      </c>
      <c r="P26" s="259">
        <f t="shared" ref="P26:P27" si="2">SUM(P25:Q25)</f>
        <v>3600000</v>
      </c>
      <c r="Q26" s="259">
        <f>$C$39</f>
        <v>81609.018749996962</v>
      </c>
      <c r="S26" t="s">
        <v>402</v>
      </c>
      <c r="T26" s="259">
        <f t="shared" ref="T26:T27" si="3">SUM(T25:U25)</f>
        <v>3600000</v>
      </c>
      <c r="U26" s="259">
        <f>$C$39</f>
        <v>81609.018749996962</v>
      </c>
    </row>
    <row r="27" spans="15:21">
      <c r="O27" t="s">
        <v>232</v>
      </c>
      <c r="P27" s="259">
        <f t="shared" si="2"/>
        <v>3681609.018749997</v>
      </c>
      <c r="Q27" s="261">
        <f>$C$40</f>
        <v>0</v>
      </c>
      <c r="S27" t="s">
        <v>232</v>
      </c>
      <c r="T27" s="259">
        <f t="shared" si="3"/>
        <v>3681609.018749997</v>
      </c>
      <c r="U27" s="261">
        <f>$C$40</f>
        <v>0</v>
      </c>
    </row>
    <row r="28" spans="15:21">
      <c r="O28" t="s">
        <v>474</v>
      </c>
      <c r="P28">
        <v>0</v>
      </c>
      <c r="Q28" s="259">
        <f>AO!$DJ$22</f>
        <v>3681609.018749997</v>
      </c>
      <c r="S28" t="s">
        <v>474</v>
      </c>
      <c r="T28">
        <v>0</v>
      </c>
      <c r="U28" s="259">
        <f>AO!$DJ$22</f>
        <v>3681609.018749997</v>
      </c>
    </row>
    <row r="29" spans="15:21">
      <c r="S29" t="s">
        <v>1442</v>
      </c>
      <c r="T29" s="259">
        <f>U28-U29</f>
        <v>3676822.9270256222</v>
      </c>
      <c r="U29" s="259">
        <f>-SUM(DCF!BI145:BI146,DCF!BI148:BI149)</f>
        <v>4786.0917243749955</v>
      </c>
    </row>
    <row r="30" spans="15:21">
      <c r="S30" t="s">
        <v>936</v>
      </c>
      <c r="T30">
        <v>0</v>
      </c>
      <c r="U30" s="259">
        <f>DCF!BI150</f>
        <v>3676822.9270256222</v>
      </c>
    </row>
    <row r="33" spans="2:16">
      <c r="G33" s="261"/>
    </row>
    <row r="34" spans="2:16">
      <c r="G34" s="155"/>
    </row>
    <row r="36" spans="2:16">
      <c r="B36" s="39" t="s">
        <v>1413</v>
      </c>
      <c r="H36" s="259"/>
    </row>
    <row r="37" spans="2:16">
      <c r="B37" t="s">
        <v>1450</v>
      </c>
      <c r="C37" s="261">
        <f>SUMPRODUCT(AA!BB13:BB15,AA!M13:M15)-PP</f>
        <v>-1400000</v>
      </c>
    </row>
    <row r="38" spans="2:16">
      <c r="B38" t="s">
        <v>1419</v>
      </c>
      <c r="C38" s="261">
        <f>SUMPRODUCT(E43:E45,G43:G45)</f>
        <v>0</v>
      </c>
      <c r="I38" s="155"/>
    </row>
    <row r="39" spans="2:16">
      <c r="B39" t="s">
        <v>1414</v>
      </c>
      <c r="C39" s="261">
        <f>SUMPRODUCT(E43:E45,K43:K45)</f>
        <v>81609.018749996962</v>
      </c>
    </row>
    <row r="40" spans="2:16">
      <c r="B40" t="s">
        <v>232</v>
      </c>
      <c r="C40" s="261">
        <f>SUMPRODUCT(E43:E45,H43:H45)</f>
        <v>0</v>
      </c>
    </row>
    <row r="42" spans="2:16" ht="45">
      <c r="C42" t="s">
        <v>4</v>
      </c>
      <c r="D42" t="s">
        <v>1435</v>
      </c>
      <c r="E42" t="s">
        <v>1436</v>
      </c>
      <c r="F42" t="s">
        <v>151</v>
      </c>
      <c r="G42" s="1467" t="s">
        <v>1437</v>
      </c>
      <c r="H42" s="1467" t="s">
        <v>1438</v>
      </c>
      <c r="I42" s="1467" t="s">
        <v>1439</v>
      </c>
      <c r="J42" s="1467" t="s">
        <v>1440</v>
      </c>
      <c r="K42" s="1467" t="s">
        <v>1441</v>
      </c>
    </row>
    <row r="43" spans="2:16">
      <c r="C43">
        <f>RR!C23</f>
        <v>1</v>
      </c>
      <c r="D43" t="str">
        <f>RR!E23</f>
        <v>1 - 1</v>
      </c>
      <c r="E43" s="1466">
        <f>IFERROR(INDEX(AA!$M$13:$M$15,MATCH(C43,AA!$C$13:$C$15,0)),0)</f>
        <v>12</v>
      </c>
      <c r="F43">
        <f>IFERROR(INDEX(AA!$AA$13:$AA$15,MATCH(C43,AA!$C$13:$C$15,0)),0)</f>
        <v>12</v>
      </c>
      <c r="G43" s="261">
        <f>IFERROR(INDEX(LU!$T$83:$BG$85,MATCH(D43,LU!$D$83:$D$85,0),F43)*4,0)</f>
        <v>0</v>
      </c>
      <c r="H43" s="261">
        <f>IFERROR(INDEX(RL!$N$83:$N$85,MATCH(D43,RL!$D$83:$D$85,0))*INDEX(RL!$T$29:$BG$31,MATCH(D43,RL!$D$29:$D$31,0),F43)*INDEX(RL!$S$15:$BG$15,MATCH(F43,RL!$S$5:$BG$5,0)),0)</f>
        <v>0</v>
      </c>
      <c r="I43" s="261">
        <f>IFERROR(INDEX(TA!$AJ$15:$AJ$17,MATCH(D43,TA!$D$15:$D$17,0)),0)</f>
        <v>100000</v>
      </c>
      <c r="J43" s="261">
        <f>IFERROR((INDEX(IP!$T$92:$BG$94,MATCH(D43,IP!$D$92:$D$94,0),F43)+INDEX(RN!$T$89:$BG$91,MATCH(D43,RN!$D$89:$D$91,0),F43)+INDEX(RL!$T$83:$BG$85,MATCH(D43,RL!$D$83:$D$85,0),F43))*4-H43,0)</f>
        <v>102266.91718749992</v>
      </c>
      <c r="K43" s="261">
        <f>J43-I43</f>
        <v>2266.9171874999156</v>
      </c>
    </row>
    <row r="44" spans="2:16">
      <c r="C44">
        <f>RR!C24</f>
        <v>2</v>
      </c>
      <c r="D44" t="str">
        <f>RR!E24</f>
        <v>2 - 1</v>
      </c>
      <c r="E44" s="1466">
        <f>IFERROR(INDEX(AA!$M$13:$M$15,MATCH(C44,AA!$C$13:$C$15,0)),0)</f>
        <v>12</v>
      </c>
      <c r="F44">
        <f>IFERROR(INDEX(AA!$AA$13:$AA$15,MATCH(C44,AA!$C$13:$C$15,0)),0)</f>
        <v>12</v>
      </c>
      <c r="G44" s="261">
        <f>IFERROR(INDEX(LU!$T$83:$BG$85,MATCH(D44,LU!$D$83:$D$85,0),F44)*4,0)</f>
        <v>0</v>
      </c>
      <c r="H44" s="261">
        <f>IFERROR(INDEX(RL!$N$83:$N$85,MATCH(D44,RL!$D$83:$D$85,0))*INDEX(RL!$T$29:$BG$31,MATCH(D44,RL!$D$29:$D$31,0),F44)*INDEX(RL!$S$15:$BG$15,MATCH(F44,RL!$S$5:$BG$5,0)),0)</f>
        <v>0</v>
      </c>
      <c r="I44" s="261">
        <f>IFERROR(INDEX(TA!$AJ$15:$AJ$17,MATCH(D44,TA!$D$15:$D$17,0)),0)</f>
        <v>100000</v>
      </c>
      <c r="J44" s="261">
        <f>IFERROR((INDEX(IP!$T$92:$BG$94,MATCH(D44,IP!$D$92:$D$94,0),F44)+INDEX(RN!$T$89:$BG$91,MATCH(D44,RN!$D$89:$D$91,0),F44)+INDEX(RL!$T$83:$BG$85,MATCH(D44,RL!$D$83:$D$85,0),F44))*4-H44,0)</f>
        <v>102266.91718749992</v>
      </c>
      <c r="K44" s="261">
        <f t="shared" ref="K44" si="4">J44-I44</f>
        <v>2266.9171874999156</v>
      </c>
    </row>
    <row r="45" spans="2:16">
      <c r="C45">
        <f>RR!C25</f>
        <v>3</v>
      </c>
      <c r="D45" t="str">
        <f>RR!E25</f>
        <v>3 - 1</v>
      </c>
      <c r="E45" s="1466">
        <f>IFERROR(INDEX(AA!$M$13:$M$15,MATCH(C45,AA!$C$13:$C$15,0)),0)</f>
        <v>12</v>
      </c>
      <c r="F45">
        <f>IFERROR(INDEX(AA!$AA$13:$AA$15,MATCH(C45,AA!$C$13:$C$15,0)),0)</f>
        <v>12</v>
      </c>
      <c r="G45" s="261">
        <f>IFERROR(INDEX(LU!$T$83:$BG$85,MATCH(D45,LU!$D$83:$D$85,0),F45)*4,0)</f>
        <v>0</v>
      </c>
      <c r="H45" s="261">
        <f>IFERROR(INDEX(RL!$N$83:$N$85,MATCH(D45,RL!$D$83:$D$85,0))*INDEX(RL!$T$29:$BG$31,MATCH(D45,RL!$D$29:$D$31,0),F45)*INDEX(RL!$S$15:$BG$15,MATCH(F45,RL!$S$5:$BG$5,0)),0)</f>
        <v>0</v>
      </c>
      <c r="I45" s="261">
        <f>IFERROR(INDEX(TA!$AJ$15:$AJ$17,MATCH(D45,TA!$D$15:$D$17,0)),0)</f>
        <v>100000</v>
      </c>
      <c r="J45" s="261">
        <f>IFERROR((INDEX(IP!$T$92:$BG$94,MATCH(D45,IP!$D$92:$D$94,0),F45)+INDEX(RN!$T$89:$BG$91,MATCH(D45,RN!$D$89:$D$91,0),F45)+INDEX(RL!$T$83:$BG$85,MATCH(D45,RL!$D$83:$D$85,0),F45))*4-H45,0)</f>
        <v>102266.91718749992</v>
      </c>
      <c r="K45" s="261">
        <f t="shared" ref="K45" si="5">J45-I45</f>
        <v>2266.9171874999156</v>
      </c>
      <c r="O45" t="s">
        <v>442</v>
      </c>
      <c r="P45" s="1506">
        <f>-AO!AZ22/1000</f>
        <v>-5654.05</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A17F7-0C40-4589-BEDC-45E97809377A}">
  <sheetPr codeName="Sheet27">
    <tabColor rgb="FF7030A0"/>
  </sheetPr>
  <dimension ref="A1:FH17"/>
  <sheetViews>
    <sheetView workbookViewId="0"/>
  </sheetViews>
  <sheetFormatPr baseColWidth="10" defaultColWidth="8.7109375" defaultRowHeight="15"/>
  <cols>
    <col min="2" max="2" width="3" bestFit="1" customWidth="1"/>
    <col min="3" max="3" width="16.28515625" bestFit="1" customWidth="1"/>
    <col min="4" max="4" width="9.7109375" bestFit="1" customWidth="1"/>
    <col min="5" max="5" width="17.42578125" customWidth="1"/>
    <col min="6" max="6" width="9.7109375" bestFit="1" customWidth="1"/>
    <col min="7" max="8" width="10.7109375" bestFit="1" customWidth="1"/>
    <col min="9" max="9" width="9.7109375" bestFit="1" customWidth="1"/>
    <col min="10" max="10" width="17.42578125" customWidth="1"/>
    <col min="11" max="11" width="10" customWidth="1"/>
    <col min="12" max="14" width="10.7109375" bestFit="1" customWidth="1"/>
    <col min="15" max="15" width="11.28515625" bestFit="1" customWidth="1"/>
    <col min="16" max="16" width="11.28515625" customWidth="1"/>
    <col min="20" max="23" width="15.5703125" customWidth="1"/>
  </cols>
  <sheetData>
    <row r="1" spans="1:164" s="35" customFormat="1">
      <c r="A1" s="1" t="str">
        <f ca="1">UPPER(MID(CELL("filename",A1),FIND("[",CELL("filename",A1))+1,FIND("]",CELL("filename",A1))-FIND("[",CELL("filename",A1))-5))</f>
        <v>VORLAGE.</v>
      </c>
      <c r="B1" s="1"/>
      <c r="D1" s="58"/>
      <c r="F1" s="58"/>
      <c r="G1" s="58"/>
      <c r="H1" s="58"/>
      <c r="I1" s="58"/>
      <c r="J1" s="58"/>
      <c r="K1" s="58"/>
      <c r="L1" s="58"/>
      <c r="M1" s="58"/>
      <c r="AE1" s="58"/>
      <c r="AF1" s="58"/>
      <c r="AG1" s="58"/>
      <c r="AH1" s="58"/>
      <c r="AI1" s="58"/>
      <c r="AJ1" s="58"/>
      <c r="BP1" s="58"/>
      <c r="BT1" s="58"/>
      <c r="BU1" s="58"/>
      <c r="CH1" s="58"/>
      <c r="CU1" s="58"/>
      <c r="DH1" s="58"/>
      <c r="DI1" s="58"/>
      <c r="DJ1" s="58"/>
      <c r="DK1" s="58"/>
      <c r="DL1" s="58"/>
      <c r="ED1" s="58"/>
      <c r="EJ1" s="58"/>
      <c r="FF1" s="58"/>
      <c r="FH1" s="58"/>
    </row>
    <row r="2" spans="1:164" s="35" customFormat="1">
      <c r="A2" s="1" t="s">
        <v>1488</v>
      </c>
      <c r="B2" s="1"/>
      <c r="D2" s="58"/>
      <c r="F2" s="58"/>
      <c r="G2" s="58"/>
      <c r="H2" s="58"/>
      <c r="I2" s="58"/>
      <c r="J2" s="58"/>
      <c r="K2" s="58"/>
      <c r="L2" s="58"/>
      <c r="M2" s="58"/>
      <c r="AE2" s="58"/>
      <c r="AF2" s="58"/>
      <c r="AG2" s="58"/>
      <c r="AH2" s="58"/>
      <c r="AI2" s="58"/>
      <c r="AJ2" s="58"/>
      <c r="BP2" s="58"/>
      <c r="BT2" s="58"/>
      <c r="BU2" s="58"/>
      <c r="CH2" s="58"/>
      <c r="CU2" s="58"/>
      <c r="DH2" s="58"/>
      <c r="DI2" s="58"/>
      <c r="DJ2" s="58"/>
      <c r="DK2" s="58"/>
      <c r="DL2" s="58"/>
      <c r="ED2" s="58"/>
      <c r="EJ2" s="58"/>
      <c r="FF2" s="58"/>
      <c r="FH2" s="58"/>
    </row>
    <row r="3" spans="1:164" s="35" customFormat="1" ht="17.25">
      <c r="D3" s="58"/>
      <c r="F3" s="58"/>
      <c r="G3" s="58"/>
      <c r="H3" s="58"/>
      <c r="I3" s="58"/>
      <c r="J3" s="58"/>
      <c r="K3" s="58"/>
      <c r="L3" s="58"/>
      <c r="M3" s="58"/>
      <c r="P3" s="156"/>
      <c r="Q3" s="156"/>
      <c r="R3" s="156"/>
      <c r="AE3" s="58"/>
      <c r="AF3" s="58"/>
      <c r="AG3" s="58"/>
      <c r="AH3" s="58"/>
      <c r="AI3" s="58"/>
      <c r="AJ3" s="58"/>
      <c r="BP3" s="58"/>
      <c r="BT3" s="58"/>
      <c r="BU3" s="58"/>
      <c r="CH3" s="58"/>
      <c r="CU3" s="58"/>
      <c r="DH3" s="58"/>
      <c r="DI3" s="58"/>
      <c r="DJ3" s="58"/>
      <c r="DK3" s="58"/>
      <c r="DL3" s="58"/>
      <c r="ED3" s="58"/>
      <c r="EJ3" s="58"/>
      <c r="FF3" s="58"/>
      <c r="FH3" s="58"/>
    </row>
    <row r="4" spans="1:164" s="35" customFormat="1">
      <c r="D4" s="58"/>
      <c r="F4" s="58"/>
      <c r="G4" s="58"/>
      <c r="H4" s="58"/>
      <c r="I4" s="58"/>
      <c r="J4" s="58"/>
      <c r="K4" s="58"/>
      <c r="L4" s="58"/>
      <c r="M4" s="58"/>
      <c r="P4" s="157"/>
      <c r="Q4" s="157"/>
      <c r="R4" s="157"/>
      <c r="AE4" s="58"/>
      <c r="AF4" s="58"/>
      <c r="AG4" s="58"/>
      <c r="AH4" s="58"/>
      <c r="AI4" s="58"/>
      <c r="AJ4" s="58"/>
      <c r="BP4" s="58"/>
      <c r="BT4" s="58"/>
      <c r="BU4" s="58"/>
      <c r="CH4" s="58"/>
      <c r="CU4" s="58"/>
      <c r="DH4" s="58"/>
      <c r="DI4" s="58"/>
      <c r="DJ4" s="58"/>
      <c r="DK4" s="58"/>
      <c r="DL4" s="58"/>
      <c r="ED4" s="58"/>
      <c r="EJ4" s="58"/>
      <c r="FF4" s="58"/>
      <c r="FH4" s="58"/>
    </row>
    <row r="6" spans="1:164">
      <c r="S6" t="s">
        <v>1283</v>
      </c>
    </row>
    <row r="7" spans="1:164">
      <c r="R7" s="194"/>
      <c r="S7" s="269"/>
      <c r="T7" s="269"/>
      <c r="U7" s="269"/>
      <c r="V7" s="269"/>
      <c r="W7" s="269"/>
      <c r="X7" s="316"/>
    </row>
    <row r="8" spans="1:164">
      <c r="B8" s="1"/>
      <c r="C8" s="1"/>
      <c r="D8" s="1526" t="s">
        <v>1489</v>
      </c>
      <c r="E8" s="19"/>
      <c r="F8" s="19"/>
      <c r="G8" s="19"/>
      <c r="H8" s="19"/>
      <c r="I8" s="1526" t="s">
        <v>1490</v>
      </c>
      <c r="J8" s="19"/>
      <c r="K8" s="19"/>
      <c r="L8" s="19"/>
      <c r="M8" s="19"/>
      <c r="N8" s="1527"/>
      <c r="O8" s="1"/>
      <c r="P8" s="1"/>
      <c r="R8" s="77"/>
      <c r="T8" s="39" t="s">
        <v>1490</v>
      </c>
      <c r="X8" s="151"/>
    </row>
    <row r="9" spans="1:164" ht="33.75" customHeight="1">
      <c r="B9" s="1" t="s">
        <v>1089</v>
      </c>
      <c r="C9" s="1" t="s">
        <v>6</v>
      </c>
      <c r="D9" s="1528" t="s">
        <v>1491</v>
      </c>
      <c r="E9" s="1529" t="s">
        <v>1492</v>
      </c>
      <c r="F9" s="1529" t="s">
        <v>1493</v>
      </c>
      <c r="G9" s="1" t="s">
        <v>936</v>
      </c>
      <c r="H9" s="1" t="s">
        <v>1494</v>
      </c>
      <c r="I9" s="1528" t="s">
        <v>1491</v>
      </c>
      <c r="J9" s="1529" t="s">
        <v>1492</v>
      </c>
      <c r="K9" s="1529" t="s">
        <v>1493</v>
      </c>
      <c r="L9" s="1" t="s">
        <v>936</v>
      </c>
      <c r="M9" s="1" t="s">
        <v>1494</v>
      </c>
      <c r="N9" s="1527" t="s">
        <v>1495</v>
      </c>
      <c r="O9" s="1" t="s">
        <v>1078</v>
      </c>
      <c r="P9" s="1529" t="s">
        <v>1496</v>
      </c>
      <c r="R9" s="77"/>
      <c r="S9" s="1467" t="s">
        <v>1089</v>
      </c>
      <c r="T9" s="1467" t="s">
        <v>1491</v>
      </c>
      <c r="U9" s="1467" t="s">
        <v>1492</v>
      </c>
      <c r="V9" s="1467" t="s">
        <v>1493</v>
      </c>
      <c r="W9" s="1467" t="s">
        <v>936</v>
      </c>
      <c r="X9" s="151"/>
    </row>
    <row r="10" spans="1:164">
      <c r="B10" s="1536">
        <f>S10</f>
        <v>0</v>
      </c>
      <c r="C10" s="1536">
        <f>IFERROR(INDEX(AA!$AC$13:$AC$15,MATCH($B10,AA!$C$13:$C$15,0)),0)</f>
        <v>0</v>
      </c>
      <c r="D10" s="1530">
        <f>IFERROR(INDEX(PCF!$BI$161:$BI$163,MATCH(B10,PCF!$C$161:$C$163,0)),0)</f>
        <v>0</v>
      </c>
      <c r="E10" s="613">
        <f>IFERROR(INDEX(AO!$CY$18:$CY$20,MATCH(B10,AO!$C$18:$C$20,0)),0)</f>
        <v>0</v>
      </c>
      <c r="F10" s="613">
        <f>IFERROR(INDEX(AO!$CG$18:$CG$20,MATCH(B10,AO!$C$18:$C$20,0)),0)</f>
        <v>0</v>
      </c>
      <c r="G10" s="613">
        <f>IFERROR(INDEX(AO!$EU$18:$EU$20,MATCH(B10,AO!$C$18:$C$20,0)),0)</f>
        <v>0</v>
      </c>
      <c r="H10" s="613">
        <f>SUM(D10:E10,G10)</f>
        <v>0</v>
      </c>
      <c r="I10" s="1530">
        <f>T10</f>
        <v>0</v>
      </c>
      <c r="J10" s="613">
        <f t="shared" ref="J10:J15" si="0">U10</f>
        <v>0</v>
      </c>
      <c r="K10" s="613">
        <f t="shared" ref="K10:K15" si="1">V10</f>
        <v>0</v>
      </c>
      <c r="L10" s="613">
        <f t="shared" ref="L10:L15" si="2">W10</f>
        <v>0</v>
      </c>
      <c r="M10" s="613">
        <f>SUM(I10:J10,L10)</f>
        <v>0</v>
      </c>
      <c r="N10" s="1530">
        <f>H10-M10</f>
        <v>0</v>
      </c>
      <c r="O10" s="613">
        <f>IFERROR(-INDEX(AO!$CZ$18:$CZ$20,MATCH(B10,AO!$C$18:$C$20,0))-INDEX(AO!$CV$18:$CV$20,MATCH(B10,AO!$C$18:$C$20,0)),0)</f>
        <v>0</v>
      </c>
      <c r="P10" s="1466">
        <f>IFERROR(N10/O10,0)</f>
        <v>0</v>
      </c>
      <c r="R10" s="77"/>
      <c r="S10" s="41"/>
      <c r="T10" s="41"/>
      <c r="U10" s="41"/>
      <c r="V10" s="41"/>
      <c r="W10" s="41"/>
      <c r="X10" s="151"/>
    </row>
    <row r="11" spans="1:164">
      <c r="B11" s="1537">
        <f t="shared" ref="B11:B15" si="3">S11</f>
        <v>0</v>
      </c>
      <c r="C11" s="1537">
        <f>IFERROR(INDEX(AA!$AC$13:$AC$15,MATCH($B11,AA!$C$13:$C$15,0)),0)</f>
        <v>0</v>
      </c>
      <c r="D11" s="1531">
        <f>IFERROR(INDEX(PCF!$BI$161:$BI$163,MATCH(B11,PCF!$C$161:$C$163,0)),0)</f>
        <v>0</v>
      </c>
      <c r="E11" s="1532">
        <f>IFERROR(INDEX(AO!$CY$18:$CY$20,MATCH(B11,AO!$C$18:$C$20,0)),0)</f>
        <v>0</v>
      </c>
      <c r="F11" s="1532">
        <f>IFERROR(INDEX(AO!$CG$18:$CG$20,MATCH(B11,AO!$C$18:$C$20,0)),0)</f>
        <v>0</v>
      </c>
      <c r="G11" s="1532">
        <f>IFERROR(INDEX(AO!$EU$18:$EU$20,MATCH(B11,AO!$C$18:$C$20,0)),0)</f>
        <v>0</v>
      </c>
      <c r="H11" s="1532">
        <f t="shared" ref="H11:H15" si="4">SUM(D11:E11,G11)</f>
        <v>0</v>
      </c>
      <c r="I11" s="1531">
        <f t="shared" ref="I11:I15" si="5">T11</f>
        <v>0</v>
      </c>
      <c r="J11" s="1532">
        <f t="shared" si="0"/>
        <v>0</v>
      </c>
      <c r="K11" s="1532">
        <f t="shared" si="1"/>
        <v>0</v>
      </c>
      <c r="L11" s="1532">
        <f t="shared" si="2"/>
        <v>0</v>
      </c>
      <c r="M11" s="1532">
        <f t="shared" ref="M11:M15" si="6">SUM(I11:J11,L11)</f>
        <v>0</v>
      </c>
      <c r="N11" s="1531">
        <f t="shared" ref="N11:N15" si="7">H11-M11</f>
        <v>0</v>
      </c>
      <c r="O11" s="1532">
        <f>IFERROR(-INDEX(AO!$CZ$18:$CZ$20,MATCH(B11,AO!$C$18:$C$20,0))-INDEX(AO!$CV$18:$CV$20,MATCH(B11,AO!$C$18:$C$20,0)),0)</f>
        <v>0</v>
      </c>
      <c r="P11" s="1533">
        <f t="shared" ref="P11:P16" si="8">IFERROR(N11/O11,0)</f>
        <v>0</v>
      </c>
      <c r="R11" s="77"/>
      <c r="S11" s="41"/>
      <c r="T11" s="41"/>
      <c r="U11" s="41"/>
      <c r="V11" s="41"/>
      <c r="W11" s="41"/>
      <c r="X11" s="151"/>
    </row>
    <row r="12" spans="1:164">
      <c r="B12" s="1536">
        <f t="shared" si="3"/>
        <v>0</v>
      </c>
      <c r="C12" s="1536">
        <f>IFERROR(INDEX(AA!$AC$13:$AC$15,MATCH($B12,AA!$C$13:$C$15,0)),0)</f>
        <v>0</v>
      </c>
      <c r="D12" s="1530">
        <f>IFERROR(INDEX(PCF!$BI$161:$BI$163,MATCH(B12,PCF!$C$161:$C$163,0)),0)</f>
        <v>0</v>
      </c>
      <c r="E12" s="613">
        <f>IFERROR(INDEX(AO!$CY$18:$CY$20,MATCH(B12,AO!$C$18:$C$20,0)),0)</f>
        <v>0</v>
      </c>
      <c r="F12" s="613">
        <f>IFERROR(INDEX(AO!$CG$18:$CG$20,MATCH(B12,AO!$C$18:$C$20,0)),0)</f>
        <v>0</v>
      </c>
      <c r="G12" s="613">
        <f>IFERROR(INDEX(AO!$EU$18:$EU$20,MATCH(B12,AO!$C$18:$C$20,0)),0)</f>
        <v>0</v>
      </c>
      <c r="H12" s="613">
        <f t="shared" si="4"/>
        <v>0</v>
      </c>
      <c r="I12" s="1530">
        <f t="shared" si="5"/>
        <v>0</v>
      </c>
      <c r="J12" s="613">
        <f t="shared" si="0"/>
        <v>0</v>
      </c>
      <c r="K12" s="613">
        <f t="shared" si="1"/>
        <v>0</v>
      </c>
      <c r="L12" s="613">
        <f t="shared" si="2"/>
        <v>0</v>
      </c>
      <c r="M12" s="613">
        <f t="shared" si="6"/>
        <v>0</v>
      </c>
      <c r="N12" s="1530">
        <f t="shared" si="7"/>
        <v>0</v>
      </c>
      <c r="O12" s="613">
        <f>IFERROR(-INDEX(AO!$CZ$18:$CZ$20,MATCH(B12,AO!$C$18:$C$20,0))-INDEX(AO!$CV$18:$CV$20,MATCH(B12,AO!$C$18:$C$20,0)),0)</f>
        <v>0</v>
      </c>
      <c r="P12" s="1466">
        <f t="shared" si="8"/>
        <v>0</v>
      </c>
      <c r="R12" s="77"/>
      <c r="S12" s="41"/>
      <c r="T12" s="41"/>
      <c r="U12" s="41"/>
      <c r="V12" s="41"/>
      <c r="W12" s="41"/>
      <c r="X12" s="151"/>
    </row>
    <row r="13" spans="1:164">
      <c r="B13" s="1537">
        <f t="shared" si="3"/>
        <v>0</v>
      </c>
      <c r="C13" s="1537">
        <f>IFERROR(INDEX(AA!$AC$13:$AC$15,MATCH($B13,AA!$C$13:$C$15,0)),0)</f>
        <v>0</v>
      </c>
      <c r="D13" s="1531">
        <f>IFERROR(INDEX(PCF!$BI$161:$BI$163,MATCH(B13,PCF!$C$161:$C$163,0)),0)</f>
        <v>0</v>
      </c>
      <c r="E13" s="1532">
        <f>IFERROR(INDEX(AO!$CY$18:$CY$20,MATCH(B13,AO!$C$18:$C$20,0)),0)</f>
        <v>0</v>
      </c>
      <c r="F13" s="1532">
        <f>IFERROR(INDEX(AO!$CG$18:$CG$20,MATCH(B13,AO!$C$18:$C$20,0)),0)</f>
        <v>0</v>
      </c>
      <c r="G13" s="1532">
        <f>IFERROR(INDEX(AO!$EU$18:$EU$20,MATCH(B13,AO!$C$18:$C$20,0)),0)</f>
        <v>0</v>
      </c>
      <c r="H13" s="1532">
        <f t="shared" si="4"/>
        <v>0</v>
      </c>
      <c r="I13" s="1531">
        <f t="shared" si="5"/>
        <v>0</v>
      </c>
      <c r="J13" s="1532">
        <f t="shared" si="0"/>
        <v>0</v>
      </c>
      <c r="K13" s="1532">
        <f t="shared" si="1"/>
        <v>0</v>
      </c>
      <c r="L13" s="1532">
        <f t="shared" si="2"/>
        <v>0</v>
      </c>
      <c r="M13" s="1532">
        <f t="shared" si="6"/>
        <v>0</v>
      </c>
      <c r="N13" s="1531">
        <f t="shared" si="7"/>
        <v>0</v>
      </c>
      <c r="O13" s="1532">
        <f>IFERROR(-INDEX(AO!$CZ$18:$CZ$20,MATCH(B13,AO!$C$18:$C$20,0))-INDEX(AO!$CV$18:$CV$20,MATCH(B13,AO!$C$18:$C$20,0)),0)</f>
        <v>0</v>
      </c>
      <c r="P13" s="1533">
        <f t="shared" si="8"/>
        <v>0</v>
      </c>
      <c r="R13" s="77"/>
      <c r="S13" s="41"/>
      <c r="T13" s="41"/>
      <c r="U13" s="41"/>
      <c r="V13" s="41"/>
      <c r="W13" s="41"/>
      <c r="X13" s="151"/>
    </row>
    <row r="14" spans="1:164">
      <c r="B14" s="1536">
        <f t="shared" si="3"/>
        <v>0</v>
      </c>
      <c r="C14" s="1536">
        <f>IFERROR(INDEX(AA!$AC$13:$AC$15,MATCH($B14,AA!$C$13:$C$15,0)),0)</f>
        <v>0</v>
      </c>
      <c r="D14" s="613">
        <f>IFERROR(INDEX(PCF!$BI$161:$BI$163,MATCH(B14,PCF!$C$161:$C$163,0)),0)</f>
        <v>0</v>
      </c>
      <c r="E14" s="613">
        <f>IFERROR(INDEX(AO!$CY$18:$CY$20,MATCH(B14,AO!$C$18:$C$20,0)),0)</f>
        <v>0</v>
      </c>
      <c r="F14" s="613">
        <f>IFERROR(INDEX(AO!$CG$18:$CG$20,MATCH(B14,AO!$C$18:$C$20,0)),0)</f>
        <v>0</v>
      </c>
      <c r="G14" s="613">
        <f>IFERROR(INDEX(AO!$EU$18:$EU$20,MATCH(B14,AO!$C$18:$C$20,0)),0)</f>
        <v>0</v>
      </c>
      <c r="H14" s="613">
        <f t="shared" si="4"/>
        <v>0</v>
      </c>
      <c r="I14" s="613">
        <f t="shared" si="5"/>
        <v>0</v>
      </c>
      <c r="J14" s="613">
        <f t="shared" si="0"/>
        <v>0</v>
      </c>
      <c r="K14" s="613">
        <f t="shared" si="1"/>
        <v>0</v>
      </c>
      <c r="L14" s="613">
        <f t="shared" si="2"/>
        <v>0</v>
      </c>
      <c r="M14" s="613">
        <f t="shared" si="6"/>
        <v>0</v>
      </c>
      <c r="N14" s="613">
        <f t="shared" si="7"/>
        <v>0</v>
      </c>
      <c r="O14" s="613">
        <f>IFERROR(-INDEX(AO!$CZ$18:$CZ$20,MATCH(B14,AO!$C$18:$C$20,0))-INDEX(AO!$CV$18:$CV$20,MATCH(B14,AO!$C$18:$C$20,0)),0)</f>
        <v>0</v>
      </c>
      <c r="P14" s="1466">
        <f t="shared" si="8"/>
        <v>0</v>
      </c>
      <c r="R14" s="77"/>
      <c r="S14" s="41"/>
      <c r="T14" s="41"/>
      <c r="U14" s="41"/>
      <c r="V14" s="41"/>
      <c r="W14" s="41"/>
      <c r="X14" s="151"/>
    </row>
    <row r="15" spans="1:164">
      <c r="B15" s="1537">
        <f t="shared" si="3"/>
        <v>0</v>
      </c>
      <c r="C15" s="1537">
        <f>IFERROR(INDEX(AA!$AC$13:$AC$15,MATCH($B15,AA!$C$13:$C$15,0)),0)</f>
        <v>0</v>
      </c>
      <c r="D15" s="1532">
        <f>IFERROR(INDEX(PCF!$BI$161:$BI$163,MATCH(B15,PCF!$C$161:$C$163,0)),0)</f>
        <v>0</v>
      </c>
      <c r="E15" s="1532">
        <f>IFERROR(INDEX(AO!$CY$18:$CY$20,MATCH(B15,AO!$C$18:$C$20,0)),0)</f>
        <v>0</v>
      </c>
      <c r="F15" s="1532">
        <f>IFERROR(INDEX(AO!$CG$18:$CG$20,MATCH(B15,AO!$C$18:$C$20,0)),0)</f>
        <v>0</v>
      </c>
      <c r="G15" s="1532">
        <f>IFERROR(INDEX(AO!$EU$18:$EU$20,MATCH(B15,AO!$C$18:$C$20,0)),0)</f>
        <v>0</v>
      </c>
      <c r="H15" s="1532">
        <f t="shared" si="4"/>
        <v>0</v>
      </c>
      <c r="I15" s="1532">
        <f t="shared" si="5"/>
        <v>0</v>
      </c>
      <c r="J15" s="1532">
        <f t="shared" si="0"/>
        <v>0</v>
      </c>
      <c r="K15" s="1532">
        <f t="shared" si="1"/>
        <v>0</v>
      </c>
      <c r="L15" s="1532">
        <f t="shared" si="2"/>
        <v>0</v>
      </c>
      <c r="M15" s="1532">
        <f t="shared" si="6"/>
        <v>0</v>
      </c>
      <c r="N15" s="1532">
        <f t="shared" si="7"/>
        <v>0</v>
      </c>
      <c r="O15" s="1532">
        <f>IFERROR(-INDEX(AO!$CZ$18:$CZ$20,MATCH(B15,AO!$C$18:$C$20,0))-INDEX(AO!$CV$18:$CV$20,MATCH(B15,AO!$C$18:$C$20,0)),0)</f>
        <v>0</v>
      </c>
      <c r="P15" s="1533">
        <f t="shared" si="8"/>
        <v>0</v>
      </c>
      <c r="R15" s="77"/>
      <c r="S15" s="41"/>
      <c r="T15" s="41"/>
      <c r="U15" s="41"/>
      <c r="V15" s="41"/>
      <c r="W15" s="41"/>
      <c r="X15" s="151"/>
    </row>
    <row r="16" spans="1:164" ht="15.75" thickBot="1">
      <c r="B16" s="1265"/>
      <c r="C16" s="1265"/>
      <c r="D16" s="1534">
        <f>SUM(D10:D15)</f>
        <v>0</v>
      </c>
      <c r="E16" s="1534">
        <f>SUM(E10:E15)</f>
        <v>0</v>
      </c>
      <c r="F16" s="1534">
        <f>SUM(F10:F15)</f>
        <v>0</v>
      </c>
      <c r="G16" s="1534">
        <f>SUM(G10:G15)</f>
        <v>0</v>
      </c>
      <c r="H16" s="1534">
        <f>SUM(H10:H15)</f>
        <v>0</v>
      </c>
      <c r="I16" s="1534">
        <f t="shared" ref="I16:O16" si="9">SUM(I10:I15)</f>
        <v>0</v>
      </c>
      <c r="J16" s="1534">
        <f t="shared" si="9"/>
        <v>0</v>
      </c>
      <c r="K16" s="1534">
        <f t="shared" si="9"/>
        <v>0</v>
      </c>
      <c r="L16" s="1534">
        <f t="shared" si="9"/>
        <v>0</v>
      </c>
      <c r="M16" s="1534">
        <f t="shared" si="9"/>
        <v>0</v>
      </c>
      <c r="N16" s="1534">
        <f t="shared" si="9"/>
        <v>0</v>
      </c>
      <c r="O16" s="1534">
        <f t="shared" si="9"/>
        <v>0</v>
      </c>
      <c r="P16" s="1535">
        <f t="shared" si="8"/>
        <v>0</v>
      </c>
      <c r="R16" s="346"/>
      <c r="S16" s="17"/>
      <c r="T16" s="17"/>
      <c r="U16" s="17"/>
      <c r="V16" s="17"/>
      <c r="W16" s="17"/>
      <c r="X16" s="317"/>
    </row>
    <row r="17" ht="15.75" thickTop="1"/>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B4649-69D0-47AB-ABD0-E7F3311E559D}">
  <sheetPr codeName="Sheet38">
    <tabColor rgb="FFFF0000"/>
  </sheetPr>
  <dimension ref="B2:H12"/>
  <sheetViews>
    <sheetView workbookViewId="0"/>
  </sheetViews>
  <sheetFormatPr baseColWidth="10" defaultColWidth="8.7109375" defaultRowHeight="15"/>
  <cols>
    <col min="3" max="3" width="9.7109375" bestFit="1" customWidth="1"/>
    <col min="6" max="6" width="15.42578125" bestFit="1" customWidth="1"/>
  </cols>
  <sheetData>
    <row r="2" spans="2:8">
      <c r="B2" s="1" t="s">
        <v>1513</v>
      </c>
      <c r="C2" s="1"/>
      <c r="D2" s="1"/>
      <c r="F2" s="1" t="s">
        <v>1514</v>
      </c>
      <c r="G2" s="1"/>
      <c r="H2" s="1"/>
    </row>
    <row r="3" spans="2:8">
      <c r="B3" t="s">
        <v>435</v>
      </c>
      <c r="C3" s="1538" t="e">
        <f>INDEX(ICFQ!F21:M21,MATCH(MAX(AA!AA13:AA15),ICFQ!F7:M7,0))*4</f>
        <v>#N/A</v>
      </c>
      <c r="F3" t="s">
        <v>1506</v>
      </c>
      <c r="G3" s="1538" t="e">
        <f>INDEX(ICFQ!V14:AC14,MATCH(MAX(AA!AA13:AA15),ICFQ!V7:AC7,0))</f>
        <v>#N/A</v>
      </c>
    </row>
    <row r="4" spans="2:8">
      <c r="B4" t="s">
        <v>654</v>
      </c>
      <c r="C4" s="1538" t="e">
        <f>INDEX(ICFQ!F27:M27,MATCH(MAX(AA!AA13:AA15),ICFQ!F7:M7,0))*4</f>
        <v>#N/A</v>
      </c>
      <c r="F4" t="s">
        <v>1507</v>
      </c>
      <c r="G4" s="1538" t="e">
        <f>-G3*H4</f>
        <v>#N/A</v>
      </c>
      <c r="H4" s="799">
        <v>0.55000000000000004</v>
      </c>
    </row>
    <row r="5" spans="2:8">
      <c r="B5" t="s">
        <v>1505</v>
      </c>
      <c r="C5" s="1538" t="e">
        <f>-G3*D5</f>
        <v>#N/A</v>
      </c>
      <c r="D5" s="117">
        <v>5.0000000000000001E-3</v>
      </c>
      <c r="F5" t="s">
        <v>1508</v>
      </c>
      <c r="G5" s="1538" t="e">
        <f>SUM(G3:G4)</f>
        <v>#N/A</v>
      </c>
    </row>
    <row r="6" spans="2:8">
      <c r="B6" t="s">
        <v>522</v>
      </c>
      <c r="C6" s="1538" t="e">
        <f>SUM(C3:C5)</f>
        <v>#N/A</v>
      </c>
    </row>
    <row r="7" spans="2:8">
      <c r="B7" t="s">
        <v>540</v>
      </c>
      <c r="C7" s="1538" t="e">
        <f>INDEX(DCF!T423:AA423,MATCH(MAX(AA!AA13:AA15),DCF!T5:AA5,0))*4</f>
        <v>#N/A</v>
      </c>
    </row>
    <row r="8" spans="2:8">
      <c r="B8" t="s">
        <v>1360</v>
      </c>
      <c r="C8" s="1538" t="e">
        <f>G4*D8</f>
        <v>#N/A</v>
      </c>
      <c r="D8" s="319">
        <v>1.4999999999999999E-2</v>
      </c>
    </row>
    <row r="9" spans="2:8">
      <c r="B9" t="s">
        <v>1509</v>
      </c>
      <c r="C9" s="1538" t="e">
        <f>G4*D9</f>
        <v>#N/A</v>
      </c>
      <c r="D9" s="319">
        <v>0.02</v>
      </c>
    </row>
    <row r="10" spans="2:8">
      <c r="B10" s="17" t="s">
        <v>1510</v>
      </c>
      <c r="C10" s="1564" t="e">
        <f>(C6+C8+C7)*-D10</f>
        <v>#N/A</v>
      </c>
      <c r="D10" s="1565">
        <f>GA!G427</f>
        <v>0.1583</v>
      </c>
    </row>
    <row r="11" spans="2:8">
      <c r="B11" t="s">
        <v>1511</v>
      </c>
      <c r="C11" s="1538" t="e">
        <f>SUM(C6,C8:C10)</f>
        <v>#N/A</v>
      </c>
    </row>
    <row r="12" spans="2:8">
      <c r="B12" t="s">
        <v>1512</v>
      </c>
      <c r="C12" s="319" t="e">
        <f>C11/G5</f>
        <v>#N/A</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0F3DC-136B-4D25-9FEA-F182EAA44750}">
  <sheetPr codeName="Sheet39"/>
  <dimension ref="A1:EY250"/>
  <sheetViews>
    <sheetView workbookViewId="0"/>
  </sheetViews>
  <sheetFormatPr baseColWidth="10" defaultColWidth="8.7109375" defaultRowHeight="15"/>
  <cols>
    <col min="3" max="3" width="10.5703125" bestFit="1" customWidth="1"/>
    <col min="5" max="5" width="1.5703125" customWidth="1"/>
    <col min="18" max="18" width="1.28515625" customWidth="1"/>
    <col min="31" max="31" width="1.28515625" customWidth="1"/>
    <col min="45" max="45" width="35.5703125" customWidth="1"/>
    <col min="46" max="46" width="18.7109375" customWidth="1"/>
    <col min="48" max="48" width="35.5703125" customWidth="1"/>
    <col min="49" max="49" width="18.7109375" customWidth="1"/>
    <col min="51" max="51" width="35.5703125" customWidth="1"/>
    <col min="52" max="52" width="18.7109375" customWidth="1"/>
    <col min="54" max="54" width="8.7109375" customWidth="1"/>
    <col min="55" max="55" width="35.5703125" customWidth="1"/>
    <col min="56" max="56" width="18.7109375" customWidth="1"/>
    <col min="57" max="57" width="13.5703125" customWidth="1"/>
    <col min="67" max="68" width="13.7109375" customWidth="1"/>
    <col min="73" max="75" width="11.28515625" customWidth="1"/>
    <col min="76" max="76" width="14.42578125" customWidth="1"/>
    <col min="77" max="77" width="1.28515625" customWidth="1"/>
    <col min="78" max="80" width="11.28515625" customWidth="1"/>
    <col min="81" max="81" width="14.42578125" customWidth="1"/>
    <col min="82" max="82" width="1.28515625" customWidth="1"/>
    <col min="83" max="85" width="11.28515625" customWidth="1"/>
    <col min="86" max="86" width="14.42578125" customWidth="1"/>
    <col min="88" max="90" width="11.28515625" customWidth="1"/>
    <col min="91" max="91" width="14.42578125" customWidth="1"/>
    <col min="92" max="92" width="1" customWidth="1"/>
    <col min="93" max="95" width="11.28515625" customWidth="1"/>
    <col min="96" max="96" width="14.42578125" customWidth="1"/>
    <col min="97" max="97" width="1" customWidth="1"/>
    <col min="98" max="100" width="11.28515625" customWidth="1"/>
    <col min="101" max="101" width="14.42578125" customWidth="1"/>
  </cols>
  <sheetData>
    <row r="1" spans="1:155" s="35" customFormat="1">
      <c r="A1" s="1" t="str">
        <f ca="1">UPPER(MID(CELL("filename",A1),FIND("[",CELL("filename",A1))+1,FIND("]",CELL("filename",A1))-FIND("[",CELL("filename",A1))-5))</f>
        <v>VORLAGE.</v>
      </c>
      <c r="B1" s="1"/>
      <c r="D1" s="58"/>
      <c r="E1" s="58"/>
      <c r="G1" s="58"/>
      <c r="H1" s="58"/>
      <c r="I1" s="58"/>
      <c r="J1" s="58"/>
      <c r="K1" s="58"/>
      <c r="L1" s="58"/>
      <c r="M1" s="58"/>
      <c r="N1" s="58"/>
      <c r="AA1" s="58"/>
      <c r="AB1" s="58"/>
      <c r="AC1" s="58"/>
      <c r="AD1" s="58"/>
      <c r="AE1" s="58"/>
      <c r="BG1" s="58"/>
      <c r="BK1" s="58"/>
      <c r="BL1" s="58"/>
      <c r="BY1" s="58"/>
      <c r="CL1" s="58"/>
      <c r="CY1" s="58"/>
      <c r="CZ1" s="58"/>
      <c r="DA1" s="58"/>
      <c r="DB1" s="58"/>
      <c r="DC1" s="58"/>
      <c r="DU1" s="58"/>
      <c r="EA1" s="58"/>
      <c r="EW1" s="58"/>
      <c r="EY1" s="58"/>
    </row>
    <row r="2" spans="1:155" s="35" customFormat="1">
      <c r="A2" s="1" t="s">
        <v>1522</v>
      </c>
      <c r="B2" s="1"/>
      <c r="D2" s="58"/>
      <c r="E2" s="58"/>
      <c r="G2" s="58"/>
      <c r="H2" s="58"/>
      <c r="I2" s="58"/>
      <c r="J2" s="58"/>
      <c r="K2" s="58"/>
      <c r="L2" s="58"/>
      <c r="M2" s="58"/>
      <c r="N2" s="58"/>
      <c r="AA2" s="58"/>
      <c r="AB2" s="58"/>
      <c r="AC2" s="58"/>
      <c r="AD2" s="58"/>
      <c r="AE2" s="58"/>
      <c r="BG2" s="58"/>
      <c r="BK2" s="58"/>
      <c r="BL2" s="58"/>
      <c r="BY2" s="58"/>
      <c r="CL2" s="58"/>
      <c r="CY2" s="58"/>
      <c r="CZ2" s="58"/>
      <c r="DA2" s="58"/>
      <c r="DB2" s="58"/>
      <c r="DC2" s="58"/>
      <c r="DU2" s="58"/>
      <c r="EA2" s="58"/>
      <c r="EW2" s="58"/>
      <c r="EY2" s="58"/>
    </row>
    <row r="3" spans="1:155" s="35" customFormat="1" ht="17.25">
      <c r="D3" s="58"/>
      <c r="E3" s="58"/>
      <c r="G3" s="58"/>
      <c r="H3" s="58"/>
      <c r="I3" s="58"/>
      <c r="J3" s="58"/>
      <c r="K3" s="58"/>
      <c r="L3" s="58"/>
      <c r="M3" s="58"/>
      <c r="N3" s="58"/>
      <c r="Q3" s="156"/>
      <c r="R3" s="156"/>
      <c r="AA3" s="58"/>
      <c r="AB3" s="58"/>
      <c r="AC3" s="58"/>
      <c r="AD3" s="58"/>
      <c r="AE3" s="58"/>
      <c r="BG3" s="58"/>
      <c r="BK3" s="58"/>
      <c r="BL3" s="58"/>
      <c r="BY3" s="58"/>
      <c r="CL3" s="58"/>
      <c r="CY3" s="58"/>
      <c r="CZ3" s="58"/>
      <c r="DA3" s="58"/>
      <c r="DB3" s="58"/>
      <c r="DC3" s="58"/>
      <c r="DU3" s="58"/>
      <c r="EA3" s="58"/>
      <c r="EW3" s="58"/>
      <c r="EY3" s="58"/>
    </row>
    <row r="4" spans="1:155" s="35" customFormat="1">
      <c r="D4" s="58"/>
      <c r="E4" s="58"/>
      <c r="G4" s="58"/>
      <c r="H4" s="58"/>
      <c r="I4" s="58"/>
      <c r="J4" s="58"/>
      <c r="K4" s="58"/>
      <c r="L4" s="58"/>
      <c r="M4" s="58"/>
      <c r="N4" s="58"/>
      <c r="Q4" s="157"/>
      <c r="R4" s="157"/>
      <c r="AA4" s="58"/>
      <c r="AB4" s="58"/>
      <c r="AC4" s="58"/>
      <c r="AD4" s="58"/>
      <c r="AE4" s="58"/>
      <c r="BG4" s="58"/>
      <c r="BK4" s="58"/>
      <c r="BL4" s="58"/>
      <c r="BY4" s="58"/>
      <c r="CL4" s="58"/>
      <c r="CY4" s="58"/>
      <c r="CZ4" s="58"/>
      <c r="DA4" s="58"/>
      <c r="DB4" s="58"/>
      <c r="DC4" s="58"/>
      <c r="DU4" s="58"/>
      <c r="EA4" s="58"/>
      <c r="EW4" s="58"/>
      <c r="EY4" s="58"/>
    </row>
    <row r="6" spans="1:155">
      <c r="A6" s="19" t="s">
        <v>1543</v>
      </c>
      <c r="B6" s="19"/>
      <c r="C6" s="19"/>
      <c r="D6" s="19"/>
      <c r="E6" s="19"/>
      <c r="F6" s="19"/>
      <c r="G6" s="19"/>
      <c r="H6" s="19"/>
      <c r="I6" s="19"/>
      <c r="J6" s="19"/>
      <c r="K6" s="19"/>
      <c r="L6" s="19"/>
      <c r="M6" s="19"/>
      <c r="N6" s="19"/>
      <c r="O6" s="19"/>
      <c r="P6" s="19"/>
      <c r="Q6" s="19"/>
      <c r="S6" s="19" t="s">
        <v>1544</v>
      </c>
      <c r="T6" s="19"/>
      <c r="U6" s="19"/>
      <c r="V6" s="19"/>
      <c r="W6" s="19"/>
      <c r="X6" s="19"/>
      <c r="Y6" s="19"/>
      <c r="Z6" s="19"/>
      <c r="AA6" s="19"/>
      <c r="AB6" s="19"/>
      <c r="AC6" s="19"/>
      <c r="AD6" s="19"/>
      <c r="AF6" s="19" t="str">
        <f>"Difference to "&amp;S6</f>
        <v>Difference to IC X Underwriting</v>
      </c>
      <c r="AG6" s="19"/>
      <c r="AH6" s="19"/>
      <c r="AI6" s="19"/>
      <c r="AJ6" s="19"/>
      <c r="AK6" s="19"/>
      <c r="AL6" s="19"/>
      <c r="AM6" s="19"/>
      <c r="AN6" s="19"/>
      <c r="AO6" s="19"/>
      <c r="AP6" s="19"/>
      <c r="AQ6" s="19"/>
    </row>
    <row r="7" spans="1:155" ht="45">
      <c r="A7" s="89" t="s">
        <v>1089</v>
      </c>
      <c r="B7" s="89" t="s">
        <v>6</v>
      </c>
      <c r="C7" s="89" t="s">
        <v>890</v>
      </c>
      <c r="D7" s="157" t="s">
        <v>891</v>
      </c>
      <c r="E7" s="89"/>
      <c r="F7" s="89" t="s">
        <v>474</v>
      </c>
      <c r="G7" s="89" t="s">
        <v>494</v>
      </c>
      <c r="H7" s="89" t="s">
        <v>497</v>
      </c>
      <c r="I7" s="89" t="s">
        <v>1517</v>
      </c>
      <c r="J7" s="89" t="s">
        <v>973</v>
      </c>
      <c r="K7" s="89" t="s">
        <v>1523</v>
      </c>
      <c r="L7" s="157" t="s">
        <v>442</v>
      </c>
      <c r="M7" s="157" t="s">
        <v>1524</v>
      </c>
      <c r="N7" s="157" t="s">
        <v>654</v>
      </c>
      <c r="O7" s="157" t="s">
        <v>1417</v>
      </c>
      <c r="P7" s="157" t="s">
        <v>936</v>
      </c>
      <c r="Q7" s="157" t="s">
        <v>1525</v>
      </c>
      <c r="S7" s="89" t="s">
        <v>474</v>
      </c>
      <c r="T7" s="89" t="s">
        <v>494</v>
      </c>
      <c r="U7" s="89" t="s">
        <v>497</v>
      </c>
      <c r="V7" s="89" t="s">
        <v>1517</v>
      </c>
      <c r="W7" s="89" t="s">
        <v>973</v>
      </c>
      <c r="X7" s="89" t="s">
        <v>1523</v>
      </c>
      <c r="Y7" s="157" t="s">
        <v>442</v>
      </c>
      <c r="Z7" s="157" t="s">
        <v>1524</v>
      </c>
      <c r="AA7" s="157" t="s">
        <v>654</v>
      </c>
      <c r="AB7" s="157" t="s">
        <v>1417</v>
      </c>
      <c r="AC7" s="157" t="s">
        <v>936</v>
      </c>
      <c r="AD7" s="157" t="s">
        <v>1525</v>
      </c>
      <c r="AF7" s="89" t="s">
        <v>474</v>
      </c>
      <c r="AG7" s="89" t="s">
        <v>494</v>
      </c>
      <c r="AH7" s="89" t="s">
        <v>497</v>
      </c>
      <c r="AI7" s="89" t="s">
        <v>1517</v>
      </c>
      <c r="AJ7" s="89" t="s">
        <v>973</v>
      </c>
      <c r="AK7" s="89" t="s">
        <v>1523</v>
      </c>
      <c r="AL7" s="157" t="s">
        <v>442</v>
      </c>
      <c r="AM7" s="157" t="s">
        <v>1524</v>
      </c>
      <c r="AN7" s="157" t="s">
        <v>654</v>
      </c>
      <c r="AO7" s="157" t="s">
        <v>1417</v>
      </c>
      <c r="AP7" s="157" t="s">
        <v>936</v>
      </c>
      <c r="AQ7" s="157" t="s">
        <v>1525</v>
      </c>
    </row>
    <row r="8" spans="1:155">
      <c r="A8">
        <f>AA!C13</f>
        <v>1</v>
      </c>
      <c r="B8" t="str">
        <f>INDEX(AA!$AC$13:$AC$15,MATCH(A8,AA!$C$13:$C$15,0))</f>
        <v>backup</v>
      </c>
      <c r="C8" t="str">
        <f>INDEX(AA!$AI$13:$AI$15,MATCH(A8,AA!$C$13:$C$15,0))</f>
        <v>Supermarket</v>
      </c>
      <c r="D8" t="str">
        <f>INDEX(AA!$AN$13:$AN$15,MATCH(A8,AA!$C$13:$C$15,0))</f>
        <v>backup</v>
      </c>
      <c r="F8" s="261">
        <f>INDEX(AO!$DJ$18:$DJ$20,MATCH(A8,AO!$C$18:$C$20,0))</f>
        <v>1227203.0062499989</v>
      </c>
      <c r="G8" s="261">
        <f>INDEX(AO!$AS$18:$AS$20,MATCH(A8,AO!$C$18:$C$20,0))</f>
        <v>1161271.0665564688</v>
      </c>
      <c r="H8" s="261">
        <f>INDEX(AO!$AT$18:$AT$20,MATCH(A8,AO!$C$18:$C$20,0))</f>
        <v>1702728.7550444414</v>
      </c>
      <c r="I8" s="261">
        <f>INDEX(AO!$CE$18:$CE$20,MATCH(A8,AO!$C$18:$C$20,0))</f>
        <v>102266.91718749992</v>
      </c>
      <c r="J8" s="261">
        <f>INDEX(AA!$M$13:$M$15,MATCH(A8,AA!$C$13:$C$15,0))</f>
        <v>12</v>
      </c>
      <c r="K8" s="261">
        <f>INDEX(AA!$AA$13:$AA$15,MATCH(A8,AA!$C$13:$C$15,0))</f>
        <v>12</v>
      </c>
      <c r="L8" s="261">
        <f>-INDEX(AO!$AZ$18:$AZ$20,MATCH(A8,AO!$C$18:$C$20,0))</f>
        <v>-1925462.7034918049</v>
      </c>
      <c r="M8" s="261">
        <f>INDEX(AO!$DF$18:$DF$20,MATCH(A8,AO!$C$18:$C$20,0))-INDEX(AO!$DA$18:$DA$20,MATCH(A8,AO!$C$18:$C$20,0))+INDEX(AA!$IJ$13:$IJ$15,MATCH(A8,AA!$C$13:$C$15,0))</f>
        <v>0</v>
      </c>
      <c r="N8" s="261">
        <f>INDEX(AO!$EY$18:$EY$20,MATCH(A8,AO!$C$18:$C$20,0))</f>
        <v>-62121.426408088249</v>
      </c>
      <c r="O8" s="261">
        <f>INDEX(AO!$ED$18:$ED$20,MATCH(A8,AO!$C$18:$C$20,0))</f>
        <v>280270.50433344883</v>
      </c>
      <c r="P8" s="261">
        <f>INDEX(AO!$EU$18:$EU$20,MATCH(A8,AO!$C$18:$C$20,0))</f>
        <v>1225607.6423418738</v>
      </c>
      <c r="Q8" s="261">
        <f>SUM(L8:P8)</f>
        <v>-481705.98322457052</v>
      </c>
      <c r="S8" s="261"/>
      <c r="T8" s="261"/>
      <c r="U8" s="261"/>
      <c r="V8" s="261"/>
      <c r="W8" s="261"/>
      <c r="X8" s="261"/>
      <c r="Y8" s="261"/>
      <c r="Z8" s="261"/>
      <c r="AA8" s="261"/>
      <c r="AB8" s="261"/>
      <c r="AC8" s="261"/>
      <c r="AD8" s="261"/>
      <c r="AF8" s="261">
        <f>F8-S8</f>
        <v>1227203.0062499989</v>
      </c>
      <c r="AG8" s="261">
        <f t="shared" ref="AG8:AG71" si="0">G8-T8</f>
        <v>1161271.0665564688</v>
      </c>
      <c r="AH8" s="261">
        <f t="shared" ref="AH8:AH71" si="1">H8-U8</f>
        <v>1702728.7550444414</v>
      </c>
      <c r="AI8" s="261">
        <f t="shared" ref="AI8:AI71" si="2">I8-V8</f>
        <v>102266.91718749992</v>
      </c>
      <c r="AJ8" s="261">
        <f t="shared" ref="AJ8:AJ71" si="3">J8-W8</f>
        <v>12</v>
      </c>
      <c r="AK8" s="261">
        <f t="shared" ref="AK8:AK71" si="4">K8-X8</f>
        <v>12</v>
      </c>
      <c r="AL8" s="261">
        <f t="shared" ref="AL8:AL71" si="5">L8-Y8</f>
        <v>-1925462.7034918049</v>
      </c>
      <c r="AM8" s="261">
        <f t="shared" ref="AM8:AM71" si="6">M8-Z8</f>
        <v>0</v>
      </c>
      <c r="AN8" s="261">
        <f t="shared" ref="AN8:AN71" si="7">N8-AA8</f>
        <v>-62121.426408088249</v>
      </c>
      <c r="AO8" s="261">
        <f t="shared" ref="AO8:AO71" si="8">O8-AB8</f>
        <v>280270.50433344883</v>
      </c>
      <c r="AP8" s="261">
        <f t="shared" ref="AP8:AP71" si="9">P8-AC8</f>
        <v>1225607.6423418738</v>
      </c>
      <c r="AQ8" s="261">
        <f t="shared" ref="AQ8:AQ71" si="10">Q8-AD8</f>
        <v>-481705.98322457052</v>
      </c>
    </row>
    <row r="9" spans="1:155">
      <c r="A9" s="1256">
        <f>AA!C14</f>
        <v>2</v>
      </c>
      <c r="B9" s="1256" t="str">
        <f>INDEX(AA!$AC$13:$AC$15,MATCH(A9,AA!$C$13:$C$15,0))</f>
        <v>backup</v>
      </c>
      <c r="C9" s="1256" t="str">
        <f>INDEX(AA!$AI$13:$AI$15,MATCH(A9,AA!$C$13:$C$15,0))</f>
        <v>Discounter</v>
      </c>
      <c r="D9" s="1256" t="str">
        <f>INDEX(AA!$AN$13:$AN$15,MATCH(A9,AA!$C$13:$C$15,0))</f>
        <v>backup</v>
      </c>
      <c r="E9" s="1256"/>
      <c r="F9" s="1257">
        <f>INDEX(AO!$DJ$18:$DJ$20,MATCH(A9,AO!$C$18:$C$20,0))</f>
        <v>1227203.0062499989</v>
      </c>
      <c r="G9" s="1257">
        <f>INDEX(AO!$AS$18:$AS$20,MATCH(A9,AO!$C$18:$C$20,0))</f>
        <v>1133512.0162967998</v>
      </c>
      <c r="H9" s="1257">
        <f>INDEX(AO!$AT$18:$AT$20,MATCH(A9,AO!$C$18:$C$20,0))</f>
        <v>1662026.6877570669</v>
      </c>
      <c r="I9" s="1257">
        <f>INDEX(AO!$CE$18:$CE$20,MATCH(A9,AO!$C$18:$C$20,0))</f>
        <v>102266.91718749992</v>
      </c>
      <c r="J9" s="1257">
        <f>INDEX(AA!$M$13:$M$15,MATCH(A9,AA!$C$13:$C$15,0))</f>
        <v>12</v>
      </c>
      <c r="K9" s="1257">
        <f>INDEX(AA!$AA$13:$AA$15,MATCH(A9,AA!$C$13:$C$15,0))</f>
        <v>12</v>
      </c>
      <c r="L9" s="1257">
        <f>-INDEX(AO!$AZ$18:$AZ$20,MATCH(A9,AO!$C$18:$C$20,0))</f>
        <v>-1879436.3987825688</v>
      </c>
      <c r="M9" s="1257">
        <f>INDEX(AO!$DF$18:$DF$20,MATCH(A9,AO!$C$18:$C$20,0))-INDEX(AO!$DA$18:$DA$20,MATCH(A9,AO!$C$18:$C$20,0))+INDEX(AA!$IJ$13:$IJ$15,MATCH(A9,AA!$C$13:$C$15,0))</f>
        <v>0</v>
      </c>
      <c r="N9" s="1257">
        <f>INDEX(AO!$EY$18:$EY$20,MATCH(A9,AO!$C$18:$C$20,0))</f>
        <v>-49559.389763423205</v>
      </c>
      <c r="O9" s="1257">
        <f>INDEX(AO!$ED$18:$ED$20,MATCH(A9,AO!$C$18:$C$20,0))</f>
        <v>251038.24332743947</v>
      </c>
      <c r="P9" s="1257">
        <f>INDEX(AO!$EU$18:$EU$20,MATCH(A9,AO!$C$18:$C$20,0))</f>
        <v>1225607.6423418738</v>
      </c>
      <c r="Q9" s="1257">
        <f t="shared" ref="Q9:Q72" si="11">SUM(L9:P9)</f>
        <v>-452349.90287667862</v>
      </c>
      <c r="S9" s="1257"/>
      <c r="T9" s="1257"/>
      <c r="U9" s="1257"/>
      <c r="V9" s="1257"/>
      <c r="W9" s="1257"/>
      <c r="X9" s="1257"/>
      <c r="Y9" s="1257"/>
      <c r="Z9" s="1257"/>
      <c r="AA9" s="1257"/>
      <c r="AB9" s="1257"/>
      <c r="AC9" s="1257"/>
      <c r="AD9" s="1257"/>
      <c r="AF9" s="1257">
        <f t="shared" ref="AF9:AF72" si="12">F9-S9</f>
        <v>1227203.0062499989</v>
      </c>
      <c r="AG9" s="1257">
        <f t="shared" si="0"/>
        <v>1133512.0162967998</v>
      </c>
      <c r="AH9" s="1257">
        <f t="shared" si="1"/>
        <v>1662026.6877570669</v>
      </c>
      <c r="AI9" s="1257">
        <f t="shared" si="2"/>
        <v>102266.91718749992</v>
      </c>
      <c r="AJ9" s="1257">
        <f t="shared" si="3"/>
        <v>12</v>
      </c>
      <c r="AK9" s="1257">
        <f t="shared" si="4"/>
        <v>12</v>
      </c>
      <c r="AL9" s="1257">
        <f t="shared" si="5"/>
        <v>-1879436.3987825688</v>
      </c>
      <c r="AM9" s="1257">
        <f t="shared" si="6"/>
        <v>0</v>
      </c>
      <c r="AN9" s="1257">
        <f t="shared" si="7"/>
        <v>-49559.389763423205</v>
      </c>
      <c r="AO9" s="1257">
        <f t="shared" si="8"/>
        <v>251038.24332743947</v>
      </c>
      <c r="AP9" s="1257">
        <f t="shared" si="9"/>
        <v>1225607.6423418738</v>
      </c>
      <c r="AQ9" s="1257">
        <f t="shared" si="10"/>
        <v>-452349.90287667862</v>
      </c>
    </row>
    <row r="10" spans="1:155">
      <c r="A10">
        <f>AA!C15</f>
        <v>3</v>
      </c>
      <c r="B10" t="str">
        <f>INDEX(AA!$AC$13:$AC$15,MATCH(A10,AA!$C$13:$C$15,0))</f>
        <v>backup</v>
      </c>
      <c r="C10" t="str">
        <f>INDEX(AA!$AI$13:$AI$15,MATCH(A10,AA!$C$13:$C$15,0))</f>
        <v>Cash &amp; Carry</v>
      </c>
      <c r="D10" t="str">
        <f>INDEX(AA!$AN$13:$AN$15,MATCH(A10,AA!$C$13:$C$15,0))</f>
        <v>backup</v>
      </c>
      <c r="F10" s="261">
        <f>INDEX(AO!$DJ$18:$DJ$20,MATCH(A10,AO!$C$18:$C$20,0))</f>
        <v>1227203.0062499989</v>
      </c>
      <c r="G10" s="261">
        <f>INDEX(AO!$AS$18:$AS$20,MATCH(A10,AO!$C$18:$C$20,0))</f>
        <v>1115246.4450915963</v>
      </c>
      <c r="H10" s="261">
        <f>INDEX(AO!$AT$18:$AT$20,MATCH(A10,AO!$C$18:$C$20,0))</f>
        <v>1635244.5571984914</v>
      </c>
      <c r="I10" s="261">
        <f>INDEX(AO!$CE$18:$CE$20,MATCH(A10,AO!$C$18:$C$20,0))</f>
        <v>102266.91718749992</v>
      </c>
      <c r="J10" s="261">
        <f>INDEX(AA!$M$13:$M$15,MATCH(A10,AA!$C$13:$C$15,0))</f>
        <v>12</v>
      </c>
      <c r="K10" s="261">
        <f>INDEX(AA!$AA$13:$AA$15,MATCH(A10,AA!$C$13:$C$15,0))</f>
        <v>12</v>
      </c>
      <c r="L10" s="261">
        <f>-INDEX(AO!$AZ$18:$AZ$20,MATCH(A10,AO!$C$18:$C$20,0))</f>
        <v>-1849150.8977256261</v>
      </c>
      <c r="M10" s="261">
        <f>INDEX(AO!$DF$18:$DF$20,MATCH(A10,AO!$C$18:$C$20,0))-INDEX(AO!$DA$18:$DA$20,MATCH(A10,AO!$C$18:$C$20,0))+INDEX(AA!$IJ$13:$IJ$15,MATCH(A10,AA!$C$13:$C$15,0))</f>
        <v>0</v>
      </c>
      <c r="N10" s="261">
        <f>INDEX(AO!$EY$18:$EY$20,MATCH(A10,AO!$C$18:$C$20,0))</f>
        <v>-43247.199176946902</v>
      </c>
      <c r="O10" s="261">
        <f>INDEX(AO!$ED$18:$ED$20,MATCH(A10,AO!$C$18:$C$20,0))</f>
        <v>232353.82064425788</v>
      </c>
      <c r="P10" s="261">
        <f>INDEX(AO!$EU$18:$EU$20,MATCH(A10,AO!$C$18:$C$20,0))</f>
        <v>1225607.6423418738</v>
      </c>
      <c r="Q10" s="261">
        <f t="shared" si="11"/>
        <v>-434436.63391644135</v>
      </c>
      <c r="S10" s="261"/>
      <c r="T10" s="261"/>
      <c r="U10" s="261"/>
      <c r="V10" s="261"/>
      <c r="W10" s="261"/>
      <c r="X10" s="261"/>
      <c r="Y10" s="261"/>
      <c r="Z10" s="261"/>
      <c r="AA10" s="261"/>
      <c r="AB10" s="261"/>
      <c r="AC10" s="261"/>
      <c r="AD10" s="261"/>
      <c r="AF10" s="261">
        <f t="shared" si="12"/>
        <v>1227203.0062499989</v>
      </c>
      <c r="AG10" s="261">
        <f t="shared" si="0"/>
        <v>1115246.4450915963</v>
      </c>
      <c r="AH10" s="261">
        <f t="shared" si="1"/>
        <v>1635244.5571984914</v>
      </c>
      <c r="AI10" s="261">
        <f t="shared" si="2"/>
        <v>102266.91718749992</v>
      </c>
      <c r="AJ10" s="261">
        <f t="shared" si="3"/>
        <v>12</v>
      </c>
      <c r="AK10" s="261">
        <f t="shared" si="4"/>
        <v>12</v>
      </c>
      <c r="AL10" s="261">
        <f t="shared" si="5"/>
        <v>-1849150.8977256261</v>
      </c>
      <c r="AM10" s="261">
        <f t="shared" si="6"/>
        <v>0</v>
      </c>
      <c r="AN10" s="261">
        <f t="shared" si="7"/>
        <v>-43247.199176946902</v>
      </c>
      <c r="AO10" s="261">
        <f t="shared" si="8"/>
        <v>232353.82064425788</v>
      </c>
      <c r="AP10" s="261">
        <f t="shared" si="9"/>
        <v>1225607.6423418738</v>
      </c>
      <c r="AQ10" s="261">
        <f t="shared" si="10"/>
        <v>-434436.63391644135</v>
      </c>
    </row>
    <row r="11" spans="1:155">
      <c r="A11" s="1256" t="e">
        <f>AA!#REF!</f>
        <v>#REF!</v>
      </c>
      <c r="B11" s="1256" t="e">
        <f>INDEX(AA!$AC$13:$AC$15,MATCH(A11,AA!$C$13:$C$15,0))</f>
        <v>#REF!</v>
      </c>
      <c r="C11" s="1256" t="e">
        <f>INDEX(AA!$AI$13:$AI$15,MATCH(A11,AA!$C$13:$C$15,0))</f>
        <v>#REF!</v>
      </c>
      <c r="D11" s="1256" t="e">
        <f>INDEX(AA!$AN$13:$AN$15,MATCH(A11,AA!$C$13:$C$15,0))</f>
        <v>#REF!</v>
      </c>
      <c r="E11" s="1256"/>
      <c r="F11" s="1257" t="e">
        <f>INDEX(AO!$DJ$18:$DJ$20,MATCH(A11,AO!$C$18:$C$20,0))</f>
        <v>#REF!</v>
      </c>
      <c r="G11" s="1257" t="e">
        <f>INDEX(AO!$AS$18:$AS$20,MATCH(A11,AO!$C$18:$C$20,0))</f>
        <v>#REF!</v>
      </c>
      <c r="H11" s="1257" t="e">
        <f>INDEX(AO!$AT$18:$AT$20,MATCH(A11,AO!$C$18:$C$20,0))</f>
        <v>#REF!</v>
      </c>
      <c r="I11" s="1257" t="e">
        <f>INDEX(AO!$CE$18:$CE$20,MATCH(A11,AO!$C$18:$C$20,0))</f>
        <v>#REF!</v>
      </c>
      <c r="J11" s="1257" t="e">
        <f>INDEX(AA!$M$13:$M$15,MATCH(A11,AA!$C$13:$C$15,0))</f>
        <v>#REF!</v>
      </c>
      <c r="K11" s="1257" t="e">
        <f>INDEX(AA!$AA$13:$AA$15,MATCH(A11,AA!$C$13:$C$15,0))</f>
        <v>#REF!</v>
      </c>
      <c r="L11" s="1257" t="e">
        <f>-INDEX(AO!$AZ$18:$AZ$20,MATCH(A11,AO!$C$18:$C$20,0))</f>
        <v>#REF!</v>
      </c>
      <c r="M11" s="1257" t="e">
        <f>INDEX(AO!$DF$18:$DF$20,MATCH(A11,AO!$C$18:$C$20,0))-INDEX(AO!$DA$18:$DA$20,MATCH(A11,AO!$C$18:$C$20,0))+INDEX(AA!$IJ$13:$IJ$15,MATCH(A11,AA!$C$13:$C$15,0))</f>
        <v>#REF!</v>
      </c>
      <c r="N11" s="1257" t="e">
        <f>INDEX(AO!$EY$18:$EY$20,MATCH(A11,AO!$C$18:$C$20,0))</f>
        <v>#REF!</v>
      </c>
      <c r="O11" s="1257" t="e">
        <f>INDEX(AO!$ED$18:$ED$20,MATCH(A11,AO!$C$18:$C$20,0))</f>
        <v>#REF!</v>
      </c>
      <c r="P11" s="1257" t="e">
        <f>INDEX(AO!$EU$18:$EU$20,MATCH(A11,AO!$C$18:$C$20,0))</f>
        <v>#REF!</v>
      </c>
      <c r="Q11" s="1257" t="e">
        <f t="shared" si="11"/>
        <v>#REF!</v>
      </c>
      <c r="S11" s="1257"/>
      <c r="T11" s="1257"/>
      <c r="U11" s="1257"/>
      <c r="V11" s="1257"/>
      <c r="W11" s="1257"/>
      <c r="X11" s="1257"/>
      <c r="Y11" s="1257"/>
      <c r="Z11" s="1257"/>
      <c r="AA11" s="1257"/>
      <c r="AB11" s="1257"/>
      <c r="AC11" s="1257"/>
      <c r="AD11" s="1257"/>
      <c r="AF11" s="1257" t="e">
        <f t="shared" si="12"/>
        <v>#REF!</v>
      </c>
      <c r="AG11" s="1257" t="e">
        <f t="shared" si="0"/>
        <v>#REF!</v>
      </c>
      <c r="AH11" s="1257" t="e">
        <f t="shared" si="1"/>
        <v>#REF!</v>
      </c>
      <c r="AI11" s="1257" t="e">
        <f t="shared" si="2"/>
        <v>#REF!</v>
      </c>
      <c r="AJ11" s="1257" t="e">
        <f t="shared" si="3"/>
        <v>#REF!</v>
      </c>
      <c r="AK11" s="1257" t="e">
        <f t="shared" si="4"/>
        <v>#REF!</v>
      </c>
      <c r="AL11" s="1257" t="e">
        <f t="shared" si="5"/>
        <v>#REF!</v>
      </c>
      <c r="AM11" s="1257" t="e">
        <f t="shared" si="6"/>
        <v>#REF!</v>
      </c>
      <c r="AN11" s="1257" t="e">
        <f t="shared" si="7"/>
        <v>#REF!</v>
      </c>
      <c r="AO11" s="1257" t="e">
        <f t="shared" si="8"/>
        <v>#REF!</v>
      </c>
      <c r="AP11" s="1257" t="e">
        <f t="shared" si="9"/>
        <v>#REF!</v>
      </c>
      <c r="AQ11" s="1257" t="e">
        <f t="shared" si="10"/>
        <v>#REF!</v>
      </c>
    </row>
    <row r="12" spans="1:155">
      <c r="A12" t="e">
        <f>AA!#REF!</f>
        <v>#REF!</v>
      </c>
      <c r="B12" t="e">
        <f>INDEX(AA!$AC$13:$AC$15,MATCH(A12,AA!$C$13:$C$15,0))</f>
        <v>#REF!</v>
      </c>
      <c r="C12" t="e">
        <f>INDEX(AA!$AI$13:$AI$15,MATCH(A12,AA!$C$13:$C$15,0))</f>
        <v>#REF!</v>
      </c>
      <c r="D12" t="e">
        <f>INDEX(AA!$AN$13:$AN$15,MATCH(A12,AA!$C$13:$C$15,0))</f>
        <v>#REF!</v>
      </c>
      <c r="F12" s="261" t="e">
        <f>INDEX(AO!$DJ$18:$DJ$20,MATCH(A12,AO!$C$18:$C$20,0))</f>
        <v>#REF!</v>
      </c>
      <c r="G12" s="261" t="e">
        <f>INDEX(AO!$AS$18:$AS$20,MATCH(A12,AO!$C$18:$C$20,0))</f>
        <v>#REF!</v>
      </c>
      <c r="H12" s="261" t="e">
        <f>INDEX(AO!$AT$18:$AT$20,MATCH(A12,AO!$C$18:$C$20,0))</f>
        <v>#REF!</v>
      </c>
      <c r="I12" s="261" t="e">
        <f>INDEX(AO!$CE$18:$CE$20,MATCH(A12,AO!$C$18:$C$20,0))</f>
        <v>#REF!</v>
      </c>
      <c r="J12" s="261" t="e">
        <f>INDEX(AA!$M$13:$M$15,MATCH(A12,AA!$C$13:$C$15,0))</f>
        <v>#REF!</v>
      </c>
      <c r="K12" s="261" t="e">
        <f>INDEX(AA!$AA$13:$AA$15,MATCH(A12,AA!$C$13:$C$15,0))</f>
        <v>#REF!</v>
      </c>
      <c r="L12" s="261" t="e">
        <f>-INDEX(AO!$AZ$18:$AZ$20,MATCH(A12,AO!$C$18:$C$20,0))</f>
        <v>#REF!</v>
      </c>
      <c r="M12" s="261" t="e">
        <f>INDEX(AO!$DF$18:$DF$20,MATCH(A12,AO!$C$18:$C$20,0))-INDEX(AO!$DA$18:$DA$20,MATCH(A12,AO!$C$18:$C$20,0))+INDEX(AA!$IJ$13:$IJ$15,MATCH(A12,AA!$C$13:$C$15,0))</f>
        <v>#REF!</v>
      </c>
      <c r="N12" s="261" t="e">
        <f>INDEX(AO!$EY$18:$EY$20,MATCH(A12,AO!$C$18:$C$20,0))</f>
        <v>#REF!</v>
      </c>
      <c r="O12" s="261" t="e">
        <f>INDEX(AO!$ED$18:$ED$20,MATCH(A12,AO!$C$18:$C$20,0))</f>
        <v>#REF!</v>
      </c>
      <c r="P12" s="261" t="e">
        <f>INDEX(AO!$EU$18:$EU$20,MATCH(A12,AO!$C$18:$C$20,0))</f>
        <v>#REF!</v>
      </c>
      <c r="Q12" s="261" t="e">
        <f t="shared" si="11"/>
        <v>#REF!</v>
      </c>
      <c r="S12" s="261"/>
      <c r="T12" s="261"/>
      <c r="U12" s="261"/>
      <c r="V12" s="261"/>
      <c r="W12" s="261"/>
      <c r="X12" s="261"/>
      <c r="Y12" s="261"/>
      <c r="Z12" s="261"/>
      <c r="AA12" s="261"/>
      <c r="AB12" s="261"/>
      <c r="AC12" s="261"/>
      <c r="AD12" s="261"/>
      <c r="AF12" s="261" t="e">
        <f t="shared" si="12"/>
        <v>#REF!</v>
      </c>
      <c r="AG12" s="261" t="e">
        <f t="shared" si="0"/>
        <v>#REF!</v>
      </c>
      <c r="AH12" s="261" t="e">
        <f t="shared" si="1"/>
        <v>#REF!</v>
      </c>
      <c r="AI12" s="261" t="e">
        <f t="shared" si="2"/>
        <v>#REF!</v>
      </c>
      <c r="AJ12" s="261" t="e">
        <f t="shared" si="3"/>
        <v>#REF!</v>
      </c>
      <c r="AK12" s="261" t="e">
        <f t="shared" si="4"/>
        <v>#REF!</v>
      </c>
      <c r="AL12" s="261" t="e">
        <f t="shared" si="5"/>
        <v>#REF!</v>
      </c>
      <c r="AM12" s="261" t="e">
        <f t="shared" si="6"/>
        <v>#REF!</v>
      </c>
      <c r="AN12" s="261" t="e">
        <f t="shared" si="7"/>
        <v>#REF!</v>
      </c>
      <c r="AO12" s="261" t="e">
        <f t="shared" si="8"/>
        <v>#REF!</v>
      </c>
      <c r="AP12" s="261" t="e">
        <f t="shared" si="9"/>
        <v>#REF!</v>
      </c>
      <c r="AQ12" s="261" t="e">
        <f t="shared" si="10"/>
        <v>#REF!</v>
      </c>
    </row>
    <row r="13" spans="1:155">
      <c r="A13" s="1256" t="e">
        <f>AA!#REF!</f>
        <v>#REF!</v>
      </c>
      <c r="B13" s="1256" t="e">
        <f>INDEX(AA!$AC$13:$AC$15,MATCH(A13,AA!$C$13:$C$15,0))</f>
        <v>#REF!</v>
      </c>
      <c r="C13" s="1256" t="e">
        <f>INDEX(AA!$AI$13:$AI$15,MATCH(A13,AA!$C$13:$C$15,0))</f>
        <v>#REF!</v>
      </c>
      <c r="D13" s="1256" t="e">
        <f>INDEX(AA!$AN$13:$AN$15,MATCH(A13,AA!$C$13:$C$15,0))</f>
        <v>#REF!</v>
      </c>
      <c r="E13" s="1256"/>
      <c r="F13" s="1257" t="e">
        <f>INDEX(AO!$DJ$18:$DJ$20,MATCH(A13,AO!$C$18:$C$20,0))</f>
        <v>#REF!</v>
      </c>
      <c r="G13" s="1257" t="e">
        <f>INDEX(AO!$AS$18:$AS$20,MATCH(A13,AO!$C$18:$C$20,0))</f>
        <v>#REF!</v>
      </c>
      <c r="H13" s="1257" t="e">
        <f>INDEX(AO!$AT$18:$AT$20,MATCH(A13,AO!$C$18:$C$20,0))</f>
        <v>#REF!</v>
      </c>
      <c r="I13" s="1257" t="e">
        <f>INDEX(AO!$CE$18:$CE$20,MATCH(A13,AO!$C$18:$C$20,0))</f>
        <v>#REF!</v>
      </c>
      <c r="J13" s="1257" t="e">
        <f>INDEX(AA!$M$13:$M$15,MATCH(A13,AA!$C$13:$C$15,0))</f>
        <v>#REF!</v>
      </c>
      <c r="K13" s="1257" t="e">
        <f>INDEX(AA!$AA$13:$AA$15,MATCH(A13,AA!$C$13:$C$15,0))</f>
        <v>#REF!</v>
      </c>
      <c r="L13" s="1257" t="e">
        <f>-INDEX(AO!$AZ$18:$AZ$20,MATCH(A13,AO!$C$18:$C$20,0))</f>
        <v>#REF!</v>
      </c>
      <c r="M13" s="1257" t="e">
        <f>INDEX(AO!$DF$18:$DF$20,MATCH(A13,AO!$C$18:$C$20,0))-INDEX(AO!$DA$18:$DA$20,MATCH(A13,AO!$C$18:$C$20,0))+INDEX(AA!$IJ$13:$IJ$15,MATCH(A13,AA!$C$13:$C$15,0))</f>
        <v>#REF!</v>
      </c>
      <c r="N13" s="1257" t="e">
        <f>INDEX(AO!$EY$18:$EY$20,MATCH(A13,AO!$C$18:$C$20,0))</f>
        <v>#REF!</v>
      </c>
      <c r="O13" s="1257" t="e">
        <f>INDEX(AO!$ED$18:$ED$20,MATCH(A13,AO!$C$18:$C$20,0))</f>
        <v>#REF!</v>
      </c>
      <c r="P13" s="1257" t="e">
        <f>INDEX(AO!$EU$18:$EU$20,MATCH(A13,AO!$C$18:$C$20,0))</f>
        <v>#REF!</v>
      </c>
      <c r="Q13" s="1257" t="e">
        <f t="shared" si="11"/>
        <v>#REF!</v>
      </c>
      <c r="S13" s="1257"/>
      <c r="T13" s="1257"/>
      <c r="U13" s="1257"/>
      <c r="V13" s="1257"/>
      <c r="W13" s="1257"/>
      <c r="X13" s="1257"/>
      <c r="Y13" s="1257"/>
      <c r="Z13" s="1257"/>
      <c r="AA13" s="1257"/>
      <c r="AB13" s="1257"/>
      <c r="AC13" s="1257"/>
      <c r="AD13" s="1257"/>
      <c r="AF13" s="1257" t="e">
        <f t="shared" si="12"/>
        <v>#REF!</v>
      </c>
      <c r="AG13" s="1257" t="e">
        <f t="shared" si="0"/>
        <v>#REF!</v>
      </c>
      <c r="AH13" s="1257" t="e">
        <f t="shared" si="1"/>
        <v>#REF!</v>
      </c>
      <c r="AI13" s="1257" t="e">
        <f t="shared" si="2"/>
        <v>#REF!</v>
      </c>
      <c r="AJ13" s="1257" t="e">
        <f t="shared" si="3"/>
        <v>#REF!</v>
      </c>
      <c r="AK13" s="1257" t="e">
        <f t="shared" si="4"/>
        <v>#REF!</v>
      </c>
      <c r="AL13" s="1257" t="e">
        <f t="shared" si="5"/>
        <v>#REF!</v>
      </c>
      <c r="AM13" s="1257" t="e">
        <f t="shared" si="6"/>
        <v>#REF!</v>
      </c>
      <c r="AN13" s="1257" t="e">
        <f t="shared" si="7"/>
        <v>#REF!</v>
      </c>
      <c r="AO13" s="1257" t="e">
        <f t="shared" si="8"/>
        <v>#REF!</v>
      </c>
      <c r="AP13" s="1257" t="e">
        <f t="shared" si="9"/>
        <v>#REF!</v>
      </c>
      <c r="AQ13" s="1257" t="e">
        <f t="shared" si="10"/>
        <v>#REF!</v>
      </c>
    </row>
    <row r="14" spans="1:155">
      <c r="A14" t="e">
        <f>AA!#REF!</f>
        <v>#REF!</v>
      </c>
      <c r="B14" t="e">
        <f>INDEX(AA!$AC$13:$AC$15,MATCH(A14,AA!$C$13:$C$15,0))</f>
        <v>#REF!</v>
      </c>
      <c r="C14" t="e">
        <f>INDEX(AA!$AI$13:$AI$15,MATCH(A14,AA!$C$13:$C$15,0))</f>
        <v>#REF!</v>
      </c>
      <c r="D14" t="e">
        <f>INDEX(AA!$AN$13:$AN$15,MATCH(A14,AA!$C$13:$C$15,0))</f>
        <v>#REF!</v>
      </c>
      <c r="F14" s="261" t="e">
        <f>INDEX(AO!$DJ$18:$DJ$20,MATCH(A14,AO!$C$18:$C$20,0))</f>
        <v>#REF!</v>
      </c>
      <c r="G14" s="261" t="e">
        <f>INDEX(AO!$AS$18:$AS$20,MATCH(A14,AO!$C$18:$C$20,0))</f>
        <v>#REF!</v>
      </c>
      <c r="H14" s="261" t="e">
        <f>INDEX(AO!$AT$18:$AT$20,MATCH(A14,AO!$C$18:$C$20,0))</f>
        <v>#REF!</v>
      </c>
      <c r="I14" s="261" t="e">
        <f>INDEX(AO!$CE$18:$CE$20,MATCH(A14,AO!$C$18:$C$20,0))</f>
        <v>#REF!</v>
      </c>
      <c r="J14" s="261" t="e">
        <f>INDEX(AA!$M$13:$M$15,MATCH(A14,AA!$C$13:$C$15,0))</f>
        <v>#REF!</v>
      </c>
      <c r="K14" s="261" t="e">
        <f>INDEX(AA!$AA$13:$AA$15,MATCH(A14,AA!$C$13:$C$15,0))</f>
        <v>#REF!</v>
      </c>
      <c r="L14" s="261" t="e">
        <f>-INDEX(AO!$AZ$18:$AZ$20,MATCH(A14,AO!$C$18:$C$20,0))</f>
        <v>#REF!</v>
      </c>
      <c r="M14" s="261" t="e">
        <f>INDEX(AO!$DF$18:$DF$20,MATCH(A14,AO!$C$18:$C$20,0))-INDEX(AO!$DA$18:$DA$20,MATCH(A14,AO!$C$18:$C$20,0))+INDEX(AA!$IJ$13:$IJ$15,MATCH(A14,AA!$C$13:$C$15,0))</f>
        <v>#REF!</v>
      </c>
      <c r="N14" s="261" t="e">
        <f>INDEX(AO!$EY$18:$EY$20,MATCH(A14,AO!$C$18:$C$20,0))</f>
        <v>#REF!</v>
      </c>
      <c r="O14" s="261" t="e">
        <f>INDEX(AO!$ED$18:$ED$20,MATCH(A14,AO!$C$18:$C$20,0))</f>
        <v>#REF!</v>
      </c>
      <c r="P14" s="261" t="e">
        <f>INDEX(AO!$EU$18:$EU$20,MATCH(A14,AO!$C$18:$C$20,0))</f>
        <v>#REF!</v>
      </c>
      <c r="Q14" s="261" t="e">
        <f t="shared" si="11"/>
        <v>#REF!</v>
      </c>
      <c r="S14" s="261"/>
      <c r="T14" s="261"/>
      <c r="U14" s="261"/>
      <c r="V14" s="261"/>
      <c r="W14" s="261"/>
      <c r="X14" s="261"/>
      <c r="Y14" s="261"/>
      <c r="Z14" s="261"/>
      <c r="AA14" s="261"/>
      <c r="AB14" s="261"/>
      <c r="AC14" s="261"/>
      <c r="AD14" s="261"/>
      <c r="AF14" s="261" t="e">
        <f t="shared" si="12"/>
        <v>#REF!</v>
      </c>
      <c r="AG14" s="261" t="e">
        <f t="shared" si="0"/>
        <v>#REF!</v>
      </c>
      <c r="AH14" s="261" t="e">
        <f t="shared" si="1"/>
        <v>#REF!</v>
      </c>
      <c r="AI14" s="261" t="e">
        <f t="shared" si="2"/>
        <v>#REF!</v>
      </c>
      <c r="AJ14" s="261" t="e">
        <f t="shared" si="3"/>
        <v>#REF!</v>
      </c>
      <c r="AK14" s="261" t="e">
        <f t="shared" si="4"/>
        <v>#REF!</v>
      </c>
      <c r="AL14" s="261" t="e">
        <f t="shared" si="5"/>
        <v>#REF!</v>
      </c>
      <c r="AM14" s="261" t="e">
        <f t="shared" si="6"/>
        <v>#REF!</v>
      </c>
      <c r="AN14" s="261" t="e">
        <f t="shared" si="7"/>
        <v>#REF!</v>
      </c>
      <c r="AO14" s="261" t="e">
        <f t="shared" si="8"/>
        <v>#REF!</v>
      </c>
      <c r="AP14" s="261" t="e">
        <f t="shared" si="9"/>
        <v>#REF!</v>
      </c>
      <c r="AQ14" s="261" t="e">
        <f t="shared" si="10"/>
        <v>#REF!</v>
      </c>
    </row>
    <row r="15" spans="1:155">
      <c r="A15" s="1256" t="e">
        <f>AA!#REF!</f>
        <v>#REF!</v>
      </c>
      <c r="B15" s="1256" t="e">
        <f>INDEX(AA!$AC$13:$AC$15,MATCH(A15,AA!$C$13:$C$15,0))</f>
        <v>#REF!</v>
      </c>
      <c r="C15" s="1256" t="e">
        <f>INDEX(AA!$AI$13:$AI$15,MATCH(A15,AA!$C$13:$C$15,0))</f>
        <v>#REF!</v>
      </c>
      <c r="D15" s="1256" t="e">
        <f>INDEX(AA!$AN$13:$AN$15,MATCH(A15,AA!$C$13:$C$15,0))</f>
        <v>#REF!</v>
      </c>
      <c r="E15" s="1256"/>
      <c r="F15" s="1257" t="e">
        <f>INDEX(AO!$DJ$18:$DJ$20,MATCH(A15,AO!$C$18:$C$20,0))</f>
        <v>#REF!</v>
      </c>
      <c r="G15" s="1257" t="e">
        <f>INDEX(AO!$AS$18:$AS$20,MATCH(A15,AO!$C$18:$C$20,0))</f>
        <v>#REF!</v>
      </c>
      <c r="H15" s="1257" t="e">
        <f>INDEX(AO!$AT$18:$AT$20,MATCH(A15,AO!$C$18:$C$20,0))</f>
        <v>#REF!</v>
      </c>
      <c r="I15" s="1257" t="e">
        <f>INDEX(AO!$CE$18:$CE$20,MATCH(A15,AO!$C$18:$C$20,0))</f>
        <v>#REF!</v>
      </c>
      <c r="J15" s="1257" t="e">
        <f>INDEX(AA!$M$13:$M$15,MATCH(A15,AA!$C$13:$C$15,0))</f>
        <v>#REF!</v>
      </c>
      <c r="K15" s="1257" t="e">
        <f>INDEX(AA!$AA$13:$AA$15,MATCH(A15,AA!$C$13:$C$15,0))</f>
        <v>#REF!</v>
      </c>
      <c r="L15" s="1257" t="e">
        <f>-INDEX(AO!$AZ$18:$AZ$20,MATCH(A15,AO!$C$18:$C$20,0))</f>
        <v>#REF!</v>
      </c>
      <c r="M15" s="1257" t="e">
        <f>INDEX(AO!$DF$18:$DF$20,MATCH(A15,AO!$C$18:$C$20,0))-INDEX(AO!$DA$18:$DA$20,MATCH(A15,AO!$C$18:$C$20,0))+INDEX(AA!$IJ$13:$IJ$15,MATCH(A15,AA!$C$13:$C$15,0))</f>
        <v>#REF!</v>
      </c>
      <c r="N15" s="1257" t="e">
        <f>INDEX(AO!$EY$18:$EY$20,MATCH(A15,AO!$C$18:$C$20,0))</f>
        <v>#REF!</v>
      </c>
      <c r="O15" s="1257" t="e">
        <f>INDEX(AO!$ED$18:$ED$20,MATCH(A15,AO!$C$18:$C$20,0))</f>
        <v>#REF!</v>
      </c>
      <c r="P15" s="1257" t="e">
        <f>INDEX(AO!$EU$18:$EU$20,MATCH(A15,AO!$C$18:$C$20,0))</f>
        <v>#REF!</v>
      </c>
      <c r="Q15" s="1257" t="e">
        <f t="shared" si="11"/>
        <v>#REF!</v>
      </c>
      <c r="S15" s="1257"/>
      <c r="T15" s="1257"/>
      <c r="U15" s="1257"/>
      <c r="V15" s="1257"/>
      <c r="W15" s="1257"/>
      <c r="X15" s="1257"/>
      <c r="Y15" s="1257"/>
      <c r="Z15" s="1257"/>
      <c r="AA15" s="1257"/>
      <c r="AB15" s="1257"/>
      <c r="AC15" s="1257"/>
      <c r="AD15" s="1257"/>
      <c r="AF15" s="1257" t="e">
        <f t="shared" si="12"/>
        <v>#REF!</v>
      </c>
      <c r="AG15" s="1257" t="e">
        <f t="shared" si="0"/>
        <v>#REF!</v>
      </c>
      <c r="AH15" s="1257" t="e">
        <f t="shared" si="1"/>
        <v>#REF!</v>
      </c>
      <c r="AI15" s="1257" t="e">
        <f t="shared" si="2"/>
        <v>#REF!</v>
      </c>
      <c r="AJ15" s="1257" t="e">
        <f t="shared" si="3"/>
        <v>#REF!</v>
      </c>
      <c r="AK15" s="1257" t="e">
        <f t="shared" si="4"/>
        <v>#REF!</v>
      </c>
      <c r="AL15" s="1257" t="e">
        <f t="shared" si="5"/>
        <v>#REF!</v>
      </c>
      <c r="AM15" s="1257" t="e">
        <f t="shared" si="6"/>
        <v>#REF!</v>
      </c>
      <c r="AN15" s="1257" t="e">
        <f t="shared" si="7"/>
        <v>#REF!</v>
      </c>
      <c r="AO15" s="1257" t="e">
        <f t="shared" si="8"/>
        <v>#REF!</v>
      </c>
      <c r="AP15" s="1257" t="e">
        <f t="shared" si="9"/>
        <v>#REF!</v>
      </c>
      <c r="AQ15" s="1257" t="e">
        <f t="shared" si="10"/>
        <v>#REF!</v>
      </c>
    </row>
    <row r="16" spans="1:155">
      <c r="A16" t="e">
        <f>AA!#REF!</f>
        <v>#REF!</v>
      </c>
      <c r="B16" t="e">
        <f>INDEX(AA!$AC$13:$AC$15,MATCH(A16,AA!$C$13:$C$15,0))</f>
        <v>#REF!</v>
      </c>
      <c r="C16" t="e">
        <f>INDEX(AA!$AI$13:$AI$15,MATCH(A16,AA!$C$13:$C$15,0))</f>
        <v>#REF!</v>
      </c>
      <c r="D16" t="e">
        <f>INDEX(AA!$AN$13:$AN$15,MATCH(A16,AA!$C$13:$C$15,0))</f>
        <v>#REF!</v>
      </c>
      <c r="F16" s="261" t="e">
        <f>INDEX(AO!$DJ$18:$DJ$20,MATCH(A16,AO!$C$18:$C$20,0))</f>
        <v>#REF!</v>
      </c>
      <c r="G16" s="261" t="e">
        <f>INDEX(AO!$AS$18:$AS$20,MATCH(A16,AO!$C$18:$C$20,0))</f>
        <v>#REF!</v>
      </c>
      <c r="H16" s="261" t="e">
        <f>INDEX(AO!$AT$18:$AT$20,MATCH(A16,AO!$C$18:$C$20,0))</f>
        <v>#REF!</v>
      </c>
      <c r="I16" s="261" t="e">
        <f>INDEX(AO!$CE$18:$CE$20,MATCH(A16,AO!$C$18:$C$20,0))</f>
        <v>#REF!</v>
      </c>
      <c r="J16" s="261" t="e">
        <f>INDEX(AA!$M$13:$M$15,MATCH(A16,AA!$C$13:$C$15,0))</f>
        <v>#REF!</v>
      </c>
      <c r="K16" s="261" t="e">
        <f>INDEX(AA!$AA$13:$AA$15,MATCH(A16,AA!$C$13:$C$15,0))</f>
        <v>#REF!</v>
      </c>
      <c r="L16" s="261" t="e">
        <f>-INDEX(AO!$AZ$18:$AZ$20,MATCH(A16,AO!$C$18:$C$20,0))</f>
        <v>#REF!</v>
      </c>
      <c r="M16" s="261" t="e">
        <f>INDEX(AO!$DF$18:$DF$20,MATCH(A16,AO!$C$18:$C$20,0))-INDEX(AO!$DA$18:$DA$20,MATCH(A16,AO!$C$18:$C$20,0))+INDEX(AA!$IJ$13:$IJ$15,MATCH(A16,AA!$C$13:$C$15,0))</f>
        <v>#REF!</v>
      </c>
      <c r="N16" s="261" t="e">
        <f>INDEX(AO!$EY$18:$EY$20,MATCH(A16,AO!$C$18:$C$20,0))</f>
        <v>#REF!</v>
      </c>
      <c r="O16" s="261" t="e">
        <f>INDEX(AO!$ED$18:$ED$20,MATCH(A16,AO!$C$18:$C$20,0))</f>
        <v>#REF!</v>
      </c>
      <c r="P16" s="261" t="e">
        <f>INDEX(AO!$EU$18:$EU$20,MATCH(A16,AO!$C$18:$C$20,0))</f>
        <v>#REF!</v>
      </c>
      <c r="Q16" s="261" t="e">
        <f t="shared" si="11"/>
        <v>#REF!</v>
      </c>
      <c r="S16" s="261"/>
      <c r="T16" s="261"/>
      <c r="U16" s="261"/>
      <c r="V16" s="261"/>
      <c r="W16" s="261"/>
      <c r="X16" s="261"/>
      <c r="Y16" s="261"/>
      <c r="Z16" s="261"/>
      <c r="AA16" s="261"/>
      <c r="AB16" s="261"/>
      <c r="AC16" s="261"/>
      <c r="AD16" s="261"/>
      <c r="AF16" s="261" t="e">
        <f t="shared" si="12"/>
        <v>#REF!</v>
      </c>
      <c r="AG16" s="261" t="e">
        <f t="shared" si="0"/>
        <v>#REF!</v>
      </c>
      <c r="AH16" s="261" t="e">
        <f t="shared" si="1"/>
        <v>#REF!</v>
      </c>
      <c r="AI16" s="261" t="e">
        <f t="shared" si="2"/>
        <v>#REF!</v>
      </c>
      <c r="AJ16" s="261" t="e">
        <f t="shared" si="3"/>
        <v>#REF!</v>
      </c>
      <c r="AK16" s="261" t="e">
        <f t="shared" si="4"/>
        <v>#REF!</v>
      </c>
      <c r="AL16" s="261" t="e">
        <f t="shared" si="5"/>
        <v>#REF!</v>
      </c>
      <c r="AM16" s="261" t="e">
        <f t="shared" si="6"/>
        <v>#REF!</v>
      </c>
      <c r="AN16" s="261" t="e">
        <f t="shared" si="7"/>
        <v>#REF!</v>
      </c>
      <c r="AO16" s="261" t="e">
        <f t="shared" si="8"/>
        <v>#REF!</v>
      </c>
      <c r="AP16" s="261" t="e">
        <f t="shared" si="9"/>
        <v>#REF!</v>
      </c>
      <c r="AQ16" s="261" t="e">
        <f t="shared" si="10"/>
        <v>#REF!</v>
      </c>
    </row>
    <row r="17" spans="1:43">
      <c r="A17" s="1256" t="e">
        <f>AA!#REF!</f>
        <v>#REF!</v>
      </c>
      <c r="B17" s="1256" t="e">
        <f>INDEX(AA!$AC$13:$AC$15,MATCH(A17,AA!$C$13:$C$15,0))</f>
        <v>#REF!</v>
      </c>
      <c r="C17" s="1256" t="e">
        <f>INDEX(AA!$AI$13:$AI$15,MATCH(A17,AA!$C$13:$C$15,0))</f>
        <v>#REF!</v>
      </c>
      <c r="D17" s="1256" t="e">
        <f>INDEX(AA!$AN$13:$AN$15,MATCH(A17,AA!$C$13:$C$15,0))</f>
        <v>#REF!</v>
      </c>
      <c r="E17" s="1256"/>
      <c r="F17" s="1257" t="e">
        <f>INDEX(AO!$DJ$18:$DJ$20,MATCH(A17,AO!$C$18:$C$20,0))</f>
        <v>#REF!</v>
      </c>
      <c r="G17" s="1257" t="e">
        <f>INDEX(AO!$AS$18:$AS$20,MATCH(A17,AO!$C$18:$C$20,0))</f>
        <v>#REF!</v>
      </c>
      <c r="H17" s="1257" t="e">
        <f>INDEX(AO!$AT$18:$AT$20,MATCH(A17,AO!$C$18:$C$20,0))</f>
        <v>#REF!</v>
      </c>
      <c r="I17" s="1257" t="e">
        <f>INDEX(AO!$CE$18:$CE$20,MATCH(A17,AO!$C$18:$C$20,0))</f>
        <v>#REF!</v>
      </c>
      <c r="J17" s="1257" t="e">
        <f>INDEX(AA!$M$13:$M$15,MATCH(A17,AA!$C$13:$C$15,0))</f>
        <v>#REF!</v>
      </c>
      <c r="K17" s="1257" t="e">
        <f>INDEX(AA!$AA$13:$AA$15,MATCH(A17,AA!$C$13:$C$15,0))</f>
        <v>#REF!</v>
      </c>
      <c r="L17" s="1257" t="e">
        <f>-INDEX(AO!$AZ$18:$AZ$20,MATCH(A17,AO!$C$18:$C$20,0))</f>
        <v>#REF!</v>
      </c>
      <c r="M17" s="1257" t="e">
        <f>INDEX(AO!$DF$18:$DF$20,MATCH(A17,AO!$C$18:$C$20,0))-INDEX(AO!$DA$18:$DA$20,MATCH(A17,AO!$C$18:$C$20,0))+INDEX(AA!$IJ$13:$IJ$15,MATCH(A17,AA!$C$13:$C$15,0))</f>
        <v>#REF!</v>
      </c>
      <c r="N17" s="1257" t="e">
        <f>INDEX(AO!$EY$18:$EY$20,MATCH(A17,AO!$C$18:$C$20,0))</f>
        <v>#REF!</v>
      </c>
      <c r="O17" s="1257" t="e">
        <f>INDEX(AO!$ED$18:$ED$20,MATCH(A17,AO!$C$18:$C$20,0))</f>
        <v>#REF!</v>
      </c>
      <c r="P17" s="1257" t="e">
        <f>INDEX(AO!$EU$18:$EU$20,MATCH(A17,AO!$C$18:$C$20,0))</f>
        <v>#REF!</v>
      </c>
      <c r="Q17" s="1257" t="e">
        <f t="shared" si="11"/>
        <v>#REF!</v>
      </c>
      <c r="S17" s="1257"/>
      <c r="T17" s="1257"/>
      <c r="U17" s="1257"/>
      <c r="V17" s="1257"/>
      <c r="W17" s="1257"/>
      <c r="X17" s="1257"/>
      <c r="Y17" s="1257"/>
      <c r="Z17" s="1257"/>
      <c r="AA17" s="1257"/>
      <c r="AB17" s="1257"/>
      <c r="AC17" s="1257"/>
      <c r="AD17" s="1257"/>
      <c r="AF17" s="1257" t="e">
        <f t="shared" si="12"/>
        <v>#REF!</v>
      </c>
      <c r="AG17" s="1257" t="e">
        <f t="shared" si="0"/>
        <v>#REF!</v>
      </c>
      <c r="AH17" s="1257" t="e">
        <f t="shared" si="1"/>
        <v>#REF!</v>
      </c>
      <c r="AI17" s="1257" t="e">
        <f t="shared" si="2"/>
        <v>#REF!</v>
      </c>
      <c r="AJ17" s="1257" t="e">
        <f t="shared" si="3"/>
        <v>#REF!</v>
      </c>
      <c r="AK17" s="1257" t="e">
        <f t="shared" si="4"/>
        <v>#REF!</v>
      </c>
      <c r="AL17" s="1257" t="e">
        <f t="shared" si="5"/>
        <v>#REF!</v>
      </c>
      <c r="AM17" s="1257" t="e">
        <f t="shared" si="6"/>
        <v>#REF!</v>
      </c>
      <c r="AN17" s="1257" t="e">
        <f t="shared" si="7"/>
        <v>#REF!</v>
      </c>
      <c r="AO17" s="1257" t="e">
        <f t="shared" si="8"/>
        <v>#REF!</v>
      </c>
      <c r="AP17" s="1257" t="e">
        <f t="shared" si="9"/>
        <v>#REF!</v>
      </c>
      <c r="AQ17" s="1257" t="e">
        <f t="shared" si="10"/>
        <v>#REF!</v>
      </c>
    </row>
    <row r="18" spans="1:43">
      <c r="A18" t="e">
        <f>AA!#REF!</f>
        <v>#REF!</v>
      </c>
      <c r="B18" t="e">
        <f>INDEX(AA!$AC$13:$AC$15,MATCH(A18,AA!$C$13:$C$15,0))</f>
        <v>#REF!</v>
      </c>
      <c r="C18" t="e">
        <f>INDEX(AA!$AI$13:$AI$15,MATCH(A18,AA!$C$13:$C$15,0))</f>
        <v>#REF!</v>
      </c>
      <c r="D18" t="e">
        <f>INDEX(AA!$AN$13:$AN$15,MATCH(A18,AA!$C$13:$C$15,0))</f>
        <v>#REF!</v>
      </c>
      <c r="F18" s="261" t="e">
        <f>INDEX(AO!$DJ$18:$DJ$20,MATCH(A18,AO!$C$18:$C$20,0))</f>
        <v>#REF!</v>
      </c>
      <c r="G18" s="261" t="e">
        <f>INDEX(AO!$AS$18:$AS$20,MATCH(A18,AO!$C$18:$C$20,0))</f>
        <v>#REF!</v>
      </c>
      <c r="H18" s="261" t="e">
        <f>INDEX(AO!$AT$18:$AT$20,MATCH(A18,AO!$C$18:$C$20,0))</f>
        <v>#REF!</v>
      </c>
      <c r="I18" s="261" t="e">
        <f>INDEX(AO!$CE$18:$CE$20,MATCH(A18,AO!$C$18:$C$20,0))</f>
        <v>#REF!</v>
      </c>
      <c r="J18" s="261" t="e">
        <f>INDEX(AA!$M$13:$M$15,MATCH(A18,AA!$C$13:$C$15,0))</f>
        <v>#REF!</v>
      </c>
      <c r="K18" s="261" t="e">
        <f>INDEX(AA!$AA$13:$AA$15,MATCH(A18,AA!$C$13:$C$15,0))</f>
        <v>#REF!</v>
      </c>
      <c r="L18" s="261" t="e">
        <f>-INDEX(AO!$AZ$18:$AZ$20,MATCH(A18,AO!$C$18:$C$20,0))</f>
        <v>#REF!</v>
      </c>
      <c r="M18" s="261" t="e">
        <f>INDEX(AO!$DF$18:$DF$20,MATCH(A18,AO!$C$18:$C$20,0))-INDEX(AO!$DA$18:$DA$20,MATCH(A18,AO!$C$18:$C$20,0))+INDEX(AA!$IJ$13:$IJ$15,MATCH(A18,AA!$C$13:$C$15,0))</f>
        <v>#REF!</v>
      </c>
      <c r="N18" s="261" t="e">
        <f>INDEX(AO!$EY$18:$EY$20,MATCH(A18,AO!$C$18:$C$20,0))</f>
        <v>#REF!</v>
      </c>
      <c r="O18" s="261" t="e">
        <f>INDEX(AO!$ED$18:$ED$20,MATCH(A18,AO!$C$18:$C$20,0))</f>
        <v>#REF!</v>
      </c>
      <c r="P18" s="261" t="e">
        <f>INDEX(AO!$EU$18:$EU$20,MATCH(A18,AO!$C$18:$C$20,0))</f>
        <v>#REF!</v>
      </c>
      <c r="Q18" s="261" t="e">
        <f t="shared" si="11"/>
        <v>#REF!</v>
      </c>
      <c r="S18" s="261"/>
      <c r="T18" s="261"/>
      <c r="U18" s="261"/>
      <c r="V18" s="261"/>
      <c r="W18" s="261"/>
      <c r="X18" s="261"/>
      <c r="Y18" s="261"/>
      <c r="Z18" s="261"/>
      <c r="AA18" s="261"/>
      <c r="AB18" s="261"/>
      <c r="AC18" s="261"/>
      <c r="AD18" s="261"/>
      <c r="AF18" s="261" t="e">
        <f t="shared" si="12"/>
        <v>#REF!</v>
      </c>
      <c r="AG18" s="261" t="e">
        <f t="shared" si="0"/>
        <v>#REF!</v>
      </c>
      <c r="AH18" s="261" t="e">
        <f t="shared" si="1"/>
        <v>#REF!</v>
      </c>
      <c r="AI18" s="261" t="e">
        <f t="shared" si="2"/>
        <v>#REF!</v>
      </c>
      <c r="AJ18" s="261" t="e">
        <f t="shared" si="3"/>
        <v>#REF!</v>
      </c>
      <c r="AK18" s="261" t="e">
        <f t="shared" si="4"/>
        <v>#REF!</v>
      </c>
      <c r="AL18" s="261" t="e">
        <f t="shared" si="5"/>
        <v>#REF!</v>
      </c>
      <c r="AM18" s="261" t="e">
        <f t="shared" si="6"/>
        <v>#REF!</v>
      </c>
      <c r="AN18" s="261" t="e">
        <f t="shared" si="7"/>
        <v>#REF!</v>
      </c>
      <c r="AO18" s="261" t="e">
        <f t="shared" si="8"/>
        <v>#REF!</v>
      </c>
      <c r="AP18" s="261" t="e">
        <f t="shared" si="9"/>
        <v>#REF!</v>
      </c>
      <c r="AQ18" s="261" t="e">
        <f t="shared" si="10"/>
        <v>#REF!</v>
      </c>
    </row>
    <row r="19" spans="1:43">
      <c r="A19" s="1256" t="e">
        <f>AA!#REF!</f>
        <v>#REF!</v>
      </c>
      <c r="B19" s="1256" t="e">
        <f>INDEX(AA!$AC$13:$AC$15,MATCH(A19,AA!$C$13:$C$15,0))</f>
        <v>#REF!</v>
      </c>
      <c r="C19" s="1256" t="e">
        <f>INDEX(AA!$AI$13:$AI$15,MATCH(A19,AA!$C$13:$C$15,0))</f>
        <v>#REF!</v>
      </c>
      <c r="D19" s="1256" t="e">
        <f>INDEX(AA!$AN$13:$AN$15,MATCH(A19,AA!$C$13:$C$15,0))</f>
        <v>#REF!</v>
      </c>
      <c r="E19" s="1256"/>
      <c r="F19" s="1257" t="e">
        <f>INDEX(AO!$DJ$18:$DJ$20,MATCH(A19,AO!$C$18:$C$20,0))</f>
        <v>#REF!</v>
      </c>
      <c r="G19" s="1257" t="e">
        <f>INDEX(AO!$AS$18:$AS$20,MATCH(A19,AO!$C$18:$C$20,0))</f>
        <v>#REF!</v>
      </c>
      <c r="H19" s="1257" t="e">
        <f>INDEX(AO!$AT$18:$AT$20,MATCH(A19,AO!$C$18:$C$20,0))</f>
        <v>#REF!</v>
      </c>
      <c r="I19" s="1257" t="e">
        <f>INDEX(AO!$CE$18:$CE$20,MATCH(A19,AO!$C$18:$C$20,0))</f>
        <v>#REF!</v>
      </c>
      <c r="J19" s="1257" t="e">
        <f>INDEX(AA!$M$13:$M$15,MATCH(A19,AA!$C$13:$C$15,0))</f>
        <v>#REF!</v>
      </c>
      <c r="K19" s="1257" t="e">
        <f>INDEX(AA!$AA$13:$AA$15,MATCH(A19,AA!$C$13:$C$15,0))</f>
        <v>#REF!</v>
      </c>
      <c r="L19" s="1257" t="e">
        <f>-INDEX(AO!$AZ$18:$AZ$20,MATCH(A19,AO!$C$18:$C$20,0))</f>
        <v>#REF!</v>
      </c>
      <c r="M19" s="1257" t="e">
        <f>INDEX(AO!$DF$18:$DF$20,MATCH(A19,AO!$C$18:$C$20,0))-INDEX(AO!$DA$18:$DA$20,MATCH(A19,AO!$C$18:$C$20,0))+INDEX(AA!$IJ$13:$IJ$15,MATCH(A19,AA!$C$13:$C$15,0))</f>
        <v>#REF!</v>
      </c>
      <c r="N19" s="1257" t="e">
        <f>INDEX(AO!$EY$18:$EY$20,MATCH(A19,AO!$C$18:$C$20,0))</f>
        <v>#REF!</v>
      </c>
      <c r="O19" s="1257" t="e">
        <f>INDEX(AO!$ED$18:$ED$20,MATCH(A19,AO!$C$18:$C$20,0))</f>
        <v>#REF!</v>
      </c>
      <c r="P19" s="1257" t="e">
        <f>INDEX(AO!$EU$18:$EU$20,MATCH(A19,AO!$C$18:$C$20,0))</f>
        <v>#REF!</v>
      </c>
      <c r="Q19" s="1257" t="e">
        <f t="shared" si="11"/>
        <v>#REF!</v>
      </c>
      <c r="S19" s="1257"/>
      <c r="T19" s="1257"/>
      <c r="U19" s="1257"/>
      <c r="V19" s="1257"/>
      <c r="W19" s="1257"/>
      <c r="X19" s="1257"/>
      <c r="Y19" s="1257"/>
      <c r="Z19" s="1257"/>
      <c r="AA19" s="1257"/>
      <c r="AB19" s="1257"/>
      <c r="AC19" s="1257"/>
      <c r="AD19" s="1257"/>
      <c r="AF19" s="1257" t="e">
        <f t="shared" si="12"/>
        <v>#REF!</v>
      </c>
      <c r="AG19" s="1257" t="e">
        <f t="shared" si="0"/>
        <v>#REF!</v>
      </c>
      <c r="AH19" s="1257" t="e">
        <f t="shared" si="1"/>
        <v>#REF!</v>
      </c>
      <c r="AI19" s="1257" t="e">
        <f t="shared" si="2"/>
        <v>#REF!</v>
      </c>
      <c r="AJ19" s="1257" t="e">
        <f t="shared" si="3"/>
        <v>#REF!</v>
      </c>
      <c r="AK19" s="1257" t="e">
        <f t="shared" si="4"/>
        <v>#REF!</v>
      </c>
      <c r="AL19" s="1257" t="e">
        <f t="shared" si="5"/>
        <v>#REF!</v>
      </c>
      <c r="AM19" s="1257" t="e">
        <f t="shared" si="6"/>
        <v>#REF!</v>
      </c>
      <c r="AN19" s="1257" t="e">
        <f t="shared" si="7"/>
        <v>#REF!</v>
      </c>
      <c r="AO19" s="1257" t="e">
        <f t="shared" si="8"/>
        <v>#REF!</v>
      </c>
      <c r="AP19" s="1257" t="e">
        <f t="shared" si="9"/>
        <v>#REF!</v>
      </c>
      <c r="AQ19" s="1257" t="e">
        <f t="shared" si="10"/>
        <v>#REF!</v>
      </c>
    </row>
    <row r="20" spans="1:43">
      <c r="A20" t="e">
        <f>AA!#REF!</f>
        <v>#REF!</v>
      </c>
      <c r="B20" t="e">
        <f>INDEX(AA!$AC$13:$AC$15,MATCH(A20,AA!$C$13:$C$15,0))</f>
        <v>#REF!</v>
      </c>
      <c r="C20" t="e">
        <f>INDEX(AA!$AI$13:$AI$15,MATCH(A20,AA!$C$13:$C$15,0))</f>
        <v>#REF!</v>
      </c>
      <c r="D20" t="e">
        <f>INDEX(AA!$AN$13:$AN$15,MATCH(A20,AA!$C$13:$C$15,0))</f>
        <v>#REF!</v>
      </c>
      <c r="F20" s="261" t="e">
        <f>INDEX(AO!$DJ$18:$DJ$20,MATCH(A20,AO!$C$18:$C$20,0))</f>
        <v>#REF!</v>
      </c>
      <c r="G20" s="261" t="e">
        <f>INDEX(AO!$AS$18:$AS$20,MATCH(A20,AO!$C$18:$C$20,0))</f>
        <v>#REF!</v>
      </c>
      <c r="H20" s="261" t="e">
        <f>INDEX(AO!$AT$18:$AT$20,MATCH(A20,AO!$C$18:$C$20,0))</f>
        <v>#REF!</v>
      </c>
      <c r="I20" s="261" t="e">
        <f>INDEX(AO!$CE$18:$CE$20,MATCH(A20,AO!$C$18:$C$20,0))</f>
        <v>#REF!</v>
      </c>
      <c r="J20" s="261" t="e">
        <f>INDEX(AA!$M$13:$M$15,MATCH(A20,AA!$C$13:$C$15,0))</f>
        <v>#REF!</v>
      </c>
      <c r="K20" s="261" t="e">
        <f>INDEX(AA!$AA$13:$AA$15,MATCH(A20,AA!$C$13:$C$15,0))</f>
        <v>#REF!</v>
      </c>
      <c r="L20" s="261" t="e">
        <f>-INDEX(AO!$AZ$18:$AZ$20,MATCH(A20,AO!$C$18:$C$20,0))</f>
        <v>#REF!</v>
      </c>
      <c r="M20" s="261" t="e">
        <f>INDEX(AO!$DF$18:$DF$20,MATCH(A20,AO!$C$18:$C$20,0))-INDEX(AO!$DA$18:$DA$20,MATCH(A20,AO!$C$18:$C$20,0))+INDEX(AA!$IJ$13:$IJ$15,MATCH(A20,AA!$C$13:$C$15,0))</f>
        <v>#REF!</v>
      </c>
      <c r="N20" s="261" t="e">
        <f>INDEX(AO!$EY$18:$EY$20,MATCH(A20,AO!$C$18:$C$20,0))</f>
        <v>#REF!</v>
      </c>
      <c r="O20" s="261" t="e">
        <f>INDEX(AO!$ED$18:$ED$20,MATCH(A20,AO!$C$18:$C$20,0))</f>
        <v>#REF!</v>
      </c>
      <c r="P20" s="261" t="e">
        <f>INDEX(AO!$EU$18:$EU$20,MATCH(A20,AO!$C$18:$C$20,0))</f>
        <v>#REF!</v>
      </c>
      <c r="Q20" s="261" t="e">
        <f t="shared" si="11"/>
        <v>#REF!</v>
      </c>
      <c r="S20" s="261"/>
      <c r="T20" s="261"/>
      <c r="U20" s="261"/>
      <c r="V20" s="261"/>
      <c r="W20" s="261"/>
      <c r="X20" s="261"/>
      <c r="Y20" s="261"/>
      <c r="Z20" s="261"/>
      <c r="AA20" s="261"/>
      <c r="AB20" s="261"/>
      <c r="AC20" s="261"/>
      <c r="AD20" s="261"/>
      <c r="AF20" s="261" t="e">
        <f t="shared" si="12"/>
        <v>#REF!</v>
      </c>
      <c r="AG20" s="261" t="e">
        <f t="shared" si="0"/>
        <v>#REF!</v>
      </c>
      <c r="AH20" s="261" t="e">
        <f t="shared" si="1"/>
        <v>#REF!</v>
      </c>
      <c r="AI20" s="261" t="e">
        <f t="shared" si="2"/>
        <v>#REF!</v>
      </c>
      <c r="AJ20" s="261" t="e">
        <f t="shared" si="3"/>
        <v>#REF!</v>
      </c>
      <c r="AK20" s="261" t="e">
        <f t="shared" si="4"/>
        <v>#REF!</v>
      </c>
      <c r="AL20" s="261" t="e">
        <f t="shared" si="5"/>
        <v>#REF!</v>
      </c>
      <c r="AM20" s="261" t="e">
        <f t="shared" si="6"/>
        <v>#REF!</v>
      </c>
      <c r="AN20" s="261" t="e">
        <f t="shared" si="7"/>
        <v>#REF!</v>
      </c>
      <c r="AO20" s="261" t="e">
        <f t="shared" si="8"/>
        <v>#REF!</v>
      </c>
      <c r="AP20" s="261" t="e">
        <f t="shared" si="9"/>
        <v>#REF!</v>
      </c>
      <c r="AQ20" s="261" t="e">
        <f t="shared" si="10"/>
        <v>#REF!</v>
      </c>
    </row>
    <row r="21" spans="1:43">
      <c r="A21" s="1256" t="e">
        <f>AA!#REF!</f>
        <v>#REF!</v>
      </c>
      <c r="B21" s="1256" t="e">
        <f>INDEX(AA!$AC$13:$AC$15,MATCH(A21,AA!$C$13:$C$15,0))</f>
        <v>#REF!</v>
      </c>
      <c r="C21" s="1256" t="e">
        <f>INDEX(AA!$AI$13:$AI$15,MATCH(A21,AA!$C$13:$C$15,0))</f>
        <v>#REF!</v>
      </c>
      <c r="D21" s="1256" t="e">
        <f>INDEX(AA!$AN$13:$AN$15,MATCH(A21,AA!$C$13:$C$15,0))</f>
        <v>#REF!</v>
      </c>
      <c r="E21" s="1256"/>
      <c r="F21" s="1257" t="e">
        <f>INDEX(AO!$DJ$18:$DJ$20,MATCH(A21,AO!$C$18:$C$20,0))</f>
        <v>#REF!</v>
      </c>
      <c r="G21" s="1257" t="e">
        <f>INDEX(AO!$AS$18:$AS$20,MATCH(A21,AO!$C$18:$C$20,0))</f>
        <v>#REF!</v>
      </c>
      <c r="H21" s="1257" t="e">
        <f>INDEX(AO!$AT$18:$AT$20,MATCH(A21,AO!$C$18:$C$20,0))</f>
        <v>#REF!</v>
      </c>
      <c r="I21" s="1257" t="e">
        <f>INDEX(AO!$CE$18:$CE$20,MATCH(A21,AO!$C$18:$C$20,0))</f>
        <v>#REF!</v>
      </c>
      <c r="J21" s="1257" t="e">
        <f>INDEX(AA!$M$13:$M$15,MATCH(A21,AA!$C$13:$C$15,0))</f>
        <v>#REF!</v>
      </c>
      <c r="K21" s="1257" t="e">
        <f>INDEX(AA!$AA$13:$AA$15,MATCH(A21,AA!$C$13:$C$15,0))</f>
        <v>#REF!</v>
      </c>
      <c r="L21" s="1257" t="e">
        <f>-INDEX(AO!$AZ$18:$AZ$20,MATCH(A21,AO!$C$18:$C$20,0))</f>
        <v>#REF!</v>
      </c>
      <c r="M21" s="1257" t="e">
        <f>INDEX(AO!$DF$18:$DF$20,MATCH(A21,AO!$C$18:$C$20,0))-INDEX(AO!$DA$18:$DA$20,MATCH(A21,AO!$C$18:$C$20,0))+INDEX(AA!$IJ$13:$IJ$15,MATCH(A21,AA!$C$13:$C$15,0))</f>
        <v>#REF!</v>
      </c>
      <c r="N21" s="1257" t="e">
        <f>INDEX(AO!$EY$18:$EY$20,MATCH(A21,AO!$C$18:$C$20,0))</f>
        <v>#REF!</v>
      </c>
      <c r="O21" s="1257" t="e">
        <f>INDEX(AO!$ED$18:$ED$20,MATCH(A21,AO!$C$18:$C$20,0))</f>
        <v>#REF!</v>
      </c>
      <c r="P21" s="1257" t="e">
        <f>INDEX(AO!$EU$18:$EU$20,MATCH(A21,AO!$C$18:$C$20,0))</f>
        <v>#REF!</v>
      </c>
      <c r="Q21" s="1257" t="e">
        <f t="shared" si="11"/>
        <v>#REF!</v>
      </c>
      <c r="S21" s="1257"/>
      <c r="T21" s="1257"/>
      <c r="U21" s="1257"/>
      <c r="V21" s="1257"/>
      <c r="W21" s="1257"/>
      <c r="X21" s="1257"/>
      <c r="Y21" s="1257"/>
      <c r="Z21" s="1257"/>
      <c r="AA21" s="1257"/>
      <c r="AB21" s="1257"/>
      <c r="AC21" s="1257"/>
      <c r="AD21" s="1257"/>
      <c r="AF21" s="1257" t="e">
        <f t="shared" si="12"/>
        <v>#REF!</v>
      </c>
      <c r="AG21" s="1257" t="e">
        <f t="shared" si="0"/>
        <v>#REF!</v>
      </c>
      <c r="AH21" s="1257" t="e">
        <f t="shared" si="1"/>
        <v>#REF!</v>
      </c>
      <c r="AI21" s="1257" t="e">
        <f t="shared" si="2"/>
        <v>#REF!</v>
      </c>
      <c r="AJ21" s="1257" t="e">
        <f t="shared" si="3"/>
        <v>#REF!</v>
      </c>
      <c r="AK21" s="1257" t="e">
        <f t="shared" si="4"/>
        <v>#REF!</v>
      </c>
      <c r="AL21" s="1257" t="e">
        <f t="shared" si="5"/>
        <v>#REF!</v>
      </c>
      <c r="AM21" s="1257" t="e">
        <f t="shared" si="6"/>
        <v>#REF!</v>
      </c>
      <c r="AN21" s="1257" t="e">
        <f t="shared" si="7"/>
        <v>#REF!</v>
      </c>
      <c r="AO21" s="1257" t="e">
        <f t="shared" si="8"/>
        <v>#REF!</v>
      </c>
      <c r="AP21" s="1257" t="e">
        <f t="shared" si="9"/>
        <v>#REF!</v>
      </c>
      <c r="AQ21" s="1257" t="e">
        <f t="shared" si="10"/>
        <v>#REF!</v>
      </c>
    </row>
    <row r="22" spans="1:43">
      <c r="A22" t="e">
        <f>AA!#REF!</f>
        <v>#REF!</v>
      </c>
      <c r="B22" t="e">
        <f>INDEX(AA!$AC$13:$AC$15,MATCH(A22,AA!$C$13:$C$15,0))</f>
        <v>#REF!</v>
      </c>
      <c r="C22" t="e">
        <f>INDEX(AA!$AI$13:$AI$15,MATCH(A22,AA!$C$13:$C$15,0))</f>
        <v>#REF!</v>
      </c>
      <c r="D22" t="e">
        <f>INDEX(AA!$AN$13:$AN$15,MATCH(A22,AA!$C$13:$C$15,0))</f>
        <v>#REF!</v>
      </c>
      <c r="F22" s="261" t="e">
        <f>INDEX(AO!$DJ$18:$DJ$20,MATCH(A22,AO!$C$18:$C$20,0))</f>
        <v>#REF!</v>
      </c>
      <c r="G22" s="261" t="e">
        <f>INDEX(AO!$AS$18:$AS$20,MATCH(A22,AO!$C$18:$C$20,0))</f>
        <v>#REF!</v>
      </c>
      <c r="H22" s="261" t="e">
        <f>INDEX(AO!$AT$18:$AT$20,MATCH(A22,AO!$C$18:$C$20,0))</f>
        <v>#REF!</v>
      </c>
      <c r="I22" s="261" t="e">
        <f>INDEX(AO!$CE$18:$CE$20,MATCH(A22,AO!$C$18:$C$20,0))</f>
        <v>#REF!</v>
      </c>
      <c r="J22" s="261" t="e">
        <f>INDEX(AA!$M$13:$M$15,MATCH(A22,AA!$C$13:$C$15,0))</f>
        <v>#REF!</v>
      </c>
      <c r="K22" s="261" t="e">
        <f>INDEX(AA!$AA$13:$AA$15,MATCH(A22,AA!$C$13:$C$15,0))</f>
        <v>#REF!</v>
      </c>
      <c r="L22" s="261" t="e">
        <f>-INDEX(AO!$AZ$18:$AZ$20,MATCH(A22,AO!$C$18:$C$20,0))</f>
        <v>#REF!</v>
      </c>
      <c r="M22" s="261" t="e">
        <f>INDEX(AO!$DF$18:$DF$20,MATCH(A22,AO!$C$18:$C$20,0))-INDEX(AO!$DA$18:$DA$20,MATCH(A22,AO!$C$18:$C$20,0))+INDEX(AA!$IJ$13:$IJ$15,MATCH(A22,AA!$C$13:$C$15,0))</f>
        <v>#REF!</v>
      </c>
      <c r="N22" s="261" t="e">
        <f>INDEX(AO!$EY$18:$EY$20,MATCH(A22,AO!$C$18:$C$20,0))</f>
        <v>#REF!</v>
      </c>
      <c r="O22" s="261" t="e">
        <f>INDEX(AO!$ED$18:$ED$20,MATCH(A22,AO!$C$18:$C$20,0))</f>
        <v>#REF!</v>
      </c>
      <c r="P22" s="261" t="e">
        <f>INDEX(AO!$EU$18:$EU$20,MATCH(A22,AO!$C$18:$C$20,0))</f>
        <v>#REF!</v>
      </c>
      <c r="Q22" s="261" t="e">
        <f t="shared" si="11"/>
        <v>#REF!</v>
      </c>
      <c r="S22" s="261"/>
      <c r="T22" s="261"/>
      <c r="U22" s="261"/>
      <c r="V22" s="261"/>
      <c r="W22" s="261"/>
      <c r="X22" s="261"/>
      <c r="Y22" s="261"/>
      <c r="Z22" s="261"/>
      <c r="AA22" s="261"/>
      <c r="AB22" s="261"/>
      <c r="AC22" s="261"/>
      <c r="AD22" s="261"/>
      <c r="AF22" s="261" t="e">
        <f t="shared" si="12"/>
        <v>#REF!</v>
      </c>
      <c r="AG22" s="261" t="e">
        <f t="shared" si="0"/>
        <v>#REF!</v>
      </c>
      <c r="AH22" s="261" t="e">
        <f t="shared" si="1"/>
        <v>#REF!</v>
      </c>
      <c r="AI22" s="261" t="e">
        <f t="shared" si="2"/>
        <v>#REF!</v>
      </c>
      <c r="AJ22" s="261" t="e">
        <f t="shared" si="3"/>
        <v>#REF!</v>
      </c>
      <c r="AK22" s="261" t="e">
        <f t="shared" si="4"/>
        <v>#REF!</v>
      </c>
      <c r="AL22" s="261" t="e">
        <f t="shared" si="5"/>
        <v>#REF!</v>
      </c>
      <c r="AM22" s="261" t="e">
        <f t="shared" si="6"/>
        <v>#REF!</v>
      </c>
      <c r="AN22" s="261" t="e">
        <f t="shared" si="7"/>
        <v>#REF!</v>
      </c>
      <c r="AO22" s="261" t="e">
        <f t="shared" si="8"/>
        <v>#REF!</v>
      </c>
      <c r="AP22" s="261" t="e">
        <f t="shared" si="9"/>
        <v>#REF!</v>
      </c>
      <c r="AQ22" s="261" t="e">
        <f t="shared" si="10"/>
        <v>#REF!</v>
      </c>
    </row>
    <row r="23" spans="1:43">
      <c r="A23" s="1256" t="e">
        <f>AA!#REF!</f>
        <v>#REF!</v>
      </c>
      <c r="B23" s="1256" t="e">
        <f>INDEX(AA!$AC$13:$AC$15,MATCH(A23,AA!$C$13:$C$15,0))</f>
        <v>#REF!</v>
      </c>
      <c r="C23" s="1256" t="e">
        <f>INDEX(AA!$AI$13:$AI$15,MATCH(A23,AA!$C$13:$C$15,0))</f>
        <v>#REF!</v>
      </c>
      <c r="D23" s="1256" t="e">
        <f>INDEX(AA!$AN$13:$AN$15,MATCH(A23,AA!$C$13:$C$15,0))</f>
        <v>#REF!</v>
      </c>
      <c r="E23" s="1256"/>
      <c r="F23" s="1257" t="e">
        <f>INDEX(AO!$DJ$18:$DJ$20,MATCH(A23,AO!$C$18:$C$20,0))</f>
        <v>#REF!</v>
      </c>
      <c r="G23" s="1257" t="e">
        <f>INDEX(AO!$AS$18:$AS$20,MATCH(A23,AO!$C$18:$C$20,0))</f>
        <v>#REF!</v>
      </c>
      <c r="H23" s="1257" t="e">
        <f>INDEX(AO!$AT$18:$AT$20,MATCH(A23,AO!$C$18:$C$20,0))</f>
        <v>#REF!</v>
      </c>
      <c r="I23" s="1257" t="e">
        <f>INDEX(AO!$CE$18:$CE$20,MATCH(A23,AO!$C$18:$C$20,0))</f>
        <v>#REF!</v>
      </c>
      <c r="J23" s="1257" t="e">
        <f>INDEX(AA!$M$13:$M$15,MATCH(A23,AA!$C$13:$C$15,0))</f>
        <v>#REF!</v>
      </c>
      <c r="K23" s="1257" t="e">
        <f>INDEX(AA!$AA$13:$AA$15,MATCH(A23,AA!$C$13:$C$15,0))</f>
        <v>#REF!</v>
      </c>
      <c r="L23" s="1257" t="e">
        <f>-INDEX(AO!$AZ$18:$AZ$20,MATCH(A23,AO!$C$18:$C$20,0))</f>
        <v>#REF!</v>
      </c>
      <c r="M23" s="1257" t="e">
        <f>INDEX(AO!$DF$18:$DF$20,MATCH(A23,AO!$C$18:$C$20,0))-INDEX(AO!$DA$18:$DA$20,MATCH(A23,AO!$C$18:$C$20,0))+INDEX(AA!$IJ$13:$IJ$15,MATCH(A23,AA!$C$13:$C$15,0))</f>
        <v>#REF!</v>
      </c>
      <c r="N23" s="1257" t="e">
        <f>INDEX(AO!$EY$18:$EY$20,MATCH(A23,AO!$C$18:$C$20,0))</f>
        <v>#REF!</v>
      </c>
      <c r="O23" s="1257" t="e">
        <f>INDEX(AO!$ED$18:$ED$20,MATCH(A23,AO!$C$18:$C$20,0))</f>
        <v>#REF!</v>
      </c>
      <c r="P23" s="1257" t="e">
        <f>INDEX(AO!$EU$18:$EU$20,MATCH(A23,AO!$C$18:$C$20,0))</f>
        <v>#REF!</v>
      </c>
      <c r="Q23" s="1257" t="e">
        <f t="shared" si="11"/>
        <v>#REF!</v>
      </c>
      <c r="S23" s="1257"/>
      <c r="T23" s="1257"/>
      <c r="U23" s="1257"/>
      <c r="V23" s="1257"/>
      <c r="W23" s="1257"/>
      <c r="X23" s="1257"/>
      <c r="Y23" s="1257"/>
      <c r="Z23" s="1257"/>
      <c r="AA23" s="1257"/>
      <c r="AB23" s="1257"/>
      <c r="AC23" s="1257"/>
      <c r="AD23" s="1257"/>
      <c r="AF23" s="1257" t="e">
        <f t="shared" si="12"/>
        <v>#REF!</v>
      </c>
      <c r="AG23" s="1257" t="e">
        <f t="shared" si="0"/>
        <v>#REF!</v>
      </c>
      <c r="AH23" s="1257" t="e">
        <f t="shared" si="1"/>
        <v>#REF!</v>
      </c>
      <c r="AI23" s="1257" t="e">
        <f t="shared" si="2"/>
        <v>#REF!</v>
      </c>
      <c r="AJ23" s="1257" t="e">
        <f t="shared" si="3"/>
        <v>#REF!</v>
      </c>
      <c r="AK23" s="1257" t="e">
        <f t="shared" si="4"/>
        <v>#REF!</v>
      </c>
      <c r="AL23" s="1257" t="e">
        <f t="shared" si="5"/>
        <v>#REF!</v>
      </c>
      <c r="AM23" s="1257" t="e">
        <f t="shared" si="6"/>
        <v>#REF!</v>
      </c>
      <c r="AN23" s="1257" t="e">
        <f t="shared" si="7"/>
        <v>#REF!</v>
      </c>
      <c r="AO23" s="1257" t="e">
        <f t="shared" si="8"/>
        <v>#REF!</v>
      </c>
      <c r="AP23" s="1257" t="e">
        <f t="shared" si="9"/>
        <v>#REF!</v>
      </c>
      <c r="AQ23" s="1257" t="e">
        <f t="shared" si="10"/>
        <v>#REF!</v>
      </c>
    </row>
    <row r="24" spans="1:43">
      <c r="A24" t="e">
        <f>AA!#REF!</f>
        <v>#REF!</v>
      </c>
      <c r="B24" t="e">
        <f>INDEX(AA!$AC$13:$AC$15,MATCH(A24,AA!$C$13:$C$15,0))</f>
        <v>#REF!</v>
      </c>
      <c r="C24" t="e">
        <f>INDEX(AA!$AI$13:$AI$15,MATCH(A24,AA!$C$13:$C$15,0))</f>
        <v>#REF!</v>
      </c>
      <c r="D24" t="e">
        <f>INDEX(AA!$AN$13:$AN$15,MATCH(A24,AA!$C$13:$C$15,0))</f>
        <v>#REF!</v>
      </c>
      <c r="F24" s="261" t="e">
        <f>INDEX(AO!$DJ$18:$DJ$20,MATCH(A24,AO!$C$18:$C$20,0))</f>
        <v>#REF!</v>
      </c>
      <c r="G24" s="261" t="e">
        <f>INDEX(AO!$AS$18:$AS$20,MATCH(A24,AO!$C$18:$C$20,0))</f>
        <v>#REF!</v>
      </c>
      <c r="H24" s="261" t="e">
        <f>INDEX(AO!$AT$18:$AT$20,MATCH(A24,AO!$C$18:$C$20,0))</f>
        <v>#REF!</v>
      </c>
      <c r="I24" s="261" t="e">
        <f>INDEX(AO!$CE$18:$CE$20,MATCH(A24,AO!$C$18:$C$20,0))</f>
        <v>#REF!</v>
      </c>
      <c r="J24" s="261" t="e">
        <f>INDEX(AA!$M$13:$M$15,MATCH(A24,AA!$C$13:$C$15,0))</f>
        <v>#REF!</v>
      </c>
      <c r="K24" s="261" t="e">
        <f>INDEX(AA!$AA$13:$AA$15,MATCH(A24,AA!$C$13:$C$15,0))</f>
        <v>#REF!</v>
      </c>
      <c r="L24" s="261" t="e">
        <f>-INDEX(AO!$AZ$18:$AZ$20,MATCH(A24,AO!$C$18:$C$20,0))</f>
        <v>#REF!</v>
      </c>
      <c r="M24" s="261" t="e">
        <f>INDEX(AO!$DF$18:$DF$20,MATCH(A24,AO!$C$18:$C$20,0))-INDEX(AO!$DA$18:$DA$20,MATCH(A24,AO!$C$18:$C$20,0))+INDEX(AA!$IJ$13:$IJ$15,MATCH(A24,AA!$C$13:$C$15,0))</f>
        <v>#REF!</v>
      </c>
      <c r="N24" s="261" t="e">
        <f>INDEX(AO!$EY$18:$EY$20,MATCH(A24,AO!$C$18:$C$20,0))</f>
        <v>#REF!</v>
      </c>
      <c r="O24" s="261" t="e">
        <f>INDEX(AO!$ED$18:$ED$20,MATCH(A24,AO!$C$18:$C$20,0))</f>
        <v>#REF!</v>
      </c>
      <c r="P24" s="261" t="e">
        <f>INDEX(AO!$EU$18:$EU$20,MATCH(A24,AO!$C$18:$C$20,0))</f>
        <v>#REF!</v>
      </c>
      <c r="Q24" s="261" t="e">
        <f t="shared" si="11"/>
        <v>#REF!</v>
      </c>
      <c r="S24" s="261"/>
      <c r="T24" s="261"/>
      <c r="U24" s="261"/>
      <c r="V24" s="261"/>
      <c r="W24" s="261"/>
      <c r="X24" s="261"/>
      <c r="Y24" s="261"/>
      <c r="Z24" s="261"/>
      <c r="AA24" s="261"/>
      <c r="AB24" s="261"/>
      <c r="AC24" s="261"/>
      <c r="AD24" s="261"/>
      <c r="AF24" s="261" t="e">
        <f t="shared" si="12"/>
        <v>#REF!</v>
      </c>
      <c r="AG24" s="261" t="e">
        <f t="shared" si="0"/>
        <v>#REF!</v>
      </c>
      <c r="AH24" s="261" t="e">
        <f t="shared" si="1"/>
        <v>#REF!</v>
      </c>
      <c r="AI24" s="261" t="e">
        <f t="shared" si="2"/>
        <v>#REF!</v>
      </c>
      <c r="AJ24" s="261" t="e">
        <f t="shared" si="3"/>
        <v>#REF!</v>
      </c>
      <c r="AK24" s="261" t="e">
        <f t="shared" si="4"/>
        <v>#REF!</v>
      </c>
      <c r="AL24" s="261" t="e">
        <f t="shared" si="5"/>
        <v>#REF!</v>
      </c>
      <c r="AM24" s="261" t="e">
        <f t="shared" si="6"/>
        <v>#REF!</v>
      </c>
      <c r="AN24" s="261" t="e">
        <f t="shared" si="7"/>
        <v>#REF!</v>
      </c>
      <c r="AO24" s="261" t="e">
        <f t="shared" si="8"/>
        <v>#REF!</v>
      </c>
      <c r="AP24" s="261" t="e">
        <f t="shared" si="9"/>
        <v>#REF!</v>
      </c>
      <c r="AQ24" s="261" t="e">
        <f t="shared" si="10"/>
        <v>#REF!</v>
      </c>
    </row>
    <row r="25" spans="1:43">
      <c r="A25" s="1256" t="e">
        <f>AA!#REF!</f>
        <v>#REF!</v>
      </c>
      <c r="B25" s="1256" t="e">
        <f>INDEX(AA!$AC$13:$AC$15,MATCH(A25,AA!$C$13:$C$15,0))</f>
        <v>#REF!</v>
      </c>
      <c r="C25" s="1256" t="e">
        <f>INDEX(AA!$AI$13:$AI$15,MATCH(A25,AA!$C$13:$C$15,0))</f>
        <v>#REF!</v>
      </c>
      <c r="D25" s="1256" t="e">
        <f>INDEX(AA!$AN$13:$AN$15,MATCH(A25,AA!$C$13:$C$15,0))</f>
        <v>#REF!</v>
      </c>
      <c r="E25" s="1256"/>
      <c r="F25" s="1257" t="e">
        <f>INDEX(AO!$DJ$18:$DJ$20,MATCH(A25,AO!$C$18:$C$20,0))</f>
        <v>#REF!</v>
      </c>
      <c r="G25" s="1257" t="e">
        <f>INDEX(AO!$AS$18:$AS$20,MATCH(A25,AO!$C$18:$C$20,0))</f>
        <v>#REF!</v>
      </c>
      <c r="H25" s="1257" t="e">
        <f>INDEX(AO!$AT$18:$AT$20,MATCH(A25,AO!$C$18:$C$20,0))</f>
        <v>#REF!</v>
      </c>
      <c r="I25" s="1257" t="e">
        <f>INDEX(AO!$CE$18:$CE$20,MATCH(A25,AO!$C$18:$C$20,0))</f>
        <v>#REF!</v>
      </c>
      <c r="J25" s="1257" t="e">
        <f>INDEX(AA!$M$13:$M$15,MATCH(A25,AA!$C$13:$C$15,0))</f>
        <v>#REF!</v>
      </c>
      <c r="K25" s="1257" t="e">
        <f>INDEX(AA!$AA$13:$AA$15,MATCH(A25,AA!$C$13:$C$15,0))</f>
        <v>#REF!</v>
      </c>
      <c r="L25" s="1257" t="e">
        <f>-INDEX(AO!$AZ$18:$AZ$20,MATCH(A25,AO!$C$18:$C$20,0))</f>
        <v>#REF!</v>
      </c>
      <c r="M25" s="1257" t="e">
        <f>INDEX(AO!$DF$18:$DF$20,MATCH(A25,AO!$C$18:$C$20,0))-INDEX(AO!$DA$18:$DA$20,MATCH(A25,AO!$C$18:$C$20,0))+INDEX(AA!$IJ$13:$IJ$15,MATCH(A25,AA!$C$13:$C$15,0))</f>
        <v>#REF!</v>
      </c>
      <c r="N25" s="1257" t="e">
        <f>INDEX(AO!$EY$18:$EY$20,MATCH(A25,AO!$C$18:$C$20,0))</f>
        <v>#REF!</v>
      </c>
      <c r="O25" s="1257" t="e">
        <f>INDEX(AO!$ED$18:$ED$20,MATCH(A25,AO!$C$18:$C$20,0))</f>
        <v>#REF!</v>
      </c>
      <c r="P25" s="1257" t="e">
        <f>INDEX(AO!$EU$18:$EU$20,MATCH(A25,AO!$C$18:$C$20,0))</f>
        <v>#REF!</v>
      </c>
      <c r="Q25" s="1257" t="e">
        <f t="shared" si="11"/>
        <v>#REF!</v>
      </c>
      <c r="S25" s="1257"/>
      <c r="T25" s="1257"/>
      <c r="U25" s="1257"/>
      <c r="V25" s="1257"/>
      <c r="W25" s="1257"/>
      <c r="X25" s="1257"/>
      <c r="Y25" s="1257"/>
      <c r="Z25" s="1257"/>
      <c r="AA25" s="1257"/>
      <c r="AB25" s="1257"/>
      <c r="AC25" s="1257"/>
      <c r="AD25" s="1257"/>
      <c r="AF25" s="1257" t="e">
        <f t="shared" si="12"/>
        <v>#REF!</v>
      </c>
      <c r="AG25" s="1257" t="e">
        <f t="shared" si="0"/>
        <v>#REF!</v>
      </c>
      <c r="AH25" s="1257" t="e">
        <f t="shared" si="1"/>
        <v>#REF!</v>
      </c>
      <c r="AI25" s="1257" t="e">
        <f t="shared" si="2"/>
        <v>#REF!</v>
      </c>
      <c r="AJ25" s="1257" t="e">
        <f t="shared" si="3"/>
        <v>#REF!</v>
      </c>
      <c r="AK25" s="1257" t="e">
        <f t="shared" si="4"/>
        <v>#REF!</v>
      </c>
      <c r="AL25" s="1257" t="e">
        <f t="shared" si="5"/>
        <v>#REF!</v>
      </c>
      <c r="AM25" s="1257" t="e">
        <f t="shared" si="6"/>
        <v>#REF!</v>
      </c>
      <c r="AN25" s="1257" t="e">
        <f t="shared" si="7"/>
        <v>#REF!</v>
      </c>
      <c r="AO25" s="1257" t="e">
        <f t="shared" si="8"/>
        <v>#REF!</v>
      </c>
      <c r="AP25" s="1257" t="e">
        <f t="shared" si="9"/>
        <v>#REF!</v>
      </c>
      <c r="AQ25" s="1257" t="e">
        <f t="shared" si="10"/>
        <v>#REF!</v>
      </c>
    </row>
    <row r="26" spans="1:43">
      <c r="A26" t="e">
        <f>AA!#REF!</f>
        <v>#REF!</v>
      </c>
      <c r="B26" t="e">
        <f>INDEX(AA!$AC$13:$AC$15,MATCH(A26,AA!$C$13:$C$15,0))</f>
        <v>#REF!</v>
      </c>
      <c r="C26" t="e">
        <f>INDEX(AA!$AI$13:$AI$15,MATCH(A26,AA!$C$13:$C$15,0))</f>
        <v>#REF!</v>
      </c>
      <c r="D26" t="e">
        <f>INDEX(AA!$AN$13:$AN$15,MATCH(A26,AA!$C$13:$C$15,0))</f>
        <v>#REF!</v>
      </c>
      <c r="F26" s="261" t="e">
        <f>INDEX(AO!$DJ$18:$DJ$20,MATCH(A26,AO!$C$18:$C$20,0))</f>
        <v>#REF!</v>
      </c>
      <c r="G26" s="261" t="e">
        <f>INDEX(AO!$AS$18:$AS$20,MATCH(A26,AO!$C$18:$C$20,0))</f>
        <v>#REF!</v>
      </c>
      <c r="H26" s="261" t="e">
        <f>INDEX(AO!$AT$18:$AT$20,MATCH(A26,AO!$C$18:$C$20,0))</f>
        <v>#REF!</v>
      </c>
      <c r="I26" s="261" t="e">
        <f>INDEX(AO!$CE$18:$CE$20,MATCH(A26,AO!$C$18:$C$20,0))</f>
        <v>#REF!</v>
      </c>
      <c r="J26" s="261" t="e">
        <f>INDEX(AA!$M$13:$M$15,MATCH(A26,AA!$C$13:$C$15,0))</f>
        <v>#REF!</v>
      </c>
      <c r="K26" s="261" t="e">
        <f>INDEX(AA!$AA$13:$AA$15,MATCH(A26,AA!$C$13:$C$15,0))</f>
        <v>#REF!</v>
      </c>
      <c r="L26" s="261" t="e">
        <f>-INDEX(AO!$AZ$18:$AZ$20,MATCH(A26,AO!$C$18:$C$20,0))</f>
        <v>#REF!</v>
      </c>
      <c r="M26" s="261" t="e">
        <f>INDEX(AO!$DF$18:$DF$20,MATCH(A26,AO!$C$18:$C$20,0))-INDEX(AO!$DA$18:$DA$20,MATCH(A26,AO!$C$18:$C$20,0))+INDEX(AA!$IJ$13:$IJ$15,MATCH(A26,AA!$C$13:$C$15,0))</f>
        <v>#REF!</v>
      </c>
      <c r="N26" s="261" t="e">
        <f>INDEX(AO!$EY$18:$EY$20,MATCH(A26,AO!$C$18:$C$20,0))</f>
        <v>#REF!</v>
      </c>
      <c r="O26" s="261" t="e">
        <f>INDEX(AO!$ED$18:$ED$20,MATCH(A26,AO!$C$18:$C$20,0))</f>
        <v>#REF!</v>
      </c>
      <c r="P26" s="261" t="e">
        <f>INDEX(AO!$EU$18:$EU$20,MATCH(A26,AO!$C$18:$C$20,0))</f>
        <v>#REF!</v>
      </c>
      <c r="Q26" s="261" t="e">
        <f t="shared" si="11"/>
        <v>#REF!</v>
      </c>
      <c r="S26" s="261"/>
      <c r="T26" s="261"/>
      <c r="U26" s="261"/>
      <c r="V26" s="261"/>
      <c r="W26" s="261"/>
      <c r="X26" s="261"/>
      <c r="Y26" s="261"/>
      <c r="Z26" s="261"/>
      <c r="AA26" s="261"/>
      <c r="AB26" s="261"/>
      <c r="AC26" s="261"/>
      <c r="AD26" s="261"/>
      <c r="AF26" s="261" t="e">
        <f t="shared" si="12"/>
        <v>#REF!</v>
      </c>
      <c r="AG26" s="261" t="e">
        <f t="shared" si="0"/>
        <v>#REF!</v>
      </c>
      <c r="AH26" s="261" t="e">
        <f t="shared" si="1"/>
        <v>#REF!</v>
      </c>
      <c r="AI26" s="261" t="e">
        <f t="shared" si="2"/>
        <v>#REF!</v>
      </c>
      <c r="AJ26" s="261" t="e">
        <f t="shared" si="3"/>
        <v>#REF!</v>
      </c>
      <c r="AK26" s="261" t="e">
        <f t="shared" si="4"/>
        <v>#REF!</v>
      </c>
      <c r="AL26" s="261" t="e">
        <f t="shared" si="5"/>
        <v>#REF!</v>
      </c>
      <c r="AM26" s="261" t="e">
        <f t="shared" si="6"/>
        <v>#REF!</v>
      </c>
      <c r="AN26" s="261" t="e">
        <f t="shared" si="7"/>
        <v>#REF!</v>
      </c>
      <c r="AO26" s="261" t="e">
        <f t="shared" si="8"/>
        <v>#REF!</v>
      </c>
      <c r="AP26" s="261" t="e">
        <f t="shared" si="9"/>
        <v>#REF!</v>
      </c>
      <c r="AQ26" s="261" t="e">
        <f t="shared" si="10"/>
        <v>#REF!</v>
      </c>
    </row>
    <row r="27" spans="1:43">
      <c r="A27" s="1256" t="e">
        <f>AA!#REF!</f>
        <v>#REF!</v>
      </c>
      <c r="B27" s="1256" t="e">
        <f>INDEX(AA!$AC$13:$AC$15,MATCH(A27,AA!$C$13:$C$15,0))</f>
        <v>#REF!</v>
      </c>
      <c r="C27" s="1256" t="e">
        <f>INDEX(AA!$AI$13:$AI$15,MATCH(A27,AA!$C$13:$C$15,0))</f>
        <v>#REF!</v>
      </c>
      <c r="D27" s="1256" t="e">
        <f>INDEX(AA!$AN$13:$AN$15,MATCH(A27,AA!$C$13:$C$15,0))</f>
        <v>#REF!</v>
      </c>
      <c r="E27" s="1256"/>
      <c r="F27" s="1257" t="e">
        <f>INDEX(AO!$DJ$18:$DJ$20,MATCH(A27,AO!$C$18:$C$20,0))</f>
        <v>#REF!</v>
      </c>
      <c r="G27" s="1257" t="e">
        <f>INDEX(AO!$AS$18:$AS$20,MATCH(A27,AO!$C$18:$C$20,0))</f>
        <v>#REF!</v>
      </c>
      <c r="H27" s="1257" t="e">
        <f>INDEX(AO!$AT$18:$AT$20,MATCH(A27,AO!$C$18:$C$20,0))</f>
        <v>#REF!</v>
      </c>
      <c r="I27" s="1257" t="e">
        <f>INDEX(AO!$CE$18:$CE$20,MATCH(A27,AO!$C$18:$C$20,0))</f>
        <v>#REF!</v>
      </c>
      <c r="J27" s="1257" t="e">
        <f>INDEX(AA!$M$13:$M$15,MATCH(A27,AA!$C$13:$C$15,0))</f>
        <v>#REF!</v>
      </c>
      <c r="K27" s="1257" t="e">
        <f>INDEX(AA!$AA$13:$AA$15,MATCH(A27,AA!$C$13:$C$15,0))</f>
        <v>#REF!</v>
      </c>
      <c r="L27" s="1257" t="e">
        <f>-INDEX(AO!$AZ$18:$AZ$20,MATCH(A27,AO!$C$18:$C$20,0))</f>
        <v>#REF!</v>
      </c>
      <c r="M27" s="1257" t="e">
        <f>INDEX(AO!$DF$18:$DF$20,MATCH(A27,AO!$C$18:$C$20,0))-INDEX(AO!$DA$18:$DA$20,MATCH(A27,AO!$C$18:$C$20,0))+INDEX(AA!$IJ$13:$IJ$15,MATCH(A27,AA!$C$13:$C$15,0))</f>
        <v>#REF!</v>
      </c>
      <c r="N27" s="1257" t="e">
        <f>INDEX(AO!$EY$18:$EY$20,MATCH(A27,AO!$C$18:$C$20,0))</f>
        <v>#REF!</v>
      </c>
      <c r="O27" s="1257" t="e">
        <f>INDEX(AO!$ED$18:$ED$20,MATCH(A27,AO!$C$18:$C$20,0))</f>
        <v>#REF!</v>
      </c>
      <c r="P27" s="1257" t="e">
        <f>INDEX(AO!$EU$18:$EU$20,MATCH(A27,AO!$C$18:$C$20,0))</f>
        <v>#REF!</v>
      </c>
      <c r="Q27" s="1257" t="e">
        <f t="shared" si="11"/>
        <v>#REF!</v>
      </c>
      <c r="S27" s="1257"/>
      <c r="T27" s="1257"/>
      <c r="U27" s="1257"/>
      <c r="V27" s="1257"/>
      <c r="W27" s="1257"/>
      <c r="X27" s="1257"/>
      <c r="Y27" s="1257"/>
      <c r="Z27" s="1257"/>
      <c r="AA27" s="1257"/>
      <c r="AB27" s="1257"/>
      <c r="AC27" s="1257"/>
      <c r="AD27" s="1257"/>
      <c r="AF27" s="1257" t="e">
        <f t="shared" si="12"/>
        <v>#REF!</v>
      </c>
      <c r="AG27" s="1257" t="e">
        <f t="shared" si="0"/>
        <v>#REF!</v>
      </c>
      <c r="AH27" s="1257" t="e">
        <f t="shared" si="1"/>
        <v>#REF!</v>
      </c>
      <c r="AI27" s="1257" t="e">
        <f t="shared" si="2"/>
        <v>#REF!</v>
      </c>
      <c r="AJ27" s="1257" t="e">
        <f t="shared" si="3"/>
        <v>#REF!</v>
      </c>
      <c r="AK27" s="1257" t="e">
        <f t="shared" si="4"/>
        <v>#REF!</v>
      </c>
      <c r="AL27" s="1257" t="e">
        <f t="shared" si="5"/>
        <v>#REF!</v>
      </c>
      <c r="AM27" s="1257" t="e">
        <f t="shared" si="6"/>
        <v>#REF!</v>
      </c>
      <c r="AN27" s="1257" t="e">
        <f t="shared" si="7"/>
        <v>#REF!</v>
      </c>
      <c r="AO27" s="1257" t="e">
        <f t="shared" si="8"/>
        <v>#REF!</v>
      </c>
      <c r="AP27" s="1257" t="e">
        <f t="shared" si="9"/>
        <v>#REF!</v>
      </c>
      <c r="AQ27" s="1257" t="e">
        <f t="shared" si="10"/>
        <v>#REF!</v>
      </c>
    </row>
    <row r="28" spans="1:43">
      <c r="A28" t="e">
        <f>AA!#REF!</f>
        <v>#REF!</v>
      </c>
      <c r="B28" t="e">
        <f>INDEX(AA!$AC$13:$AC$15,MATCH(A28,AA!$C$13:$C$15,0))</f>
        <v>#REF!</v>
      </c>
      <c r="C28" t="e">
        <f>INDEX(AA!$AI$13:$AI$15,MATCH(A28,AA!$C$13:$C$15,0))</f>
        <v>#REF!</v>
      </c>
      <c r="D28" t="e">
        <f>INDEX(AA!$AN$13:$AN$15,MATCH(A28,AA!$C$13:$C$15,0))</f>
        <v>#REF!</v>
      </c>
      <c r="F28" s="261" t="e">
        <f>INDEX(AO!$DJ$18:$DJ$20,MATCH(A28,AO!$C$18:$C$20,0))</f>
        <v>#REF!</v>
      </c>
      <c r="G28" s="261" t="e">
        <f>INDEX(AO!$AS$18:$AS$20,MATCH(A28,AO!$C$18:$C$20,0))</f>
        <v>#REF!</v>
      </c>
      <c r="H28" s="261" t="e">
        <f>INDEX(AO!$AT$18:$AT$20,MATCH(A28,AO!$C$18:$C$20,0))</f>
        <v>#REF!</v>
      </c>
      <c r="I28" s="261" t="e">
        <f>INDEX(AO!$CE$18:$CE$20,MATCH(A28,AO!$C$18:$C$20,0))</f>
        <v>#REF!</v>
      </c>
      <c r="J28" s="261" t="e">
        <f>INDEX(AA!$M$13:$M$15,MATCH(A28,AA!$C$13:$C$15,0))</f>
        <v>#REF!</v>
      </c>
      <c r="K28" s="261" t="e">
        <f>INDEX(AA!$AA$13:$AA$15,MATCH(A28,AA!$C$13:$C$15,0))</f>
        <v>#REF!</v>
      </c>
      <c r="L28" s="261" t="e">
        <f>-INDEX(AO!$AZ$18:$AZ$20,MATCH(A28,AO!$C$18:$C$20,0))</f>
        <v>#REF!</v>
      </c>
      <c r="M28" s="261" t="e">
        <f>INDEX(AO!$DF$18:$DF$20,MATCH(A28,AO!$C$18:$C$20,0))-INDEX(AO!$DA$18:$DA$20,MATCH(A28,AO!$C$18:$C$20,0))+INDEX(AA!$IJ$13:$IJ$15,MATCH(A28,AA!$C$13:$C$15,0))</f>
        <v>#REF!</v>
      </c>
      <c r="N28" s="261" t="e">
        <f>INDEX(AO!$EY$18:$EY$20,MATCH(A28,AO!$C$18:$C$20,0))</f>
        <v>#REF!</v>
      </c>
      <c r="O28" s="261" t="e">
        <f>INDEX(AO!$ED$18:$ED$20,MATCH(A28,AO!$C$18:$C$20,0))</f>
        <v>#REF!</v>
      </c>
      <c r="P28" s="261" t="e">
        <f>INDEX(AO!$EU$18:$EU$20,MATCH(A28,AO!$C$18:$C$20,0))</f>
        <v>#REF!</v>
      </c>
      <c r="Q28" s="261" t="e">
        <f t="shared" si="11"/>
        <v>#REF!</v>
      </c>
      <c r="S28" s="261"/>
      <c r="T28" s="261"/>
      <c r="U28" s="261"/>
      <c r="V28" s="261"/>
      <c r="W28" s="261"/>
      <c r="X28" s="261"/>
      <c r="Y28" s="261"/>
      <c r="Z28" s="261"/>
      <c r="AA28" s="261"/>
      <c r="AB28" s="261"/>
      <c r="AC28" s="261"/>
      <c r="AD28" s="261"/>
      <c r="AF28" s="261" t="e">
        <f t="shared" si="12"/>
        <v>#REF!</v>
      </c>
      <c r="AG28" s="261" t="e">
        <f t="shared" si="0"/>
        <v>#REF!</v>
      </c>
      <c r="AH28" s="261" t="e">
        <f t="shared" si="1"/>
        <v>#REF!</v>
      </c>
      <c r="AI28" s="261" t="e">
        <f t="shared" si="2"/>
        <v>#REF!</v>
      </c>
      <c r="AJ28" s="261" t="e">
        <f t="shared" si="3"/>
        <v>#REF!</v>
      </c>
      <c r="AK28" s="261" t="e">
        <f t="shared" si="4"/>
        <v>#REF!</v>
      </c>
      <c r="AL28" s="261" t="e">
        <f t="shared" si="5"/>
        <v>#REF!</v>
      </c>
      <c r="AM28" s="261" t="e">
        <f t="shared" si="6"/>
        <v>#REF!</v>
      </c>
      <c r="AN28" s="261" t="e">
        <f t="shared" si="7"/>
        <v>#REF!</v>
      </c>
      <c r="AO28" s="261" t="e">
        <f t="shared" si="8"/>
        <v>#REF!</v>
      </c>
      <c r="AP28" s="261" t="e">
        <f t="shared" si="9"/>
        <v>#REF!</v>
      </c>
      <c r="AQ28" s="261" t="e">
        <f t="shared" si="10"/>
        <v>#REF!</v>
      </c>
    </row>
    <row r="29" spans="1:43">
      <c r="A29" s="1256" t="e">
        <f>AA!#REF!</f>
        <v>#REF!</v>
      </c>
      <c r="B29" s="1256" t="e">
        <f>INDEX(AA!$AC$13:$AC$15,MATCH(A29,AA!$C$13:$C$15,0))</f>
        <v>#REF!</v>
      </c>
      <c r="C29" s="1256" t="e">
        <f>INDEX(AA!$AI$13:$AI$15,MATCH(A29,AA!$C$13:$C$15,0))</f>
        <v>#REF!</v>
      </c>
      <c r="D29" s="1256" t="e">
        <f>INDEX(AA!$AN$13:$AN$15,MATCH(A29,AA!$C$13:$C$15,0))</f>
        <v>#REF!</v>
      </c>
      <c r="E29" s="1256"/>
      <c r="F29" s="1257" t="e">
        <f>INDEX(AO!$DJ$18:$DJ$20,MATCH(A29,AO!$C$18:$C$20,0))</f>
        <v>#REF!</v>
      </c>
      <c r="G29" s="1257" t="e">
        <f>INDEX(AO!$AS$18:$AS$20,MATCH(A29,AO!$C$18:$C$20,0))</f>
        <v>#REF!</v>
      </c>
      <c r="H29" s="1257" t="e">
        <f>INDEX(AO!$AT$18:$AT$20,MATCH(A29,AO!$C$18:$C$20,0))</f>
        <v>#REF!</v>
      </c>
      <c r="I29" s="1257" t="e">
        <f>INDEX(AO!$CE$18:$CE$20,MATCH(A29,AO!$C$18:$C$20,0))</f>
        <v>#REF!</v>
      </c>
      <c r="J29" s="1257" t="e">
        <f>INDEX(AA!$M$13:$M$15,MATCH(A29,AA!$C$13:$C$15,0))</f>
        <v>#REF!</v>
      </c>
      <c r="K29" s="1257" t="e">
        <f>INDEX(AA!$AA$13:$AA$15,MATCH(A29,AA!$C$13:$C$15,0))</f>
        <v>#REF!</v>
      </c>
      <c r="L29" s="1257" t="e">
        <f>-INDEX(AO!$AZ$18:$AZ$20,MATCH(A29,AO!$C$18:$C$20,0))</f>
        <v>#REF!</v>
      </c>
      <c r="M29" s="1257" t="e">
        <f>INDEX(AO!$DF$18:$DF$20,MATCH(A29,AO!$C$18:$C$20,0))-INDEX(AO!$DA$18:$DA$20,MATCH(A29,AO!$C$18:$C$20,0))+INDEX(AA!$IJ$13:$IJ$15,MATCH(A29,AA!$C$13:$C$15,0))</f>
        <v>#REF!</v>
      </c>
      <c r="N29" s="1257" t="e">
        <f>INDEX(AO!$EY$18:$EY$20,MATCH(A29,AO!$C$18:$C$20,0))</f>
        <v>#REF!</v>
      </c>
      <c r="O29" s="1257" t="e">
        <f>INDEX(AO!$ED$18:$ED$20,MATCH(A29,AO!$C$18:$C$20,0))</f>
        <v>#REF!</v>
      </c>
      <c r="P29" s="1257" t="e">
        <f>INDEX(AO!$EU$18:$EU$20,MATCH(A29,AO!$C$18:$C$20,0))</f>
        <v>#REF!</v>
      </c>
      <c r="Q29" s="1257" t="e">
        <f t="shared" si="11"/>
        <v>#REF!</v>
      </c>
      <c r="S29" s="1257"/>
      <c r="T29" s="1257"/>
      <c r="U29" s="1257"/>
      <c r="V29" s="1257"/>
      <c r="W29" s="1257"/>
      <c r="X29" s="1257"/>
      <c r="Y29" s="1257"/>
      <c r="Z29" s="1257"/>
      <c r="AA29" s="1257"/>
      <c r="AB29" s="1257"/>
      <c r="AC29" s="1257"/>
      <c r="AD29" s="1257"/>
      <c r="AF29" s="1257" t="e">
        <f t="shared" si="12"/>
        <v>#REF!</v>
      </c>
      <c r="AG29" s="1257" t="e">
        <f t="shared" si="0"/>
        <v>#REF!</v>
      </c>
      <c r="AH29" s="1257" t="e">
        <f t="shared" si="1"/>
        <v>#REF!</v>
      </c>
      <c r="AI29" s="1257" t="e">
        <f t="shared" si="2"/>
        <v>#REF!</v>
      </c>
      <c r="AJ29" s="1257" t="e">
        <f t="shared" si="3"/>
        <v>#REF!</v>
      </c>
      <c r="AK29" s="1257" t="e">
        <f t="shared" si="4"/>
        <v>#REF!</v>
      </c>
      <c r="AL29" s="1257" t="e">
        <f t="shared" si="5"/>
        <v>#REF!</v>
      </c>
      <c r="AM29" s="1257" t="e">
        <f t="shared" si="6"/>
        <v>#REF!</v>
      </c>
      <c r="AN29" s="1257" t="e">
        <f t="shared" si="7"/>
        <v>#REF!</v>
      </c>
      <c r="AO29" s="1257" t="e">
        <f t="shared" si="8"/>
        <v>#REF!</v>
      </c>
      <c r="AP29" s="1257" t="e">
        <f t="shared" si="9"/>
        <v>#REF!</v>
      </c>
      <c r="AQ29" s="1257" t="e">
        <f t="shared" si="10"/>
        <v>#REF!</v>
      </c>
    </row>
    <row r="30" spans="1:43">
      <c r="A30" t="e">
        <f>AA!#REF!</f>
        <v>#REF!</v>
      </c>
      <c r="B30" t="e">
        <f>INDEX(AA!$AC$13:$AC$15,MATCH(A30,AA!$C$13:$C$15,0))</f>
        <v>#REF!</v>
      </c>
      <c r="C30" t="e">
        <f>INDEX(AA!$AI$13:$AI$15,MATCH(A30,AA!$C$13:$C$15,0))</f>
        <v>#REF!</v>
      </c>
      <c r="D30" t="e">
        <f>INDEX(AA!$AN$13:$AN$15,MATCH(A30,AA!$C$13:$C$15,0))</f>
        <v>#REF!</v>
      </c>
      <c r="F30" s="261" t="e">
        <f>INDEX(AO!$DJ$18:$DJ$20,MATCH(A30,AO!$C$18:$C$20,0))</f>
        <v>#REF!</v>
      </c>
      <c r="G30" s="261" t="e">
        <f>INDEX(AO!$AS$18:$AS$20,MATCH(A30,AO!$C$18:$C$20,0))</f>
        <v>#REF!</v>
      </c>
      <c r="H30" s="261" t="e">
        <f>INDEX(AO!$AT$18:$AT$20,MATCH(A30,AO!$C$18:$C$20,0))</f>
        <v>#REF!</v>
      </c>
      <c r="I30" s="261" t="e">
        <f>INDEX(AO!$CE$18:$CE$20,MATCH(A30,AO!$C$18:$C$20,0))</f>
        <v>#REF!</v>
      </c>
      <c r="J30" s="261" t="e">
        <f>INDEX(AA!$M$13:$M$15,MATCH(A30,AA!$C$13:$C$15,0))</f>
        <v>#REF!</v>
      </c>
      <c r="K30" s="261" t="e">
        <f>INDEX(AA!$AA$13:$AA$15,MATCH(A30,AA!$C$13:$C$15,0))</f>
        <v>#REF!</v>
      </c>
      <c r="L30" s="261" t="e">
        <f>-INDEX(AO!$AZ$18:$AZ$20,MATCH(A30,AO!$C$18:$C$20,0))</f>
        <v>#REF!</v>
      </c>
      <c r="M30" s="261" t="e">
        <f>INDEX(AO!$DF$18:$DF$20,MATCH(A30,AO!$C$18:$C$20,0))-INDEX(AO!$DA$18:$DA$20,MATCH(A30,AO!$C$18:$C$20,0))+INDEX(AA!$IJ$13:$IJ$15,MATCH(A30,AA!$C$13:$C$15,0))</f>
        <v>#REF!</v>
      </c>
      <c r="N30" s="261" t="e">
        <f>INDEX(AO!$EY$18:$EY$20,MATCH(A30,AO!$C$18:$C$20,0))</f>
        <v>#REF!</v>
      </c>
      <c r="O30" s="261" t="e">
        <f>INDEX(AO!$ED$18:$ED$20,MATCH(A30,AO!$C$18:$C$20,0))</f>
        <v>#REF!</v>
      </c>
      <c r="P30" s="261" t="e">
        <f>INDEX(AO!$EU$18:$EU$20,MATCH(A30,AO!$C$18:$C$20,0))</f>
        <v>#REF!</v>
      </c>
      <c r="Q30" s="261" t="e">
        <f t="shared" si="11"/>
        <v>#REF!</v>
      </c>
      <c r="S30" s="261"/>
      <c r="T30" s="261"/>
      <c r="U30" s="261"/>
      <c r="V30" s="261"/>
      <c r="W30" s="261"/>
      <c r="X30" s="261"/>
      <c r="Y30" s="261"/>
      <c r="Z30" s="261"/>
      <c r="AA30" s="261"/>
      <c r="AB30" s="261"/>
      <c r="AC30" s="261"/>
      <c r="AD30" s="261"/>
      <c r="AF30" s="261" t="e">
        <f t="shared" si="12"/>
        <v>#REF!</v>
      </c>
      <c r="AG30" s="261" t="e">
        <f t="shared" si="0"/>
        <v>#REF!</v>
      </c>
      <c r="AH30" s="261" t="e">
        <f t="shared" si="1"/>
        <v>#REF!</v>
      </c>
      <c r="AI30" s="261" t="e">
        <f t="shared" si="2"/>
        <v>#REF!</v>
      </c>
      <c r="AJ30" s="261" t="e">
        <f t="shared" si="3"/>
        <v>#REF!</v>
      </c>
      <c r="AK30" s="261" t="e">
        <f t="shared" si="4"/>
        <v>#REF!</v>
      </c>
      <c r="AL30" s="261" t="e">
        <f t="shared" si="5"/>
        <v>#REF!</v>
      </c>
      <c r="AM30" s="261" t="e">
        <f t="shared" si="6"/>
        <v>#REF!</v>
      </c>
      <c r="AN30" s="261" t="e">
        <f t="shared" si="7"/>
        <v>#REF!</v>
      </c>
      <c r="AO30" s="261" t="e">
        <f t="shared" si="8"/>
        <v>#REF!</v>
      </c>
      <c r="AP30" s="261" t="e">
        <f t="shared" si="9"/>
        <v>#REF!</v>
      </c>
      <c r="AQ30" s="261" t="e">
        <f t="shared" si="10"/>
        <v>#REF!</v>
      </c>
    </row>
    <row r="31" spans="1:43">
      <c r="A31" s="1256" t="e">
        <f>AA!#REF!</f>
        <v>#REF!</v>
      </c>
      <c r="B31" s="1256" t="e">
        <f>INDEX(AA!$AC$13:$AC$15,MATCH(A31,AA!$C$13:$C$15,0))</f>
        <v>#REF!</v>
      </c>
      <c r="C31" s="1256" t="e">
        <f>INDEX(AA!$AI$13:$AI$15,MATCH(A31,AA!$C$13:$C$15,0))</f>
        <v>#REF!</v>
      </c>
      <c r="D31" s="1256" t="e">
        <f>INDEX(AA!$AN$13:$AN$15,MATCH(A31,AA!$C$13:$C$15,0))</f>
        <v>#REF!</v>
      </c>
      <c r="E31" s="1256"/>
      <c r="F31" s="1257" t="e">
        <f>INDEX(AO!$DJ$18:$DJ$20,MATCH(A31,AO!$C$18:$C$20,0))</f>
        <v>#REF!</v>
      </c>
      <c r="G31" s="1257" t="e">
        <f>INDEX(AO!$AS$18:$AS$20,MATCH(A31,AO!$C$18:$C$20,0))</f>
        <v>#REF!</v>
      </c>
      <c r="H31" s="1257" t="e">
        <f>INDEX(AO!$AT$18:$AT$20,MATCH(A31,AO!$C$18:$C$20,0))</f>
        <v>#REF!</v>
      </c>
      <c r="I31" s="1257" t="e">
        <f>INDEX(AO!$CE$18:$CE$20,MATCH(A31,AO!$C$18:$C$20,0))</f>
        <v>#REF!</v>
      </c>
      <c r="J31" s="1257" t="e">
        <f>INDEX(AA!$M$13:$M$15,MATCH(A31,AA!$C$13:$C$15,0))</f>
        <v>#REF!</v>
      </c>
      <c r="K31" s="1257" t="e">
        <f>INDEX(AA!$AA$13:$AA$15,MATCH(A31,AA!$C$13:$C$15,0))</f>
        <v>#REF!</v>
      </c>
      <c r="L31" s="1257" t="e">
        <f>-INDEX(AO!$AZ$18:$AZ$20,MATCH(A31,AO!$C$18:$C$20,0))</f>
        <v>#REF!</v>
      </c>
      <c r="M31" s="1257" t="e">
        <f>INDEX(AO!$DF$18:$DF$20,MATCH(A31,AO!$C$18:$C$20,0))-INDEX(AO!$DA$18:$DA$20,MATCH(A31,AO!$C$18:$C$20,0))+INDEX(AA!$IJ$13:$IJ$15,MATCH(A31,AA!$C$13:$C$15,0))</f>
        <v>#REF!</v>
      </c>
      <c r="N31" s="1257" t="e">
        <f>INDEX(AO!$EY$18:$EY$20,MATCH(A31,AO!$C$18:$C$20,0))</f>
        <v>#REF!</v>
      </c>
      <c r="O31" s="1257" t="e">
        <f>INDEX(AO!$ED$18:$ED$20,MATCH(A31,AO!$C$18:$C$20,0))</f>
        <v>#REF!</v>
      </c>
      <c r="P31" s="1257" t="e">
        <f>INDEX(AO!$EU$18:$EU$20,MATCH(A31,AO!$C$18:$C$20,0))</f>
        <v>#REF!</v>
      </c>
      <c r="Q31" s="1257" t="e">
        <f t="shared" si="11"/>
        <v>#REF!</v>
      </c>
      <c r="S31" s="1257"/>
      <c r="T31" s="1257"/>
      <c r="U31" s="1257"/>
      <c r="V31" s="1257"/>
      <c r="W31" s="1257"/>
      <c r="X31" s="1257"/>
      <c r="Y31" s="1257"/>
      <c r="Z31" s="1257"/>
      <c r="AA31" s="1257"/>
      <c r="AB31" s="1257"/>
      <c r="AC31" s="1257"/>
      <c r="AD31" s="1257"/>
      <c r="AF31" s="1257" t="e">
        <f t="shared" si="12"/>
        <v>#REF!</v>
      </c>
      <c r="AG31" s="1257" t="e">
        <f t="shared" si="0"/>
        <v>#REF!</v>
      </c>
      <c r="AH31" s="1257" t="e">
        <f t="shared" si="1"/>
        <v>#REF!</v>
      </c>
      <c r="AI31" s="1257" t="e">
        <f t="shared" si="2"/>
        <v>#REF!</v>
      </c>
      <c r="AJ31" s="1257" t="e">
        <f t="shared" si="3"/>
        <v>#REF!</v>
      </c>
      <c r="AK31" s="1257" t="e">
        <f t="shared" si="4"/>
        <v>#REF!</v>
      </c>
      <c r="AL31" s="1257" t="e">
        <f t="shared" si="5"/>
        <v>#REF!</v>
      </c>
      <c r="AM31" s="1257" t="e">
        <f t="shared" si="6"/>
        <v>#REF!</v>
      </c>
      <c r="AN31" s="1257" t="e">
        <f t="shared" si="7"/>
        <v>#REF!</v>
      </c>
      <c r="AO31" s="1257" t="e">
        <f t="shared" si="8"/>
        <v>#REF!</v>
      </c>
      <c r="AP31" s="1257" t="e">
        <f t="shared" si="9"/>
        <v>#REF!</v>
      </c>
      <c r="AQ31" s="1257" t="e">
        <f t="shared" si="10"/>
        <v>#REF!</v>
      </c>
    </row>
    <row r="32" spans="1:43">
      <c r="A32" t="e">
        <f>AA!#REF!</f>
        <v>#REF!</v>
      </c>
      <c r="B32" t="e">
        <f>INDEX(AA!$AC$13:$AC$15,MATCH(A32,AA!$C$13:$C$15,0))</f>
        <v>#REF!</v>
      </c>
      <c r="C32" t="e">
        <f>INDEX(AA!$AI$13:$AI$15,MATCH(A32,AA!$C$13:$C$15,0))</f>
        <v>#REF!</v>
      </c>
      <c r="D32" t="e">
        <f>INDEX(AA!$AN$13:$AN$15,MATCH(A32,AA!$C$13:$C$15,0))</f>
        <v>#REF!</v>
      </c>
      <c r="F32" s="261" t="e">
        <f>INDEX(AO!$DJ$18:$DJ$20,MATCH(A32,AO!$C$18:$C$20,0))</f>
        <v>#REF!</v>
      </c>
      <c r="G32" s="261" t="e">
        <f>INDEX(AO!$AS$18:$AS$20,MATCH(A32,AO!$C$18:$C$20,0))</f>
        <v>#REF!</v>
      </c>
      <c r="H32" s="261" t="e">
        <f>INDEX(AO!$AT$18:$AT$20,MATCH(A32,AO!$C$18:$C$20,0))</f>
        <v>#REF!</v>
      </c>
      <c r="I32" s="261" t="e">
        <f>INDEX(AO!$CE$18:$CE$20,MATCH(A32,AO!$C$18:$C$20,0))</f>
        <v>#REF!</v>
      </c>
      <c r="J32" s="261" t="e">
        <f>INDEX(AA!$M$13:$M$15,MATCH(A32,AA!$C$13:$C$15,0))</f>
        <v>#REF!</v>
      </c>
      <c r="K32" s="261" t="e">
        <f>INDEX(AA!$AA$13:$AA$15,MATCH(A32,AA!$C$13:$C$15,0))</f>
        <v>#REF!</v>
      </c>
      <c r="L32" s="261" t="e">
        <f>-INDEX(AO!$AZ$18:$AZ$20,MATCH(A32,AO!$C$18:$C$20,0))</f>
        <v>#REF!</v>
      </c>
      <c r="M32" s="261" t="e">
        <f>INDEX(AO!$DF$18:$DF$20,MATCH(A32,AO!$C$18:$C$20,0))-INDEX(AO!$DA$18:$DA$20,MATCH(A32,AO!$C$18:$C$20,0))+INDEX(AA!$IJ$13:$IJ$15,MATCH(A32,AA!$C$13:$C$15,0))</f>
        <v>#REF!</v>
      </c>
      <c r="N32" s="261" t="e">
        <f>INDEX(AO!$EY$18:$EY$20,MATCH(A32,AO!$C$18:$C$20,0))</f>
        <v>#REF!</v>
      </c>
      <c r="O32" s="261" t="e">
        <f>INDEX(AO!$ED$18:$ED$20,MATCH(A32,AO!$C$18:$C$20,0))</f>
        <v>#REF!</v>
      </c>
      <c r="P32" s="261" t="e">
        <f>INDEX(AO!$EU$18:$EU$20,MATCH(A32,AO!$C$18:$C$20,0))</f>
        <v>#REF!</v>
      </c>
      <c r="Q32" s="261" t="e">
        <f t="shared" si="11"/>
        <v>#REF!</v>
      </c>
      <c r="S32" s="261"/>
      <c r="T32" s="261"/>
      <c r="U32" s="261"/>
      <c r="V32" s="261"/>
      <c r="W32" s="261"/>
      <c r="X32" s="261"/>
      <c r="Y32" s="261"/>
      <c r="Z32" s="261"/>
      <c r="AA32" s="261"/>
      <c r="AB32" s="261"/>
      <c r="AC32" s="261"/>
      <c r="AD32" s="261"/>
      <c r="AF32" s="261" t="e">
        <f t="shared" si="12"/>
        <v>#REF!</v>
      </c>
      <c r="AG32" s="261" t="e">
        <f t="shared" si="0"/>
        <v>#REF!</v>
      </c>
      <c r="AH32" s="261" t="e">
        <f t="shared" si="1"/>
        <v>#REF!</v>
      </c>
      <c r="AI32" s="261" t="e">
        <f t="shared" si="2"/>
        <v>#REF!</v>
      </c>
      <c r="AJ32" s="261" t="e">
        <f t="shared" si="3"/>
        <v>#REF!</v>
      </c>
      <c r="AK32" s="261" t="e">
        <f t="shared" si="4"/>
        <v>#REF!</v>
      </c>
      <c r="AL32" s="261" t="e">
        <f t="shared" si="5"/>
        <v>#REF!</v>
      </c>
      <c r="AM32" s="261" t="e">
        <f t="shared" si="6"/>
        <v>#REF!</v>
      </c>
      <c r="AN32" s="261" t="e">
        <f t="shared" si="7"/>
        <v>#REF!</v>
      </c>
      <c r="AO32" s="261" t="e">
        <f t="shared" si="8"/>
        <v>#REF!</v>
      </c>
      <c r="AP32" s="261" t="e">
        <f t="shared" si="9"/>
        <v>#REF!</v>
      </c>
      <c r="AQ32" s="261" t="e">
        <f t="shared" si="10"/>
        <v>#REF!</v>
      </c>
    </row>
    <row r="33" spans="1:43">
      <c r="A33" s="1256" t="e">
        <f>AA!#REF!</f>
        <v>#REF!</v>
      </c>
      <c r="B33" s="1256" t="e">
        <f>INDEX(AA!$AC$13:$AC$15,MATCH(A33,AA!$C$13:$C$15,0))</f>
        <v>#REF!</v>
      </c>
      <c r="C33" s="1256" t="e">
        <f>INDEX(AA!$AI$13:$AI$15,MATCH(A33,AA!$C$13:$C$15,0))</f>
        <v>#REF!</v>
      </c>
      <c r="D33" s="1256" t="e">
        <f>INDEX(AA!$AN$13:$AN$15,MATCH(A33,AA!$C$13:$C$15,0))</f>
        <v>#REF!</v>
      </c>
      <c r="E33" s="1256"/>
      <c r="F33" s="1257" t="e">
        <f>INDEX(AO!$DJ$18:$DJ$20,MATCH(A33,AO!$C$18:$C$20,0))</f>
        <v>#REF!</v>
      </c>
      <c r="G33" s="1257" t="e">
        <f>INDEX(AO!$AS$18:$AS$20,MATCH(A33,AO!$C$18:$C$20,0))</f>
        <v>#REF!</v>
      </c>
      <c r="H33" s="1257" t="e">
        <f>INDEX(AO!$AT$18:$AT$20,MATCH(A33,AO!$C$18:$C$20,0))</f>
        <v>#REF!</v>
      </c>
      <c r="I33" s="1257" t="e">
        <f>INDEX(AO!$CE$18:$CE$20,MATCH(A33,AO!$C$18:$C$20,0))</f>
        <v>#REF!</v>
      </c>
      <c r="J33" s="1257" t="e">
        <f>INDEX(AA!$M$13:$M$15,MATCH(A33,AA!$C$13:$C$15,0))</f>
        <v>#REF!</v>
      </c>
      <c r="K33" s="1257" t="e">
        <f>INDEX(AA!$AA$13:$AA$15,MATCH(A33,AA!$C$13:$C$15,0))</f>
        <v>#REF!</v>
      </c>
      <c r="L33" s="1257" t="e">
        <f>-INDEX(AO!$AZ$18:$AZ$20,MATCH(A33,AO!$C$18:$C$20,0))</f>
        <v>#REF!</v>
      </c>
      <c r="M33" s="1257" t="e">
        <f>INDEX(AO!$DF$18:$DF$20,MATCH(A33,AO!$C$18:$C$20,0))-INDEX(AO!$DA$18:$DA$20,MATCH(A33,AO!$C$18:$C$20,0))+INDEX(AA!$IJ$13:$IJ$15,MATCH(A33,AA!$C$13:$C$15,0))</f>
        <v>#REF!</v>
      </c>
      <c r="N33" s="1257" t="e">
        <f>INDEX(AO!$EY$18:$EY$20,MATCH(A33,AO!$C$18:$C$20,0))</f>
        <v>#REF!</v>
      </c>
      <c r="O33" s="1257" t="e">
        <f>INDEX(AO!$ED$18:$ED$20,MATCH(A33,AO!$C$18:$C$20,0))</f>
        <v>#REF!</v>
      </c>
      <c r="P33" s="1257" t="e">
        <f>INDEX(AO!$EU$18:$EU$20,MATCH(A33,AO!$C$18:$C$20,0))</f>
        <v>#REF!</v>
      </c>
      <c r="Q33" s="1257" t="e">
        <f t="shared" si="11"/>
        <v>#REF!</v>
      </c>
      <c r="S33" s="1257"/>
      <c r="T33" s="1257"/>
      <c r="U33" s="1257"/>
      <c r="V33" s="1257"/>
      <c r="W33" s="1257"/>
      <c r="X33" s="1257"/>
      <c r="Y33" s="1257"/>
      <c r="Z33" s="1257"/>
      <c r="AA33" s="1257"/>
      <c r="AB33" s="1257"/>
      <c r="AC33" s="1257"/>
      <c r="AD33" s="1257"/>
      <c r="AF33" s="1257" t="e">
        <f t="shared" si="12"/>
        <v>#REF!</v>
      </c>
      <c r="AG33" s="1257" t="e">
        <f t="shared" si="0"/>
        <v>#REF!</v>
      </c>
      <c r="AH33" s="1257" t="e">
        <f t="shared" si="1"/>
        <v>#REF!</v>
      </c>
      <c r="AI33" s="1257" t="e">
        <f t="shared" si="2"/>
        <v>#REF!</v>
      </c>
      <c r="AJ33" s="1257" t="e">
        <f t="shared" si="3"/>
        <v>#REF!</v>
      </c>
      <c r="AK33" s="1257" t="e">
        <f t="shared" si="4"/>
        <v>#REF!</v>
      </c>
      <c r="AL33" s="1257" t="e">
        <f t="shared" si="5"/>
        <v>#REF!</v>
      </c>
      <c r="AM33" s="1257" t="e">
        <f t="shared" si="6"/>
        <v>#REF!</v>
      </c>
      <c r="AN33" s="1257" t="e">
        <f t="shared" si="7"/>
        <v>#REF!</v>
      </c>
      <c r="AO33" s="1257" t="e">
        <f t="shared" si="8"/>
        <v>#REF!</v>
      </c>
      <c r="AP33" s="1257" t="e">
        <f t="shared" si="9"/>
        <v>#REF!</v>
      </c>
      <c r="AQ33" s="1257" t="e">
        <f t="shared" si="10"/>
        <v>#REF!</v>
      </c>
    </row>
    <row r="34" spans="1:43">
      <c r="A34" t="e">
        <f>AA!#REF!</f>
        <v>#REF!</v>
      </c>
      <c r="B34" t="e">
        <f>INDEX(AA!$AC$13:$AC$15,MATCH(A34,AA!$C$13:$C$15,0))</f>
        <v>#REF!</v>
      </c>
      <c r="C34" t="e">
        <f>INDEX(AA!$AI$13:$AI$15,MATCH(A34,AA!$C$13:$C$15,0))</f>
        <v>#REF!</v>
      </c>
      <c r="D34" t="e">
        <f>INDEX(AA!$AN$13:$AN$15,MATCH(A34,AA!$C$13:$C$15,0))</f>
        <v>#REF!</v>
      </c>
      <c r="F34" s="261" t="e">
        <f>INDEX(AO!$DJ$18:$DJ$20,MATCH(A34,AO!$C$18:$C$20,0))</f>
        <v>#REF!</v>
      </c>
      <c r="G34" s="261" t="e">
        <f>INDEX(AO!$AS$18:$AS$20,MATCH(A34,AO!$C$18:$C$20,0))</f>
        <v>#REF!</v>
      </c>
      <c r="H34" s="261" t="e">
        <f>INDEX(AO!$AT$18:$AT$20,MATCH(A34,AO!$C$18:$C$20,0))</f>
        <v>#REF!</v>
      </c>
      <c r="I34" s="261" t="e">
        <f>INDEX(AO!$CE$18:$CE$20,MATCH(A34,AO!$C$18:$C$20,0))</f>
        <v>#REF!</v>
      </c>
      <c r="J34" s="261" t="e">
        <f>INDEX(AA!$M$13:$M$15,MATCH(A34,AA!$C$13:$C$15,0))</f>
        <v>#REF!</v>
      </c>
      <c r="K34" s="261" t="e">
        <f>INDEX(AA!$AA$13:$AA$15,MATCH(A34,AA!$C$13:$C$15,0))</f>
        <v>#REF!</v>
      </c>
      <c r="L34" s="261" t="e">
        <f>-INDEX(AO!$AZ$18:$AZ$20,MATCH(A34,AO!$C$18:$C$20,0))</f>
        <v>#REF!</v>
      </c>
      <c r="M34" s="261" t="e">
        <f>INDEX(AO!$DF$18:$DF$20,MATCH(A34,AO!$C$18:$C$20,0))-INDEX(AO!$DA$18:$DA$20,MATCH(A34,AO!$C$18:$C$20,0))+INDEX(AA!$IJ$13:$IJ$15,MATCH(A34,AA!$C$13:$C$15,0))</f>
        <v>#REF!</v>
      </c>
      <c r="N34" s="261" t="e">
        <f>INDEX(AO!$EY$18:$EY$20,MATCH(A34,AO!$C$18:$C$20,0))</f>
        <v>#REF!</v>
      </c>
      <c r="O34" s="261" t="e">
        <f>INDEX(AO!$ED$18:$ED$20,MATCH(A34,AO!$C$18:$C$20,0))</f>
        <v>#REF!</v>
      </c>
      <c r="P34" s="261" t="e">
        <f>INDEX(AO!$EU$18:$EU$20,MATCH(A34,AO!$C$18:$C$20,0))</f>
        <v>#REF!</v>
      </c>
      <c r="Q34" s="261" t="e">
        <f t="shared" si="11"/>
        <v>#REF!</v>
      </c>
      <c r="S34" s="261"/>
      <c r="T34" s="261"/>
      <c r="U34" s="261"/>
      <c r="V34" s="261"/>
      <c r="W34" s="261"/>
      <c r="X34" s="261"/>
      <c r="Y34" s="261"/>
      <c r="Z34" s="261"/>
      <c r="AA34" s="261"/>
      <c r="AB34" s="261"/>
      <c r="AC34" s="261"/>
      <c r="AD34" s="261"/>
      <c r="AF34" s="261" t="e">
        <f t="shared" si="12"/>
        <v>#REF!</v>
      </c>
      <c r="AG34" s="261" t="e">
        <f t="shared" si="0"/>
        <v>#REF!</v>
      </c>
      <c r="AH34" s="261" t="e">
        <f t="shared" si="1"/>
        <v>#REF!</v>
      </c>
      <c r="AI34" s="261" t="e">
        <f t="shared" si="2"/>
        <v>#REF!</v>
      </c>
      <c r="AJ34" s="261" t="e">
        <f t="shared" si="3"/>
        <v>#REF!</v>
      </c>
      <c r="AK34" s="261" t="e">
        <f t="shared" si="4"/>
        <v>#REF!</v>
      </c>
      <c r="AL34" s="261" t="e">
        <f t="shared" si="5"/>
        <v>#REF!</v>
      </c>
      <c r="AM34" s="261" t="e">
        <f t="shared" si="6"/>
        <v>#REF!</v>
      </c>
      <c r="AN34" s="261" t="e">
        <f t="shared" si="7"/>
        <v>#REF!</v>
      </c>
      <c r="AO34" s="261" t="e">
        <f t="shared" si="8"/>
        <v>#REF!</v>
      </c>
      <c r="AP34" s="261" t="e">
        <f t="shared" si="9"/>
        <v>#REF!</v>
      </c>
      <c r="AQ34" s="261" t="e">
        <f t="shared" si="10"/>
        <v>#REF!</v>
      </c>
    </row>
    <row r="35" spans="1:43">
      <c r="A35" s="1256" t="e">
        <f>AA!#REF!</f>
        <v>#REF!</v>
      </c>
      <c r="B35" s="1256" t="e">
        <f>INDEX(AA!$AC$13:$AC$15,MATCH(A35,AA!$C$13:$C$15,0))</f>
        <v>#REF!</v>
      </c>
      <c r="C35" s="1256" t="e">
        <f>INDEX(AA!$AI$13:$AI$15,MATCH(A35,AA!$C$13:$C$15,0))</f>
        <v>#REF!</v>
      </c>
      <c r="D35" s="1256" t="e">
        <f>INDEX(AA!$AN$13:$AN$15,MATCH(A35,AA!$C$13:$C$15,0))</f>
        <v>#REF!</v>
      </c>
      <c r="E35" s="1256"/>
      <c r="F35" s="1257" t="e">
        <f>INDEX(AO!$DJ$18:$DJ$20,MATCH(A35,AO!$C$18:$C$20,0))</f>
        <v>#REF!</v>
      </c>
      <c r="G35" s="1257" t="e">
        <f>INDEX(AO!$AS$18:$AS$20,MATCH(A35,AO!$C$18:$C$20,0))</f>
        <v>#REF!</v>
      </c>
      <c r="H35" s="1257" t="e">
        <f>INDEX(AO!$AT$18:$AT$20,MATCH(A35,AO!$C$18:$C$20,0))</f>
        <v>#REF!</v>
      </c>
      <c r="I35" s="1257" t="e">
        <f>INDEX(AO!$CE$18:$CE$20,MATCH(A35,AO!$C$18:$C$20,0))</f>
        <v>#REF!</v>
      </c>
      <c r="J35" s="1257" t="e">
        <f>INDEX(AA!$M$13:$M$15,MATCH(A35,AA!$C$13:$C$15,0))</f>
        <v>#REF!</v>
      </c>
      <c r="K35" s="1257" t="e">
        <f>INDEX(AA!$AA$13:$AA$15,MATCH(A35,AA!$C$13:$C$15,0))</f>
        <v>#REF!</v>
      </c>
      <c r="L35" s="1257" t="e">
        <f>-INDEX(AO!$AZ$18:$AZ$20,MATCH(A35,AO!$C$18:$C$20,0))</f>
        <v>#REF!</v>
      </c>
      <c r="M35" s="1257" t="e">
        <f>INDEX(AO!$DF$18:$DF$20,MATCH(A35,AO!$C$18:$C$20,0))-INDEX(AO!$DA$18:$DA$20,MATCH(A35,AO!$C$18:$C$20,0))+INDEX(AA!$IJ$13:$IJ$15,MATCH(A35,AA!$C$13:$C$15,0))</f>
        <v>#REF!</v>
      </c>
      <c r="N35" s="1257" t="e">
        <f>INDEX(AO!$EY$18:$EY$20,MATCH(A35,AO!$C$18:$C$20,0))</f>
        <v>#REF!</v>
      </c>
      <c r="O35" s="1257" t="e">
        <f>INDEX(AO!$ED$18:$ED$20,MATCH(A35,AO!$C$18:$C$20,0))</f>
        <v>#REF!</v>
      </c>
      <c r="P35" s="1257" t="e">
        <f>INDEX(AO!$EU$18:$EU$20,MATCH(A35,AO!$C$18:$C$20,0))</f>
        <v>#REF!</v>
      </c>
      <c r="Q35" s="1257" t="e">
        <f t="shared" si="11"/>
        <v>#REF!</v>
      </c>
      <c r="S35" s="1257"/>
      <c r="T35" s="1257"/>
      <c r="U35" s="1257"/>
      <c r="V35" s="1257"/>
      <c r="W35" s="1257"/>
      <c r="X35" s="1257"/>
      <c r="Y35" s="1257"/>
      <c r="Z35" s="1257"/>
      <c r="AA35" s="1257"/>
      <c r="AB35" s="1257"/>
      <c r="AC35" s="1257"/>
      <c r="AD35" s="1257"/>
      <c r="AF35" s="1257" t="e">
        <f t="shared" si="12"/>
        <v>#REF!</v>
      </c>
      <c r="AG35" s="1257" t="e">
        <f t="shared" si="0"/>
        <v>#REF!</v>
      </c>
      <c r="AH35" s="1257" t="e">
        <f t="shared" si="1"/>
        <v>#REF!</v>
      </c>
      <c r="AI35" s="1257" t="e">
        <f t="shared" si="2"/>
        <v>#REF!</v>
      </c>
      <c r="AJ35" s="1257" t="e">
        <f t="shared" si="3"/>
        <v>#REF!</v>
      </c>
      <c r="AK35" s="1257" t="e">
        <f t="shared" si="4"/>
        <v>#REF!</v>
      </c>
      <c r="AL35" s="1257" t="e">
        <f t="shared" si="5"/>
        <v>#REF!</v>
      </c>
      <c r="AM35" s="1257" t="e">
        <f t="shared" si="6"/>
        <v>#REF!</v>
      </c>
      <c r="AN35" s="1257" t="e">
        <f t="shared" si="7"/>
        <v>#REF!</v>
      </c>
      <c r="AO35" s="1257" t="e">
        <f t="shared" si="8"/>
        <v>#REF!</v>
      </c>
      <c r="AP35" s="1257" t="e">
        <f t="shared" si="9"/>
        <v>#REF!</v>
      </c>
      <c r="AQ35" s="1257" t="e">
        <f t="shared" si="10"/>
        <v>#REF!</v>
      </c>
    </row>
    <row r="36" spans="1:43">
      <c r="A36" t="e">
        <f>AA!#REF!</f>
        <v>#REF!</v>
      </c>
      <c r="B36" t="e">
        <f>INDEX(AA!$AC$13:$AC$15,MATCH(A36,AA!$C$13:$C$15,0))</f>
        <v>#REF!</v>
      </c>
      <c r="C36" t="e">
        <f>INDEX(AA!$AI$13:$AI$15,MATCH(A36,AA!$C$13:$C$15,0))</f>
        <v>#REF!</v>
      </c>
      <c r="D36" t="e">
        <f>INDEX(AA!$AN$13:$AN$15,MATCH(A36,AA!$C$13:$C$15,0))</f>
        <v>#REF!</v>
      </c>
      <c r="F36" s="261" t="e">
        <f>INDEX(AO!$DJ$18:$DJ$20,MATCH(A36,AO!$C$18:$C$20,0))</f>
        <v>#REF!</v>
      </c>
      <c r="G36" s="261" t="e">
        <f>INDEX(AO!$AS$18:$AS$20,MATCH(A36,AO!$C$18:$C$20,0))</f>
        <v>#REF!</v>
      </c>
      <c r="H36" s="261" t="e">
        <f>INDEX(AO!$AT$18:$AT$20,MATCH(A36,AO!$C$18:$C$20,0))</f>
        <v>#REF!</v>
      </c>
      <c r="I36" s="261" t="e">
        <f>INDEX(AO!$CE$18:$CE$20,MATCH(A36,AO!$C$18:$C$20,0))</f>
        <v>#REF!</v>
      </c>
      <c r="J36" s="261" t="e">
        <f>INDEX(AA!$M$13:$M$15,MATCH(A36,AA!$C$13:$C$15,0))</f>
        <v>#REF!</v>
      </c>
      <c r="K36" s="261" t="e">
        <f>INDEX(AA!$AA$13:$AA$15,MATCH(A36,AA!$C$13:$C$15,0))</f>
        <v>#REF!</v>
      </c>
      <c r="L36" s="261" t="e">
        <f>-INDEX(AO!$AZ$18:$AZ$20,MATCH(A36,AO!$C$18:$C$20,0))</f>
        <v>#REF!</v>
      </c>
      <c r="M36" s="261" t="e">
        <f>INDEX(AO!$DF$18:$DF$20,MATCH(A36,AO!$C$18:$C$20,0))-INDEX(AO!$DA$18:$DA$20,MATCH(A36,AO!$C$18:$C$20,0))+INDEX(AA!$IJ$13:$IJ$15,MATCH(A36,AA!$C$13:$C$15,0))</f>
        <v>#REF!</v>
      </c>
      <c r="N36" s="261" t="e">
        <f>INDEX(AO!$EY$18:$EY$20,MATCH(A36,AO!$C$18:$C$20,0))</f>
        <v>#REF!</v>
      </c>
      <c r="O36" s="261" t="e">
        <f>INDEX(AO!$ED$18:$ED$20,MATCH(A36,AO!$C$18:$C$20,0))</f>
        <v>#REF!</v>
      </c>
      <c r="P36" s="261" t="e">
        <f>INDEX(AO!$EU$18:$EU$20,MATCH(A36,AO!$C$18:$C$20,0))</f>
        <v>#REF!</v>
      </c>
      <c r="Q36" s="261" t="e">
        <f t="shared" si="11"/>
        <v>#REF!</v>
      </c>
      <c r="S36" s="261"/>
      <c r="T36" s="261"/>
      <c r="U36" s="261"/>
      <c r="V36" s="261"/>
      <c r="W36" s="261"/>
      <c r="X36" s="261"/>
      <c r="Y36" s="261"/>
      <c r="Z36" s="261"/>
      <c r="AA36" s="261"/>
      <c r="AB36" s="261"/>
      <c r="AC36" s="261"/>
      <c r="AD36" s="261"/>
      <c r="AF36" s="261" t="e">
        <f t="shared" si="12"/>
        <v>#REF!</v>
      </c>
      <c r="AG36" s="261" t="e">
        <f t="shared" si="0"/>
        <v>#REF!</v>
      </c>
      <c r="AH36" s="261" t="e">
        <f t="shared" si="1"/>
        <v>#REF!</v>
      </c>
      <c r="AI36" s="261" t="e">
        <f t="shared" si="2"/>
        <v>#REF!</v>
      </c>
      <c r="AJ36" s="261" t="e">
        <f t="shared" si="3"/>
        <v>#REF!</v>
      </c>
      <c r="AK36" s="261" t="e">
        <f t="shared" si="4"/>
        <v>#REF!</v>
      </c>
      <c r="AL36" s="261" t="e">
        <f t="shared" si="5"/>
        <v>#REF!</v>
      </c>
      <c r="AM36" s="261" t="e">
        <f t="shared" si="6"/>
        <v>#REF!</v>
      </c>
      <c r="AN36" s="261" t="e">
        <f t="shared" si="7"/>
        <v>#REF!</v>
      </c>
      <c r="AO36" s="261" t="e">
        <f t="shared" si="8"/>
        <v>#REF!</v>
      </c>
      <c r="AP36" s="261" t="e">
        <f t="shared" si="9"/>
        <v>#REF!</v>
      </c>
      <c r="AQ36" s="261" t="e">
        <f t="shared" si="10"/>
        <v>#REF!</v>
      </c>
    </row>
    <row r="37" spans="1:43">
      <c r="A37" s="1256" t="e">
        <f>AA!#REF!</f>
        <v>#REF!</v>
      </c>
      <c r="B37" s="1256" t="e">
        <f>INDEX(AA!$AC$13:$AC$15,MATCH(A37,AA!$C$13:$C$15,0))</f>
        <v>#REF!</v>
      </c>
      <c r="C37" s="1256" t="e">
        <f>INDEX(AA!$AI$13:$AI$15,MATCH(A37,AA!$C$13:$C$15,0))</f>
        <v>#REF!</v>
      </c>
      <c r="D37" s="1256" t="e">
        <f>INDEX(AA!$AN$13:$AN$15,MATCH(A37,AA!$C$13:$C$15,0))</f>
        <v>#REF!</v>
      </c>
      <c r="E37" s="1256"/>
      <c r="F37" s="1257" t="e">
        <f>INDEX(AO!$DJ$18:$DJ$20,MATCH(A37,AO!$C$18:$C$20,0))</f>
        <v>#REF!</v>
      </c>
      <c r="G37" s="1257" t="e">
        <f>INDEX(AO!$AS$18:$AS$20,MATCH(A37,AO!$C$18:$C$20,0))</f>
        <v>#REF!</v>
      </c>
      <c r="H37" s="1257" t="e">
        <f>INDEX(AO!$AT$18:$AT$20,MATCH(A37,AO!$C$18:$C$20,0))</f>
        <v>#REF!</v>
      </c>
      <c r="I37" s="1257" t="e">
        <f>INDEX(AO!$CE$18:$CE$20,MATCH(A37,AO!$C$18:$C$20,0))</f>
        <v>#REF!</v>
      </c>
      <c r="J37" s="1257" t="e">
        <f>INDEX(AA!$M$13:$M$15,MATCH(A37,AA!$C$13:$C$15,0))</f>
        <v>#REF!</v>
      </c>
      <c r="K37" s="1257" t="e">
        <f>INDEX(AA!$AA$13:$AA$15,MATCH(A37,AA!$C$13:$C$15,0))</f>
        <v>#REF!</v>
      </c>
      <c r="L37" s="1257" t="e">
        <f>-INDEX(AO!$AZ$18:$AZ$20,MATCH(A37,AO!$C$18:$C$20,0))</f>
        <v>#REF!</v>
      </c>
      <c r="M37" s="1257" t="e">
        <f>INDEX(AO!$DF$18:$DF$20,MATCH(A37,AO!$C$18:$C$20,0))-INDEX(AO!$DA$18:$DA$20,MATCH(A37,AO!$C$18:$C$20,0))+INDEX(AA!$IJ$13:$IJ$15,MATCH(A37,AA!$C$13:$C$15,0))</f>
        <v>#REF!</v>
      </c>
      <c r="N37" s="1257" t="e">
        <f>INDEX(AO!$EY$18:$EY$20,MATCH(A37,AO!$C$18:$C$20,0))</f>
        <v>#REF!</v>
      </c>
      <c r="O37" s="1257" t="e">
        <f>INDEX(AO!$ED$18:$ED$20,MATCH(A37,AO!$C$18:$C$20,0))</f>
        <v>#REF!</v>
      </c>
      <c r="P37" s="1257" t="e">
        <f>INDEX(AO!$EU$18:$EU$20,MATCH(A37,AO!$C$18:$C$20,0))</f>
        <v>#REF!</v>
      </c>
      <c r="Q37" s="1257" t="e">
        <f t="shared" si="11"/>
        <v>#REF!</v>
      </c>
      <c r="S37" s="1257"/>
      <c r="T37" s="1257"/>
      <c r="U37" s="1257"/>
      <c r="V37" s="1257"/>
      <c r="W37" s="1257"/>
      <c r="X37" s="1257"/>
      <c r="Y37" s="1257"/>
      <c r="Z37" s="1257"/>
      <c r="AA37" s="1257"/>
      <c r="AB37" s="1257"/>
      <c r="AC37" s="1257"/>
      <c r="AD37" s="1257"/>
      <c r="AF37" s="1257" t="e">
        <f t="shared" si="12"/>
        <v>#REF!</v>
      </c>
      <c r="AG37" s="1257" t="e">
        <f t="shared" si="0"/>
        <v>#REF!</v>
      </c>
      <c r="AH37" s="1257" t="e">
        <f t="shared" si="1"/>
        <v>#REF!</v>
      </c>
      <c r="AI37" s="1257" t="e">
        <f t="shared" si="2"/>
        <v>#REF!</v>
      </c>
      <c r="AJ37" s="1257" t="e">
        <f t="shared" si="3"/>
        <v>#REF!</v>
      </c>
      <c r="AK37" s="1257" t="e">
        <f t="shared" si="4"/>
        <v>#REF!</v>
      </c>
      <c r="AL37" s="1257" t="e">
        <f t="shared" si="5"/>
        <v>#REF!</v>
      </c>
      <c r="AM37" s="1257" t="e">
        <f t="shared" si="6"/>
        <v>#REF!</v>
      </c>
      <c r="AN37" s="1257" t="e">
        <f t="shared" si="7"/>
        <v>#REF!</v>
      </c>
      <c r="AO37" s="1257" t="e">
        <f t="shared" si="8"/>
        <v>#REF!</v>
      </c>
      <c r="AP37" s="1257" t="e">
        <f t="shared" si="9"/>
        <v>#REF!</v>
      </c>
      <c r="AQ37" s="1257" t="e">
        <f t="shared" si="10"/>
        <v>#REF!</v>
      </c>
    </row>
    <row r="38" spans="1:43">
      <c r="A38" t="e">
        <f>AA!#REF!</f>
        <v>#REF!</v>
      </c>
      <c r="B38" t="e">
        <f>INDEX(AA!$AC$13:$AC$15,MATCH(A38,AA!$C$13:$C$15,0))</f>
        <v>#REF!</v>
      </c>
      <c r="C38" t="e">
        <f>INDEX(AA!$AI$13:$AI$15,MATCH(A38,AA!$C$13:$C$15,0))</f>
        <v>#REF!</v>
      </c>
      <c r="D38" t="e">
        <f>INDEX(AA!$AN$13:$AN$15,MATCH(A38,AA!$C$13:$C$15,0))</f>
        <v>#REF!</v>
      </c>
      <c r="F38" s="261" t="e">
        <f>INDEX(AO!$DJ$18:$DJ$20,MATCH(A38,AO!$C$18:$C$20,0))</f>
        <v>#REF!</v>
      </c>
      <c r="G38" s="261" t="e">
        <f>INDEX(AO!$AS$18:$AS$20,MATCH(A38,AO!$C$18:$C$20,0))</f>
        <v>#REF!</v>
      </c>
      <c r="H38" s="261" t="e">
        <f>INDEX(AO!$AT$18:$AT$20,MATCH(A38,AO!$C$18:$C$20,0))</f>
        <v>#REF!</v>
      </c>
      <c r="I38" s="261" t="e">
        <f>INDEX(AO!$CE$18:$CE$20,MATCH(A38,AO!$C$18:$C$20,0))</f>
        <v>#REF!</v>
      </c>
      <c r="J38" s="261" t="e">
        <f>INDEX(AA!$M$13:$M$15,MATCH(A38,AA!$C$13:$C$15,0))</f>
        <v>#REF!</v>
      </c>
      <c r="K38" s="261" t="e">
        <f>INDEX(AA!$AA$13:$AA$15,MATCH(A38,AA!$C$13:$C$15,0))</f>
        <v>#REF!</v>
      </c>
      <c r="L38" s="261" t="e">
        <f>-INDEX(AO!$AZ$18:$AZ$20,MATCH(A38,AO!$C$18:$C$20,0))</f>
        <v>#REF!</v>
      </c>
      <c r="M38" s="261" t="e">
        <f>INDEX(AO!$DF$18:$DF$20,MATCH(A38,AO!$C$18:$C$20,0))-INDEX(AO!$DA$18:$DA$20,MATCH(A38,AO!$C$18:$C$20,0))+INDEX(AA!$IJ$13:$IJ$15,MATCH(A38,AA!$C$13:$C$15,0))</f>
        <v>#REF!</v>
      </c>
      <c r="N38" s="261" t="e">
        <f>INDEX(AO!$EY$18:$EY$20,MATCH(A38,AO!$C$18:$C$20,0))</f>
        <v>#REF!</v>
      </c>
      <c r="O38" s="261" t="e">
        <f>INDEX(AO!$ED$18:$ED$20,MATCH(A38,AO!$C$18:$C$20,0))</f>
        <v>#REF!</v>
      </c>
      <c r="P38" s="261" t="e">
        <f>INDEX(AO!$EU$18:$EU$20,MATCH(A38,AO!$C$18:$C$20,0))</f>
        <v>#REF!</v>
      </c>
      <c r="Q38" s="261" t="e">
        <f t="shared" si="11"/>
        <v>#REF!</v>
      </c>
      <c r="S38" s="261"/>
      <c r="T38" s="261"/>
      <c r="U38" s="261"/>
      <c r="V38" s="261"/>
      <c r="W38" s="261"/>
      <c r="X38" s="261"/>
      <c r="Y38" s="261"/>
      <c r="Z38" s="261"/>
      <c r="AA38" s="261"/>
      <c r="AB38" s="261"/>
      <c r="AC38" s="261"/>
      <c r="AD38" s="261"/>
      <c r="AF38" s="261" t="e">
        <f t="shared" si="12"/>
        <v>#REF!</v>
      </c>
      <c r="AG38" s="261" t="e">
        <f t="shared" si="0"/>
        <v>#REF!</v>
      </c>
      <c r="AH38" s="261" t="e">
        <f t="shared" si="1"/>
        <v>#REF!</v>
      </c>
      <c r="AI38" s="261" t="e">
        <f t="shared" si="2"/>
        <v>#REF!</v>
      </c>
      <c r="AJ38" s="261" t="e">
        <f t="shared" si="3"/>
        <v>#REF!</v>
      </c>
      <c r="AK38" s="261" t="e">
        <f t="shared" si="4"/>
        <v>#REF!</v>
      </c>
      <c r="AL38" s="261" t="e">
        <f t="shared" si="5"/>
        <v>#REF!</v>
      </c>
      <c r="AM38" s="261" t="e">
        <f t="shared" si="6"/>
        <v>#REF!</v>
      </c>
      <c r="AN38" s="261" t="e">
        <f t="shared" si="7"/>
        <v>#REF!</v>
      </c>
      <c r="AO38" s="261" t="e">
        <f t="shared" si="8"/>
        <v>#REF!</v>
      </c>
      <c r="AP38" s="261" t="e">
        <f t="shared" si="9"/>
        <v>#REF!</v>
      </c>
      <c r="AQ38" s="261" t="e">
        <f t="shared" si="10"/>
        <v>#REF!</v>
      </c>
    </row>
    <row r="39" spans="1:43">
      <c r="A39" s="1256" t="e">
        <f>AA!#REF!</f>
        <v>#REF!</v>
      </c>
      <c r="B39" s="1256" t="e">
        <f>INDEX(AA!$AC$13:$AC$15,MATCH(A39,AA!$C$13:$C$15,0))</f>
        <v>#REF!</v>
      </c>
      <c r="C39" s="1256" t="e">
        <f>INDEX(AA!$AI$13:$AI$15,MATCH(A39,AA!$C$13:$C$15,0))</f>
        <v>#REF!</v>
      </c>
      <c r="D39" s="1256" t="e">
        <f>INDEX(AA!$AN$13:$AN$15,MATCH(A39,AA!$C$13:$C$15,0))</f>
        <v>#REF!</v>
      </c>
      <c r="E39" s="1256"/>
      <c r="F39" s="1257" t="e">
        <f>INDEX(AO!$DJ$18:$DJ$20,MATCH(A39,AO!$C$18:$C$20,0))</f>
        <v>#REF!</v>
      </c>
      <c r="G39" s="1257" t="e">
        <f>INDEX(AO!$AS$18:$AS$20,MATCH(A39,AO!$C$18:$C$20,0))</f>
        <v>#REF!</v>
      </c>
      <c r="H39" s="1257" t="e">
        <f>INDEX(AO!$AT$18:$AT$20,MATCH(A39,AO!$C$18:$C$20,0))</f>
        <v>#REF!</v>
      </c>
      <c r="I39" s="1257" t="e">
        <f>INDEX(AO!$CE$18:$CE$20,MATCH(A39,AO!$C$18:$C$20,0))</f>
        <v>#REF!</v>
      </c>
      <c r="J39" s="1257" t="e">
        <f>INDEX(AA!$M$13:$M$15,MATCH(A39,AA!$C$13:$C$15,0))</f>
        <v>#REF!</v>
      </c>
      <c r="K39" s="1257" t="e">
        <f>INDEX(AA!$AA$13:$AA$15,MATCH(A39,AA!$C$13:$C$15,0))</f>
        <v>#REF!</v>
      </c>
      <c r="L39" s="1257" t="e">
        <f>-INDEX(AO!$AZ$18:$AZ$20,MATCH(A39,AO!$C$18:$C$20,0))</f>
        <v>#REF!</v>
      </c>
      <c r="M39" s="1257" t="e">
        <f>INDEX(AO!$DF$18:$DF$20,MATCH(A39,AO!$C$18:$C$20,0))-INDEX(AO!$DA$18:$DA$20,MATCH(A39,AO!$C$18:$C$20,0))+INDEX(AA!$IJ$13:$IJ$15,MATCH(A39,AA!$C$13:$C$15,0))</f>
        <v>#REF!</v>
      </c>
      <c r="N39" s="1257" t="e">
        <f>INDEX(AO!$EY$18:$EY$20,MATCH(A39,AO!$C$18:$C$20,0))</f>
        <v>#REF!</v>
      </c>
      <c r="O39" s="1257" t="e">
        <f>INDEX(AO!$ED$18:$ED$20,MATCH(A39,AO!$C$18:$C$20,0))</f>
        <v>#REF!</v>
      </c>
      <c r="P39" s="1257" t="e">
        <f>INDEX(AO!$EU$18:$EU$20,MATCH(A39,AO!$C$18:$C$20,0))</f>
        <v>#REF!</v>
      </c>
      <c r="Q39" s="1257" t="e">
        <f t="shared" si="11"/>
        <v>#REF!</v>
      </c>
      <c r="S39" s="1257"/>
      <c r="T39" s="1257"/>
      <c r="U39" s="1257"/>
      <c r="V39" s="1257"/>
      <c r="W39" s="1257"/>
      <c r="X39" s="1257"/>
      <c r="Y39" s="1257"/>
      <c r="Z39" s="1257"/>
      <c r="AA39" s="1257"/>
      <c r="AB39" s="1257"/>
      <c r="AC39" s="1257"/>
      <c r="AD39" s="1257"/>
      <c r="AF39" s="1257" t="e">
        <f t="shared" si="12"/>
        <v>#REF!</v>
      </c>
      <c r="AG39" s="1257" t="e">
        <f t="shared" si="0"/>
        <v>#REF!</v>
      </c>
      <c r="AH39" s="1257" t="e">
        <f t="shared" si="1"/>
        <v>#REF!</v>
      </c>
      <c r="AI39" s="1257" t="e">
        <f t="shared" si="2"/>
        <v>#REF!</v>
      </c>
      <c r="AJ39" s="1257" t="e">
        <f t="shared" si="3"/>
        <v>#REF!</v>
      </c>
      <c r="AK39" s="1257" t="e">
        <f t="shared" si="4"/>
        <v>#REF!</v>
      </c>
      <c r="AL39" s="1257" t="e">
        <f t="shared" si="5"/>
        <v>#REF!</v>
      </c>
      <c r="AM39" s="1257" t="e">
        <f t="shared" si="6"/>
        <v>#REF!</v>
      </c>
      <c r="AN39" s="1257" t="e">
        <f t="shared" si="7"/>
        <v>#REF!</v>
      </c>
      <c r="AO39" s="1257" t="e">
        <f t="shared" si="8"/>
        <v>#REF!</v>
      </c>
      <c r="AP39" s="1257" t="e">
        <f t="shared" si="9"/>
        <v>#REF!</v>
      </c>
      <c r="AQ39" s="1257" t="e">
        <f t="shared" si="10"/>
        <v>#REF!</v>
      </c>
    </row>
    <row r="40" spans="1:43">
      <c r="A40" t="e">
        <f>AA!#REF!</f>
        <v>#REF!</v>
      </c>
      <c r="B40" t="e">
        <f>INDEX(AA!$AC$13:$AC$15,MATCH(A40,AA!$C$13:$C$15,0))</f>
        <v>#REF!</v>
      </c>
      <c r="C40" t="e">
        <f>INDEX(AA!$AI$13:$AI$15,MATCH(A40,AA!$C$13:$C$15,0))</f>
        <v>#REF!</v>
      </c>
      <c r="D40" t="e">
        <f>INDEX(AA!$AN$13:$AN$15,MATCH(A40,AA!$C$13:$C$15,0))</f>
        <v>#REF!</v>
      </c>
      <c r="F40" s="261" t="e">
        <f>INDEX(AO!$DJ$18:$DJ$20,MATCH(A40,AO!$C$18:$C$20,0))</f>
        <v>#REF!</v>
      </c>
      <c r="G40" s="261" t="e">
        <f>INDEX(AO!$AS$18:$AS$20,MATCH(A40,AO!$C$18:$C$20,0))</f>
        <v>#REF!</v>
      </c>
      <c r="H40" s="261" t="e">
        <f>INDEX(AO!$AT$18:$AT$20,MATCH(A40,AO!$C$18:$C$20,0))</f>
        <v>#REF!</v>
      </c>
      <c r="I40" s="261" t="e">
        <f>INDEX(AO!$CE$18:$CE$20,MATCH(A40,AO!$C$18:$C$20,0))</f>
        <v>#REF!</v>
      </c>
      <c r="J40" s="261" t="e">
        <f>INDEX(AA!$M$13:$M$15,MATCH(A40,AA!$C$13:$C$15,0))</f>
        <v>#REF!</v>
      </c>
      <c r="K40" s="261" t="e">
        <f>INDEX(AA!$AA$13:$AA$15,MATCH(A40,AA!$C$13:$C$15,0))</f>
        <v>#REF!</v>
      </c>
      <c r="L40" s="261" t="e">
        <f>-INDEX(AO!$AZ$18:$AZ$20,MATCH(A40,AO!$C$18:$C$20,0))</f>
        <v>#REF!</v>
      </c>
      <c r="M40" s="261" t="e">
        <f>INDEX(AO!$DF$18:$DF$20,MATCH(A40,AO!$C$18:$C$20,0))-INDEX(AO!$DA$18:$DA$20,MATCH(A40,AO!$C$18:$C$20,0))+INDEX(AA!$IJ$13:$IJ$15,MATCH(A40,AA!$C$13:$C$15,0))</f>
        <v>#REF!</v>
      </c>
      <c r="N40" s="261" t="e">
        <f>INDEX(AO!$EY$18:$EY$20,MATCH(A40,AO!$C$18:$C$20,0))</f>
        <v>#REF!</v>
      </c>
      <c r="O40" s="261" t="e">
        <f>INDEX(AO!$ED$18:$ED$20,MATCH(A40,AO!$C$18:$C$20,0))</f>
        <v>#REF!</v>
      </c>
      <c r="P40" s="261" t="e">
        <f>INDEX(AO!$EU$18:$EU$20,MATCH(A40,AO!$C$18:$C$20,0))</f>
        <v>#REF!</v>
      </c>
      <c r="Q40" s="261" t="e">
        <f t="shared" si="11"/>
        <v>#REF!</v>
      </c>
      <c r="S40" s="261"/>
      <c r="T40" s="261"/>
      <c r="U40" s="261"/>
      <c r="V40" s="261"/>
      <c r="W40" s="261"/>
      <c r="X40" s="261"/>
      <c r="Y40" s="261"/>
      <c r="Z40" s="261"/>
      <c r="AA40" s="261"/>
      <c r="AB40" s="261"/>
      <c r="AC40" s="261"/>
      <c r="AD40" s="261"/>
      <c r="AF40" s="261" t="e">
        <f t="shared" si="12"/>
        <v>#REF!</v>
      </c>
      <c r="AG40" s="261" t="e">
        <f t="shared" si="0"/>
        <v>#REF!</v>
      </c>
      <c r="AH40" s="261" t="e">
        <f t="shared" si="1"/>
        <v>#REF!</v>
      </c>
      <c r="AI40" s="261" t="e">
        <f t="shared" si="2"/>
        <v>#REF!</v>
      </c>
      <c r="AJ40" s="261" t="e">
        <f t="shared" si="3"/>
        <v>#REF!</v>
      </c>
      <c r="AK40" s="261" t="e">
        <f t="shared" si="4"/>
        <v>#REF!</v>
      </c>
      <c r="AL40" s="261" t="e">
        <f t="shared" si="5"/>
        <v>#REF!</v>
      </c>
      <c r="AM40" s="261" t="e">
        <f t="shared" si="6"/>
        <v>#REF!</v>
      </c>
      <c r="AN40" s="261" t="e">
        <f t="shared" si="7"/>
        <v>#REF!</v>
      </c>
      <c r="AO40" s="261" t="e">
        <f t="shared" si="8"/>
        <v>#REF!</v>
      </c>
      <c r="AP40" s="261" t="e">
        <f t="shared" si="9"/>
        <v>#REF!</v>
      </c>
      <c r="AQ40" s="261" t="e">
        <f t="shared" si="10"/>
        <v>#REF!</v>
      </c>
    </row>
    <row r="41" spans="1:43">
      <c r="A41" s="1256" t="e">
        <f>AA!#REF!</f>
        <v>#REF!</v>
      </c>
      <c r="B41" s="1256" t="e">
        <f>INDEX(AA!$AC$13:$AC$15,MATCH(A41,AA!$C$13:$C$15,0))</f>
        <v>#REF!</v>
      </c>
      <c r="C41" s="1256" t="e">
        <f>INDEX(AA!$AI$13:$AI$15,MATCH(A41,AA!$C$13:$C$15,0))</f>
        <v>#REF!</v>
      </c>
      <c r="D41" s="1256" t="e">
        <f>INDEX(AA!$AN$13:$AN$15,MATCH(A41,AA!$C$13:$C$15,0))</f>
        <v>#REF!</v>
      </c>
      <c r="E41" s="1256"/>
      <c r="F41" s="1257" t="e">
        <f>INDEX(AO!$DJ$18:$DJ$20,MATCH(A41,AO!$C$18:$C$20,0))</f>
        <v>#REF!</v>
      </c>
      <c r="G41" s="1257" t="e">
        <f>INDEX(AO!$AS$18:$AS$20,MATCH(A41,AO!$C$18:$C$20,0))</f>
        <v>#REF!</v>
      </c>
      <c r="H41" s="1257" t="e">
        <f>INDEX(AO!$AT$18:$AT$20,MATCH(A41,AO!$C$18:$C$20,0))</f>
        <v>#REF!</v>
      </c>
      <c r="I41" s="1257" t="e">
        <f>INDEX(AO!$CE$18:$CE$20,MATCH(A41,AO!$C$18:$C$20,0))</f>
        <v>#REF!</v>
      </c>
      <c r="J41" s="1257" t="e">
        <f>INDEX(AA!$M$13:$M$15,MATCH(A41,AA!$C$13:$C$15,0))</f>
        <v>#REF!</v>
      </c>
      <c r="K41" s="1257" t="e">
        <f>INDEX(AA!$AA$13:$AA$15,MATCH(A41,AA!$C$13:$C$15,0))</f>
        <v>#REF!</v>
      </c>
      <c r="L41" s="1257" t="e">
        <f>-INDEX(AO!$AZ$18:$AZ$20,MATCH(A41,AO!$C$18:$C$20,0))</f>
        <v>#REF!</v>
      </c>
      <c r="M41" s="1257" t="e">
        <f>INDEX(AO!$DF$18:$DF$20,MATCH(A41,AO!$C$18:$C$20,0))-INDEX(AO!$DA$18:$DA$20,MATCH(A41,AO!$C$18:$C$20,0))+INDEX(AA!$IJ$13:$IJ$15,MATCH(A41,AA!$C$13:$C$15,0))</f>
        <v>#REF!</v>
      </c>
      <c r="N41" s="1257" t="e">
        <f>INDEX(AO!$EY$18:$EY$20,MATCH(A41,AO!$C$18:$C$20,0))</f>
        <v>#REF!</v>
      </c>
      <c r="O41" s="1257" t="e">
        <f>INDEX(AO!$ED$18:$ED$20,MATCH(A41,AO!$C$18:$C$20,0))</f>
        <v>#REF!</v>
      </c>
      <c r="P41" s="1257" t="e">
        <f>INDEX(AO!$EU$18:$EU$20,MATCH(A41,AO!$C$18:$C$20,0))</f>
        <v>#REF!</v>
      </c>
      <c r="Q41" s="1257" t="e">
        <f t="shared" si="11"/>
        <v>#REF!</v>
      </c>
      <c r="S41" s="1257"/>
      <c r="T41" s="1257"/>
      <c r="U41" s="1257"/>
      <c r="V41" s="1257"/>
      <c r="W41" s="1257"/>
      <c r="X41" s="1257"/>
      <c r="Y41" s="1257"/>
      <c r="Z41" s="1257"/>
      <c r="AA41" s="1257"/>
      <c r="AB41" s="1257"/>
      <c r="AC41" s="1257"/>
      <c r="AD41" s="1257"/>
      <c r="AF41" s="1257" t="e">
        <f t="shared" si="12"/>
        <v>#REF!</v>
      </c>
      <c r="AG41" s="1257" t="e">
        <f t="shared" si="0"/>
        <v>#REF!</v>
      </c>
      <c r="AH41" s="1257" t="e">
        <f t="shared" si="1"/>
        <v>#REF!</v>
      </c>
      <c r="AI41" s="1257" t="e">
        <f t="shared" si="2"/>
        <v>#REF!</v>
      </c>
      <c r="AJ41" s="1257" t="e">
        <f t="shared" si="3"/>
        <v>#REF!</v>
      </c>
      <c r="AK41" s="1257" t="e">
        <f t="shared" si="4"/>
        <v>#REF!</v>
      </c>
      <c r="AL41" s="1257" t="e">
        <f t="shared" si="5"/>
        <v>#REF!</v>
      </c>
      <c r="AM41" s="1257" t="e">
        <f t="shared" si="6"/>
        <v>#REF!</v>
      </c>
      <c r="AN41" s="1257" t="e">
        <f t="shared" si="7"/>
        <v>#REF!</v>
      </c>
      <c r="AO41" s="1257" t="e">
        <f t="shared" si="8"/>
        <v>#REF!</v>
      </c>
      <c r="AP41" s="1257" t="e">
        <f t="shared" si="9"/>
        <v>#REF!</v>
      </c>
      <c r="AQ41" s="1257" t="e">
        <f t="shared" si="10"/>
        <v>#REF!</v>
      </c>
    </row>
    <row r="42" spans="1:43">
      <c r="A42" t="e">
        <f>AA!#REF!</f>
        <v>#REF!</v>
      </c>
      <c r="B42" t="e">
        <f>INDEX(AA!$AC$13:$AC$15,MATCH(A42,AA!$C$13:$C$15,0))</f>
        <v>#REF!</v>
      </c>
      <c r="C42" t="e">
        <f>INDEX(AA!$AI$13:$AI$15,MATCH(A42,AA!$C$13:$C$15,0))</f>
        <v>#REF!</v>
      </c>
      <c r="D42" t="e">
        <f>INDEX(AA!$AN$13:$AN$15,MATCH(A42,AA!$C$13:$C$15,0))</f>
        <v>#REF!</v>
      </c>
      <c r="F42" s="261" t="e">
        <f>INDEX(AO!$DJ$18:$DJ$20,MATCH(A42,AO!$C$18:$C$20,0))</f>
        <v>#REF!</v>
      </c>
      <c r="G42" s="261" t="e">
        <f>INDEX(AO!$AS$18:$AS$20,MATCH(A42,AO!$C$18:$C$20,0))</f>
        <v>#REF!</v>
      </c>
      <c r="H42" s="261" t="e">
        <f>INDEX(AO!$AT$18:$AT$20,MATCH(A42,AO!$C$18:$C$20,0))</f>
        <v>#REF!</v>
      </c>
      <c r="I42" s="261" t="e">
        <f>INDEX(AO!$CE$18:$CE$20,MATCH(A42,AO!$C$18:$C$20,0))</f>
        <v>#REF!</v>
      </c>
      <c r="J42" s="261" t="e">
        <f>INDEX(AA!$M$13:$M$15,MATCH(A42,AA!$C$13:$C$15,0))</f>
        <v>#REF!</v>
      </c>
      <c r="K42" s="261" t="e">
        <f>INDEX(AA!$AA$13:$AA$15,MATCH(A42,AA!$C$13:$C$15,0))</f>
        <v>#REF!</v>
      </c>
      <c r="L42" s="261" t="e">
        <f>-INDEX(AO!$AZ$18:$AZ$20,MATCH(A42,AO!$C$18:$C$20,0))</f>
        <v>#REF!</v>
      </c>
      <c r="M42" s="261" t="e">
        <f>INDEX(AO!$DF$18:$DF$20,MATCH(A42,AO!$C$18:$C$20,0))-INDEX(AO!$DA$18:$DA$20,MATCH(A42,AO!$C$18:$C$20,0))+INDEX(AA!$IJ$13:$IJ$15,MATCH(A42,AA!$C$13:$C$15,0))</f>
        <v>#REF!</v>
      </c>
      <c r="N42" s="261" t="e">
        <f>INDEX(AO!$EY$18:$EY$20,MATCH(A42,AO!$C$18:$C$20,0))</f>
        <v>#REF!</v>
      </c>
      <c r="O42" s="261" t="e">
        <f>INDEX(AO!$ED$18:$ED$20,MATCH(A42,AO!$C$18:$C$20,0))</f>
        <v>#REF!</v>
      </c>
      <c r="P42" s="261" t="e">
        <f>INDEX(AO!$EU$18:$EU$20,MATCH(A42,AO!$C$18:$C$20,0))</f>
        <v>#REF!</v>
      </c>
      <c r="Q42" s="261" t="e">
        <f t="shared" si="11"/>
        <v>#REF!</v>
      </c>
      <c r="S42" s="261"/>
      <c r="T42" s="261"/>
      <c r="U42" s="261"/>
      <c r="V42" s="261"/>
      <c r="W42" s="261"/>
      <c r="X42" s="261"/>
      <c r="Y42" s="261"/>
      <c r="Z42" s="261"/>
      <c r="AA42" s="261"/>
      <c r="AB42" s="261"/>
      <c r="AC42" s="261"/>
      <c r="AD42" s="261"/>
      <c r="AF42" s="261" t="e">
        <f t="shared" si="12"/>
        <v>#REF!</v>
      </c>
      <c r="AG42" s="261" t="e">
        <f t="shared" si="0"/>
        <v>#REF!</v>
      </c>
      <c r="AH42" s="261" t="e">
        <f t="shared" si="1"/>
        <v>#REF!</v>
      </c>
      <c r="AI42" s="261" t="e">
        <f t="shared" si="2"/>
        <v>#REF!</v>
      </c>
      <c r="AJ42" s="261" t="e">
        <f t="shared" si="3"/>
        <v>#REF!</v>
      </c>
      <c r="AK42" s="261" t="e">
        <f t="shared" si="4"/>
        <v>#REF!</v>
      </c>
      <c r="AL42" s="261" t="e">
        <f t="shared" si="5"/>
        <v>#REF!</v>
      </c>
      <c r="AM42" s="261" t="e">
        <f t="shared" si="6"/>
        <v>#REF!</v>
      </c>
      <c r="AN42" s="261" t="e">
        <f t="shared" si="7"/>
        <v>#REF!</v>
      </c>
      <c r="AO42" s="261" t="e">
        <f t="shared" si="8"/>
        <v>#REF!</v>
      </c>
      <c r="AP42" s="261" t="e">
        <f t="shared" si="9"/>
        <v>#REF!</v>
      </c>
      <c r="AQ42" s="261" t="e">
        <f t="shared" si="10"/>
        <v>#REF!</v>
      </c>
    </row>
    <row r="43" spans="1:43">
      <c r="A43" s="1256" t="e">
        <f>AA!#REF!</f>
        <v>#REF!</v>
      </c>
      <c r="B43" s="1256" t="e">
        <f>INDEX(AA!$AC$13:$AC$15,MATCH(A43,AA!$C$13:$C$15,0))</f>
        <v>#REF!</v>
      </c>
      <c r="C43" s="1256" t="e">
        <f>INDEX(AA!$AI$13:$AI$15,MATCH(A43,AA!$C$13:$C$15,0))</f>
        <v>#REF!</v>
      </c>
      <c r="D43" s="1256" t="e">
        <f>INDEX(AA!$AN$13:$AN$15,MATCH(A43,AA!$C$13:$C$15,0))</f>
        <v>#REF!</v>
      </c>
      <c r="E43" s="1256"/>
      <c r="F43" s="1257" t="e">
        <f>INDEX(AO!$DJ$18:$DJ$20,MATCH(A43,AO!$C$18:$C$20,0))</f>
        <v>#REF!</v>
      </c>
      <c r="G43" s="1257" t="e">
        <f>INDEX(AO!$AS$18:$AS$20,MATCH(A43,AO!$C$18:$C$20,0))</f>
        <v>#REF!</v>
      </c>
      <c r="H43" s="1257" t="e">
        <f>INDEX(AO!$AT$18:$AT$20,MATCH(A43,AO!$C$18:$C$20,0))</f>
        <v>#REF!</v>
      </c>
      <c r="I43" s="1257" t="e">
        <f>INDEX(AO!$CE$18:$CE$20,MATCH(A43,AO!$C$18:$C$20,0))</f>
        <v>#REF!</v>
      </c>
      <c r="J43" s="1257" t="e">
        <f>INDEX(AA!$M$13:$M$15,MATCH(A43,AA!$C$13:$C$15,0))</f>
        <v>#REF!</v>
      </c>
      <c r="K43" s="1257" t="e">
        <f>INDEX(AA!$AA$13:$AA$15,MATCH(A43,AA!$C$13:$C$15,0))</f>
        <v>#REF!</v>
      </c>
      <c r="L43" s="1257" t="e">
        <f>-INDEX(AO!$AZ$18:$AZ$20,MATCH(A43,AO!$C$18:$C$20,0))</f>
        <v>#REF!</v>
      </c>
      <c r="M43" s="1257" t="e">
        <f>INDEX(AO!$DF$18:$DF$20,MATCH(A43,AO!$C$18:$C$20,0))-INDEX(AO!$DA$18:$DA$20,MATCH(A43,AO!$C$18:$C$20,0))+INDEX(AA!$IJ$13:$IJ$15,MATCH(A43,AA!$C$13:$C$15,0))</f>
        <v>#REF!</v>
      </c>
      <c r="N43" s="1257" t="e">
        <f>INDEX(AO!$EY$18:$EY$20,MATCH(A43,AO!$C$18:$C$20,0))</f>
        <v>#REF!</v>
      </c>
      <c r="O43" s="1257" t="e">
        <f>INDEX(AO!$ED$18:$ED$20,MATCH(A43,AO!$C$18:$C$20,0))</f>
        <v>#REF!</v>
      </c>
      <c r="P43" s="1257" t="e">
        <f>INDEX(AO!$EU$18:$EU$20,MATCH(A43,AO!$C$18:$C$20,0))</f>
        <v>#REF!</v>
      </c>
      <c r="Q43" s="1257" t="e">
        <f t="shared" si="11"/>
        <v>#REF!</v>
      </c>
      <c r="S43" s="1257"/>
      <c r="T43" s="1257"/>
      <c r="U43" s="1257"/>
      <c r="V43" s="1257"/>
      <c r="W43" s="1257"/>
      <c r="X43" s="1257"/>
      <c r="Y43" s="1257"/>
      <c r="Z43" s="1257"/>
      <c r="AA43" s="1257"/>
      <c r="AB43" s="1257"/>
      <c r="AC43" s="1257"/>
      <c r="AD43" s="1257"/>
      <c r="AF43" s="1257" t="e">
        <f t="shared" si="12"/>
        <v>#REF!</v>
      </c>
      <c r="AG43" s="1257" t="e">
        <f t="shared" si="0"/>
        <v>#REF!</v>
      </c>
      <c r="AH43" s="1257" t="e">
        <f t="shared" si="1"/>
        <v>#REF!</v>
      </c>
      <c r="AI43" s="1257" t="e">
        <f t="shared" si="2"/>
        <v>#REF!</v>
      </c>
      <c r="AJ43" s="1257" t="e">
        <f t="shared" si="3"/>
        <v>#REF!</v>
      </c>
      <c r="AK43" s="1257" t="e">
        <f t="shared" si="4"/>
        <v>#REF!</v>
      </c>
      <c r="AL43" s="1257" t="e">
        <f t="shared" si="5"/>
        <v>#REF!</v>
      </c>
      <c r="AM43" s="1257" t="e">
        <f t="shared" si="6"/>
        <v>#REF!</v>
      </c>
      <c r="AN43" s="1257" t="e">
        <f t="shared" si="7"/>
        <v>#REF!</v>
      </c>
      <c r="AO43" s="1257" t="e">
        <f t="shared" si="8"/>
        <v>#REF!</v>
      </c>
      <c r="AP43" s="1257" t="e">
        <f t="shared" si="9"/>
        <v>#REF!</v>
      </c>
      <c r="AQ43" s="1257" t="e">
        <f t="shared" si="10"/>
        <v>#REF!</v>
      </c>
    </row>
    <row r="44" spans="1:43">
      <c r="A44" t="e">
        <f>AA!#REF!</f>
        <v>#REF!</v>
      </c>
      <c r="B44" t="e">
        <f>INDEX(AA!$AC$13:$AC$15,MATCH(A44,AA!$C$13:$C$15,0))</f>
        <v>#REF!</v>
      </c>
      <c r="C44" t="e">
        <f>INDEX(AA!$AI$13:$AI$15,MATCH(A44,AA!$C$13:$C$15,0))</f>
        <v>#REF!</v>
      </c>
      <c r="D44" t="e">
        <f>INDEX(AA!$AN$13:$AN$15,MATCH(A44,AA!$C$13:$C$15,0))</f>
        <v>#REF!</v>
      </c>
      <c r="F44" s="261" t="e">
        <f>INDEX(AO!$DJ$18:$DJ$20,MATCH(A44,AO!$C$18:$C$20,0))</f>
        <v>#REF!</v>
      </c>
      <c r="G44" s="261" t="e">
        <f>INDEX(AO!$AS$18:$AS$20,MATCH(A44,AO!$C$18:$C$20,0))</f>
        <v>#REF!</v>
      </c>
      <c r="H44" s="261" t="e">
        <f>INDEX(AO!$AT$18:$AT$20,MATCH(A44,AO!$C$18:$C$20,0))</f>
        <v>#REF!</v>
      </c>
      <c r="I44" s="261" t="e">
        <f>INDEX(AO!$CE$18:$CE$20,MATCH(A44,AO!$C$18:$C$20,0))</f>
        <v>#REF!</v>
      </c>
      <c r="J44" s="261" t="e">
        <f>INDEX(AA!$M$13:$M$15,MATCH(A44,AA!$C$13:$C$15,0))</f>
        <v>#REF!</v>
      </c>
      <c r="K44" s="261" t="e">
        <f>INDEX(AA!$AA$13:$AA$15,MATCH(A44,AA!$C$13:$C$15,0))</f>
        <v>#REF!</v>
      </c>
      <c r="L44" s="261" t="e">
        <f>-INDEX(AO!$AZ$18:$AZ$20,MATCH(A44,AO!$C$18:$C$20,0))</f>
        <v>#REF!</v>
      </c>
      <c r="M44" s="261" t="e">
        <f>INDEX(AO!$DF$18:$DF$20,MATCH(A44,AO!$C$18:$C$20,0))-INDEX(AO!$DA$18:$DA$20,MATCH(A44,AO!$C$18:$C$20,0))+INDEX(AA!$IJ$13:$IJ$15,MATCH(A44,AA!$C$13:$C$15,0))</f>
        <v>#REF!</v>
      </c>
      <c r="N44" s="261" t="e">
        <f>INDEX(AO!$EY$18:$EY$20,MATCH(A44,AO!$C$18:$C$20,0))</f>
        <v>#REF!</v>
      </c>
      <c r="O44" s="261" t="e">
        <f>INDEX(AO!$ED$18:$ED$20,MATCH(A44,AO!$C$18:$C$20,0))</f>
        <v>#REF!</v>
      </c>
      <c r="P44" s="261" t="e">
        <f>INDEX(AO!$EU$18:$EU$20,MATCH(A44,AO!$C$18:$C$20,0))</f>
        <v>#REF!</v>
      </c>
      <c r="Q44" s="261" t="e">
        <f t="shared" si="11"/>
        <v>#REF!</v>
      </c>
      <c r="S44" s="261"/>
      <c r="T44" s="261"/>
      <c r="U44" s="261"/>
      <c r="V44" s="261"/>
      <c r="W44" s="261"/>
      <c r="X44" s="261"/>
      <c r="Y44" s="261"/>
      <c r="Z44" s="261"/>
      <c r="AA44" s="261"/>
      <c r="AB44" s="261"/>
      <c r="AC44" s="261"/>
      <c r="AD44" s="261"/>
      <c r="AF44" s="261" t="e">
        <f t="shared" si="12"/>
        <v>#REF!</v>
      </c>
      <c r="AG44" s="261" t="e">
        <f t="shared" si="0"/>
        <v>#REF!</v>
      </c>
      <c r="AH44" s="261" t="e">
        <f t="shared" si="1"/>
        <v>#REF!</v>
      </c>
      <c r="AI44" s="261" t="e">
        <f t="shared" si="2"/>
        <v>#REF!</v>
      </c>
      <c r="AJ44" s="261" t="e">
        <f t="shared" si="3"/>
        <v>#REF!</v>
      </c>
      <c r="AK44" s="261" t="e">
        <f t="shared" si="4"/>
        <v>#REF!</v>
      </c>
      <c r="AL44" s="261" t="e">
        <f t="shared" si="5"/>
        <v>#REF!</v>
      </c>
      <c r="AM44" s="261" t="e">
        <f t="shared" si="6"/>
        <v>#REF!</v>
      </c>
      <c r="AN44" s="261" t="e">
        <f t="shared" si="7"/>
        <v>#REF!</v>
      </c>
      <c r="AO44" s="261" t="e">
        <f t="shared" si="8"/>
        <v>#REF!</v>
      </c>
      <c r="AP44" s="261" t="e">
        <f t="shared" si="9"/>
        <v>#REF!</v>
      </c>
      <c r="AQ44" s="261" t="e">
        <f t="shared" si="10"/>
        <v>#REF!</v>
      </c>
    </row>
    <row r="45" spans="1:43">
      <c r="A45" s="1256" t="e">
        <f>AA!#REF!</f>
        <v>#REF!</v>
      </c>
      <c r="B45" s="1256" t="e">
        <f>INDEX(AA!$AC$13:$AC$15,MATCH(A45,AA!$C$13:$C$15,0))</f>
        <v>#REF!</v>
      </c>
      <c r="C45" s="1256" t="e">
        <f>INDEX(AA!$AI$13:$AI$15,MATCH(A45,AA!$C$13:$C$15,0))</f>
        <v>#REF!</v>
      </c>
      <c r="D45" s="1256" t="e">
        <f>INDEX(AA!$AN$13:$AN$15,MATCH(A45,AA!$C$13:$C$15,0))</f>
        <v>#REF!</v>
      </c>
      <c r="E45" s="1256"/>
      <c r="F45" s="1257" t="e">
        <f>INDEX(AO!$DJ$18:$DJ$20,MATCH(A45,AO!$C$18:$C$20,0))</f>
        <v>#REF!</v>
      </c>
      <c r="G45" s="1257" t="e">
        <f>INDEX(AO!$AS$18:$AS$20,MATCH(A45,AO!$C$18:$C$20,0))</f>
        <v>#REF!</v>
      </c>
      <c r="H45" s="1257" t="e">
        <f>INDEX(AO!$AT$18:$AT$20,MATCH(A45,AO!$C$18:$C$20,0))</f>
        <v>#REF!</v>
      </c>
      <c r="I45" s="1257" t="e">
        <f>INDEX(AO!$CE$18:$CE$20,MATCH(A45,AO!$C$18:$C$20,0))</f>
        <v>#REF!</v>
      </c>
      <c r="J45" s="1257" t="e">
        <f>INDEX(AA!$M$13:$M$15,MATCH(A45,AA!$C$13:$C$15,0))</f>
        <v>#REF!</v>
      </c>
      <c r="K45" s="1257" t="e">
        <f>INDEX(AA!$AA$13:$AA$15,MATCH(A45,AA!$C$13:$C$15,0))</f>
        <v>#REF!</v>
      </c>
      <c r="L45" s="1257" t="e">
        <f>-INDEX(AO!$AZ$18:$AZ$20,MATCH(A45,AO!$C$18:$C$20,0))</f>
        <v>#REF!</v>
      </c>
      <c r="M45" s="1257" t="e">
        <f>INDEX(AO!$DF$18:$DF$20,MATCH(A45,AO!$C$18:$C$20,0))-INDEX(AO!$DA$18:$DA$20,MATCH(A45,AO!$C$18:$C$20,0))+INDEX(AA!$IJ$13:$IJ$15,MATCH(A45,AA!$C$13:$C$15,0))</f>
        <v>#REF!</v>
      </c>
      <c r="N45" s="1257" t="e">
        <f>INDEX(AO!$EY$18:$EY$20,MATCH(A45,AO!$C$18:$C$20,0))</f>
        <v>#REF!</v>
      </c>
      <c r="O45" s="1257" t="e">
        <f>INDEX(AO!$ED$18:$ED$20,MATCH(A45,AO!$C$18:$C$20,0))</f>
        <v>#REF!</v>
      </c>
      <c r="P45" s="1257" t="e">
        <f>INDEX(AO!$EU$18:$EU$20,MATCH(A45,AO!$C$18:$C$20,0))</f>
        <v>#REF!</v>
      </c>
      <c r="Q45" s="1257" t="e">
        <f t="shared" si="11"/>
        <v>#REF!</v>
      </c>
      <c r="S45" s="1257"/>
      <c r="T45" s="1257"/>
      <c r="U45" s="1257"/>
      <c r="V45" s="1257"/>
      <c r="W45" s="1257"/>
      <c r="X45" s="1257"/>
      <c r="Y45" s="1257"/>
      <c r="Z45" s="1257"/>
      <c r="AA45" s="1257"/>
      <c r="AB45" s="1257"/>
      <c r="AC45" s="1257"/>
      <c r="AD45" s="1257"/>
      <c r="AF45" s="1257" t="e">
        <f t="shared" si="12"/>
        <v>#REF!</v>
      </c>
      <c r="AG45" s="1257" t="e">
        <f t="shared" si="0"/>
        <v>#REF!</v>
      </c>
      <c r="AH45" s="1257" t="e">
        <f t="shared" si="1"/>
        <v>#REF!</v>
      </c>
      <c r="AI45" s="1257" t="e">
        <f t="shared" si="2"/>
        <v>#REF!</v>
      </c>
      <c r="AJ45" s="1257" t="e">
        <f t="shared" si="3"/>
        <v>#REF!</v>
      </c>
      <c r="AK45" s="1257" t="e">
        <f t="shared" si="4"/>
        <v>#REF!</v>
      </c>
      <c r="AL45" s="1257" t="e">
        <f t="shared" si="5"/>
        <v>#REF!</v>
      </c>
      <c r="AM45" s="1257" t="e">
        <f t="shared" si="6"/>
        <v>#REF!</v>
      </c>
      <c r="AN45" s="1257" t="e">
        <f t="shared" si="7"/>
        <v>#REF!</v>
      </c>
      <c r="AO45" s="1257" t="e">
        <f t="shared" si="8"/>
        <v>#REF!</v>
      </c>
      <c r="AP45" s="1257" t="e">
        <f t="shared" si="9"/>
        <v>#REF!</v>
      </c>
      <c r="AQ45" s="1257" t="e">
        <f t="shared" si="10"/>
        <v>#REF!</v>
      </c>
    </row>
    <row r="46" spans="1:43">
      <c r="A46" t="e">
        <f>AA!#REF!</f>
        <v>#REF!</v>
      </c>
      <c r="B46" t="e">
        <f>INDEX(AA!$AC$13:$AC$15,MATCH(A46,AA!$C$13:$C$15,0))</f>
        <v>#REF!</v>
      </c>
      <c r="C46" t="e">
        <f>INDEX(AA!$AI$13:$AI$15,MATCH(A46,AA!$C$13:$C$15,0))</f>
        <v>#REF!</v>
      </c>
      <c r="D46" t="e">
        <f>INDEX(AA!$AN$13:$AN$15,MATCH(A46,AA!$C$13:$C$15,0))</f>
        <v>#REF!</v>
      </c>
      <c r="F46" s="261" t="e">
        <f>INDEX(AO!$DJ$18:$DJ$20,MATCH(A46,AO!$C$18:$C$20,0))</f>
        <v>#REF!</v>
      </c>
      <c r="G46" s="261" t="e">
        <f>INDEX(AO!$AS$18:$AS$20,MATCH(A46,AO!$C$18:$C$20,0))</f>
        <v>#REF!</v>
      </c>
      <c r="H46" s="261" t="e">
        <f>INDEX(AO!$AT$18:$AT$20,MATCH(A46,AO!$C$18:$C$20,0))</f>
        <v>#REF!</v>
      </c>
      <c r="I46" s="261" t="e">
        <f>INDEX(AO!$CE$18:$CE$20,MATCH(A46,AO!$C$18:$C$20,0))</f>
        <v>#REF!</v>
      </c>
      <c r="J46" s="261" t="e">
        <f>INDEX(AA!$M$13:$M$15,MATCH(A46,AA!$C$13:$C$15,0))</f>
        <v>#REF!</v>
      </c>
      <c r="K46" s="261" t="e">
        <f>INDEX(AA!$AA$13:$AA$15,MATCH(A46,AA!$C$13:$C$15,0))</f>
        <v>#REF!</v>
      </c>
      <c r="L46" s="261" t="e">
        <f>-INDEX(AO!$AZ$18:$AZ$20,MATCH(A46,AO!$C$18:$C$20,0))</f>
        <v>#REF!</v>
      </c>
      <c r="M46" s="261" t="e">
        <f>INDEX(AO!$DF$18:$DF$20,MATCH(A46,AO!$C$18:$C$20,0))-INDEX(AO!$DA$18:$DA$20,MATCH(A46,AO!$C$18:$C$20,0))+INDEX(AA!$IJ$13:$IJ$15,MATCH(A46,AA!$C$13:$C$15,0))</f>
        <v>#REF!</v>
      </c>
      <c r="N46" s="261" t="e">
        <f>INDEX(AO!$EY$18:$EY$20,MATCH(A46,AO!$C$18:$C$20,0))</f>
        <v>#REF!</v>
      </c>
      <c r="O46" s="261" t="e">
        <f>INDEX(AO!$ED$18:$ED$20,MATCH(A46,AO!$C$18:$C$20,0))</f>
        <v>#REF!</v>
      </c>
      <c r="P46" s="261" t="e">
        <f>INDEX(AO!$EU$18:$EU$20,MATCH(A46,AO!$C$18:$C$20,0))</f>
        <v>#REF!</v>
      </c>
      <c r="Q46" s="261" t="e">
        <f t="shared" si="11"/>
        <v>#REF!</v>
      </c>
      <c r="S46" s="261"/>
      <c r="T46" s="261"/>
      <c r="U46" s="261"/>
      <c r="V46" s="261"/>
      <c r="W46" s="261"/>
      <c r="X46" s="261"/>
      <c r="Y46" s="261"/>
      <c r="Z46" s="261"/>
      <c r="AA46" s="261"/>
      <c r="AB46" s="261"/>
      <c r="AC46" s="261"/>
      <c r="AD46" s="261"/>
      <c r="AF46" s="261" t="e">
        <f t="shared" si="12"/>
        <v>#REF!</v>
      </c>
      <c r="AG46" s="261" t="e">
        <f t="shared" si="0"/>
        <v>#REF!</v>
      </c>
      <c r="AH46" s="261" t="e">
        <f t="shared" si="1"/>
        <v>#REF!</v>
      </c>
      <c r="AI46" s="261" t="e">
        <f t="shared" si="2"/>
        <v>#REF!</v>
      </c>
      <c r="AJ46" s="261" t="e">
        <f t="shared" si="3"/>
        <v>#REF!</v>
      </c>
      <c r="AK46" s="261" t="e">
        <f t="shared" si="4"/>
        <v>#REF!</v>
      </c>
      <c r="AL46" s="261" t="e">
        <f t="shared" si="5"/>
        <v>#REF!</v>
      </c>
      <c r="AM46" s="261" t="e">
        <f t="shared" si="6"/>
        <v>#REF!</v>
      </c>
      <c r="AN46" s="261" t="e">
        <f t="shared" si="7"/>
        <v>#REF!</v>
      </c>
      <c r="AO46" s="261" t="e">
        <f t="shared" si="8"/>
        <v>#REF!</v>
      </c>
      <c r="AP46" s="261" t="e">
        <f t="shared" si="9"/>
        <v>#REF!</v>
      </c>
      <c r="AQ46" s="261" t="e">
        <f t="shared" si="10"/>
        <v>#REF!</v>
      </c>
    </row>
    <row r="47" spans="1:43">
      <c r="A47" s="1256" t="e">
        <f>AA!#REF!</f>
        <v>#REF!</v>
      </c>
      <c r="B47" s="1256" t="e">
        <f>INDEX(AA!$AC$13:$AC$15,MATCH(A47,AA!$C$13:$C$15,0))</f>
        <v>#REF!</v>
      </c>
      <c r="C47" s="1256" t="e">
        <f>INDEX(AA!$AI$13:$AI$15,MATCH(A47,AA!$C$13:$C$15,0))</f>
        <v>#REF!</v>
      </c>
      <c r="D47" s="1256" t="e">
        <f>INDEX(AA!$AN$13:$AN$15,MATCH(A47,AA!$C$13:$C$15,0))</f>
        <v>#REF!</v>
      </c>
      <c r="E47" s="1256"/>
      <c r="F47" s="1257" t="e">
        <f>INDEX(AO!$DJ$18:$DJ$20,MATCH(A47,AO!$C$18:$C$20,0))</f>
        <v>#REF!</v>
      </c>
      <c r="G47" s="1257" t="e">
        <f>INDEX(AO!$AS$18:$AS$20,MATCH(A47,AO!$C$18:$C$20,0))</f>
        <v>#REF!</v>
      </c>
      <c r="H47" s="1257" t="e">
        <f>INDEX(AO!$AT$18:$AT$20,MATCH(A47,AO!$C$18:$C$20,0))</f>
        <v>#REF!</v>
      </c>
      <c r="I47" s="1257" t="e">
        <f>INDEX(AO!$CE$18:$CE$20,MATCH(A47,AO!$C$18:$C$20,0))</f>
        <v>#REF!</v>
      </c>
      <c r="J47" s="1257" t="e">
        <f>INDEX(AA!$M$13:$M$15,MATCH(A47,AA!$C$13:$C$15,0))</f>
        <v>#REF!</v>
      </c>
      <c r="K47" s="1257" t="e">
        <f>INDEX(AA!$AA$13:$AA$15,MATCH(A47,AA!$C$13:$C$15,0))</f>
        <v>#REF!</v>
      </c>
      <c r="L47" s="1257" t="e">
        <f>-INDEX(AO!$AZ$18:$AZ$20,MATCH(A47,AO!$C$18:$C$20,0))</f>
        <v>#REF!</v>
      </c>
      <c r="M47" s="1257" t="e">
        <f>INDEX(AO!$DF$18:$DF$20,MATCH(A47,AO!$C$18:$C$20,0))-INDEX(AO!$DA$18:$DA$20,MATCH(A47,AO!$C$18:$C$20,0))+INDEX(AA!$IJ$13:$IJ$15,MATCH(A47,AA!$C$13:$C$15,0))</f>
        <v>#REF!</v>
      </c>
      <c r="N47" s="1257" t="e">
        <f>INDEX(AO!$EY$18:$EY$20,MATCH(A47,AO!$C$18:$C$20,0))</f>
        <v>#REF!</v>
      </c>
      <c r="O47" s="1257" t="e">
        <f>INDEX(AO!$ED$18:$ED$20,MATCH(A47,AO!$C$18:$C$20,0))</f>
        <v>#REF!</v>
      </c>
      <c r="P47" s="1257" t="e">
        <f>INDEX(AO!$EU$18:$EU$20,MATCH(A47,AO!$C$18:$C$20,0))</f>
        <v>#REF!</v>
      </c>
      <c r="Q47" s="1257" t="e">
        <f t="shared" si="11"/>
        <v>#REF!</v>
      </c>
      <c r="S47" s="1257"/>
      <c r="T47" s="1257"/>
      <c r="U47" s="1257"/>
      <c r="V47" s="1257"/>
      <c r="W47" s="1257"/>
      <c r="X47" s="1257"/>
      <c r="Y47" s="1257"/>
      <c r="Z47" s="1257"/>
      <c r="AA47" s="1257"/>
      <c r="AB47" s="1257"/>
      <c r="AC47" s="1257"/>
      <c r="AD47" s="1257"/>
      <c r="AF47" s="1257" t="e">
        <f t="shared" si="12"/>
        <v>#REF!</v>
      </c>
      <c r="AG47" s="1257" t="e">
        <f t="shared" si="0"/>
        <v>#REF!</v>
      </c>
      <c r="AH47" s="1257" t="e">
        <f t="shared" si="1"/>
        <v>#REF!</v>
      </c>
      <c r="AI47" s="1257" t="e">
        <f t="shared" si="2"/>
        <v>#REF!</v>
      </c>
      <c r="AJ47" s="1257" t="e">
        <f t="shared" si="3"/>
        <v>#REF!</v>
      </c>
      <c r="AK47" s="1257" t="e">
        <f t="shared" si="4"/>
        <v>#REF!</v>
      </c>
      <c r="AL47" s="1257" t="e">
        <f t="shared" si="5"/>
        <v>#REF!</v>
      </c>
      <c r="AM47" s="1257" t="e">
        <f t="shared" si="6"/>
        <v>#REF!</v>
      </c>
      <c r="AN47" s="1257" t="e">
        <f t="shared" si="7"/>
        <v>#REF!</v>
      </c>
      <c r="AO47" s="1257" t="e">
        <f t="shared" si="8"/>
        <v>#REF!</v>
      </c>
      <c r="AP47" s="1257" t="e">
        <f t="shared" si="9"/>
        <v>#REF!</v>
      </c>
      <c r="AQ47" s="1257" t="e">
        <f t="shared" si="10"/>
        <v>#REF!</v>
      </c>
    </row>
    <row r="48" spans="1:43">
      <c r="A48" t="e">
        <f>AA!#REF!</f>
        <v>#REF!</v>
      </c>
      <c r="B48" t="e">
        <f>INDEX(AA!$AC$13:$AC$15,MATCH(A48,AA!$C$13:$C$15,0))</f>
        <v>#REF!</v>
      </c>
      <c r="C48" t="e">
        <f>INDEX(AA!$AI$13:$AI$15,MATCH(A48,AA!$C$13:$C$15,0))</f>
        <v>#REF!</v>
      </c>
      <c r="D48" t="e">
        <f>INDEX(AA!$AN$13:$AN$15,MATCH(A48,AA!$C$13:$C$15,0))</f>
        <v>#REF!</v>
      </c>
      <c r="F48" s="261" t="e">
        <f>INDEX(AO!$DJ$18:$DJ$20,MATCH(A48,AO!$C$18:$C$20,0))</f>
        <v>#REF!</v>
      </c>
      <c r="G48" s="261" t="e">
        <f>INDEX(AO!$AS$18:$AS$20,MATCH(A48,AO!$C$18:$C$20,0))</f>
        <v>#REF!</v>
      </c>
      <c r="H48" s="261" t="e">
        <f>INDEX(AO!$AT$18:$AT$20,MATCH(A48,AO!$C$18:$C$20,0))</f>
        <v>#REF!</v>
      </c>
      <c r="I48" s="261" t="e">
        <f>INDEX(AO!$CE$18:$CE$20,MATCH(A48,AO!$C$18:$C$20,0))</f>
        <v>#REF!</v>
      </c>
      <c r="J48" s="261" t="e">
        <f>INDEX(AA!$M$13:$M$15,MATCH(A48,AA!$C$13:$C$15,0))</f>
        <v>#REF!</v>
      </c>
      <c r="K48" s="261" t="e">
        <f>INDEX(AA!$AA$13:$AA$15,MATCH(A48,AA!$C$13:$C$15,0))</f>
        <v>#REF!</v>
      </c>
      <c r="L48" s="261" t="e">
        <f>-INDEX(AO!$AZ$18:$AZ$20,MATCH(A48,AO!$C$18:$C$20,0))</f>
        <v>#REF!</v>
      </c>
      <c r="M48" s="261" t="e">
        <f>INDEX(AO!$DF$18:$DF$20,MATCH(A48,AO!$C$18:$C$20,0))-INDEX(AO!$DA$18:$DA$20,MATCH(A48,AO!$C$18:$C$20,0))+INDEX(AA!$IJ$13:$IJ$15,MATCH(A48,AA!$C$13:$C$15,0))</f>
        <v>#REF!</v>
      </c>
      <c r="N48" s="261" t="e">
        <f>INDEX(AO!$EY$18:$EY$20,MATCH(A48,AO!$C$18:$C$20,0))</f>
        <v>#REF!</v>
      </c>
      <c r="O48" s="261" t="e">
        <f>INDEX(AO!$ED$18:$ED$20,MATCH(A48,AO!$C$18:$C$20,0))</f>
        <v>#REF!</v>
      </c>
      <c r="P48" s="261" t="e">
        <f>INDEX(AO!$EU$18:$EU$20,MATCH(A48,AO!$C$18:$C$20,0))</f>
        <v>#REF!</v>
      </c>
      <c r="Q48" s="261" t="e">
        <f t="shared" si="11"/>
        <v>#REF!</v>
      </c>
      <c r="S48" s="261"/>
      <c r="T48" s="261"/>
      <c r="U48" s="261"/>
      <c r="V48" s="261"/>
      <c r="W48" s="261"/>
      <c r="X48" s="261"/>
      <c r="Y48" s="261"/>
      <c r="Z48" s="261"/>
      <c r="AA48" s="261"/>
      <c r="AB48" s="261"/>
      <c r="AC48" s="261"/>
      <c r="AD48" s="261"/>
      <c r="AF48" s="261" t="e">
        <f t="shared" si="12"/>
        <v>#REF!</v>
      </c>
      <c r="AG48" s="261" t="e">
        <f t="shared" si="0"/>
        <v>#REF!</v>
      </c>
      <c r="AH48" s="261" t="e">
        <f t="shared" si="1"/>
        <v>#REF!</v>
      </c>
      <c r="AI48" s="261" t="e">
        <f t="shared" si="2"/>
        <v>#REF!</v>
      </c>
      <c r="AJ48" s="261" t="e">
        <f t="shared" si="3"/>
        <v>#REF!</v>
      </c>
      <c r="AK48" s="261" t="e">
        <f t="shared" si="4"/>
        <v>#REF!</v>
      </c>
      <c r="AL48" s="261" t="e">
        <f t="shared" si="5"/>
        <v>#REF!</v>
      </c>
      <c r="AM48" s="261" t="e">
        <f t="shared" si="6"/>
        <v>#REF!</v>
      </c>
      <c r="AN48" s="261" t="e">
        <f t="shared" si="7"/>
        <v>#REF!</v>
      </c>
      <c r="AO48" s="261" t="e">
        <f t="shared" si="8"/>
        <v>#REF!</v>
      </c>
      <c r="AP48" s="261" t="e">
        <f t="shared" si="9"/>
        <v>#REF!</v>
      </c>
      <c r="AQ48" s="261" t="e">
        <f t="shared" si="10"/>
        <v>#REF!</v>
      </c>
    </row>
    <row r="49" spans="1:43">
      <c r="A49" s="1256" t="e">
        <f>AA!#REF!</f>
        <v>#REF!</v>
      </c>
      <c r="B49" s="1256" t="e">
        <f>INDEX(AA!$AC$13:$AC$15,MATCH(A49,AA!$C$13:$C$15,0))</f>
        <v>#REF!</v>
      </c>
      <c r="C49" s="1256" t="e">
        <f>INDEX(AA!$AI$13:$AI$15,MATCH(A49,AA!$C$13:$C$15,0))</f>
        <v>#REF!</v>
      </c>
      <c r="D49" s="1256" t="e">
        <f>INDEX(AA!$AN$13:$AN$15,MATCH(A49,AA!$C$13:$C$15,0))</f>
        <v>#REF!</v>
      </c>
      <c r="E49" s="1256"/>
      <c r="F49" s="1257" t="e">
        <f>INDEX(AO!$DJ$18:$DJ$20,MATCH(A49,AO!$C$18:$C$20,0))</f>
        <v>#REF!</v>
      </c>
      <c r="G49" s="1257" t="e">
        <f>INDEX(AO!$AS$18:$AS$20,MATCH(A49,AO!$C$18:$C$20,0))</f>
        <v>#REF!</v>
      </c>
      <c r="H49" s="1257" t="e">
        <f>INDEX(AO!$AT$18:$AT$20,MATCH(A49,AO!$C$18:$C$20,0))</f>
        <v>#REF!</v>
      </c>
      <c r="I49" s="1257" t="e">
        <f>INDEX(AO!$CE$18:$CE$20,MATCH(A49,AO!$C$18:$C$20,0))</f>
        <v>#REF!</v>
      </c>
      <c r="J49" s="1257" t="e">
        <f>INDEX(AA!$M$13:$M$15,MATCH(A49,AA!$C$13:$C$15,0))</f>
        <v>#REF!</v>
      </c>
      <c r="K49" s="1257" t="e">
        <f>INDEX(AA!$AA$13:$AA$15,MATCH(A49,AA!$C$13:$C$15,0))</f>
        <v>#REF!</v>
      </c>
      <c r="L49" s="1257" t="e">
        <f>-INDEX(AO!$AZ$18:$AZ$20,MATCH(A49,AO!$C$18:$C$20,0))</f>
        <v>#REF!</v>
      </c>
      <c r="M49" s="1257" t="e">
        <f>INDEX(AO!$DF$18:$DF$20,MATCH(A49,AO!$C$18:$C$20,0))-INDEX(AO!$DA$18:$DA$20,MATCH(A49,AO!$C$18:$C$20,0))+INDEX(AA!$IJ$13:$IJ$15,MATCH(A49,AA!$C$13:$C$15,0))</f>
        <v>#REF!</v>
      </c>
      <c r="N49" s="1257" t="e">
        <f>INDEX(AO!$EY$18:$EY$20,MATCH(A49,AO!$C$18:$C$20,0))</f>
        <v>#REF!</v>
      </c>
      <c r="O49" s="1257" t="e">
        <f>INDEX(AO!$ED$18:$ED$20,MATCH(A49,AO!$C$18:$C$20,0))</f>
        <v>#REF!</v>
      </c>
      <c r="P49" s="1257" t="e">
        <f>INDEX(AO!$EU$18:$EU$20,MATCH(A49,AO!$C$18:$C$20,0))</f>
        <v>#REF!</v>
      </c>
      <c r="Q49" s="1257" t="e">
        <f t="shared" si="11"/>
        <v>#REF!</v>
      </c>
      <c r="S49" s="1257"/>
      <c r="T49" s="1257"/>
      <c r="U49" s="1257"/>
      <c r="V49" s="1257"/>
      <c r="W49" s="1257"/>
      <c r="X49" s="1257"/>
      <c r="Y49" s="1257"/>
      <c r="Z49" s="1257"/>
      <c r="AA49" s="1257"/>
      <c r="AB49" s="1257"/>
      <c r="AC49" s="1257"/>
      <c r="AD49" s="1257"/>
      <c r="AF49" s="1257" t="e">
        <f t="shared" si="12"/>
        <v>#REF!</v>
      </c>
      <c r="AG49" s="1257" t="e">
        <f t="shared" si="0"/>
        <v>#REF!</v>
      </c>
      <c r="AH49" s="1257" t="e">
        <f t="shared" si="1"/>
        <v>#REF!</v>
      </c>
      <c r="AI49" s="1257" t="e">
        <f t="shared" si="2"/>
        <v>#REF!</v>
      </c>
      <c r="AJ49" s="1257" t="e">
        <f t="shared" si="3"/>
        <v>#REF!</v>
      </c>
      <c r="AK49" s="1257" t="e">
        <f t="shared" si="4"/>
        <v>#REF!</v>
      </c>
      <c r="AL49" s="1257" t="e">
        <f t="shared" si="5"/>
        <v>#REF!</v>
      </c>
      <c r="AM49" s="1257" t="e">
        <f t="shared" si="6"/>
        <v>#REF!</v>
      </c>
      <c r="AN49" s="1257" t="e">
        <f t="shared" si="7"/>
        <v>#REF!</v>
      </c>
      <c r="AO49" s="1257" t="e">
        <f t="shared" si="8"/>
        <v>#REF!</v>
      </c>
      <c r="AP49" s="1257" t="e">
        <f t="shared" si="9"/>
        <v>#REF!</v>
      </c>
      <c r="AQ49" s="1257" t="e">
        <f t="shared" si="10"/>
        <v>#REF!</v>
      </c>
    </row>
    <row r="50" spans="1:43">
      <c r="A50" t="e">
        <f>AA!#REF!</f>
        <v>#REF!</v>
      </c>
      <c r="B50" t="e">
        <f>INDEX(AA!$AC$13:$AC$15,MATCH(A50,AA!$C$13:$C$15,0))</f>
        <v>#REF!</v>
      </c>
      <c r="C50" t="e">
        <f>INDEX(AA!$AI$13:$AI$15,MATCH(A50,AA!$C$13:$C$15,0))</f>
        <v>#REF!</v>
      </c>
      <c r="D50" t="e">
        <f>INDEX(AA!$AN$13:$AN$15,MATCH(A50,AA!$C$13:$C$15,0))</f>
        <v>#REF!</v>
      </c>
      <c r="F50" s="261" t="e">
        <f>INDEX(AO!$DJ$18:$DJ$20,MATCH(A50,AO!$C$18:$C$20,0))</f>
        <v>#REF!</v>
      </c>
      <c r="G50" s="261" t="e">
        <f>INDEX(AO!$AS$18:$AS$20,MATCH(A50,AO!$C$18:$C$20,0))</f>
        <v>#REF!</v>
      </c>
      <c r="H50" s="261" t="e">
        <f>INDEX(AO!$AT$18:$AT$20,MATCH(A50,AO!$C$18:$C$20,0))</f>
        <v>#REF!</v>
      </c>
      <c r="I50" s="261" t="e">
        <f>INDEX(AO!$CE$18:$CE$20,MATCH(A50,AO!$C$18:$C$20,0))</f>
        <v>#REF!</v>
      </c>
      <c r="J50" s="261" t="e">
        <f>INDEX(AA!$M$13:$M$15,MATCH(A50,AA!$C$13:$C$15,0))</f>
        <v>#REF!</v>
      </c>
      <c r="K50" s="261" t="e">
        <f>INDEX(AA!$AA$13:$AA$15,MATCH(A50,AA!$C$13:$C$15,0))</f>
        <v>#REF!</v>
      </c>
      <c r="L50" s="261" t="e">
        <f>-INDEX(AO!$AZ$18:$AZ$20,MATCH(A50,AO!$C$18:$C$20,0))</f>
        <v>#REF!</v>
      </c>
      <c r="M50" s="261" t="e">
        <f>INDEX(AO!$DF$18:$DF$20,MATCH(A50,AO!$C$18:$C$20,0))-INDEX(AO!$DA$18:$DA$20,MATCH(A50,AO!$C$18:$C$20,0))+INDEX(AA!$IJ$13:$IJ$15,MATCH(A50,AA!$C$13:$C$15,0))</f>
        <v>#REF!</v>
      </c>
      <c r="N50" s="261" t="e">
        <f>INDEX(AO!$EY$18:$EY$20,MATCH(A50,AO!$C$18:$C$20,0))</f>
        <v>#REF!</v>
      </c>
      <c r="O50" s="261" t="e">
        <f>INDEX(AO!$ED$18:$ED$20,MATCH(A50,AO!$C$18:$C$20,0))</f>
        <v>#REF!</v>
      </c>
      <c r="P50" s="261" t="e">
        <f>INDEX(AO!$EU$18:$EU$20,MATCH(A50,AO!$C$18:$C$20,0))</f>
        <v>#REF!</v>
      </c>
      <c r="Q50" s="261" t="e">
        <f t="shared" si="11"/>
        <v>#REF!</v>
      </c>
      <c r="S50" s="261"/>
      <c r="T50" s="261"/>
      <c r="U50" s="261"/>
      <c r="V50" s="261"/>
      <c r="W50" s="261"/>
      <c r="X50" s="261"/>
      <c r="Y50" s="261"/>
      <c r="Z50" s="261"/>
      <c r="AA50" s="261"/>
      <c r="AB50" s="261"/>
      <c r="AC50" s="261"/>
      <c r="AD50" s="261"/>
      <c r="AF50" s="261" t="e">
        <f t="shared" si="12"/>
        <v>#REF!</v>
      </c>
      <c r="AG50" s="261" t="e">
        <f t="shared" si="0"/>
        <v>#REF!</v>
      </c>
      <c r="AH50" s="261" t="e">
        <f t="shared" si="1"/>
        <v>#REF!</v>
      </c>
      <c r="AI50" s="261" t="e">
        <f t="shared" si="2"/>
        <v>#REF!</v>
      </c>
      <c r="AJ50" s="261" t="e">
        <f t="shared" si="3"/>
        <v>#REF!</v>
      </c>
      <c r="AK50" s="261" t="e">
        <f t="shared" si="4"/>
        <v>#REF!</v>
      </c>
      <c r="AL50" s="261" t="e">
        <f t="shared" si="5"/>
        <v>#REF!</v>
      </c>
      <c r="AM50" s="261" t="e">
        <f t="shared" si="6"/>
        <v>#REF!</v>
      </c>
      <c r="AN50" s="261" t="e">
        <f t="shared" si="7"/>
        <v>#REF!</v>
      </c>
      <c r="AO50" s="261" t="e">
        <f t="shared" si="8"/>
        <v>#REF!</v>
      </c>
      <c r="AP50" s="261" t="e">
        <f t="shared" si="9"/>
        <v>#REF!</v>
      </c>
      <c r="AQ50" s="261" t="e">
        <f t="shared" si="10"/>
        <v>#REF!</v>
      </c>
    </row>
    <row r="51" spans="1:43">
      <c r="A51" s="1256" t="e">
        <f>AA!#REF!</f>
        <v>#REF!</v>
      </c>
      <c r="B51" s="1256" t="e">
        <f>INDEX(AA!$AC$13:$AC$15,MATCH(A51,AA!$C$13:$C$15,0))</f>
        <v>#REF!</v>
      </c>
      <c r="C51" s="1256" t="e">
        <f>INDEX(AA!$AI$13:$AI$15,MATCH(A51,AA!$C$13:$C$15,0))</f>
        <v>#REF!</v>
      </c>
      <c r="D51" s="1256" t="e">
        <f>INDEX(AA!$AN$13:$AN$15,MATCH(A51,AA!$C$13:$C$15,0))</f>
        <v>#REF!</v>
      </c>
      <c r="E51" s="1256"/>
      <c r="F51" s="1257" t="e">
        <f>INDEX(AO!$DJ$18:$DJ$20,MATCH(A51,AO!$C$18:$C$20,0))</f>
        <v>#REF!</v>
      </c>
      <c r="G51" s="1257" t="e">
        <f>INDEX(AO!$AS$18:$AS$20,MATCH(A51,AO!$C$18:$C$20,0))</f>
        <v>#REF!</v>
      </c>
      <c r="H51" s="1257" t="e">
        <f>INDEX(AO!$AT$18:$AT$20,MATCH(A51,AO!$C$18:$C$20,0))</f>
        <v>#REF!</v>
      </c>
      <c r="I51" s="1257" t="e">
        <f>INDEX(AO!$CE$18:$CE$20,MATCH(A51,AO!$C$18:$C$20,0))</f>
        <v>#REF!</v>
      </c>
      <c r="J51" s="1257" t="e">
        <f>INDEX(AA!$M$13:$M$15,MATCH(A51,AA!$C$13:$C$15,0))</f>
        <v>#REF!</v>
      </c>
      <c r="K51" s="1257" t="e">
        <f>INDEX(AA!$AA$13:$AA$15,MATCH(A51,AA!$C$13:$C$15,0))</f>
        <v>#REF!</v>
      </c>
      <c r="L51" s="1257" t="e">
        <f>-INDEX(AO!$AZ$18:$AZ$20,MATCH(A51,AO!$C$18:$C$20,0))</f>
        <v>#REF!</v>
      </c>
      <c r="M51" s="1257" t="e">
        <f>INDEX(AO!$DF$18:$DF$20,MATCH(A51,AO!$C$18:$C$20,0))-INDEX(AO!$DA$18:$DA$20,MATCH(A51,AO!$C$18:$C$20,0))+INDEX(AA!$IJ$13:$IJ$15,MATCH(A51,AA!$C$13:$C$15,0))</f>
        <v>#REF!</v>
      </c>
      <c r="N51" s="1257" t="e">
        <f>INDEX(AO!$EY$18:$EY$20,MATCH(A51,AO!$C$18:$C$20,0))</f>
        <v>#REF!</v>
      </c>
      <c r="O51" s="1257" t="e">
        <f>INDEX(AO!$ED$18:$ED$20,MATCH(A51,AO!$C$18:$C$20,0))</f>
        <v>#REF!</v>
      </c>
      <c r="P51" s="1257" t="e">
        <f>INDEX(AO!$EU$18:$EU$20,MATCH(A51,AO!$C$18:$C$20,0))</f>
        <v>#REF!</v>
      </c>
      <c r="Q51" s="1257" t="e">
        <f t="shared" si="11"/>
        <v>#REF!</v>
      </c>
      <c r="S51" s="1257"/>
      <c r="T51" s="1257"/>
      <c r="U51" s="1257"/>
      <c r="V51" s="1257"/>
      <c r="W51" s="1257"/>
      <c r="X51" s="1257"/>
      <c r="Y51" s="1257"/>
      <c r="Z51" s="1257"/>
      <c r="AA51" s="1257"/>
      <c r="AB51" s="1257"/>
      <c r="AC51" s="1257"/>
      <c r="AD51" s="1257"/>
      <c r="AF51" s="1257" t="e">
        <f t="shared" si="12"/>
        <v>#REF!</v>
      </c>
      <c r="AG51" s="1257" t="e">
        <f t="shared" si="0"/>
        <v>#REF!</v>
      </c>
      <c r="AH51" s="1257" t="e">
        <f t="shared" si="1"/>
        <v>#REF!</v>
      </c>
      <c r="AI51" s="1257" t="e">
        <f t="shared" si="2"/>
        <v>#REF!</v>
      </c>
      <c r="AJ51" s="1257" t="e">
        <f t="shared" si="3"/>
        <v>#REF!</v>
      </c>
      <c r="AK51" s="1257" t="e">
        <f t="shared" si="4"/>
        <v>#REF!</v>
      </c>
      <c r="AL51" s="1257" t="e">
        <f t="shared" si="5"/>
        <v>#REF!</v>
      </c>
      <c r="AM51" s="1257" t="e">
        <f t="shared" si="6"/>
        <v>#REF!</v>
      </c>
      <c r="AN51" s="1257" t="e">
        <f t="shared" si="7"/>
        <v>#REF!</v>
      </c>
      <c r="AO51" s="1257" t="e">
        <f t="shared" si="8"/>
        <v>#REF!</v>
      </c>
      <c r="AP51" s="1257" t="e">
        <f t="shared" si="9"/>
        <v>#REF!</v>
      </c>
      <c r="AQ51" s="1257" t="e">
        <f t="shared" si="10"/>
        <v>#REF!</v>
      </c>
    </row>
    <row r="52" spans="1:43">
      <c r="A52" t="e">
        <f>AA!#REF!</f>
        <v>#REF!</v>
      </c>
      <c r="B52" t="e">
        <f>INDEX(AA!$AC$13:$AC$15,MATCH(A52,AA!$C$13:$C$15,0))</f>
        <v>#REF!</v>
      </c>
      <c r="C52" t="e">
        <f>INDEX(AA!$AI$13:$AI$15,MATCH(A52,AA!$C$13:$C$15,0))</f>
        <v>#REF!</v>
      </c>
      <c r="D52" t="e">
        <f>INDEX(AA!$AN$13:$AN$15,MATCH(A52,AA!$C$13:$C$15,0))</f>
        <v>#REF!</v>
      </c>
      <c r="F52" s="261" t="e">
        <f>INDEX(AO!$DJ$18:$DJ$20,MATCH(A52,AO!$C$18:$C$20,0))</f>
        <v>#REF!</v>
      </c>
      <c r="G52" s="261" t="e">
        <f>INDEX(AO!$AS$18:$AS$20,MATCH(A52,AO!$C$18:$C$20,0))</f>
        <v>#REF!</v>
      </c>
      <c r="H52" s="261" t="e">
        <f>INDEX(AO!$AT$18:$AT$20,MATCH(A52,AO!$C$18:$C$20,0))</f>
        <v>#REF!</v>
      </c>
      <c r="I52" s="261" t="e">
        <f>INDEX(AO!$CE$18:$CE$20,MATCH(A52,AO!$C$18:$C$20,0))</f>
        <v>#REF!</v>
      </c>
      <c r="J52" s="261" t="e">
        <f>INDEX(AA!$M$13:$M$15,MATCH(A52,AA!$C$13:$C$15,0))</f>
        <v>#REF!</v>
      </c>
      <c r="K52" s="261" t="e">
        <f>INDEX(AA!$AA$13:$AA$15,MATCH(A52,AA!$C$13:$C$15,0))</f>
        <v>#REF!</v>
      </c>
      <c r="L52" s="261" t="e">
        <f>-INDEX(AO!$AZ$18:$AZ$20,MATCH(A52,AO!$C$18:$C$20,0))</f>
        <v>#REF!</v>
      </c>
      <c r="M52" s="261" t="e">
        <f>INDEX(AO!$DF$18:$DF$20,MATCH(A52,AO!$C$18:$C$20,0))-INDEX(AO!$DA$18:$DA$20,MATCH(A52,AO!$C$18:$C$20,0))+INDEX(AA!$IJ$13:$IJ$15,MATCH(A52,AA!$C$13:$C$15,0))</f>
        <v>#REF!</v>
      </c>
      <c r="N52" s="261" t="e">
        <f>INDEX(AO!$EY$18:$EY$20,MATCH(A52,AO!$C$18:$C$20,0))</f>
        <v>#REF!</v>
      </c>
      <c r="O52" s="261" t="e">
        <f>INDEX(AO!$ED$18:$ED$20,MATCH(A52,AO!$C$18:$C$20,0))</f>
        <v>#REF!</v>
      </c>
      <c r="P52" s="261" t="e">
        <f>INDEX(AO!$EU$18:$EU$20,MATCH(A52,AO!$C$18:$C$20,0))</f>
        <v>#REF!</v>
      </c>
      <c r="Q52" s="261" t="e">
        <f t="shared" si="11"/>
        <v>#REF!</v>
      </c>
      <c r="S52" s="261"/>
      <c r="T52" s="261"/>
      <c r="U52" s="261"/>
      <c r="V52" s="261"/>
      <c r="W52" s="261"/>
      <c r="X52" s="261"/>
      <c r="Y52" s="261"/>
      <c r="Z52" s="261"/>
      <c r="AA52" s="261"/>
      <c r="AB52" s="261"/>
      <c r="AC52" s="261"/>
      <c r="AD52" s="261"/>
      <c r="AF52" s="261" t="e">
        <f t="shared" si="12"/>
        <v>#REF!</v>
      </c>
      <c r="AG52" s="261" t="e">
        <f t="shared" si="0"/>
        <v>#REF!</v>
      </c>
      <c r="AH52" s="261" t="e">
        <f t="shared" si="1"/>
        <v>#REF!</v>
      </c>
      <c r="AI52" s="261" t="e">
        <f t="shared" si="2"/>
        <v>#REF!</v>
      </c>
      <c r="AJ52" s="261" t="e">
        <f t="shared" si="3"/>
        <v>#REF!</v>
      </c>
      <c r="AK52" s="261" t="e">
        <f t="shared" si="4"/>
        <v>#REF!</v>
      </c>
      <c r="AL52" s="261" t="e">
        <f t="shared" si="5"/>
        <v>#REF!</v>
      </c>
      <c r="AM52" s="261" t="e">
        <f t="shared" si="6"/>
        <v>#REF!</v>
      </c>
      <c r="AN52" s="261" t="e">
        <f t="shared" si="7"/>
        <v>#REF!</v>
      </c>
      <c r="AO52" s="261" t="e">
        <f t="shared" si="8"/>
        <v>#REF!</v>
      </c>
      <c r="AP52" s="261" t="e">
        <f t="shared" si="9"/>
        <v>#REF!</v>
      </c>
      <c r="AQ52" s="261" t="e">
        <f t="shared" si="10"/>
        <v>#REF!</v>
      </c>
    </row>
    <row r="53" spans="1:43">
      <c r="A53" s="1256" t="e">
        <f>AA!#REF!</f>
        <v>#REF!</v>
      </c>
      <c r="B53" s="1256" t="e">
        <f>INDEX(AA!$AC$13:$AC$15,MATCH(A53,AA!$C$13:$C$15,0))</f>
        <v>#REF!</v>
      </c>
      <c r="C53" s="1256" t="e">
        <f>INDEX(AA!$AI$13:$AI$15,MATCH(A53,AA!$C$13:$C$15,0))</f>
        <v>#REF!</v>
      </c>
      <c r="D53" s="1256" t="e">
        <f>INDEX(AA!$AN$13:$AN$15,MATCH(A53,AA!$C$13:$C$15,0))</f>
        <v>#REF!</v>
      </c>
      <c r="E53" s="1256"/>
      <c r="F53" s="1257" t="e">
        <f>INDEX(AO!$DJ$18:$DJ$20,MATCH(A53,AO!$C$18:$C$20,0))</f>
        <v>#REF!</v>
      </c>
      <c r="G53" s="1257" t="e">
        <f>INDEX(AO!$AS$18:$AS$20,MATCH(A53,AO!$C$18:$C$20,0))</f>
        <v>#REF!</v>
      </c>
      <c r="H53" s="1257" t="e">
        <f>INDEX(AO!$AT$18:$AT$20,MATCH(A53,AO!$C$18:$C$20,0))</f>
        <v>#REF!</v>
      </c>
      <c r="I53" s="1257" t="e">
        <f>INDEX(AO!$CE$18:$CE$20,MATCH(A53,AO!$C$18:$C$20,0))</f>
        <v>#REF!</v>
      </c>
      <c r="J53" s="1257" t="e">
        <f>INDEX(AA!$M$13:$M$15,MATCH(A53,AA!$C$13:$C$15,0))</f>
        <v>#REF!</v>
      </c>
      <c r="K53" s="1257" t="e">
        <f>INDEX(AA!$AA$13:$AA$15,MATCH(A53,AA!$C$13:$C$15,0))</f>
        <v>#REF!</v>
      </c>
      <c r="L53" s="1257" t="e">
        <f>-INDEX(AO!$AZ$18:$AZ$20,MATCH(A53,AO!$C$18:$C$20,0))</f>
        <v>#REF!</v>
      </c>
      <c r="M53" s="1257" t="e">
        <f>INDEX(AO!$DF$18:$DF$20,MATCH(A53,AO!$C$18:$C$20,0))-INDEX(AO!$DA$18:$DA$20,MATCH(A53,AO!$C$18:$C$20,0))+INDEX(AA!$IJ$13:$IJ$15,MATCH(A53,AA!$C$13:$C$15,0))</f>
        <v>#REF!</v>
      </c>
      <c r="N53" s="1257" t="e">
        <f>INDEX(AO!$EY$18:$EY$20,MATCH(A53,AO!$C$18:$C$20,0))</f>
        <v>#REF!</v>
      </c>
      <c r="O53" s="1257" t="e">
        <f>INDEX(AO!$ED$18:$ED$20,MATCH(A53,AO!$C$18:$C$20,0))</f>
        <v>#REF!</v>
      </c>
      <c r="P53" s="1257" t="e">
        <f>INDEX(AO!$EU$18:$EU$20,MATCH(A53,AO!$C$18:$C$20,0))</f>
        <v>#REF!</v>
      </c>
      <c r="Q53" s="1257" t="e">
        <f t="shared" si="11"/>
        <v>#REF!</v>
      </c>
      <c r="S53" s="1257"/>
      <c r="T53" s="1257"/>
      <c r="U53" s="1257"/>
      <c r="V53" s="1257"/>
      <c r="W53" s="1257"/>
      <c r="X53" s="1257"/>
      <c r="Y53" s="1257"/>
      <c r="Z53" s="1257"/>
      <c r="AA53" s="1257"/>
      <c r="AB53" s="1257"/>
      <c r="AC53" s="1257"/>
      <c r="AD53" s="1257"/>
      <c r="AF53" s="1257" t="e">
        <f t="shared" si="12"/>
        <v>#REF!</v>
      </c>
      <c r="AG53" s="1257" t="e">
        <f t="shared" si="0"/>
        <v>#REF!</v>
      </c>
      <c r="AH53" s="1257" t="e">
        <f t="shared" si="1"/>
        <v>#REF!</v>
      </c>
      <c r="AI53" s="1257" t="e">
        <f t="shared" si="2"/>
        <v>#REF!</v>
      </c>
      <c r="AJ53" s="1257" t="e">
        <f t="shared" si="3"/>
        <v>#REF!</v>
      </c>
      <c r="AK53" s="1257" t="e">
        <f t="shared" si="4"/>
        <v>#REF!</v>
      </c>
      <c r="AL53" s="1257" t="e">
        <f t="shared" si="5"/>
        <v>#REF!</v>
      </c>
      <c r="AM53" s="1257" t="e">
        <f t="shared" si="6"/>
        <v>#REF!</v>
      </c>
      <c r="AN53" s="1257" t="e">
        <f t="shared" si="7"/>
        <v>#REF!</v>
      </c>
      <c r="AO53" s="1257" t="e">
        <f t="shared" si="8"/>
        <v>#REF!</v>
      </c>
      <c r="AP53" s="1257" t="e">
        <f t="shared" si="9"/>
        <v>#REF!</v>
      </c>
      <c r="AQ53" s="1257" t="e">
        <f t="shared" si="10"/>
        <v>#REF!</v>
      </c>
    </row>
    <row r="54" spans="1:43">
      <c r="A54" t="e">
        <f>AA!#REF!</f>
        <v>#REF!</v>
      </c>
      <c r="B54" t="e">
        <f>INDEX(AA!$AC$13:$AC$15,MATCH(A54,AA!$C$13:$C$15,0))</f>
        <v>#REF!</v>
      </c>
      <c r="C54" t="e">
        <f>INDEX(AA!$AI$13:$AI$15,MATCH(A54,AA!$C$13:$C$15,0))</f>
        <v>#REF!</v>
      </c>
      <c r="D54" t="e">
        <f>INDEX(AA!$AN$13:$AN$15,MATCH(A54,AA!$C$13:$C$15,0))</f>
        <v>#REF!</v>
      </c>
      <c r="F54" s="261" t="e">
        <f>INDEX(AO!$DJ$18:$DJ$20,MATCH(A54,AO!$C$18:$C$20,0))</f>
        <v>#REF!</v>
      </c>
      <c r="G54" s="261" t="e">
        <f>INDEX(AO!$AS$18:$AS$20,MATCH(A54,AO!$C$18:$C$20,0))</f>
        <v>#REF!</v>
      </c>
      <c r="H54" s="261" t="e">
        <f>INDEX(AO!$AT$18:$AT$20,MATCH(A54,AO!$C$18:$C$20,0))</f>
        <v>#REF!</v>
      </c>
      <c r="I54" s="261" t="e">
        <f>INDEX(AO!$CE$18:$CE$20,MATCH(A54,AO!$C$18:$C$20,0))</f>
        <v>#REF!</v>
      </c>
      <c r="J54" s="261" t="e">
        <f>INDEX(AA!$M$13:$M$15,MATCH(A54,AA!$C$13:$C$15,0))</f>
        <v>#REF!</v>
      </c>
      <c r="K54" s="261" t="e">
        <f>INDEX(AA!$AA$13:$AA$15,MATCH(A54,AA!$C$13:$C$15,0))</f>
        <v>#REF!</v>
      </c>
      <c r="L54" s="261" t="e">
        <f>-INDEX(AO!$AZ$18:$AZ$20,MATCH(A54,AO!$C$18:$C$20,0))</f>
        <v>#REF!</v>
      </c>
      <c r="M54" s="261" t="e">
        <f>INDEX(AO!$DF$18:$DF$20,MATCH(A54,AO!$C$18:$C$20,0))-INDEX(AO!$DA$18:$DA$20,MATCH(A54,AO!$C$18:$C$20,0))+INDEX(AA!$IJ$13:$IJ$15,MATCH(A54,AA!$C$13:$C$15,0))</f>
        <v>#REF!</v>
      </c>
      <c r="N54" s="261" t="e">
        <f>INDEX(AO!$EY$18:$EY$20,MATCH(A54,AO!$C$18:$C$20,0))</f>
        <v>#REF!</v>
      </c>
      <c r="O54" s="261" t="e">
        <f>INDEX(AO!$ED$18:$ED$20,MATCH(A54,AO!$C$18:$C$20,0))</f>
        <v>#REF!</v>
      </c>
      <c r="P54" s="261" t="e">
        <f>INDEX(AO!$EU$18:$EU$20,MATCH(A54,AO!$C$18:$C$20,0))</f>
        <v>#REF!</v>
      </c>
      <c r="Q54" s="261" t="e">
        <f t="shared" si="11"/>
        <v>#REF!</v>
      </c>
      <c r="S54" s="261"/>
      <c r="T54" s="261"/>
      <c r="U54" s="261"/>
      <c r="V54" s="261"/>
      <c r="W54" s="261"/>
      <c r="X54" s="261"/>
      <c r="Y54" s="261"/>
      <c r="Z54" s="261"/>
      <c r="AA54" s="261"/>
      <c r="AB54" s="261"/>
      <c r="AC54" s="261"/>
      <c r="AD54" s="261"/>
      <c r="AF54" s="261" t="e">
        <f t="shared" si="12"/>
        <v>#REF!</v>
      </c>
      <c r="AG54" s="261" t="e">
        <f t="shared" si="0"/>
        <v>#REF!</v>
      </c>
      <c r="AH54" s="261" t="e">
        <f t="shared" si="1"/>
        <v>#REF!</v>
      </c>
      <c r="AI54" s="261" t="e">
        <f t="shared" si="2"/>
        <v>#REF!</v>
      </c>
      <c r="AJ54" s="261" t="e">
        <f t="shared" si="3"/>
        <v>#REF!</v>
      </c>
      <c r="AK54" s="261" t="e">
        <f t="shared" si="4"/>
        <v>#REF!</v>
      </c>
      <c r="AL54" s="261" t="e">
        <f t="shared" si="5"/>
        <v>#REF!</v>
      </c>
      <c r="AM54" s="261" t="e">
        <f t="shared" si="6"/>
        <v>#REF!</v>
      </c>
      <c r="AN54" s="261" t="e">
        <f t="shared" si="7"/>
        <v>#REF!</v>
      </c>
      <c r="AO54" s="261" t="e">
        <f t="shared" si="8"/>
        <v>#REF!</v>
      </c>
      <c r="AP54" s="261" t="e">
        <f t="shared" si="9"/>
        <v>#REF!</v>
      </c>
      <c r="AQ54" s="261" t="e">
        <f t="shared" si="10"/>
        <v>#REF!</v>
      </c>
    </row>
    <row r="55" spans="1:43">
      <c r="A55" s="1256" t="e">
        <f>AA!#REF!</f>
        <v>#REF!</v>
      </c>
      <c r="B55" s="1256" t="e">
        <f>INDEX(AA!$AC$13:$AC$15,MATCH(A55,AA!$C$13:$C$15,0))</f>
        <v>#REF!</v>
      </c>
      <c r="C55" s="1256" t="e">
        <f>INDEX(AA!$AI$13:$AI$15,MATCH(A55,AA!$C$13:$C$15,0))</f>
        <v>#REF!</v>
      </c>
      <c r="D55" s="1256" t="e">
        <f>INDEX(AA!$AN$13:$AN$15,MATCH(A55,AA!$C$13:$C$15,0))</f>
        <v>#REF!</v>
      </c>
      <c r="E55" s="1256"/>
      <c r="F55" s="1257" t="e">
        <f>INDEX(AO!$DJ$18:$DJ$20,MATCH(A55,AO!$C$18:$C$20,0))</f>
        <v>#REF!</v>
      </c>
      <c r="G55" s="1257" t="e">
        <f>INDEX(AO!$AS$18:$AS$20,MATCH(A55,AO!$C$18:$C$20,0))</f>
        <v>#REF!</v>
      </c>
      <c r="H55" s="1257" t="e">
        <f>INDEX(AO!$AT$18:$AT$20,MATCH(A55,AO!$C$18:$C$20,0))</f>
        <v>#REF!</v>
      </c>
      <c r="I55" s="1257" t="e">
        <f>INDEX(AO!$CE$18:$CE$20,MATCH(A55,AO!$C$18:$C$20,0))</f>
        <v>#REF!</v>
      </c>
      <c r="J55" s="1257" t="e">
        <f>INDEX(AA!$M$13:$M$15,MATCH(A55,AA!$C$13:$C$15,0))</f>
        <v>#REF!</v>
      </c>
      <c r="K55" s="1257" t="e">
        <f>INDEX(AA!$AA$13:$AA$15,MATCH(A55,AA!$C$13:$C$15,0))</f>
        <v>#REF!</v>
      </c>
      <c r="L55" s="1257" t="e">
        <f>-INDEX(AO!$AZ$18:$AZ$20,MATCH(A55,AO!$C$18:$C$20,0))</f>
        <v>#REF!</v>
      </c>
      <c r="M55" s="1257" t="e">
        <f>INDEX(AO!$DF$18:$DF$20,MATCH(A55,AO!$C$18:$C$20,0))-INDEX(AO!$DA$18:$DA$20,MATCH(A55,AO!$C$18:$C$20,0))+INDEX(AA!$IJ$13:$IJ$15,MATCH(A55,AA!$C$13:$C$15,0))</f>
        <v>#REF!</v>
      </c>
      <c r="N55" s="1257" t="e">
        <f>INDEX(AO!$EY$18:$EY$20,MATCH(A55,AO!$C$18:$C$20,0))</f>
        <v>#REF!</v>
      </c>
      <c r="O55" s="1257" t="e">
        <f>INDEX(AO!$ED$18:$ED$20,MATCH(A55,AO!$C$18:$C$20,0))</f>
        <v>#REF!</v>
      </c>
      <c r="P55" s="1257" t="e">
        <f>INDEX(AO!$EU$18:$EU$20,MATCH(A55,AO!$C$18:$C$20,0))</f>
        <v>#REF!</v>
      </c>
      <c r="Q55" s="1257" t="e">
        <f t="shared" si="11"/>
        <v>#REF!</v>
      </c>
      <c r="S55" s="1257"/>
      <c r="T55" s="1257"/>
      <c r="U55" s="1257"/>
      <c r="V55" s="1257"/>
      <c r="W55" s="1257"/>
      <c r="X55" s="1257"/>
      <c r="Y55" s="1257"/>
      <c r="Z55" s="1257"/>
      <c r="AA55" s="1257"/>
      <c r="AB55" s="1257"/>
      <c r="AC55" s="1257"/>
      <c r="AD55" s="1257"/>
      <c r="AF55" s="1257" t="e">
        <f t="shared" si="12"/>
        <v>#REF!</v>
      </c>
      <c r="AG55" s="1257" t="e">
        <f t="shared" si="0"/>
        <v>#REF!</v>
      </c>
      <c r="AH55" s="1257" t="e">
        <f t="shared" si="1"/>
        <v>#REF!</v>
      </c>
      <c r="AI55" s="1257" t="e">
        <f t="shared" si="2"/>
        <v>#REF!</v>
      </c>
      <c r="AJ55" s="1257" t="e">
        <f t="shared" si="3"/>
        <v>#REF!</v>
      </c>
      <c r="AK55" s="1257" t="e">
        <f t="shared" si="4"/>
        <v>#REF!</v>
      </c>
      <c r="AL55" s="1257" t="e">
        <f t="shared" si="5"/>
        <v>#REF!</v>
      </c>
      <c r="AM55" s="1257" t="e">
        <f t="shared" si="6"/>
        <v>#REF!</v>
      </c>
      <c r="AN55" s="1257" t="e">
        <f t="shared" si="7"/>
        <v>#REF!</v>
      </c>
      <c r="AO55" s="1257" t="e">
        <f t="shared" si="8"/>
        <v>#REF!</v>
      </c>
      <c r="AP55" s="1257" t="e">
        <f t="shared" si="9"/>
        <v>#REF!</v>
      </c>
      <c r="AQ55" s="1257" t="e">
        <f t="shared" si="10"/>
        <v>#REF!</v>
      </c>
    </row>
    <row r="56" spans="1:43">
      <c r="A56" t="e">
        <f>AA!#REF!</f>
        <v>#REF!</v>
      </c>
      <c r="B56" t="e">
        <f>INDEX(AA!$AC$13:$AC$15,MATCH(A56,AA!$C$13:$C$15,0))</f>
        <v>#REF!</v>
      </c>
      <c r="C56" t="e">
        <f>INDEX(AA!$AI$13:$AI$15,MATCH(A56,AA!$C$13:$C$15,0))</f>
        <v>#REF!</v>
      </c>
      <c r="D56" t="e">
        <f>INDEX(AA!$AN$13:$AN$15,MATCH(A56,AA!$C$13:$C$15,0))</f>
        <v>#REF!</v>
      </c>
      <c r="F56" s="261" t="e">
        <f>INDEX(AO!$DJ$18:$DJ$20,MATCH(A56,AO!$C$18:$C$20,0))</f>
        <v>#REF!</v>
      </c>
      <c r="G56" s="261" t="e">
        <f>INDEX(AO!$AS$18:$AS$20,MATCH(A56,AO!$C$18:$C$20,0))</f>
        <v>#REF!</v>
      </c>
      <c r="H56" s="261" t="e">
        <f>INDEX(AO!$AT$18:$AT$20,MATCH(A56,AO!$C$18:$C$20,0))</f>
        <v>#REF!</v>
      </c>
      <c r="I56" s="261" t="e">
        <f>INDEX(AO!$CE$18:$CE$20,MATCH(A56,AO!$C$18:$C$20,0))</f>
        <v>#REF!</v>
      </c>
      <c r="J56" s="261" t="e">
        <f>INDEX(AA!$M$13:$M$15,MATCH(A56,AA!$C$13:$C$15,0))</f>
        <v>#REF!</v>
      </c>
      <c r="K56" s="261" t="e">
        <f>INDEX(AA!$AA$13:$AA$15,MATCH(A56,AA!$C$13:$C$15,0))</f>
        <v>#REF!</v>
      </c>
      <c r="L56" s="261" t="e">
        <f>-INDEX(AO!$AZ$18:$AZ$20,MATCH(A56,AO!$C$18:$C$20,0))</f>
        <v>#REF!</v>
      </c>
      <c r="M56" s="261" t="e">
        <f>INDEX(AO!$DF$18:$DF$20,MATCH(A56,AO!$C$18:$C$20,0))-INDEX(AO!$DA$18:$DA$20,MATCH(A56,AO!$C$18:$C$20,0))+INDEX(AA!$IJ$13:$IJ$15,MATCH(A56,AA!$C$13:$C$15,0))</f>
        <v>#REF!</v>
      </c>
      <c r="N56" s="261" t="e">
        <f>INDEX(AO!$EY$18:$EY$20,MATCH(A56,AO!$C$18:$C$20,0))</f>
        <v>#REF!</v>
      </c>
      <c r="O56" s="261" t="e">
        <f>INDEX(AO!$ED$18:$ED$20,MATCH(A56,AO!$C$18:$C$20,0))</f>
        <v>#REF!</v>
      </c>
      <c r="P56" s="261" t="e">
        <f>INDEX(AO!$EU$18:$EU$20,MATCH(A56,AO!$C$18:$C$20,0))</f>
        <v>#REF!</v>
      </c>
      <c r="Q56" s="261" t="e">
        <f t="shared" si="11"/>
        <v>#REF!</v>
      </c>
      <c r="S56" s="261"/>
      <c r="T56" s="261"/>
      <c r="U56" s="261"/>
      <c r="V56" s="261"/>
      <c r="W56" s="261"/>
      <c r="X56" s="261"/>
      <c r="Y56" s="261"/>
      <c r="Z56" s="261"/>
      <c r="AA56" s="261"/>
      <c r="AB56" s="261"/>
      <c r="AC56" s="261"/>
      <c r="AD56" s="261"/>
      <c r="AF56" s="261" t="e">
        <f t="shared" si="12"/>
        <v>#REF!</v>
      </c>
      <c r="AG56" s="261" t="e">
        <f t="shared" si="0"/>
        <v>#REF!</v>
      </c>
      <c r="AH56" s="261" t="e">
        <f t="shared" si="1"/>
        <v>#REF!</v>
      </c>
      <c r="AI56" s="261" t="e">
        <f t="shared" si="2"/>
        <v>#REF!</v>
      </c>
      <c r="AJ56" s="261" t="e">
        <f t="shared" si="3"/>
        <v>#REF!</v>
      </c>
      <c r="AK56" s="261" t="e">
        <f t="shared" si="4"/>
        <v>#REF!</v>
      </c>
      <c r="AL56" s="261" t="e">
        <f t="shared" si="5"/>
        <v>#REF!</v>
      </c>
      <c r="AM56" s="261" t="e">
        <f t="shared" si="6"/>
        <v>#REF!</v>
      </c>
      <c r="AN56" s="261" t="e">
        <f t="shared" si="7"/>
        <v>#REF!</v>
      </c>
      <c r="AO56" s="261" t="e">
        <f t="shared" si="8"/>
        <v>#REF!</v>
      </c>
      <c r="AP56" s="261" t="e">
        <f t="shared" si="9"/>
        <v>#REF!</v>
      </c>
      <c r="AQ56" s="261" t="e">
        <f t="shared" si="10"/>
        <v>#REF!</v>
      </c>
    </row>
    <row r="57" spans="1:43">
      <c r="A57" s="1256" t="e">
        <f>AA!#REF!</f>
        <v>#REF!</v>
      </c>
      <c r="B57" s="1256" t="e">
        <f>INDEX(AA!$AC$13:$AC$15,MATCH(A57,AA!$C$13:$C$15,0))</f>
        <v>#REF!</v>
      </c>
      <c r="C57" s="1256" t="e">
        <f>INDEX(AA!$AI$13:$AI$15,MATCH(A57,AA!$C$13:$C$15,0))</f>
        <v>#REF!</v>
      </c>
      <c r="D57" s="1256" t="e">
        <f>INDEX(AA!$AN$13:$AN$15,MATCH(A57,AA!$C$13:$C$15,0))</f>
        <v>#REF!</v>
      </c>
      <c r="E57" s="1256"/>
      <c r="F57" s="1257" t="e">
        <f>INDEX(AO!$DJ$18:$DJ$20,MATCH(A57,AO!$C$18:$C$20,0))</f>
        <v>#REF!</v>
      </c>
      <c r="G57" s="1257" t="e">
        <f>INDEX(AO!$AS$18:$AS$20,MATCH(A57,AO!$C$18:$C$20,0))</f>
        <v>#REF!</v>
      </c>
      <c r="H57" s="1257" t="e">
        <f>INDEX(AO!$AT$18:$AT$20,MATCH(A57,AO!$C$18:$C$20,0))</f>
        <v>#REF!</v>
      </c>
      <c r="I57" s="1257" t="e">
        <f>INDEX(AO!$CE$18:$CE$20,MATCH(A57,AO!$C$18:$C$20,0))</f>
        <v>#REF!</v>
      </c>
      <c r="J57" s="1257" t="e">
        <f>INDEX(AA!$M$13:$M$15,MATCH(A57,AA!$C$13:$C$15,0))</f>
        <v>#REF!</v>
      </c>
      <c r="K57" s="1257" t="e">
        <f>INDEX(AA!$AA$13:$AA$15,MATCH(A57,AA!$C$13:$C$15,0))</f>
        <v>#REF!</v>
      </c>
      <c r="L57" s="1257" t="e">
        <f>-INDEX(AO!$AZ$18:$AZ$20,MATCH(A57,AO!$C$18:$C$20,0))</f>
        <v>#REF!</v>
      </c>
      <c r="M57" s="1257" t="e">
        <f>INDEX(AO!$DF$18:$DF$20,MATCH(A57,AO!$C$18:$C$20,0))-INDEX(AO!$DA$18:$DA$20,MATCH(A57,AO!$C$18:$C$20,0))+INDEX(AA!$IJ$13:$IJ$15,MATCH(A57,AA!$C$13:$C$15,0))</f>
        <v>#REF!</v>
      </c>
      <c r="N57" s="1257" t="e">
        <f>INDEX(AO!$EY$18:$EY$20,MATCH(A57,AO!$C$18:$C$20,0))</f>
        <v>#REF!</v>
      </c>
      <c r="O57" s="1257" t="e">
        <f>INDEX(AO!$ED$18:$ED$20,MATCH(A57,AO!$C$18:$C$20,0))</f>
        <v>#REF!</v>
      </c>
      <c r="P57" s="1257" t="e">
        <f>INDEX(AO!$EU$18:$EU$20,MATCH(A57,AO!$C$18:$C$20,0))</f>
        <v>#REF!</v>
      </c>
      <c r="Q57" s="1257" t="e">
        <f t="shared" si="11"/>
        <v>#REF!</v>
      </c>
      <c r="S57" s="1257"/>
      <c r="T57" s="1257"/>
      <c r="U57" s="1257"/>
      <c r="V57" s="1257"/>
      <c r="W57" s="1257"/>
      <c r="X57" s="1257"/>
      <c r="Y57" s="1257"/>
      <c r="Z57" s="1257"/>
      <c r="AA57" s="1257"/>
      <c r="AB57" s="1257"/>
      <c r="AC57" s="1257"/>
      <c r="AD57" s="1257"/>
      <c r="AF57" s="1257" t="e">
        <f t="shared" si="12"/>
        <v>#REF!</v>
      </c>
      <c r="AG57" s="1257" t="e">
        <f t="shared" si="0"/>
        <v>#REF!</v>
      </c>
      <c r="AH57" s="1257" t="e">
        <f t="shared" si="1"/>
        <v>#REF!</v>
      </c>
      <c r="AI57" s="1257" t="e">
        <f t="shared" si="2"/>
        <v>#REF!</v>
      </c>
      <c r="AJ57" s="1257" t="e">
        <f t="shared" si="3"/>
        <v>#REF!</v>
      </c>
      <c r="AK57" s="1257" t="e">
        <f t="shared" si="4"/>
        <v>#REF!</v>
      </c>
      <c r="AL57" s="1257" t="e">
        <f t="shared" si="5"/>
        <v>#REF!</v>
      </c>
      <c r="AM57" s="1257" t="e">
        <f t="shared" si="6"/>
        <v>#REF!</v>
      </c>
      <c r="AN57" s="1257" t="e">
        <f t="shared" si="7"/>
        <v>#REF!</v>
      </c>
      <c r="AO57" s="1257" t="e">
        <f t="shared" si="8"/>
        <v>#REF!</v>
      </c>
      <c r="AP57" s="1257" t="e">
        <f t="shared" si="9"/>
        <v>#REF!</v>
      </c>
      <c r="AQ57" s="1257" t="e">
        <f t="shared" si="10"/>
        <v>#REF!</v>
      </c>
    </row>
    <row r="58" spans="1:43">
      <c r="A58" t="e">
        <f>AA!#REF!</f>
        <v>#REF!</v>
      </c>
      <c r="B58" t="e">
        <f>INDEX(AA!$AC$13:$AC$15,MATCH(A58,AA!$C$13:$C$15,0))</f>
        <v>#REF!</v>
      </c>
      <c r="C58" t="e">
        <f>INDEX(AA!$AI$13:$AI$15,MATCH(A58,AA!$C$13:$C$15,0))</f>
        <v>#REF!</v>
      </c>
      <c r="D58" t="e">
        <f>INDEX(AA!$AN$13:$AN$15,MATCH(A58,AA!$C$13:$C$15,0))</f>
        <v>#REF!</v>
      </c>
      <c r="F58" s="261" t="e">
        <f>INDEX(AO!$DJ$18:$DJ$20,MATCH(A58,AO!$C$18:$C$20,0))</f>
        <v>#REF!</v>
      </c>
      <c r="G58" s="261" t="e">
        <f>INDEX(AO!$AS$18:$AS$20,MATCH(A58,AO!$C$18:$C$20,0))</f>
        <v>#REF!</v>
      </c>
      <c r="H58" s="261" t="e">
        <f>INDEX(AO!$AT$18:$AT$20,MATCH(A58,AO!$C$18:$C$20,0))</f>
        <v>#REF!</v>
      </c>
      <c r="I58" s="261" t="e">
        <f>INDEX(AO!$CE$18:$CE$20,MATCH(A58,AO!$C$18:$C$20,0))</f>
        <v>#REF!</v>
      </c>
      <c r="J58" s="261" t="e">
        <f>INDEX(AA!$M$13:$M$15,MATCH(A58,AA!$C$13:$C$15,0))</f>
        <v>#REF!</v>
      </c>
      <c r="K58" s="261" t="e">
        <f>INDEX(AA!$AA$13:$AA$15,MATCH(A58,AA!$C$13:$C$15,0))</f>
        <v>#REF!</v>
      </c>
      <c r="L58" s="261" t="e">
        <f>-INDEX(AO!$AZ$18:$AZ$20,MATCH(A58,AO!$C$18:$C$20,0))</f>
        <v>#REF!</v>
      </c>
      <c r="M58" s="261" t="e">
        <f>INDEX(AO!$DF$18:$DF$20,MATCH(A58,AO!$C$18:$C$20,0))-INDEX(AO!$DA$18:$DA$20,MATCH(A58,AO!$C$18:$C$20,0))+INDEX(AA!$IJ$13:$IJ$15,MATCH(A58,AA!$C$13:$C$15,0))</f>
        <v>#REF!</v>
      </c>
      <c r="N58" s="261" t="e">
        <f>INDEX(AO!$EY$18:$EY$20,MATCH(A58,AO!$C$18:$C$20,0))</f>
        <v>#REF!</v>
      </c>
      <c r="O58" s="261" t="e">
        <f>INDEX(AO!$ED$18:$ED$20,MATCH(A58,AO!$C$18:$C$20,0))</f>
        <v>#REF!</v>
      </c>
      <c r="P58" s="261" t="e">
        <f>INDEX(AO!$EU$18:$EU$20,MATCH(A58,AO!$C$18:$C$20,0))</f>
        <v>#REF!</v>
      </c>
      <c r="Q58" s="261" t="e">
        <f t="shared" si="11"/>
        <v>#REF!</v>
      </c>
      <c r="S58" s="261"/>
      <c r="T58" s="261"/>
      <c r="U58" s="261"/>
      <c r="V58" s="261"/>
      <c r="W58" s="261"/>
      <c r="X58" s="261"/>
      <c r="Y58" s="261"/>
      <c r="Z58" s="261"/>
      <c r="AA58" s="261"/>
      <c r="AB58" s="261"/>
      <c r="AC58" s="261"/>
      <c r="AD58" s="261"/>
      <c r="AF58" s="261" t="e">
        <f t="shared" si="12"/>
        <v>#REF!</v>
      </c>
      <c r="AG58" s="261" t="e">
        <f t="shared" si="0"/>
        <v>#REF!</v>
      </c>
      <c r="AH58" s="261" t="e">
        <f t="shared" si="1"/>
        <v>#REF!</v>
      </c>
      <c r="AI58" s="261" t="e">
        <f t="shared" si="2"/>
        <v>#REF!</v>
      </c>
      <c r="AJ58" s="261" t="e">
        <f t="shared" si="3"/>
        <v>#REF!</v>
      </c>
      <c r="AK58" s="261" t="e">
        <f t="shared" si="4"/>
        <v>#REF!</v>
      </c>
      <c r="AL58" s="261" t="e">
        <f t="shared" si="5"/>
        <v>#REF!</v>
      </c>
      <c r="AM58" s="261" t="e">
        <f t="shared" si="6"/>
        <v>#REF!</v>
      </c>
      <c r="AN58" s="261" t="e">
        <f t="shared" si="7"/>
        <v>#REF!</v>
      </c>
      <c r="AO58" s="261" t="e">
        <f t="shared" si="8"/>
        <v>#REF!</v>
      </c>
      <c r="AP58" s="261" t="e">
        <f t="shared" si="9"/>
        <v>#REF!</v>
      </c>
      <c r="AQ58" s="261" t="e">
        <f t="shared" si="10"/>
        <v>#REF!</v>
      </c>
    </row>
    <row r="59" spans="1:43">
      <c r="A59" s="1256" t="e">
        <f>AA!#REF!</f>
        <v>#REF!</v>
      </c>
      <c r="B59" s="1256" t="e">
        <f>INDEX(AA!$AC$13:$AC$15,MATCH(A59,AA!$C$13:$C$15,0))</f>
        <v>#REF!</v>
      </c>
      <c r="C59" s="1256" t="e">
        <f>INDEX(AA!$AI$13:$AI$15,MATCH(A59,AA!$C$13:$C$15,0))</f>
        <v>#REF!</v>
      </c>
      <c r="D59" s="1256" t="e">
        <f>INDEX(AA!$AN$13:$AN$15,MATCH(A59,AA!$C$13:$C$15,0))</f>
        <v>#REF!</v>
      </c>
      <c r="E59" s="1256"/>
      <c r="F59" s="1257" t="e">
        <f>INDEX(AO!$DJ$18:$DJ$20,MATCH(A59,AO!$C$18:$C$20,0))</f>
        <v>#REF!</v>
      </c>
      <c r="G59" s="1257" t="e">
        <f>INDEX(AO!$AS$18:$AS$20,MATCH(A59,AO!$C$18:$C$20,0))</f>
        <v>#REF!</v>
      </c>
      <c r="H59" s="1257" t="e">
        <f>INDEX(AO!$AT$18:$AT$20,MATCH(A59,AO!$C$18:$C$20,0))</f>
        <v>#REF!</v>
      </c>
      <c r="I59" s="1257" t="e">
        <f>INDEX(AO!$CE$18:$CE$20,MATCH(A59,AO!$C$18:$C$20,0))</f>
        <v>#REF!</v>
      </c>
      <c r="J59" s="1257" t="e">
        <f>INDEX(AA!$M$13:$M$15,MATCH(A59,AA!$C$13:$C$15,0))</f>
        <v>#REF!</v>
      </c>
      <c r="K59" s="1257" t="e">
        <f>INDEX(AA!$AA$13:$AA$15,MATCH(A59,AA!$C$13:$C$15,0))</f>
        <v>#REF!</v>
      </c>
      <c r="L59" s="1257" t="e">
        <f>-INDEX(AO!$AZ$18:$AZ$20,MATCH(A59,AO!$C$18:$C$20,0))</f>
        <v>#REF!</v>
      </c>
      <c r="M59" s="1257" t="e">
        <f>INDEX(AO!$DF$18:$DF$20,MATCH(A59,AO!$C$18:$C$20,0))-INDEX(AO!$DA$18:$DA$20,MATCH(A59,AO!$C$18:$C$20,0))+INDEX(AA!$IJ$13:$IJ$15,MATCH(A59,AA!$C$13:$C$15,0))</f>
        <v>#REF!</v>
      </c>
      <c r="N59" s="1257" t="e">
        <f>INDEX(AO!$EY$18:$EY$20,MATCH(A59,AO!$C$18:$C$20,0))</f>
        <v>#REF!</v>
      </c>
      <c r="O59" s="1257" t="e">
        <f>INDEX(AO!$ED$18:$ED$20,MATCH(A59,AO!$C$18:$C$20,0))</f>
        <v>#REF!</v>
      </c>
      <c r="P59" s="1257" t="e">
        <f>INDEX(AO!$EU$18:$EU$20,MATCH(A59,AO!$C$18:$C$20,0))</f>
        <v>#REF!</v>
      </c>
      <c r="Q59" s="1257" t="e">
        <f t="shared" si="11"/>
        <v>#REF!</v>
      </c>
      <c r="S59" s="1257"/>
      <c r="T59" s="1257"/>
      <c r="U59" s="1257"/>
      <c r="V59" s="1257"/>
      <c r="W59" s="1257"/>
      <c r="X59" s="1257"/>
      <c r="Y59" s="1257"/>
      <c r="Z59" s="1257"/>
      <c r="AA59" s="1257"/>
      <c r="AB59" s="1257"/>
      <c r="AC59" s="1257"/>
      <c r="AD59" s="1257"/>
      <c r="AF59" s="1257" t="e">
        <f t="shared" si="12"/>
        <v>#REF!</v>
      </c>
      <c r="AG59" s="1257" t="e">
        <f t="shared" si="0"/>
        <v>#REF!</v>
      </c>
      <c r="AH59" s="1257" t="e">
        <f t="shared" si="1"/>
        <v>#REF!</v>
      </c>
      <c r="AI59" s="1257" t="e">
        <f t="shared" si="2"/>
        <v>#REF!</v>
      </c>
      <c r="AJ59" s="1257" t="e">
        <f t="shared" si="3"/>
        <v>#REF!</v>
      </c>
      <c r="AK59" s="1257" t="e">
        <f t="shared" si="4"/>
        <v>#REF!</v>
      </c>
      <c r="AL59" s="1257" t="e">
        <f t="shared" si="5"/>
        <v>#REF!</v>
      </c>
      <c r="AM59" s="1257" t="e">
        <f t="shared" si="6"/>
        <v>#REF!</v>
      </c>
      <c r="AN59" s="1257" t="e">
        <f t="shared" si="7"/>
        <v>#REF!</v>
      </c>
      <c r="AO59" s="1257" t="e">
        <f t="shared" si="8"/>
        <v>#REF!</v>
      </c>
      <c r="AP59" s="1257" t="e">
        <f t="shared" si="9"/>
        <v>#REF!</v>
      </c>
      <c r="AQ59" s="1257" t="e">
        <f t="shared" si="10"/>
        <v>#REF!</v>
      </c>
    </row>
    <row r="60" spans="1:43">
      <c r="A60" t="e">
        <f>AA!#REF!</f>
        <v>#REF!</v>
      </c>
      <c r="B60" t="e">
        <f>INDEX(AA!$AC$13:$AC$15,MATCH(A60,AA!$C$13:$C$15,0))</f>
        <v>#REF!</v>
      </c>
      <c r="C60" t="e">
        <f>INDEX(AA!$AI$13:$AI$15,MATCH(A60,AA!$C$13:$C$15,0))</f>
        <v>#REF!</v>
      </c>
      <c r="D60" t="e">
        <f>INDEX(AA!$AN$13:$AN$15,MATCH(A60,AA!$C$13:$C$15,0))</f>
        <v>#REF!</v>
      </c>
      <c r="F60" s="261" t="e">
        <f>INDEX(AO!$DJ$18:$DJ$20,MATCH(A60,AO!$C$18:$C$20,0))</f>
        <v>#REF!</v>
      </c>
      <c r="G60" s="261" t="e">
        <f>INDEX(AO!$AS$18:$AS$20,MATCH(A60,AO!$C$18:$C$20,0))</f>
        <v>#REF!</v>
      </c>
      <c r="H60" s="261" t="e">
        <f>INDEX(AO!$AT$18:$AT$20,MATCH(A60,AO!$C$18:$C$20,0))</f>
        <v>#REF!</v>
      </c>
      <c r="I60" s="261" t="e">
        <f>INDEX(AO!$CE$18:$CE$20,MATCH(A60,AO!$C$18:$C$20,0))</f>
        <v>#REF!</v>
      </c>
      <c r="J60" s="261" t="e">
        <f>INDEX(AA!$M$13:$M$15,MATCH(A60,AA!$C$13:$C$15,0))</f>
        <v>#REF!</v>
      </c>
      <c r="K60" s="261" t="e">
        <f>INDEX(AA!$AA$13:$AA$15,MATCH(A60,AA!$C$13:$C$15,0))</f>
        <v>#REF!</v>
      </c>
      <c r="L60" s="261" t="e">
        <f>-INDEX(AO!$AZ$18:$AZ$20,MATCH(A60,AO!$C$18:$C$20,0))</f>
        <v>#REF!</v>
      </c>
      <c r="M60" s="261" t="e">
        <f>INDEX(AO!$DF$18:$DF$20,MATCH(A60,AO!$C$18:$C$20,0))-INDEX(AO!$DA$18:$DA$20,MATCH(A60,AO!$C$18:$C$20,0))+INDEX(AA!$IJ$13:$IJ$15,MATCH(A60,AA!$C$13:$C$15,0))</f>
        <v>#REF!</v>
      </c>
      <c r="N60" s="261" t="e">
        <f>INDEX(AO!$EY$18:$EY$20,MATCH(A60,AO!$C$18:$C$20,0))</f>
        <v>#REF!</v>
      </c>
      <c r="O60" s="261" t="e">
        <f>INDEX(AO!$ED$18:$ED$20,MATCH(A60,AO!$C$18:$C$20,0))</f>
        <v>#REF!</v>
      </c>
      <c r="P60" s="261" t="e">
        <f>INDEX(AO!$EU$18:$EU$20,MATCH(A60,AO!$C$18:$C$20,0))</f>
        <v>#REF!</v>
      </c>
      <c r="Q60" s="261" t="e">
        <f t="shared" si="11"/>
        <v>#REF!</v>
      </c>
      <c r="S60" s="261"/>
      <c r="T60" s="261"/>
      <c r="U60" s="261"/>
      <c r="V60" s="261"/>
      <c r="W60" s="261"/>
      <c r="X60" s="261"/>
      <c r="Y60" s="261"/>
      <c r="Z60" s="261"/>
      <c r="AA60" s="261"/>
      <c r="AB60" s="261"/>
      <c r="AC60" s="261"/>
      <c r="AD60" s="261"/>
      <c r="AF60" s="261" t="e">
        <f t="shared" si="12"/>
        <v>#REF!</v>
      </c>
      <c r="AG60" s="261" t="e">
        <f t="shared" si="0"/>
        <v>#REF!</v>
      </c>
      <c r="AH60" s="261" t="e">
        <f t="shared" si="1"/>
        <v>#REF!</v>
      </c>
      <c r="AI60" s="261" t="e">
        <f t="shared" si="2"/>
        <v>#REF!</v>
      </c>
      <c r="AJ60" s="261" t="e">
        <f t="shared" si="3"/>
        <v>#REF!</v>
      </c>
      <c r="AK60" s="261" t="e">
        <f t="shared" si="4"/>
        <v>#REF!</v>
      </c>
      <c r="AL60" s="261" t="e">
        <f t="shared" si="5"/>
        <v>#REF!</v>
      </c>
      <c r="AM60" s="261" t="e">
        <f t="shared" si="6"/>
        <v>#REF!</v>
      </c>
      <c r="AN60" s="261" t="e">
        <f t="shared" si="7"/>
        <v>#REF!</v>
      </c>
      <c r="AO60" s="261" t="e">
        <f t="shared" si="8"/>
        <v>#REF!</v>
      </c>
      <c r="AP60" s="261" t="e">
        <f t="shared" si="9"/>
        <v>#REF!</v>
      </c>
      <c r="AQ60" s="261" t="e">
        <f t="shared" si="10"/>
        <v>#REF!</v>
      </c>
    </row>
    <row r="61" spans="1:43">
      <c r="A61" s="1256" t="e">
        <f>AA!#REF!</f>
        <v>#REF!</v>
      </c>
      <c r="B61" s="1256" t="e">
        <f>INDEX(AA!$AC$13:$AC$15,MATCH(A61,AA!$C$13:$C$15,0))</f>
        <v>#REF!</v>
      </c>
      <c r="C61" s="1256" t="e">
        <f>INDEX(AA!$AI$13:$AI$15,MATCH(A61,AA!$C$13:$C$15,0))</f>
        <v>#REF!</v>
      </c>
      <c r="D61" s="1256" t="e">
        <f>INDEX(AA!$AN$13:$AN$15,MATCH(A61,AA!$C$13:$C$15,0))</f>
        <v>#REF!</v>
      </c>
      <c r="E61" s="1256"/>
      <c r="F61" s="1257" t="e">
        <f>INDEX(AO!$DJ$18:$DJ$20,MATCH(A61,AO!$C$18:$C$20,0))</f>
        <v>#REF!</v>
      </c>
      <c r="G61" s="1257" t="e">
        <f>INDEX(AO!$AS$18:$AS$20,MATCH(A61,AO!$C$18:$C$20,0))</f>
        <v>#REF!</v>
      </c>
      <c r="H61" s="1257" t="e">
        <f>INDEX(AO!$AT$18:$AT$20,MATCH(A61,AO!$C$18:$C$20,0))</f>
        <v>#REF!</v>
      </c>
      <c r="I61" s="1257" t="e">
        <f>INDEX(AO!$CE$18:$CE$20,MATCH(A61,AO!$C$18:$C$20,0))</f>
        <v>#REF!</v>
      </c>
      <c r="J61" s="1257" t="e">
        <f>INDEX(AA!$M$13:$M$15,MATCH(A61,AA!$C$13:$C$15,0))</f>
        <v>#REF!</v>
      </c>
      <c r="K61" s="1257" t="e">
        <f>INDEX(AA!$AA$13:$AA$15,MATCH(A61,AA!$C$13:$C$15,0))</f>
        <v>#REF!</v>
      </c>
      <c r="L61" s="1257" t="e">
        <f>-INDEX(AO!$AZ$18:$AZ$20,MATCH(A61,AO!$C$18:$C$20,0))</f>
        <v>#REF!</v>
      </c>
      <c r="M61" s="1257" t="e">
        <f>INDEX(AO!$DF$18:$DF$20,MATCH(A61,AO!$C$18:$C$20,0))-INDEX(AO!$DA$18:$DA$20,MATCH(A61,AO!$C$18:$C$20,0))+INDEX(AA!$IJ$13:$IJ$15,MATCH(A61,AA!$C$13:$C$15,0))</f>
        <v>#REF!</v>
      </c>
      <c r="N61" s="1257" t="e">
        <f>INDEX(AO!$EY$18:$EY$20,MATCH(A61,AO!$C$18:$C$20,0))</f>
        <v>#REF!</v>
      </c>
      <c r="O61" s="1257" t="e">
        <f>INDEX(AO!$ED$18:$ED$20,MATCH(A61,AO!$C$18:$C$20,0))</f>
        <v>#REF!</v>
      </c>
      <c r="P61" s="1257" t="e">
        <f>INDEX(AO!$EU$18:$EU$20,MATCH(A61,AO!$C$18:$C$20,0))</f>
        <v>#REF!</v>
      </c>
      <c r="Q61" s="1257" t="e">
        <f t="shared" si="11"/>
        <v>#REF!</v>
      </c>
      <c r="S61" s="1257"/>
      <c r="T61" s="1257"/>
      <c r="U61" s="1257"/>
      <c r="V61" s="1257"/>
      <c r="W61" s="1257"/>
      <c r="X61" s="1257"/>
      <c r="Y61" s="1257"/>
      <c r="Z61" s="1257"/>
      <c r="AA61" s="1257"/>
      <c r="AB61" s="1257"/>
      <c r="AC61" s="1257"/>
      <c r="AD61" s="1257"/>
      <c r="AF61" s="1257" t="e">
        <f t="shared" si="12"/>
        <v>#REF!</v>
      </c>
      <c r="AG61" s="1257" t="e">
        <f t="shared" si="0"/>
        <v>#REF!</v>
      </c>
      <c r="AH61" s="1257" t="e">
        <f t="shared" si="1"/>
        <v>#REF!</v>
      </c>
      <c r="AI61" s="1257" t="e">
        <f t="shared" si="2"/>
        <v>#REF!</v>
      </c>
      <c r="AJ61" s="1257" t="e">
        <f t="shared" si="3"/>
        <v>#REF!</v>
      </c>
      <c r="AK61" s="1257" t="e">
        <f t="shared" si="4"/>
        <v>#REF!</v>
      </c>
      <c r="AL61" s="1257" t="e">
        <f t="shared" si="5"/>
        <v>#REF!</v>
      </c>
      <c r="AM61" s="1257" t="e">
        <f t="shared" si="6"/>
        <v>#REF!</v>
      </c>
      <c r="AN61" s="1257" t="e">
        <f t="shared" si="7"/>
        <v>#REF!</v>
      </c>
      <c r="AO61" s="1257" t="e">
        <f t="shared" si="8"/>
        <v>#REF!</v>
      </c>
      <c r="AP61" s="1257" t="e">
        <f t="shared" si="9"/>
        <v>#REF!</v>
      </c>
      <c r="AQ61" s="1257" t="e">
        <f t="shared" si="10"/>
        <v>#REF!</v>
      </c>
    </row>
    <row r="62" spans="1:43">
      <c r="A62" t="e">
        <f>AA!#REF!</f>
        <v>#REF!</v>
      </c>
      <c r="B62" t="e">
        <f>INDEX(AA!$AC$13:$AC$15,MATCH(A62,AA!$C$13:$C$15,0))</f>
        <v>#REF!</v>
      </c>
      <c r="C62" t="e">
        <f>INDEX(AA!$AI$13:$AI$15,MATCH(A62,AA!$C$13:$C$15,0))</f>
        <v>#REF!</v>
      </c>
      <c r="D62" t="e">
        <f>INDEX(AA!$AN$13:$AN$15,MATCH(A62,AA!$C$13:$C$15,0))</f>
        <v>#REF!</v>
      </c>
      <c r="F62" s="261" t="e">
        <f>INDEX(AO!$DJ$18:$DJ$20,MATCH(A62,AO!$C$18:$C$20,0))</f>
        <v>#REF!</v>
      </c>
      <c r="G62" s="261" t="e">
        <f>INDEX(AO!$AS$18:$AS$20,MATCH(A62,AO!$C$18:$C$20,0))</f>
        <v>#REF!</v>
      </c>
      <c r="H62" s="261" t="e">
        <f>INDEX(AO!$AT$18:$AT$20,MATCH(A62,AO!$C$18:$C$20,0))</f>
        <v>#REF!</v>
      </c>
      <c r="I62" s="261" t="e">
        <f>INDEX(AO!$CE$18:$CE$20,MATCH(A62,AO!$C$18:$C$20,0))</f>
        <v>#REF!</v>
      </c>
      <c r="J62" s="261" t="e">
        <f>INDEX(AA!$M$13:$M$15,MATCH(A62,AA!$C$13:$C$15,0))</f>
        <v>#REF!</v>
      </c>
      <c r="K62" s="261" t="e">
        <f>INDEX(AA!$AA$13:$AA$15,MATCH(A62,AA!$C$13:$C$15,0))</f>
        <v>#REF!</v>
      </c>
      <c r="L62" s="261" t="e">
        <f>-INDEX(AO!$AZ$18:$AZ$20,MATCH(A62,AO!$C$18:$C$20,0))</f>
        <v>#REF!</v>
      </c>
      <c r="M62" s="261" t="e">
        <f>INDEX(AO!$DF$18:$DF$20,MATCH(A62,AO!$C$18:$C$20,0))-INDEX(AO!$DA$18:$DA$20,MATCH(A62,AO!$C$18:$C$20,0))+INDEX(AA!$IJ$13:$IJ$15,MATCH(A62,AA!$C$13:$C$15,0))</f>
        <v>#REF!</v>
      </c>
      <c r="N62" s="261" t="e">
        <f>INDEX(AO!$EY$18:$EY$20,MATCH(A62,AO!$C$18:$C$20,0))</f>
        <v>#REF!</v>
      </c>
      <c r="O62" s="261" t="e">
        <f>INDEX(AO!$ED$18:$ED$20,MATCH(A62,AO!$C$18:$C$20,0))</f>
        <v>#REF!</v>
      </c>
      <c r="P62" s="261" t="e">
        <f>INDEX(AO!$EU$18:$EU$20,MATCH(A62,AO!$C$18:$C$20,0))</f>
        <v>#REF!</v>
      </c>
      <c r="Q62" s="261" t="e">
        <f t="shared" si="11"/>
        <v>#REF!</v>
      </c>
      <c r="S62" s="261"/>
      <c r="T62" s="261"/>
      <c r="U62" s="261"/>
      <c r="V62" s="261"/>
      <c r="W62" s="261"/>
      <c r="X62" s="261"/>
      <c r="Y62" s="261"/>
      <c r="Z62" s="261"/>
      <c r="AA62" s="261"/>
      <c r="AB62" s="261"/>
      <c r="AC62" s="261"/>
      <c r="AD62" s="261"/>
      <c r="AF62" s="261" t="e">
        <f t="shared" si="12"/>
        <v>#REF!</v>
      </c>
      <c r="AG62" s="261" t="e">
        <f t="shared" si="0"/>
        <v>#REF!</v>
      </c>
      <c r="AH62" s="261" t="e">
        <f t="shared" si="1"/>
        <v>#REF!</v>
      </c>
      <c r="AI62" s="261" t="e">
        <f t="shared" si="2"/>
        <v>#REF!</v>
      </c>
      <c r="AJ62" s="261" t="e">
        <f t="shared" si="3"/>
        <v>#REF!</v>
      </c>
      <c r="AK62" s="261" t="e">
        <f t="shared" si="4"/>
        <v>#REF!</v>
      </c>
      <c r="AL62" s="261" t="e">
        <f t="shared" si="5"/>
        <v>#REF!</v>
      </c>
      <c r="AM62" s="261" t="e">
        <f t="shared" si="6"/>
        <v>#REF!</v>
      </c>
      <c r="AN62" s="261" t="e">
        <f t="shared" si="7"/>
        <v>#REF!</v>
      </c>
      <c r="AO62" s="261" t="e">
        <f t="shared" si="8"/>
        <v>#REF!</v>
      </c>
      <c r="AP62" s="261" t="e">
        <f t="shared" si="9"/>
        <v>#REF!</v>
      </c>
      <c r="AQ62" s="261" t="e">
        <f t="shared" si="10"/>
        <v>#REF!</v>
      </c>
    </row>
    <row r="63" spans="1:43">
      <c r="A63" s="1256" t="e">
        <f>AA!#REF!</f>
        <v>#REF!</v>
      </c>
      <c r="B63" s="1256" t="e">
        <f>INDEX(AA!$AC$13:$AC$15,MATCH(A63,AA!$C$13:$C$15,0))</f>
        <v>#REF!</v>
      </c>
      <c r="C63" s="1256" t="e">
        <f>INDEX(AA!$AI$13:$AI$15,MATCH(A63,AA!$C$13:$C$15,0))</f>
        <v>#REF!</v>
      </c>
      <c r="D63" s="1256" t="e">
        <f>INDEX(AA!$AN$13:$AN$15,MATCH(A63,AA!$C$13:$C$15,0))</f>
        <v>#REF!</v>
      </c>
      <c r="E63" s="1256"/>
      <c r="F63" s="1257" t="e">
        <f>INDEX(AO!$DJ$18:$DJ$20,MATCH(A63,AO!$C$18:$C$20,0))</f>
        <v>#REF!</v>
      </c>
      <c r="G63" s="1257" t="e">
        <f>INDEX(AO!$AS$18:$AS$20,MATCH(A63,AO!$C$18:$C$20,0))</f>
        <v>#REF!</v>
      </c>
      <c r="H63" s="1257" t="e">
        <f>INDEX(AO!$AT$18:$AT$20,MATCH(A63,AO!$C$18:$C$20,0))</f>
        <v>#REF!</v>
      </c>
      <c r="I63" s="1257" t="e">
        <f>INDEX(AO!$CE$18:$CE$20,MATCH(A63,AO!$C$18:$C$20,0))</f>
        <v>#REF!</v>
      </c>
      <c r="J63" s="1257" t="e">
        <f>INDEX(AA!$M$13:$M$15,MATCH(A63,AA!$C$13:$C$15,0))</f>
        <v>#REF!</v>
      </c>
      <c r="K63" s="1257" t="e">
        <f>INDEX(AA!$AA$13:$AA$15,MATCH(A63,AA!$C$13:$C$15,0))</f>
        <v>#REF!</v>
      </c>
      <c r="L63" s="1257" t="e">
        <f>-INDEX(AO!$AZ$18:$AZ$20,MATCH(A63,AO!$C$18:$C$20,0))</f>
        <v>#REF!</v>
      </c>
      <c r="M63" s="1257" t="e">
        <f>INDEX(AO!$DF$18:$DF$20,MATCH(A63,AO!$C$18:$C$20,0))-INDEX(AO!$DA$18:$DA$20,MATCH(A63,AO!$C$18:$C$20,0))+INDEX(AA!$IJ$13:$IJ$15,MATCH(A63,AA!$C$13:$C$15,0))</f>
        <v>#REF!</v>
      </c>
      <c r="N63" s="1257" t="e">
        <f>INDEX(AO!$EY$18:$EY$20,MATCH(A63,AO!$C$18:$C$20,0))</f>
        <v>#REF!</v>
      </c>
      <c r="O63" s="1257" t="e">
        <f>INDEX(AO!$ED$18:$ED$20,MATCH(A63,AO!$C$18:$C$20,0))</f>
        <v>#REF!</v>
      </c>
      <c r="P63" s="1257" t="e">
        <f>INDEX(AO!$EU$18:$EU$20,MATCH(A63,AO!$C$18:$C$20,0))</f>
        <v>#REF!</v>
      </c>
      <c r="Q63" s="1257" t="e">
        <f t="shared" si="11"/>
        <v>#REF!</v>
      </c>
      <c r="S63" s="1257"/>
      <c r="T63" s="1257"/>
      <c r="U63" s="1257"/>
      <c r="V63" s="1257"/>
      <c r="W63" s="1257"/>
      <c r="X63" s="1257"/>
      <c r="Y63" s="1257"/>
      <c r="Z63" s="1257"/>
      <c r="AA63" s="1257"/>
      <c r="AB63" s="1257"/>
      <c r="AC63" s="1257"/>
      <c r="AD63" s="1257"/>
      <c r="AF63" s="1257" t="e">
        <f t="shared" si="12"/>
        <v>#REF!</v>
      </c>
      <c r="AG63" s="1257" t="e">
        <f t="shared" si="0"/>
        <v>#REF!</v>
      </c>
      <c r="AH63" s="1257" t="e">
        <f t="shared" si="1"/>
        <v>#REF!</v>
      </c>
      <c r="AI63" s="1257" t="e">
        <f t="shared" si="2"/>
        <v>#REF!</v>
      </c>
      <c r="AJ63" s="1257" t="e">
        <f t="shared" si="3"/>
        <v>#REF!</v>
      </c>
      <c r="AK63" s="1257" t="e">
        <f t="shared" si="4"/>
        <v>#REF!</v>
      </c>
      <c r="AL63" s="1257" t="e">
        <f t="shared" si="5"/>
        <v>#REF!</v>
      </c>
      <c r="AM63" s="1257" t="e">
        <f t="shared" si="6"/>
        <v>#REF!</v>
      </c>
      <c r="AN63" s="1257" t="e">
        <f t="shared" si="7"/>
        <v>#REF!</v>
      </c>
      <c r="AO63" s="1257" t="e">
        <f t="shared" si="8"/>
        <v>#REF!</v>
      </c>
      <c r="AP63" s="1257" t="e">
        <f t="shared" si="9"/>
        <v>#REF!</v>
      </c>
      <c r="AQ63" s="1257" t="e">
        <f t="shared" si="10"/>
        <v>#REF!</v>
      </c>
    </row>
    <row r="64" spans="1:43">
      <c r="A64" t="e">
        <f>AA!#REF!</f>
        <v>#REF!</v>
      </c>
      <c r="B64" t="e">
        <f>INDEX(AA!$AC$13:$AC$15,MATCH(A64,AA!$C$13:$C$15,0))</f>
        <v>#REF!</v>
      </c>
      <c r="C64" t="e">
        <f>INDEX(AA!$AI$13:$AI$15,MATCH(A64,AA!$C$13:$C$15,0))</f>
        <v>#REF!</v>
      </c>
      <c r="D64" t="e">
        <f>INDEX(AA!$AN$13:$AN$15,MATCH(A64,AA!$C$13:$C$15,0))</f>
        <v>#REF!</v>
      </c>
      <c r="F64" s="261" t="e">
        <f>INDEX(AO!$DJ$18:$DJ$20,MATCH(A64,AO!$C$18:$C$20,0))</f>
        <v>#REF!</v>
      </c>
      <c r="G64" s="261" t="e">
        <f>INDEX(AO!$AS$18:$AS$20,MATCH(A64,AO!$C$18:$C$20,0))</f>
        <v>#REF!</v>
      </c>
      <c r="H64" s="261" t="e">
        <f>INDEX(AO!$AT$18:$AT$20,MATCH(A64,AO!$C$18:$C$20,0))</f>
        <v>#REF!</v>
      </c>
      <c r="I64" s="261" t="e">
        <f>INDEX(AO!$CE$18:$CE$20,MATCH(A64,AO!$C$18:$C$20,0))</f>
        <v>#REF!</v>
      </c>
      <c r="J64" s="261" t="e">
        <f>INDEX(AA!$M$13:$M$15,MATCH(A64,AA!$C$13:$C$15,0))</f>
        <v>#REF!</v>
      </c>
      <c r="K64" s="261" t="e">
        <f>INDEX(AA!$AA$13:$AA$15,MATCH(A64,AA!$C$13:$C$15,0))</f>
        <v>#REF!</v>
      </c>
      <c r="L64" s="261" t="e">
        <f>-INDEX(AO!$AZ$18:$AZ$20,MATCH(A64,AO!$C$18:$C$20,0))</f>
        <v>#REF!</v>
      </c>
      <c r="M64" s="261" t="e">
        <f>INDEX(AO!$DF$18:$DF$20,MATCH(A64,AO!$C$18:$C$20,0))-INDEX(AO!$DA$18:$DA$20,MATCH(A64,AO!$C$18:$C$20,0))+INDEX(AA!$IJ$13:$IJ$15,MATCH(A64,AA!$C$13:$C$15,0))</f>
        <v>#REF!</v>
      </c>
      <c r="N64" s="261" t="e">
        <f>INDEX(AO!$EY$18:$EY$20,MATCH(A64,AO!$C$18:$C$20,0))</f>
        <v>#REF!</v>
      </c>
      <c r="O64" s="261" t="e">
        <f>INDEX(AO!$ED$18:$ED$20,MATCH(A64,AO!$C$18:$C$20,0))</f>
        <v>#REF!</v>
      </c>
      <c r="P64" s="261" t="e">
        <f>INDEX(AO!$EU$18:$EU$20,MATCH(A64,AO!$C$18:$C$20,0))</f>
        <v>#REF!</v>
      </c>
      <c r="Q64" s="261" t="e">
        <f t="shared" si="11"/>
        <v>#REF!</v>
      </c>
      <c r="S64" s="261"/>
      <c r="T64" s="261"/>
      <c r="U64" s="261"/>
      <c r="V64" s="261"/>
      <c r="W64" s="261"/>
      <c r="X64" s="261"/>
      <c r="Y64" s="261"/>
      <c r="Z64" s="261"/>
      <c r="AA64" s="261"/>
      <c r="AB64" s="261"/>
      <c r="AC64" s="261"/>
      <c r="AD64" s="261"/>
      <c r="AF64" s="261" t="e">
        <f t="shared" si="12"/>
        <v>#REF!</v>
      </c>
      <c r="AG64" s="261" t="e">
        <f t="shared" si="0"/>
        <v>#REF!</v>
      </c>
      <c r="AH64" s="261" t="e">
        <f t="shared" si="1"/>
        <v>#REF!</v>
      </c>
      <c r="AI64" s="261" t="e">
        <f t="shared" si="2"/>
        <v>#REF!</v>
      </c>
      <c r="AJ64" s="261" t="e">
        <f t="shared" si="3"/>
        <v>#REF!</v>
      </c>
      <c r="AK64" s="261" t="e">
        <f t="shared" si="4"/>
        <v>#REF!</v>
      </c>
      <c r="AL64" s="261" t="e">
        <f t="shared" si="5"/>
        <v>#REF!</v>
      </c>
      <c r="AM64" s="261" t="e">
        <f t="shared" si="6"/>
        <v>#REF!</v>
      </c>
      <c r="AN64" s="261" t="e">
        <f t="shared" si="7"/>
        <v>#REF!</v>
      </c>
      <c r="AO64" s="261" t="e">
        <f t="shared" si="8"/>
        <v>#REF!</v>
      </c>
      <c r="AP64" s="261" t="e">
        <f t="shared" si="9"/>
        <v>#REF!</v>
      </c>
      <c r="AQ64" s="261" t="e">
        <f t="shared" si="10"/>
        <v>#REF!</v>
      </c>
    </row>
    <row r="65" spans="1:43">
      <c r="A65" s="1256" t="e">
        <f>AA!#REF!</f>
        <v>#REF!</v>
      </c>
      <c r="B65" s="1256" t="e">
        <f>INDEX(AA!$AC$13:$AC$15,MATCH(A65,AA!$C$13:$C$15,0))</f>
        <v>#REF!</v>
      </c>
      <c r="C65" s="1256" t="e">
        <f>INDEX(AA!$AI$13:$AI$15,MATCH(A65,AA!$C$13:$C$15,0))</f>
        <v>#REF!</v>
      </c>
      <c r="D65" s="1256" t="e">
        <f>INDEX(AA!$AN$13:$AN$15,MATCH(A65,AA!$C$13:$C$15,0))</f>
        <v>#REF!</v>
      </c>
      <c r="E65" s="1256"/>
      <c r="F65" s="1257" t="e">
        <f>INDEX(AO!$DJ$18:$DJ$20,MATCH(A65,AO!$C$18:$C$20,0))</f>
        <v>#REF!</v>
      </c>
      <c r="G65" s="1257" t="e">
        <f>INDEX(AO!$AS$18:$AS$20,MATCH(A65,AO!$C$18:$C$20,0))</f>
        <v>#REF!</v>
      </c>
      <c r="H65" s="1257" t="e">
        <f>INDEX(AO!$AT$18:$AT$20,MATCH(A65,AO!$C$18:$C$20,0))</f>
        <v>#REF!</v>
      </c>
      <c r="I65" s="1257" t="e">
        <f>INDEX(AO!$CE$18:$CE$20,MATCH(A65,AO!$C$18:$C$20,0))</f>
        <v>#REF!</v>
      </c>
      <c r="J65" s="1257" t="e">
        <f>INDEX(AA!$M$13:$M$15,MATCH(A65,AA!$C$13:$C$15,0))</f>
        <v>#REF!</v>
      </c>
      <c r="K65" s="1257" t="e">
        <f>INDEX(AA!$AA$13:$AA$15,MATCH(A65,AA!$C$13:$C$15,0))</f>
        <v>#REF!</v>
      </c>
      <c r="L65" s="1257" t="e">
        <f>-INDEX(AO!$AZ$18:$AZ$20,MATCH(A65,AO!$C$18:$C$20,0))</f>
        <v>#REF!</v>
      </c>
      <c r="M65" s="1257" t="e">
        <f>INDEX(AO!$DF$18:$DF$20,MATCH(A65,AO!$C$18:$C$20,0))-INDEX(AO!$DA$18:$DA$20,MATCH(A65,AO!$C$18:$C$20,0))+INDEX(AA!$IJ$13:$IJ$15,MATCH(A65,AA!$C$13:$C$15,0))</f>
        <v>#REF!</v>
      </c>
      <c r="N65" s="1257" t="e">
        <f>INDEX(AO!$EY$18:$EY$20,MATCH(A65,AO!$C$18:$C$20,0))</f>
        <v>#REF!</v>
      </c>
      <c r="O65" s="1257" t="e">
        <f>INDEX(AO!$ED$18:$ED$20,MATCH(A65,AO!$C$18:$C$20,0))</f>
        <v>#REF!</v>
      </c>
      <c r="P65" s="1257" t="e">
        <f>INDEX(AO!$EU$18:$EU$20,MATCH(A65,AO!$C$18:$C$20,0))</f>
        <v>#REF!</v>
      </c>
      <c r="Q65" s="1257" t="e">
        <f t="shared" si="11"/>
        <v>#REF!</v>
      </c>
      <c r="S65" s="1257"/>
      <c r="T65" s="1257"/>
      <c r="U65" s="1257"/>
      <c r="V65" s="1257"/>
      <c r="W65" s="1257"/>
      <c r="X65" s="1257"/>
      <c r="Y65" s="1257"/>
      <c r="Z65" s="1257"/>
      <c r="AA65" s="1257"/>
      <c r="AB65" s="1257"/>
      <c r="AC65" s="1257"/>
      <c r="AD65" s="1257"/>
      <c r="AF65" s="1257" t="e">
        <f t="shared" si="12"/>
        <v>#REF!</v>
      </c>
      <c r="AG65" s="1257" t="e">
        <f t="shared" si="0"/>
        <v>#REF!</v>
      </c>
      <c r="AH65" s="1257" t="e">
        <f t="shared" si="1"/>
        <v>#REF!</v>
      </c>
      <c r="AI65" s="1257" t="e">
        <f t="shared" si="2"/>
        <v>#REF!</v>
      </c>
      <c r="AJ65" s="1257" t="e">
        <f t="shared" si="3"/>
        <v>#REF!</v>
      </c>
      <c r="AK65" s="1257" t="e">
        <f t="shared" si="4"/>
        <v>#REF!</v>
      </c>
      <c r="AL65" s="1257" t="e">
        <f t="shared" si="5"/>
        <v>#REF!</v>
      </c>
      <c r="AM65" s="1257" t="e">
        <f t="shared" si="6"/>
        <v>#REF!</v>
      </c>
      <c r="AN65" s="1257" t="e">
        <f t="shared" si="7"/>
        <v>#REF!</v>
      </c>
      <c r="AO65" s="1257" t="e">
        <f t="shared" si="8"/>
        <v>#REF!</v>
      </c>
      <c r="AP65" s="1257" t="e">
        <f t="shared" si="9"/>
        <v>#REF!</v>
      </c>
      <c r="AQ65" s="1257" t="e">
        <f t="shared" si="10"/>
        <v>#REF!</v>
      </c>
    </row>
    <row r="66" spans="1:43">
      <c r="A66" t="e">
        <f>AA!#REF!</f>
        <v>#REF!</v>
      </c>
      <c r="B66" t="e">
        <f>INDEX(AA!$AC$13:$AC$15,MATCH(A66,AA!$C$13:$C$15,0))</f>
        <v>#REF!</v>
      </c>
      <c r="C66" t="e">
        <f>INDEX(AA!$AI$13:$AI$15,MATCH(A66,AA!$C$13:$C$15,0))</f>
        <v>#REF!</v>
      </c>
      <c r="D66" t="e">
        <f>INDEX(AA!$AN$13:$AN$15,MATCH(A66,AA!$C$13:$C$15,0))</f>
        <v>#REF!</v>
      </c>
      <c r="F66" s="261" t="e">
        <f>INDEX(AO!$DJ$18:$DJ$20,MATCH(A66,AO!$C$18:$C$20,0))</f>
        <v>#REF!</v>
      </c>
      <c r="G66" s="261" t="e">
        <f>INDEX(AO!$AS$18:$AS$20,MATCH(A66,AO!$C$18:$C$20,0))</f>
        <v>#REF!</v>
      </c>
      <c r="H66" s="261" t="e">
        <f>INDEX(AO!$AT$18:$AT$20,MATCH(A66,AO!$C$18:$C$20,0))</f>
        <v>#REF!</v>
      </c>
      <c r="I66" s="261" t="e">
        <f>INDEX(AO!$CE$18:$CE$20,MATCH(A66,AO!$C$18:$C$20,0))</f>
        <v>#REF!</v>
      </c>
      <c r="J66" s="261" t="e">
        <f>INDEX(AA!$M$13:$M$15,MATCH(A66,AA!$C$13:$C$15,0))</f>
        <v>#REF!</v>
      </c>
      <c r="K66" s="261" t="e">
        <f>INDEX(AA!$AA$13:$AA$15,MATCH(A66,AA!$C$13:$C$15,0))</f>
        <v>#REF!</v>
      </c>
      <c r="L66" s="261" t="e">
        <f>-INDEX(AO!$AZ$18:$AZ$20,MATCH(A66,AO!$C$18:$C$20,0))</f>
        <v>#REF!</v>
      </c>
      <c r="M66" s="261" t="e">
        <f>INDEX(AO!$DF$18:$DF$20,MATCH(A66,AO!$C$18:$C$20,0))-INDEX(AO!$DA$18:$DA$20,MATCH(A66,AO!$C$18:$C$20,0))+INDEX(AA!$IJ$13:$IJ$15,MATCH(A66,AA!$C$13:$C$15,0))</f>
        <v>#REF!</v>
      </c>
      <c r="N66" s="261" t="e">
        <f>INDEX(AO!$EY$18:$EY$20,MATCH(A66,AO!$C$18:$C$20,0))</f>
        <v>#REF!</v>
      </c>
      <c r="O66" s="261" t="e">
        <f>INDEX(AO!$ED$18:$ED$20,MATCH(A66,AO!$C$18:$C$20,0))</f>
        <v>#REF!</v>
      </c>
      <c r="P66" s="261" t="e">
        <f>INDEX(AO!$EU$18:$EU$20,MATCH(A66,AO!$C$18:$C$20,0))</f>
        <v>#REF!</v>
      </c>
      <c r="Q66" s="261" t="e">
        <f t="shared" si="11"/>
        <v>#REF!</v>
      </c>
      <c r="S66" s="261"/>
      <c r="T66" s="261"/>
      <c r="U66" s="261"/>
      <c r="V66" s="261"/>
      <c r="W66" s="261"/>
      <c r="X66" s="261"/>
      <c r="Y66" s="261"/>
      <c r="Z66" s="261"/>
      <c r="AA66" s="261"/>
      <c r="AB66" s="261"/>
      <c r="AC66" s="261"/>
      <c r="AD66" s="261"/>
      <c r="AF66" s="261" t="e">
        <f t="shared" si="12"/>
        <v>#REF!</v>
      </c>
      <c r="AG66" s="261" t="e">
        <f t="shared" si="0"/>
        <v>#REF!</v>
      </c>
      <c r="AH66" s="261" t="e">
        <f t="shared" si="1"/>
        <v>#REF!</v>
      </c>
      <c r="AI66" s="261" t="e">
        <f t="shared" si="2"/>
        <v>#REF!</v>
      </c>
      <c r="AJ66" s="261" t="e">
        <f t="shared" si="3"/>
        <v>#REF!</v>
      </c>
      <c r="AK66" s="261" t="e">
        <f t="shared" si="4"/>
        <v>#REF!</v>
      </c>
      <c r="AL66" s="261" t="e">
        <f t="shared" si="5"/>
        <v>#REF!</v>
      </c>
      <c r="AM66" s="261" t="e">
        <f t="shared" si="6"/>
        <v>#REF!</v>
      </c>
      <c r="AN66" s="261" t="e">
        <f t="shared" si="7"/>
        <v>#REF!</v>
      </c>
      <c r="AO66" s="261" t="e">
        <f t="shared" si="8"/>
        <v>#REF!</v>
      </c>
      <c r="AP66" s="261" t="e">
        <f t="shared" si="9"/>
        <v>#REF!</v>
      </c>
      <c r="AQ66" s="261" t="e">
        <f t="shared" si="10"/>
        <v>#REF!</v>
      </c>
    </row>
    <row r="67" spans="1:43">
      <c r="A67" s="1256" t="e">
        <f>AA!#REF!</f>
        <v>#REF!</v>
      </c>
      <c r="B67" s="1256" t="e">
        <f>INDEX(AA!$AC$13:$AC$15,MATCH(A67,AA!$C$13:$C$15,0))</f>
        <v>#REF!</v>
      </c>
      <c r="C67" s="1256" t="e">
        <f>INDEX(AA!$AI$13:$AI$15,MATCH(A67,AA!$C$13:$C$15,0))</f>
        <v>#REF!</v>
      </c>
      <c r="D67" s="1256" t="e">
        <f>INDEX(AA!$AN$13:$AN$15,MATCH(A67,AA!$C$13:$C$15,0))</f>
        <v>#REF!</v>
      </c>
      <c r="E67" s="1256"/>
      <c r="F67" s="1257" t="e">
        <f>INDEX(AO!$DJ$18:$DJ$20,MATCH(A67,AO!$C$18:$C$20,0))</f>
        <v>#REF!</v>
      </c>
      <c r="G67" s="1257" t="e">
        <f>INDEX(AO!$AS$18:$AS$20,MATCH(A67,AO!$C$18:$C$20,0))</f>
        <v>#REF!</v>
      </c>
      <c r="H67" s="1257" t="e">
        <f>INDEX(AO!$AT$18:$AT$20,MATCH(A67,AO!$C$18:$C$20,0))</f>
        <v>#REF!</v>
      </c>
      <c r="I67" s="1257" t="e">
        <f>INDEX(AO!$CE$18:$CE$20,MATCH(A67,AO!$C$18:$C$20,0))</f>
        <v>#REF!</v>
      </c>
      <c r="J67" s="1257" t="e">
        <f>INDEX(AA!$M$13:$M$15,MATCH(A67,AA!$C$13:$C$15,0))</f>
        <v>#REF!</v>
      </c>
      <c r="K67" s="1257" t="e">
        <f>INDEX(AA!$AA$13:$AA$15,MATCH(A67,AA!$C$13:$C$15,0))</f>
        <v>#REF!</v>
      </c>
      <c r="L67" s="1257" t="e">
        <f>-INDEX(AO!$AZ$18:$AZ$20,MATCH(A67,AO!$C$18:$C$20,0))</f>
        <v>#REF!</v>
      </c>
      <c r="M67" s="1257" t="e">
        <f>INDEX(AO!$DF$18:$DF$20,MATCH(A67,AO!$C$18:$C$20,0))-INDEX(AO!$DA$18:$DA$20,MATCH(A67,AO!$C$18:$C$20,0))+INDEX(AA!$IJ$13:$IJ$15,MATCH(A67,AA!$C$13:$C$15,0))</f>
        <v>#REF!</v>
      </c>
      <c r="N67" s="1257" t="e">
        <f>INDEX(AO!$EY$18:$EY$20,MATCH(A67,AO!$C$18:$C$20,0))</f>
        <v>#REF!</v>
      </c>
      <c r="O67" s="1257" t="e">
        <f>INDEX(AO!$ED$18:$ED$20,MATCH(A67,AO!$C$18:$C$20,0))</f>
        <v>#REF!</v>
      </c>
      <c r="P67" s="1257" t="e">
        <f>INDEX(AO!$EU$18:$EU$20,MATCH(A67,AO!$C$18:$C$20,0))</f>
        <v>#REF!</v>
      </c>
      <c r="Q67" s="1257" t="e">
        <f t="shared" si="11"/>
        <v>#REF!</v>
      </c>
      <c r="S67" s="1257"/>
      <c r="T67" s="1257"/>
      <c r="U67" s="1257"/>
      <c r="V67" s="1257"/>
      <c r="W67" s="1257"/>
      <c r="X67" s="1257"/>
      <c r="Y67" s="1257"/>
      <c r="Z67" s="1257"/>
      <c r="AA67" s="1257"/>
      <c r="AB67" s="1257"/>
      <c r="AC67" s="1257"/>
      <c r="AD67" s="1257"/>
      <c r="AF67" s="1257" t="e">
        <f t="shared" si="12"/>
        <v>#REF!</v>
      </c>
      <c r="AG67" s="1257" t="e">
        <f t="shared" si="0"/>
        <v>#REF!</v>
      </c>
      <c r="AH67" s="1257" t="e">
        <f t="shared" si="1"/>
        <v>#REF!</v>
      </c>
      <c r="AI67" s="1257" t="e">
        <f t="shared" si="2"/>
        <v>#REF!</v>
      </c>
      <c r="AJ67" s="1257" t="e">
        <f t="shared" si="3"/>
        <v>#REF!</v>
      </c>
      <c r="AK67" s="1257" t="e">
        <f t="shared" si="4"/>
        <v>#REF!</v>
      </c>
      <c r="AL67" s="1257" t="e">
        <f t="shared" si="5"/>
        <v>#REF!</v>
      </c>
      <c r="AM67" s="1257" t="e">
        <f t="shared" si="6"/>
        <v>#REF!</v>
      </c>
      <c r="AN67" s="1257" t="e">
        <f t="shared" si="7"/>
        <v>#REF!</v>
      </c>
      <c r="AO67" s="1257" t="e">
        <f t="shared" si="8"/>
        <v>#REF!</v>
      </c>
      <c r="AP67" s="1257" t="e">
        <f t="shared" si="9"/>
        <v>#REF!</v>
      </c>
      <c r="AQ67" s="1257" t="e">
        <f t="shared" si="10"/>
        <v>#REF!</v>
      </c>
    </row>
    <row r="68" spans="1:43">
      <c r="A68" t="e">
        <f>AA!#REF!</f>
        <v>#REF!</v>
      </c>
      <c r="B68" t="e">
        <f>INDEX(AA!$AC$13:$AC$15,MATCH(A68,AA!$C$13:$C$15,0))</f>
        <v>#REF!</v>
      </c>
      <c r="C68" t="e">
        <f>INDEX(AA!$AI$13:$AI$15,MATCH(A68,AA!$C$13:$C$15,0))</f>
        <v>#REF!</v>
      </c>
      <c r="D68" t="e">
        <f>INDEX(AA!$AN$13:$AN$15,MATCH(A68,AA!$C$13:$C$15,0))</f>
        <v>#REF!</v>
      </c>
      <c r="F68" s="261" t="e">
        <f>INDEX(AO!$DJ$18:$DJ$20,MATCH(A68,AO!$C$18:$C$20,0))</f>
        <v>#REF!</v>
      </c>
      <c r="G68" s="261" t="e">
        <f>INDEX(AO!$AS$18:$AS$20,MATCH(A68,AO!$C$18:$C$20,0))</f>
        <v>#REF!</v>
      </c>
      <c r="H68" s="261" t="e">
        <f>INDEX(AO!$AT$18:$AT$20,MATCH(A68,AO!$C$18:$C$20,0))</f>
        <v>#REF!</v>
      </c>
      <c r="I68" s="261" t="e">
        <f>INDEX(AO!$CE$18:$CE$20,MATCH(A68,AO!$C$18:$C$20,0))</f>
        <v>#REF!</v>
      </c>
      <c r="J68" s="261" t="e">
        <f>INDEX(AA!$M$13:$M$15,MATCH(A68,AA!$C$13:$C$15,0))</f>
        <v>#REF!</v>
      </c>
      <c r="K68" s="261" t="e">
        <f>INDEX(AA!$AA$13:$AA$15,MATCH(A68,AA!$C$13:$C$15,0))</f>
        <v>#REF!</v>
      </c>
      <c r="L68" s="261" t="e">
        <f>-INDEX(AO!$AZ$18:$AZ$20,MATCH(A68,AO!$C$18:$C$20,0))</f>
        <v>#REF!</v>
      </c>
      <c r="M68" s="261" t="e">
        <f>INDEX(AO!$DF$18:$DF$20,MATCH(A68,AO!$C$18:$C$20,0))-INDEX(AO!$DA$18:$DA$20,MATCH(A68,AO!$C$18:$C$20,0))+INDEX(AA!$IJ$13:$IJ$15,MATCH(A68,AA!$C$13:$C$15,0))</f>
        <v>#REF!</v>
      </c>
      <c r="N68" s="261" t="e">
        <f>INDEX(AO!$EY$18:$EY$20,MATCH(A68,AO!$C$18:$C$20,0))</f>
        <v>#REF!</v>
      </c>
      <c r="O68" s="261" t="e">
        <f>INDEX(AO!$ED$18:$ED$20,MATCH(A68,AO!$C$18:$C$20,0))</f>
        <v>#REF!</v>
      </c>
      <c r="P68" s="261" t="e">
        <f>INDEX(AO!$EU$18:$EU$20,MATCH(A68,AO!$C$18:$C$20,0))</f>
        <v>#REF!</v>
      </c>
      <c r="Q68" s="261" t="e">
        <f t="shared" si="11"/>
        <v>#REF!</v>
      </c>
      <c r="S68" s="261"/>
      <c r="T68" s="261"/>
      <c r="U68" s="261"/>
      <c r="V68" s="261"/>
      <c r="W68" s="261"/>
      <c r="X68" s="261"/>
      <c r="Y68" s="261"/>
      <c r="Z68" s="261"/>
      <c r="AA68" s="261"/>
      <c r="AB68" s="261"/>
      <c r="AC68" s="261"/>
      <c r="AD68" s="261"/>
      <c r="AF68" s="261" t="e">
        <f t="shared" si="12"/>
        <v>#REF!</v>
      </c>
      <c r="AG68" s="261" t="e">
        <f t="shared" si="0"/>
        <v>#REF!</v>
      </c>
      <c r="AH68" s="261" t="e">
        <f t="shared" si="1"/>
        <v>#REF!</v>
      </c>
      <c r="AI68" s="261" t="e">
        <f t="shared" si="2"/>
        <v>#REF!</v>
      </c>
      <c r="AJ68" s="261" t="e">
        <f t="shared" si="3"/>
        <v>#REF!</v>
      </c>
      <c r="AK68" s="261" t="e">
        <f t="shared" si="4"/>
        <v>#REF!</v>
      </c>
      <c r="AL68" s="261" t="e">
        <f t="shared" si="5"/>
        <v>#REF!</v>
      </c>
      <c r="AM68" s="261" t="e">
        <f t="shared" si="6"/>
        <v>#REF!</v>
      </c>
      <c r="AN68" s="261" t="e">
        <f t="shared" si="7"/>
        <v>#REF!</v>
      </c>
      <c r="AO68" s="261" t="e">
        <f t="shared" si="8"/>
        <v>#REF!</v>
      </c>
      <c r="AP68" s="261" t="e">
        <f t="shared" si="9"/>
        <v>#REF!</v>
      </c>
      <c r="AQ68" s="261" t="e">
        <f t="shared" si="10"/>
        <v>#REF!</v>
      </c>
    </row>
    <row r="69" spans="1:43">
      <c r="A69" s="1256" t="e">
        <f>AA!#REF!</f>
        <v>#REF!</v>
      </c>
      <c r="B69" s="1256" t="e">
        <f>INDEX(AA!$AC$13:$AC$15,MATCH(A69,AA!$C$13:$C$15,0))</f>
        <v>#REF!</v>
      </c>
      <c r="C69" s="1256" t="e">
        <f>INDEX(AA!$AI$13:$AI$15,MATCH(A69,AA!$C$13:$C$15,0))</f>
        <v>#REF!</v>
      </c>
      <c r="D69" s="1256" t="e">
        <f>INDEX(AA!$AN$13:$AN$15,MATCH(A69,AA!$C$13:$C$15,0))</f>
        <v>#REF!</v>
      </c>
      <c r="E69" s="1256"/>
      <c r="F69" s="1257" t="e">
        <f>INDEX(AO!$DJ$18:$DJ$20,MATCH(A69,AO!$C$18:$C$20,0))</f>
        <v>#REF!</v>
      </c>
      <c r="G69" s="1257" t="e">
        <f>INDEX(AO!$AS$18:$AS$20,MATCH(A69,AO!$C$18:$C$20,0))</f>
        <v>#REF!</v>
      </c>
      <c r="H69" s="1257" t="e">
        <f>INDEX(AO!$AT$18:$AT$20,MATCH(A69,AO!$C$18:$C$20,0))</f>
        <v>#REF!</v>
      </c>
      <c r="I69" s="1257" t="e">
        <f>INDEX(AO!$CE$18:$CE$20,MATCH(A69,AO!$C$18:$C$20,0))</f>
        <v>#REF!</v>
      </c>
      <c r="J69" s="1257" t="e">
        <f>INDEX(AA!$M$13:$M$15,MATCH(A69,AA!$C$13:$C$15,0))</f>
        <v>#REF!</v>
      </c>
      <c r="K69" s="1257" t="e">
        <f>INDEX(AA!$AA$13:$AA$15,MATCH(A69,AA!$C$13:$C$15,0))</f>
        <v>#REF!</v>
      </c>
      <c r="L69" s="1257" t="e">
        <f>-INDEX(AO!$AZ$18:$AZ$20,MATCH(A69,AO!$C$18:$C$20,0))</f>
        <v>#REF!</v>
      </c>
      <c r="M69" s="1257" t="e">
        <f>INDEX(AO!$DF$18:$DF$20,MATCH(A69,AO!$C$18:$C$20,0))-INDEX(AO!$DA$18:$DA$20,MATCH(A69,AO!$C$18:$C$20,0))+INDEX(AA!$IJ$13:$IJ$15,MATCH(A69,AA!$C$13:$C$15,0))</f>
        <v>#REF!</v>
      </c>
      <c r="N69" s="1257" t="e">
        <f>INDEX(AO!$EY$18:$EY$20,MATCH(A69,AO!$C$18:$C$20,0))</f>
        <v>#REF!</v>
      </c>
      <c r="O69" s="1257" t="e">
        <f>INDEX(AO!$ED$18:$ED$20,MATCH(A69,AO!$C$18:$C$20,0))</f>
        <v>#REF!</v>
      </c>
      <c r="P69" s="1257" t="e">
        <f>INDEX(AO!$EU$18:$EU$20,MATCH(A69,AO!$C$18:$C$20,0))</f>
        <v>#REF!</v>
      </c>
      <c r="Q69" s="1257" t="e">
        <f t="shared" si="11"/>
        <v>#REF!</v>
      </c>
      <c r="S69" s="1257"/>
      <c r="T69" s="1257"/>
      <c r="U69" s="1257"/>
      <c r="V69" s="1257"/>
      <c r="W69" s="1257"/>
      <c r="X69" s="1257"/>
      <c r="Y69" s="1257"/>
      <c r="Z69" s="1257"/>
      <c r="AA69" s="1257"/>
      <c r="AB69" s="1257"/>
      <c r="AC69" s="1257"/>
      <c r="AD69" s="1257"/>
      <c r="AF69" s="1257" t="e">
        <f t="shared" si="12"/>
        <v>#REF!</v>
      </c>
      <c r="AG69" s="1257" t="e">
        <f t="shared" si="0"/>
        <v>#REF!</v>
      </c>
      <c r="AH69" s="1257" t="e">
        <f t="shared" si="1"/>
        <v>#REF!</v>
      </c>
      <c r="AI69" s="1257" t="e">
        <f t="shared" si="2"/>
        <v>#REF!</v>
      </c>
      <c r="AJ69" s="1257" t="e">
        <f t="shared" si="3"/>
        <v>#REF!</v>
      </c>
      <c r="AK69" s="1257" t="e">
        <f t="shared" si="4"/>
        <v>#REF!</v>
      </c>
      <c r="AL69" s="1257" t="e">
        <f t="shared" si="5"/>
        <v>#REF!</v>
      </c>
      <c r="AM69" s="1257" t="e">
        <f t="shared" si="6"/>
        <v>#REF!</v>
      </c>
      <c r="AN69" s="1257" t="e">
        <f t="shared" si="7"/>
        <v>#REF!</v>
      </c>
      <c r="AO69" s="1257" t="e">
        <f t="shared" si="8"/>
        <v>#REF!</v>
      </c>
      <c r="AP69" s="1257" t="e">
        <f t="shared" si="9"/>
        <v>#REF!</v>
      </c>
      <c r="AQ69" s="1257" t="e">
        <f t="shared" si="10"/>
        <v>#REF!</v>
      </c>
    </row>
    <row r="70" spans="1:43">
      <c r="A70" t="e">
        <f>AA!#REF!</f>
        <v>#REF!</v>
      </c>
      <c r="B70" t="e">
        <f>INDEX(AA!$AC$13:$AC$15,MATCH(A70,AA!$C$13:$C$15,0))</f>
        <v>#REF!</v>
      </c>
      <c r="C70" t="e">
        <f>INDEX(AA!$AI$13:$AI$15,MATCH(A70,AA!$C$13:$C$15,0))</f>
        <v>#REF!</v>
      </c>
      <c r="D70" t="e">
        <f>INDEX(AA!$AN$13:$AN$15,MATCH(A70,AA!$C$13:$C$15,0))</f>
        <v>#REF!</v>
      </c>
      <c r="F70" s="261" t="e">
        <f>INDEX(AO!$DJ$18:$DJ$20,MATCH(A70,AO!$C$18:$C$20,0))</f>
        <v>#REF!</v>
      </c>
      <c r="G70" s="261" t="e">
        <f>INDEX(AO!$AS$18:$AS$20,MATCH(A70,AO!$C$18:$C$20,0))</f>
        <v>#REF!</v>
      </c>
      <c r="H70" s="261" t="e">
        <f>INDEX(AO!$AT$18:$AT$20,MATCH(A70,AO!$C$18:$C$20,0))</f>
        <v>#REF!</v>
      </c>
      <c r="I70" s="261" t="e">
        <f>INDEX(AO!$CE$18:$CE$20,MATCH(A70,AO!$C$18:$C$20,0))</f>
        <v>#REF!</v>
      </c>
      <c r="J70" s="261" t="e">
        <f>INDEX(AA!$M$13:$M$15,MATCH(A70,AA!$C$13:$C$15,0))</f>
        <v>#REF!</v>
      </c>
      <c r="K70" s="261" t="e">
        <f>INDEX(AA!$AA$13:$AA$15,MATCH(A70,AA!$C$13:$C$15,0))</f>
        <v>#REF!</v>
      </c>
      <c r="L70" s="261" t="e">
        <f>-INDEX(AO!$AZ$18:$AZ$20,MATCH(A70,AO!$C$18:$C$20,0))</f>
        <v>#REF!</v>
      </c>
      <c r="M70" s="261" t="e">
        <f>INDEX(AO!$DF$18:$DF$20,MATCH(A70,AO!$C$18:$C$20,0))-INDEX(AO!$DA$18:$DA$20,MATCH(A70,AO!$C$18:$C$20,0))+INDEX(AA!$IJ$13:$IJ$15,MATCH(A70,AA!$C$13:$C$15,0))</f>
        <v>#REF!</v>
      </c>
      <c r="N70" s="261" t="e">
        <f>INDEX(AO!$EY$18:$EY$20,MATCH(A70,AO!$C$18:$C$20,0))</f>
        <v>#REF!</v>
      </c>
      <c r="O70" s="261" t="e">
        <f>INDEX(AO!$ED$18:$ED$20,MATCH(A70,AO!$C$18:$C$20,0))</f>
        <v>#REF!</v>
      </c>
      <c r="P70" s="261" t="e">
        <f>INDEX(AO!$EU$18:$EU$20,MATCH(A70,AO!$C$18:$C$20,0))</f>
        <v>#REF!</v>
      </c>
      <c r="Q70" s="261" t="e">
        <f t="shared" si="11"/>
        <v>#REF!</v>
      </c>
      <c r="S70" s="261"/>
      <c r="T70" s="261"/>
      <c r="U70" s="261"/>
      <c r="V70" s="261"/>
      <c r="W70" s="261"/>
      <c r="X70" s="261"/>
      <c r="Y70" s="261"/>
      <c r="Z70" s="261"/>
      <c r="AA70" s="261"/>
      <c r="AB70" s="261"/>
      <c r="AC70" s="261"/>
      <c r="AD70" s="261"/>
      <c r="AF70" s="261" t="e">
        <f t="shared" si="12"/>
        <v>#REF!</v>
      </c>
      <c r="AG70" s="261" t="e">
        <f t="shared" si="0"/>
        <v>#REF!</v>
      </c>
      <c r="AH70" s="261" t="e">
        <f t="shared" si="1"/>
        <v>#REF!</v>
      </c>
      <c r="AI70" s="261" t="e">
        <f t="shared" si="2"/>
        <v>#REF!</v>
      </c>
      <c r="AJ70" s="261" t="e">
        <f t="shared" si="3"/>
        <v>#REF!</v>
      </c>
      <c r="AK70" s="261" t="e">
        <f t="shared" si="4"/>
        <v>#REF!</v>
      </c>
      <c r="AL70" s="261" t="e">
        <f t="shared" si="5"/>
        <v>#REF!</v>
      </c>
      <c r="AM70" s="261" t="e">
        <f t="shared" si="6"/>
        <v>#REF!</v>
      </c>
      <c r="AN70" s="261" t="e">
        <f t="shared" si="7"/>
        <v>#REF!</v>
      </c>
      <c r="AO70" s="261" t="e">
        <f t="shared" si="8"/>
        <v>#REF!</v>
      </c>
      <c r="AP70" s="261" t="e">
        <f t="shared" si="9"/>
        <v>#REF!</v>
      </c>
      <c r="AQ70" s="261" t="e">
        <f t="shared" si="10"/>
        <v>#REF!</v>
      </c>
    </row>
    <row r="71" spans="1:43">
      <c r="A71" s="1256" t="e">
        <f>AA!#REF!</f>
        <v>#REF!</v>
      </c>
      <c r="B71" s="1256" t="e">
        <f>INDEX(AA!$AC$13:$AC$15,MATCH(A71,AA!$C$13:$C$15,0))</f>
        <v>#REF!</v>
      </c>
      <c r="C71" s="1256" t="e">
        <f>INDEX(AA!$AI$13:$AI$15,MATCH(A71,AA!$C$13:$C$15,0))</f>
        <v>#REF!</v>
      </c>
      <c r="D71" s="1256" t="e">
        <f>INDEX(AA!$AN$13:$AN$15,MATCH(A71,AA!$C$13:$C$15,0))</f>
        <v>#REF!</v>
      </c>
      <c r="E71" s="1256"/>
      <c r="F71" s="1257" t="e">
        <f>INDEX(AO!$DJ$18:$DJ$20,MATCH(A71,AO!$C$18:$C$20,0))</f>
        <v>#REF!</v>
      </c>
      <c r="G71" s="1257" t="e">
        <f>INDEX(AO!$AS$18:$AS$20,MATCH(A71,AO!$C$18:$C$20,0))</f>
        <v>#REF!</v>
      </c>
      <c r="H71" s="1257" t="e">
        <f>INDEX(AO!$AT$18:$AT$20,MATCH(A71,AO!$C$18:$C$20,0))</f>
        <v>#REF!</v>
      </c>
      <c r="I71" s="1257" t="e">
        <f>INDEX(AO!$CE$18:$CE$20,MATCH(A71,AO!$C$18:$C$20,0))</f>
        <v>#REF!</v>
      </c>
      <c r="J71" s="1257" t="e">
        <f>INDEX(AA!$M$13:$M$15,MATCH(A71,AA!$C$13:$C$15,0))</f>
        <v>#REF!</v>
      </c>
      <c r="K71" s="1257" t="e">
        <f>INDEX(AA!$AA$13:$AA$15,MATCH(A71,AA!$C$13:$C$15,0))</f>
        <v>#REF!</v>
      </c>
      <c r="L71" s="1257" t="e">
        <f>-INDEX(AO!$AZ$18:$AZ$20,MATCH(A71,AO!$C$18:$C$20,0))</f>
        <v>#REF!</v>
      </c>
      <c r="M71" s="1257" t="e">
        <f>INDEX(AO!$DF$18:$DF$20,MATCH(A71,AO!$C$18:$C$20,0))-INDEX(AO!$DA$18:$DA$20,MATCH(A71,AO!$C$18:$C$20,0))+INDEX(AA!$IJ$13:$IJ$15,MATCH(A71,AA!$C$13:$C$15,0))</f>
        <v>#REF!</v>
      </c>
      <c r="N71" s="1257" t="e">
        <f>INDEX(AO!$EY$18:$EY$20,MATCH(A71,AO!$C$18:$C$20,0))</f>
        <v>#REF!</v>
      </c>
      <c r="O71" s="1257" t="e">
        <f>INDEX(AO!$ED$18:$ED$20,MATCH(A71,AO!$C$18:$C$20,0))</f>
        <v>#REF!</v>
      </c>
      <c r="P71" s="1257" t="e">
        <f>INDEX(AO!$EU$18:$EU$20,MATCH(A71,AO!$C$18:$C$20,0))</f>
        <v>#REF!</v>
      </c>
      <c r="Q71" s="1257" t="e">
        <f t="shared" si="11"/>
        <v>#REF!</v>
      </c>
      <c r="S71" s="1257"/>
      <c r="T71" s="1257"/>
      <c r="U71" s="1257"/>
      <c r="V71" s="1257"/>
      <c r="W71" s="1257"/>
      <c r="X71" s="1257"/>
      <c r="Y71" s="1257"/>
      <c r="Z71" s="1257"/>
      <c r="AA71" s="1257"/>
      <c r="AB71" s="1257"/>
      <c r="AC71" s="1257"/>
      <c r="AD71" s="1257"/>
      <c r="AF71" s="1257" t="e">
        <f t="shared" si="12"/>
        <v>#REF!</v>
      </c>
      <c r="AG71" s="1257" t="e">
        <f t="shared" si="0"/>
        <v>#REF!</v>
      </c>
      <c r="AH71" s="1257" t="e">
        <f t="shared" si="1"/>
        <v>#REF!</v>
      </c>
      <c r="AI71" s="1257" t="e">
        <f t="shared" si="2"/>
        <v>#REF!</v>
      </c>
      <c r="AJ71" s="1257" t="e">
        <f t="shared" si="3"/>
        <v>#REF!</v>
      </c>
      <c r="AK71" s="1257" t="e">
        <f t="shared" si="4"/>
        <v>#REF!</v>
      </c>
      <c r="AL71" s="1257" t="e">
        <f t="shared" si="5"/>
        <v>#REF!</v>
      </c>
      <c r="AM71" s="1257" t="e">
        <f t="shared" si="6"/>
        <v>#REF!</v>
      </c>
      <c r="AN71" s="1257" t="e">
        <f t="shared" si="7"/>
        <v>#REF!</v>
      </c>
      <c r="AO71" s="1257" t="e">
        <f t="shared" si="8"/>
        <v>#REF!</v>
      </c>
      <c r="AP71" s="1257" t="e">
        <f t="shared" si="9"/>
        <v>#REF!</v>
      </c>
      <c r="AQ71" s="1257" t="e">
        <f t="shared" si="10"/>
        <v>#REF!</v>
      </c>
    </row>
    <row r="72" spans="1:43">
      <c r="A72" t="e">
        <f>AA!#REF!</f>
        <v>#REF!</v>
      </c>
      <c r="B72" t="e">
        <f>INDEX(AA!$AC$13:$AC$15,MATCH(A72,AA!$C$13:$C$15,0))</f>
        <v>#REF!</v>
      </c>
      <c r="C72" t="e">
        <f>INDEX(AA!$AI$13:$AI$15,MATCH(A72,AA!$C$13:$C$15,0))</f>
        <v>#REF!</v>
      </c>
      <c r="D72" t="e">
        <f>INDEX(AA!$AN$13:$AN$15,MATCH(A72,AA!$C$13:$C$15,0))</f>
        <v>#REF!</v>
      </c>
      <c r="F72" s="261" t="e">
        <f>INDEX(AO!$DJ$18:$DJ$20,MATCH(A72,AO!$C$18:$C$20,0))</f>
        <v>#REF!</v>
      </c>
      <c r="G72" s="261" t="e">
        <f>INDEX(AO!$AS$18:$AS$20,MATCH(A72,AO!$C$18:$C$20,0))</f>
        <v>#REF!</v>
      </c>
      <c r="H72" s="261" t="e">
        <f>INDEX(AO!$AT$18:$AT$20,MATCH(A72,AO!$C$18:$C$20,0))</f>
        <v>#REF!</v>
      </c>
      <c r="I72" s="261" t="e">
        <f>INDEX(AO!$CE$18:$CE$20,MATCH(A72,AO!$C$18:$C$20,0))</f>
        <v>#REF!</v>
      </c>
      <c r="J72" s="261" t="e">
        <f>INDEX(AA!$M$13:$M$15,MATCH(A72,AA!$C$13:$C$15,0))</f>
        <v>#REF!</v>
      </c>
      <c r="K72" s="261" t="e">
        <f>INDEX(AA!$AA$13:$AA$15,MATCH(A72,AA!$C$13:$C$15,0))</f>
        <v>#REF!</v>
      </c>
      <c r="L72" s="261" t="e">
        <f>-INDEX(AO!$AZ$18:$AZ$20,MATCH(A72,AO!$C$18:$C$20,0))</f>
        <v>#REF!</v>
      </c>
      <c r="M72" s="261" t="e">
        <f>INDEX(AO!$DF$18:$DF$20,MATCH(A72,AO!$C$18:$C$20,0))-INDEX(AO!$DA$18:$DA$20,MATCH(A72,AO!$C$18:$C$20,0))+INDEX(AA!$IJ$13:$IJ$15,MATCH(A72,AA!$C$13:$C$15,0))</f>
        <v>#REF!</v>
      </c>
      <c r="N72" s="261" t="e">
        <f>INDEX(AO!$EY$18:$EY$20,MATCH(A72,AO!$C$18:$C$20,0))</f>
        <v>#REF!</v>
      </c>
      <c r="O72" s="261" t="e">
        <f>INDEX(AO!$ED$18:$ED$20,MATCH(A72,AO!$C$18:$C$20,0))</f>
        <v>#REF!</v>
      </c>
      <c r="P72" s="261" t="e">
        <f>INDEX(AO!$EU$18:$EU$20,MATCH(A72,AO!$C$18:$C$20,0))</f>
        <v>#REF!</v>
      </c>
      <c r="Q72" s="261" t="e">
        <f t="shared" si="11"/>
        <v>#REF!</v>
      </c>
      <c r="S72" s="261"/>
      <c r="T72" s="261"/>
      <c r="U72" s="261"/>
      <c r="V72" s="261"/>
      <c r="W72" s="261"/>
      <c r="X72" s="261"/>
      <c r="Y72" s="261"/>
      <c r="Z72" s="261"/>
      <c r="AA72" s="261"/>
      <c r="AB72" s="261"/>
      <c r="AC72" s="261"/>
      <c r="AD72" s="261"/>
      <c r="AF72" s="261" t="e">
        <f t="shared" si="12"/>
        <v>#REF!</v>
      </c>
      <c r="AG72" s="261" t="e">
        <f t="shared" ref="AG72:AG107" si="13">G72-T72</f>
        <v>#REF!</v>
      </c>
      <c r="AH72" s="261" t="e">
        <f t="shared" ref="AH72:AH107" si="14">H72-U72</f>
        <v>#REF!</v>
      </c>
      <c r="AI72" s="261" t="e">
        <f t="shared" ref="AI72:AI107" si="15">I72-V72</f>
        <v>#REF!</v>
      </c>
      <c r="AJ72" s="261" t="e">
        <f t="shared" ref="AJ72:AJ107" si="16">J72-W72</f>
        <v>#REF!</v>
      </c>
      <c r="AK72" s="261" t="e">
        <f t="shared" ref="AK72:AK107" si="17">K72-X72</f>
        <v>#REF!</v>
      </c>
      <c r="AL72" s="261" t="e">
        <f t="shared" ref="AL72:AL107" si="18">L72-Y72</f>
        <v>#REF!</v>
      </c>
      <c r="AM72" s="261" t="e">
        <f t="shared" ref="AM72:AM107" si="19">M72-Z72</f>
        <v>#REF!</v>
      </c>
      <c r="AN72" s="261" t="e">
        <f t="shared" ref="AN72:AN107" si="20">N72-AA72</f>
        <v>#REF!</v>
      </c>
      <c r="AO72" s="261" t="e">
        <f t="shared" ref="AO72:AO107" si="21">O72-AB72</f>
        <v>#REF!</v>
      </c>
      <c r="AP72" s="261" t="e">
        <f t="shared" ref="AP72:AP107" si="22">P72-AC72</f>
        <v>#REF!</v>
      </c>
      <c r="AQ72" s="261" t="e">
        <f t="shared" ref="AQ72:AQ107" si="23">Q72-AD72</f>
        <v>#REF!</v>
      </c>
    </row>
    <row r="73" spans="1:43">
      <c r="A73" s="1256" t="e">
        <f>AA!#REF!</f>
        <v>#REF!</v>
      </c>
      <c r="B73" s="1256" t="e">
        <f>INDEX(AA!$AC$13:$AC$15,MATCH(A73,AA!$C$13:$C$15,0))</f>
        <v>#REF!</v>
      </c>
      <c r="C73" s="1256" t="e">
        <f>INDEX(AA!$AI$13:$AI$15,MATCH(A73,AA!$C$13:$C$15,0))</f>
        <v>#REF!</v>
      </c>
      <c r="D73" s="1256" t="e">
        <f>INDEX(AA!$AN$13:$AN$15,MATCH(A73,AA!$C$13:$C$15,0))</f>
        <v>#REF!</v>
      </c>
      <c r="E73" s="1256"/>
      <c r="F73" s="1257" t="e">
        <f>INDEX(AO!$DJ$18:$DJ$20,MATCH(A73,AO!$C$18:$C$20,0))</f>
        <v>#REF!</v>
      </c>
      <c r="G73" s="1257" t="e">
        <f>INDEX(AO!$AS$18:$AS$20,MATCH(A73,AO!$C$18:$C$20,0))</f>
        <v>#REF!</v>
      </c>
      <c r="H73" s="1257" t="e">
        <f>INDEX(AO!$AT$18:$AT$20,MATCH(A73,AO!$C$18:$C$20,0))</f>
        <v>#REF!</v>
      </c>
      <c r="I73" s="1257" t="e">
        <f>INDEX(AO!$CE$18:$CE$20,MATCH(A73,AO!$C$18:$C$20,0))</f>
        <v>#REF!</v>
      </c>
      <c r="J73" s="1257" t="e">
        <f>INDEX(AA!$M$13:$M$15,MATCH(A73,AA!$C$13:$C$15,0))</f>
        <v>#REF!</v>
      </c>
      <c r="K73" s="1257" t="e">
        <f>INDEX(AA!$AA$13:$AA$15,MATCH(A73,AA!$C$13:$C$15,0))</f>
        <v>#REF!</v>
      </c>
      <c r="L73" s="1257" t="e">
        <f>-INDEX(AO!$AZ$18:$AZ$20,MATCH(A73,AO!$C$18:$C$20,0))</f>
        <v>#REF!</v>
      </c>
      <c r="M73" s="1257" t="e">
        <f>INDEX(AO!$DF$18:$DF$20,MATCH(A73,AO!$C$18:$C$20,0))-INDEX(AO!$DA$18:$DA$20,MATCH(A73,AO!$C$18:$C$20,0))+INDEX(AA!$IJ$13:$IJ$15,MATCH(A73,AA!$C$13:$C$15,0))</f>
        <v>#REF!</v>
      </c>
      <c r="N73" s="1257" t="e">
        <f>INDEX(AO!$EY$18:$EY$20,MATCH(A73,AO!$C$18:$C$20,0))</f>
        <v>#REF!</v>
      </c>
      <c r="O73" s="1257" t="e">
        <f>INDEX(AO!$ED$18:$ED$20,MATCH(A73,AO!$C$18:$C$20,0))</f>
        <v>#REF!</v>
      </c>
      <c r="P73" s="1257" t="e">
        <f>INDEX(AO!$EU$18:$EU$20,MATCH(A73,AO!$C$18:$C$20,0))</f>
        <v>#REF!</v>
      </c>
      <c r="Q73" s="1257" t="e">
        <f t="shared" ref="Q73:Q107" si="24">SUM(L73:P73)</f>
        <v>#REF!</v>
      </c>
      <c r="S73" s="1257"/>
      <c r="T73" s="1257"/>
      <c r="U73" s="1257"/>
      <c r="V73" s="1257"/>
      <c r="W73" s="1257"/>
      <c r="X73" s="1257"/>
      <c r="Y73" s="1257"/>
      <c r="Z73" s="1257"/>
      <c r="AA73" s="1257"/>
      <c r="AB73" s="1257"/>
      <c r="AC73" s="1257"/>
      <c r="AD73" s="1257"/>
      <c r="AF73" s="1257" t="e">
        <f t="shared" ref="AF73:AF107" si="25">F73-S73</f>
        <v>#REF!</v>
      </c>
      <c r="AG73" s="1257" t="e">
        <f t="shared" si="13"/>
        <v>#REF!</v>
      </c>
      <c r="AH73" s="1257" t="e">
        <f t="shared" si="14"/>
        <v>#REF!</v>
      </c>
      <c r="AI73" s="1257" t="e">
        <f t="shared" si="15"/>
        <v>#REF!</v>
      </c>
      <c r="AJ73" s="1257" t="e">
        <f t="shared" si="16"/>
        <v>#REF!</v>
      </c>
      <c r="AK73" s="1257" t="e">
        <f t="shared" si="17"/>
        <v>#REF!</v>
      </c>
      <c r="AL73" s="1257" t="e">
        <f t="shared" si="18"/>
        <v>#REF!</v>
      </c>
      <c r="AM73" s="1257" t="e">
        <f t="shared" si="19"/>
        <v>#REF!</v>
      </c>
      <c r="AN73" s="1257" t="e">
        <f t="shared" si="20"/>
        <v>#REF!</v>
      </c>
      <c r="AO73" s="1257" t="e">
        <f t="shared" si="21"/>
        <v>#REF!</v>
      </c>
      <c r="AP73" s="1257" t="e">
        <f t="shared" si="22"/>
        <v>#REF!</v>
      </c>
      <c r="AQ73" s="1257" t="e">
        <f t="shared" si="23"/>
        <v>#REF!</v>
      </c>
    </row>
    <row r="74" spans="1:43">
      <c r="A74" t="e">
        <f>AA!#REF!</f>
        <v>#REF!</v>
      </c>
      <c r="B74" t="e">
        <f>INDEX(AA!$AC$13:$AC$15,MATCH(A74,AA!$C$13:$C$15,0))</f>
        <v>#REF!</v>
      </c>
      <c r="C74" t="e">
        <f>INDEX(AA!$AI$13:$AI$15,MATCH(A74,AA!$C$13:$C$15,0))</f>
        <v>#REF!</v>
      </c>
      <c r="D74" t="e">
        <f>INDEX(AA!$AN$13:$AN$15,MATCH(A74,AA!$C$13:$C$15,0))</f>
        <v>#REF!</v>
      </c>
      <c r="F74" s="261" t="e">
        <f>INDEX(AO!$DJ$18:$DJ$20,MATCH(A74,AO!$C$18:$C$20,0))</f>
        <v>#REF!</v>
      </c>
      <c r="G74" s="261" t="e">
        <f>INDEX(AO!$AS$18:$AS$20,MATCH(A74,AO!$C$18:$C$20,0))</f>
        <v>#REF!</v>
      </c>
      <c r="H74" s="261" t="e">
        <f>INDEX(AO!$AT$18:$AT$20,MATCH(A74,AO!$C$18:$C$20,0))</f>
        <v>#REF!</v>
      </c>
      <c r="I74" s="261" t="e">
        <f>INDEX(AO!$CE$18:$CE$20,MATCH(A74,AO!$C$18:$C$20,0))</f>
        <v>#REF!</v>
      </c>
      <c r="J74" s="261" t="e">
        <f>INDEX(AA!$M$13:$M$15,MATCH(A74,AA!$C$13:$C$15,0))</f>
        <v>#REF!</v>
      </c>
      <c r="K74" s="261" t="e">
        <f>INDEX(AA!$AA$13:$AA$15,MATCH(A74,AA!$C$13:$C$15,0))</f>
        <v>#REF!</v>
      </c>
      <c r="L74" s="261" t="e">
        <f>-INDEX(AO!$AZ$18:$AZ$20,MATCH(A74,AO!$C$18:$C$20,0))</f>
        <v>#REF!</v>
      </c>
      <c r="M74" s="261" t="e">
        <f>INDEX(AO!$DF$18:$DF$20,MATCH(A74,AO!$C$18:$C$20,0))-INDEX(AO!$DA$18:$DA$20,MATCH(A74,AO!$C$18:$C$20,0))+INDEX(AA!$IJ$13:$IJ$15,MATCH(A74,AA!$C$13:$C$15,0))</f>
        <v>#REF!</v>
      </c>
      <c r="N74" s="261" t="e">
        <f>INDEX(AO!$EY$18:$EY$20,MATCH(A74,AO!$C$18:$C$20,0))</f>
        <v>#REF!</v>
      </c>
      <c r="O74" s="261" t="e">
        <f>INDEX(AO!$ED$18:$ED$20,MATCH(A74,AO!$C$18:$C$20,0))</f>
        <v>#REF!</v>
      </c>
      <c r="P74" s="261" t="e">
        <f>INDEX(AO!$EU$18:$EU$20,MATCH(A74,AO!$C$18:$C$20,0))</f>
        <v>#REF!</v>
      </c>
      <c r="Q74" s="261" t="e">
        <f t="shared" si="24"/>
        <v>#REF!</v>
      </c>
      <c r="S74" s="261"/>
      <c r="T74" s="261"/>
      <c r="U74" s="261"/>
      <c r="V74" s="261"/>
      <c r="W74" s="261"/>
      <c r="X74" s="261"/>
      <c r="Y74" s="261"/>
      <c r="Z74" s="261"/>
      <c r="AA74" s="261"/>
      <c r="AB74" s="261"/>
      <c r="AC74" s="261"/>
      <c r="AD74" s="261"/>
      <c r="AF74" s="261" t="e">
        <f t="shared" si="25"/>
        <v>#REF!</v>
      </c>
      <c r="AG74" s="261" t="e">
        <f t="shared" si="13"/>
        <v>#REF!</v>
      </c>
      <c r="AH74" s="261" t="e">
        <f t="shared" si="14"/>
        <v>#REF!</v>
      </c>
      <c r="AI74" s="261" t="e">
        <f t="shared" si="15"/>
        <v>#REF!</v>
      </c>
      <c r="AJ74" s="261" t="e">
        <f t="shared" si="16"/>
        <v>#REF!</v>
      </c>
      <c r="AK74" s="261" t="e">
        <f t="shared" si="17"/>
        <v>#REF!</v>
      </c>
      <c r="AL74" s="261" t="e">
        <f t="shared" si="18"/>
        <v>#REF!</v>
      </c>
      <c r="AM74" s="261" t="e">
        <f t="shared" si="19"/>
        <v>#REF!</v>
      </c>
      <c r="AN74" s="261" t="e">
        <f t="shared" si="20"/>
        <v>#REF!</v>
      </c>
      <c r="AO74" s="261" t="e">
        <f t="shared" si="21"/>
        <v>#REF!</v>
      </c>
      <c r="AP74" s="261" t="e">
        <f t="shared" si="22"/>
        <v>#REF!</v>
      </c>
      <c r="AQ74" s="261" t="e">
        <f t="shared" si="23"/>
        <v>#REF!</v>
      </c>
    </row>
    <row r="75" spans="1:43">
      <c r="A75" s="1256" t="e">
        <f>AA!#REF!</f>
        <v>#REF!</v>
      </c>
      <c r="B75" s="1256" t="e">
        <f>INDEX(AA!$AC$13:$AC$15,MATCH(A75,AA!$C$13:$C$15,0))</f>
        <v>#REF!</v>
      </c>
      <c r="C75" s="1256" t="e">
        <f>INDEX(AA!$AI$13:$AI$15,MATCH(A75,AA!$C$13:$C$15,0))</f>
        <v>#REF!</v>
      </c>
      <c r="D75" s="1256" t="e">
        <f>INDEX(AA!$AN$13:$AN$15,MATCH(A75,AA!$C$13:$C$15,0))</f>
        <v>#REF!</v>
      </c>
      <c r="E75" s="1256"/>
      <c r="F75" s="1257" t="e">
        <f>INDEX(AO!$DJ$18:$DJ$20,MATCH(A75,AO!$C$18:$C$20,0))</f>
        <v>#REF!</v>
      </c>
      <c r="G75" s="1257" t="e">
        <f>INDEX(AO!$AS$18:$AS$20,MATCH(A75,AO!$C$18:$C$20,0))</f>
        <v>#REF!</v>
      </c>
      <c r="H75" s="1257" t="e">
        <f>INDEX(AO!$AT$18:$AT$20,MATCH(A75,AO!$C$18:$C$20,0))</f>
        <v>#REF!</v>
      </c>
      <c r="I75" s="1257" t="e">
        <f>INDEX(AO!$CE$18:$CE$20,MATCH(A75,AO!$C$18:$C$20,0))</f>
        <v>#REF!</v>
      </c>
      <c r="J75" s="1257" t="e">
        <f>INDEX(AA!$M$13:$M$15,MATCH(A75,AA!$C$13:$C$15,0))</f>
        <v>#REF!</v>
      </c>
      <c r="K75" s="1257" t="e">
        <f>INDEX(AA!$AA$13:$AA$15,MATCH(A75,AA!$C$13:$C$15,0))</f>
        <v>#REF!</v>
      </c>
      <c r="L75" s="1257" t="e">
        <f>-INDEX(AO!$AZ$18:$AZ$20,MATCH(A75,AO!$C$18:$C$20,0))</f>
        <v>#REF!</v>
      </c>
      <c r="M75" s="1257" t="e">
        <f>INDEX(AO!$DF$18:$DF$20,MATCH(A75,AO!$C$18:$C$20,0))-INDEX(AO!$DA$18:$DA$20,MATCH(A75,AO!$C$18:$C$20,0))+INDEX(AA!$IJ$13:$IJ$15,MATCH(A75,AA!$C$13:$C$15,0))</f>
        <v>#REF!</v>
      </c>
      <c r="N75" s="1257" t="e">
        <f>INDEX(AO!$EY$18:$EY$20,MATCH(A75,AO!$C$18:$C$20,0))</f>
        <v>#REF!</v>
      </c>
      <c r="O75" s="1257" t="e">
        <f>INDEX(AO!$ED$18:$ED$20,MATCH(A75,AO!$C$18:$C$20,0))</f>
        <v>#REF!</v>
      </c>
      <c r="P75" s="1257" t="e">
        <f>INDEX(AO!$EU$18:$EU$20,MATCH(A75,AO!$C$18:$C$20,0))</f>
        <v>#REF!</v>
      </c>
      <c r="Q75" s="1257" t="e">
        <f t="shared" si="24"/>
        <v>#REF!</v>
      </c>
      <c r="S75" s="1257"/>
      <c r="T75" s="1257"/>
      <c r="U75" s="1257"/>
      <c r="V75" s="1257"/>
      <c r="W75" s="1257"/>
      <c r="X75" s="1257"/>
      <c r="Y75" s="1257"/>
      <c r="Z75" s="1257"/>
      <c r="AA75" s="1257"/>
      <c r="AB75" s="1257"/>
      <c r="AC75" s="1257"/>
      <c r="AD75" s="1257"/>
      <c r="AF75" s="1257" t="e">
        <f t="shared" si="25"/>
        <v>#REF!</v>
      </c>
      <c r="AG75" s="1257" t="e">
        <f t="shared" si="13"/>
        <v>#REF!</v>
      </c>
      <c r="AH75" s="1257" t="e">
        <f t="shared" si="14"/>
        <v>#REF!</v>
      </c>
      <c r="AI75" s="1257" t="e">
        <f t="shared" si="15"/>
        <v>#REF!</v>
      </c>
      <c r="AJ75" s="1257" t="e">
        <f t="shared" si="16"/>
        <v>#REF!</v>
      </c>
      <c r="AK75" s="1257" t="e">
        <f t="shared" si="17"/>
        <v>#REF!</v>
      </c>
      <c r="AL75" s="1257" t="e">
        <f t="shared" si="18"/>
        <v>#REF!</v>
      </c>
      <c r="AM75" s="1257" t="e">
        <f t="shared" si="19"/>
        <v>#REF!</v>
      </c>
      <c r="AN75" s="1257" t="e">
        <f t="shared" si="20"/>
        <v>#REF!</v>
      </c>
      <c r="AO75" s="1257" t="e">
        <f t="shared" si="21"/>
        <v>#REF!</v>
      </c>
      <c r="AP75" s="1257" t="e">
        <f t="shared" si="22"/>
        <v>#REF!</v>
      </c>
      <c r="AQ75" s="1257" t="e">
        <f t="shared" si="23"/>
        <v>#REF!</v>
      </c>
    </row>
    <row r="76" spans="1:43">
      <c r="A76" t="e">
        <f>AA!#REF!</f>
        <v>#REF!</v>
      </c>
      <c r="B76" t="e">
        <f>INDEX(AA!$AC$13:$AC$15,MATCH(A76,AA!$C$13:$C$15,0))</f>
        <v>#REF!</v>
      </c>
      <c r="C76" t="e">
        <f>INDEX(AA!$AI$13:$AI$15,MATCH(A76,AA!$C$13:$C$15,0))</f>
        <v>#REF!</v>
      </c>
      <c r="D76" t="e">
        <f>INDEX(AA!$AN$13:$AN$15,MATCH(A76,AA!$C$13:$C$15,0))</f>
        <v>#REF!</v>
      </c>
      <c r="F76" s="261" t="e">
        <f>INDEX(AO!$DJ$18:$DJ$20,MATCH(A76,AO!$C$18:$C$20,0))</f>
        <v>#REF!</v>
      </c>
      <c r="G76" s="261" t="e">
        <f>INDEX(AO!$AS$18:$AS$20,MATCH(A76,AO!$C$18:$C$20,0))</f>
        <v>#REF!</v>
      </c>
      <c r="H76" s="261" t="e">
        <f>INDEX(AO!$AT$18:$AT$20,MATCH(A76,AO!$C$18:$C$20,0))</f>
        <v>#REF!</v>
      </c>
      <c r="I76" s="261" t="e">
        <f>INDEX(AO!$CE$18:$CE$20,MATCH(A76,AO!$C$18:$C$20,0))</f>
        <v>#REF!</v>
      </c>
      <c r="J76" s="261" t="e">
        <f>INDEX(AA!$M$13:$M$15,MATCH(A76,AA!$C$13:$C$15,0))</f>
        <v>#REF!</v>
      </c>
      <c r="K76" s="261" t="e">
        <f>INDEX(AA!$AA$13:$AA$15,MATCH(A76,AA!$C$13:$C$15,0))</f>
        <v>#REF!</v>
      </c>
      <c r="L76" s="261" t="e">
        <f>-INDEX(AO!$AZ$18:$AZ$20,MATCH(A76,AO!$C$18:$C$20,0))</f>
        <v>#REF!</v>
      </c>
      <c r="M76" s="261" t="e">
        <f>INDEX(AO!$DF$18:$DF$20,MATCH(A76,AO!$C$18:$C$20,0))-INDEX(AO!$DA$18:$DA$20,MATCH(A76,AO!$C$18:$C$20,0))+INDEX(AA!$IJ$13:$IJ$15,MATCH(A76,AA!$C$13:$C$15,0))</f>
        <v>#REF!</v>
      </c>
      <c r="N76" s="261" t="e">
        <f>INDEX(AO!$EY$18:$EY$20,MATCH(A76,AO!$C$18:$C$20,0))</f>
        <v>#REF!</v>
      </c>
      <c r="O76" s="261" t="e">
        <f>INDEX(AO!$ED$18:$ED$20,MATCH(A76,AO!$C$18:$C$20,0))</f>
        <v>#REF!</v>
      </c>
      <c r="P76" s="261" t="e">
        <f>INDEX(AO!$EU$18:$EU$20,MATCH(A76,AO!$C$18:$C$20,0))</f>
        <v>#REF!</v>
      </c>
      <c r="Q76" s="261" t="e">
        <f t="shared" si="24"/>
        <v>#REF!</v>
      </c>
      <c r="S76" s="261"/>
      <c r="T76" s="261"/>
      <c r="U76" s="261"/>
      <c r="V76" s="261"/>
      <c r="W76" s="261"/>
      <c r="X76" s="261"/>
      <c r="Y76" s="261"/>
      <c r="Z76" s="261"/>
      <c r="AA76" s="261"/>
      <c r="AB76" s="261"/>
      <c r="AC76" s="261"/>
      <c r="AD76" s="261"/>
      <c r="AF76" s="261" t="e">
        <f t="shared" si="25"/>
        <v>#REF!</v>
      </c>
      <c r="AG76" s="261" t="e">
        <f t="shared" si="13"/>
        <v>#REF!</v>
      </c>
      <c r="AH76" s="261" t="e">
        <f t="shared" si="14"/>
        <v>#REF!</v>
      </c>
      <c r="AI76" s="261" t="e">
        <f t="shared" si="15"/>
        <v>#REF!</v>
      </c>
      <c r="AJ76" s="261" t="e">
        <f t="shared" si="16"/>
        <v>#REF!</v>
      </c>
      <c r="AK76" s="261" t="e">
        <f t="shared" si="17"/>
        <v>#REF!</v>
      </c>
      <c r="AL76" s="261" t="e">
        <f t="shared" si="18"/>
        <v>#REF!</v>
      </c>
      <c r="AM76" s="261" t="e">
        <f t="shared" si="19"/>
        <v>#REF!</v>
      </c>
      <c r="AN76" s="261" t="e">
        <f t="shared" si="20"/>
        <v>#REF!</v>
      </c>
      <c r="AO76" s="261" t="e">
        <f t="shared" si="21"/>
        <v>#REF!</v>
      </c>
      <c r="AP76" s="261" t="e">
        <f t="shared" si="22"/>
        <v>#REF!</v>
      </c>
      <c r="AQ76" s="261" t="e">
        <f t="shared" si="23"/>
        <v>#REF!</v>
      </c>
    </row>
    <row r="77" spans="1:43">
      <c r="A77" s="1256" t="e">
        <f>AA!#REF!</f>
        <v>#REF!</v>
      </c>
      <c r="B77" s="1256" t="e">
        <f>INDEX(AA!$AC$13:$AC$15,MATCH(A77,AA!$C$13:$C$15,0))</f>
        <v>#REF!</v>
      </c>
      <c r="C77" s="1256" t="e">
        <f>INDEX(AA!$AI$13:$AI$15,MATCH(A77,AA!$C$13:$C$15,0))</f>
        <v>#REF!</v>
      </c>
      <c r="D77" s="1256" t="e">
        <f>INDEX(AA!$AN$13:$AN$15,MATCH(A77,AA!$C$13:$C$15,0))</f>
        <v>#REF!</v>
      </c>
      <c r="E77" s="1256"/>
      <c r="F77" s="1257" t="e">
        <f>INDEX(AO!$DJ$18:$DJ$20,MATCH(A77,AO!$C$18:$C$20,0))</f>
        <v>#REF!</v>
      </c>
      <c r="G77" s="1257" t="e">
        <f>INDEX(AO!$AS$18:$AS$20,MATCH(A77,AO!$C$18:$C$20,0))</f>
        <v>#REF!</v>
      </c>
      <c r="H77" s="1257" t="e">
        <f>INDEX(AO!$AT$18:$AT$20,MATCH(A77,AO!$C$18:$C$20,0))</f>
        <v>#REF!</v>
      </c>
      <c r="I77" s="1257" t="e">
        <f>INDEX(AO!$CE$18:$CE$20,MATCH(A77,AO!$C$18:$C$20,0))</f>
        <v>#REF!</v>
      </c>
      <c r="J77" s="1257" t="e">
        <f>INDEX(AA!$M$13:$M$15,MATCH(A77,AA!$C$13:$C$15,0))</f>
        <v>#REF!</v>
      </c>
      <c r="K77" s="1257" t="e">
        <f>INDEX(AA!$AA$13:$AA$15,MATCH(A77,AA!$C$13:$C$15,0))</f>
        <v>#REF!</v>
      </c>
      <c r="L77" s="1257" t="e">
        <f>-INDEX(AO!$AZ$18:$AZ$20,MATCH(A77,AO!$C$18:$C$20,0))</f>
        <v>#REF!</v>
      </c>
      <c r="M77" s="1257" t="e">
        <f>INDEX(AO!$DF$18:$DF$20,MATCH(A77,AO!$C$18:$C$20,0))-INDEX(AO!$DA$18:$DA$20,MATCH(A77,AO!$C$18:$C$20,0))+INDEX(AA!$IJ$13:$IJ$15,MATCH(A77,AA!$C$13:$C$15,0))</f>
        <v>#REF!</v>
      </c>
      <c r="N77" s="1257" t="e">
        <f>INDEX(AO!$EY$18:$EY$20,MATCH(A77,AO!$C$18:$C$20,0))</f>
        <v>#REF!</v>
      </c>
      <c r="O77" s="1257" t="e">
        <f>INDEX(AO!$ED$18:$ED$20,MATCH(A77,AO!$C$18:$C$20,0))</f>
        <v>#REF!</v>
      </c>
      <c r="P77" s="1257" t="e">
        <f>INDEX(AO!$EU$18:$EU$20,MATCH(A77,AO!$C$18:$C$20,0))</f>
        <v>#REF!</v>
      </c>
      <c r="Q77" s="1257" t="e">
        <f t="shared" si="24"/>
        <v>#REF!</v>
      </c>
      <c r="S77" s="1257"/>
      <c r="T77" s="1257"/>
      <c r="U77" s="1257"/>
      <c r="V77" s="1257"/>
      <c r="W77" s="1257"/>
      <c r="X77" s="1257"/>
      <c r="Y77" s="1257"/>
      <c r="Z77" s="1257"/>
      <c r="AA77" s="1257"/>
      <c r="AB77" s="1257"/>
      <c r="AC77" s="1257"/>
      <c r="AD77" s="1257"/>
      <c r="AF77" s="1257" t="e">
        <f t="shared" si="25"/>
        <v>#REF!</v>
      </c>
      <c r="AG77" s="1257" t="e">
        <f t="shared" si="13"/>
        <v>#REF!</v>
      </c>
      <c r="AH77" s="1257" t="e">
        <f t="shared" si="14"/>
        <v>#REF!</v>
      </c>
      <c r="AI77" s="1257" t="e">
        <f t="shared" si="15"/>
        <v>#REF!</v>
      </c>
      <c r="AJ77" s="1257" t="e">
        <f t="shared" si="16"/>
        <v>#REF!</v>
      </c>
      <c r="AK77" s="1257" t="e">
        <f t="shared" si="17"/>
        <v>#REF!</v>
      </c>
      <c r="AL77" s="1257" t="e">
        <f t="shared" si="18"/>
        <v>#REF!</v>
      </c>
      <c r="AM77" s="1257" t="e">
        <f t="shared" si="19"/>
        <v>#REF!</v>
      </c>
      <c r="AN77" s="1257" t="e">
        <f t="shared" si="20"/>
        <v>#REF!</v>
      </c>
      <c r="AO77" s="1257" t="e">
        <f t="shared" si="21"/>
        <v>#REF!</v>
      </c>
      <c r="AP77" s="1257" t="e">
        <f t="shared" si="22"/>
        <v>#REF!</v>
      </c>
      <c r="AQ77" s="1257" t="e">
        <f t="shared" si="23"/>
        <v>#REF!</v>
      </c>
    </row>
    <row r="78" spans="1:43">
      <c r="A78" t="e">
        <f>AA!#REF!</f>
        <v>#REF!</v>
      </c>
      <c r="B78" t="e">
        <f>INDEX(AA!$AC$13:$AC$15,MATCH(A78,AA!$C$13:$C$15,0))</f>
        <v>#REF!</v>
      </c>
      <c r="C78" t="e">
        <f>INDEX(AA!$AI$13:$AI$15,MATCH(A78,AA!$C$13:$C$15,0))</f>
        <v>#REF!</v>
      </c>
      <c r="D78" t="e">
        <f>INDEX(AA!$AN$13:$AN$15,MATCH(A78,AA!$C$13:$C$15,0))</f>
        <v>#REF!</v>
      </c>
      <c r="F78" s="261" t="e">
        <f>INDEX(AO!$DJ$18:$DJ$20,MATCH(A78,AO!$C$18:$C$20,0))</f>
        <v>#REF!</v>
      </c>
      <c r="G78" s="261" t="e">
        <f>INDEX(AO!$AS$18:$AS$20,MATCH(A78,AO!$C$18:$C$20,0))</f>
        <v>#REF!</v>
      </c>
      <c r="H78" s="261" t="e">
        <f>INDEX(AO!$AT$18:$AT$20,MATCH(A78,AO!$C$18:$C$20,0))</f>
        <v>#REF!</v>
      </c>
      <c r="I78" s="261" t="e">
        <f>INDEX(AO!$CE$18:$CE$20,MATCH(A78,AO!$C$18:$C$20,0))</f>
        <v>#REF!</v>
      </c>
      <c r="J78" s="261" t="e">
        <f>INDEX(AA!$M$13:$M$15,MATCH(A78,AA!$C$13:$C$15,0))</f>
        <v>#REF!</v>
      </c>
      <c r="K78" s="261" t="e">
        <f>INDEX(AA!$AA$13:$AA$15,MATCH(A78,AA!$C$13:$C$15,0))</f>
        <v>#REF!</v>
      </c>
      <c r="L78" s="261" t="e">
        <f>-INDEX(AO!$AZ$18:$AZ$20,MATCH(A78,AO!$C$18:$C$20,0))</f>
        <v>#REF!</v>
      </c>
      <c r="M78" s="261" t="e">
        <f>INDEX(AO!$DF$18:$DF$20,MATCH(A78,AO!$C$18:$C$20,0))-INDEX(AO!$DA$18:$DA$20,MATCH(A78,AO!$C$18:$C$20,0))+INDEX(AA!$IJ$13:$IJ$15,MATCH(A78,AA!$C$13:$C$15,0))</f>
        <v>#REF!</v>
      </c>
      <c r="N78" s="261" t="e">
        <f>INDEX(AO!$EY$18:$EY$20,MATCH(A78,AO!$C$18:$C$20,0))</f>
        <v>#REF!</v>
      </c>
      <c r="O78" s="261" t="e">
        <f>INDEX(AO!$ED$18:$ED$20,MATCH(A78,AO!$C$18:$C$20,0))</f>
        <v>#REF!</v>
      </c>
      <c r="P78" s="261" t="e">
        <f>INDEX(AO!$EU$18:$EU$20,MATCH(A78,AO!$C$18:$C$20,0))</f>
        <v>#REF!</v>
      </c>
      <c r="Q78" s="261" t="e">
        <f t="shared" si="24"/>
        <v>#REF!</v>
      </c>
      <c r="S78" s="261"/>
      <c r="T78" s="261"/>
      <c r="U78" s="261"/>
      <c r="V78" s="261"/>
      <c r="W78" s="261"/>
      <c r="X78" s="261"/>
      <c r="Y78" s="261"/>
      <c r="Z78" s="261"/>
      <c r="AA78" s="261"/>
      <c r="AB78" s="261"/>
      <c r="AC78" s="261"/>
      <c r="AD78" s="261"/>
      <c r="AF78" s="261" t="e">
        <f t="shared" si="25"/>
        <v>#REF!</v>
      </c>
      <c r="AG78" s="261" t="e">
        <f t="shared" si="13"/>
        <v>#REF!</v>
      </c>
      <c r="AH78" s="261" t="e">
        <f t="shared" si="14"/>
        <v>#REF!</v>
      </c>
      <c r="AI78" s="261" t="e">
        <f t="shared" si="15"/>
        <v>#REF!</v>
      </c>
      <c r="AJ78" s="261" t="e">
        <f t="shared" si="16"/>
        <v>#REF!</v>
      </c>
      <c r="AK78" s="261" t="e">
        <f t="shared" si="17"/>
        <v>#REF!</v>
      </c>
      <c r="AL78" s="261" t="e">
        <f t="shared" si="18"/>
        <v>#REF!</v>
      </c>
      <c r="AM78" s="261" t="e">
        <f t="shared" si="19"/>
        <v>#REF!</v>
      </c>
      <c r="AN78" s="261" t="e">
        <f t="shared" si="20"/>
        <v>#REF!</v>
      </c>
      <c r="AO78" s="261" t="e">
        <f t="shared" si="21"/>
        <v>#REF!</v>
      </c>
      <c r="AP78" s="261" t="e">
        <f t="shared" si="22"/>
        <v>#REF!</v>
      </c>
      <c r="AQ78" s="261" t="e">
        <f t="shared" si="23"/>
        <v>#REF!</v>
      </c>
    </row>
    <row r="79" spans="1:43">
      <c r="A79" s="1256" t="e">
        <f>AA!#REF!</f>
        <v>#REF!</v>
      </c>
      <c r="B79" s="1256" t="e">
        <f>INDEX(AA!$AC$13:$AC$15,MATCH(A79,AA!$C$13:$C$15,0))</f>
        <v>#REF!</v>
      </c>
      <c r="C79" s="1256" t="e">
        <f>INDEX(AA!$AI$13:$AI$15,MATCH(A79,AA!$C$13:$C$15,0))</f>
        <v>#REF!</v>
      </c>
      <c r="D79" s="1256" t="e">
        <f>INDEX(AA!$AN$13:$AN$15,MATCH(A79,AA!$C$13:$C$15,0))</f>
        <v>#REF!</v>
      </c>
      <c r="E79" s="1256"/>
      <c r="F79" s="1257" t="e">
        <f>INDEX(AO!$DJ$18:$DJ$20,MATCH(A79,AO!$C$18:$C$20,0))</f>
        <v>#REF!</v>
      </c>
      <c r="G79" s="1257" t="e">
        <f>INDEX(AO!$AS$18:$AS$20,MATCH(A79,AO!$C$18:$C$20,0))</f>
        <v>#REF!</v>
      </c>
      <c r="H79" s="1257" t="e">
        <f>INDEX(AO!$AT$18:$AT$20,MATCH(A79,AO!$C$18:$C$20,0))</f>
        <v>#REF!</v>
      </c>
      <c r="I79" s="1257" t="e">
        <f>INDEX(AO!$CE$18:$CE$20,MATCH(A79,AO!$C$18:$C$20,0))</f>
        <v>#REF!</v>
      </c>
      <c r="J79" s="1257" t="e">
        <f>INDEX(AA!$M$13:$M$15,MATCH(A79,AA!$C$13:$C$15,0))</f>
        <v>#REF!</v>
      </c>
      <c r="K79" s="1257" t="e">
        <f>INDEX(AA!$AA$13:$AA$15,MATCH(A79,AA!$C$13:$C$15,0))</f>
        <v>#REF!</v>
      </c>
      <c r="L79" s="1257" t="e">
        <f>-INDEX(AO!$AZ$18:$AZ$20,MATCH(A79,AO!$C$18:$C$20,0))</f>
        <v>#REF!</v>
      </c>
      <c r="M79" s="1257" t="e">
        <f>INDEX(AO!$DF$18:$DF$20,MATCH(A79,AO!$C$18:$C$20,0))-INDEX(AO!$DA$18:$DA$20,MATCH(A79,AO!$C$18:$C$20,0))+INDEX(AA!$IJ$13:$IJ$15,MATCH(A79,AA!$C$13:$C$15,0))</f>
        <v>#REF!</v>
      </c>
      <c r="N79" s="1257" t="e">
        <f>INDEX(AO!$EY$18:$EY$20,MATCH(A79,AO!$C$18:$C$20,0))</f>
        <v>#REF!</v>
      </c>
      <c r="O79" s="1257" t="e">
        <f>INDEX(AO!$ED$18:$ED$20,MATCH(A79,AO!$C$18:$C$20,0))</f>
        <v>#REF!</v>
      </c>
      <c r="P79" s="1257" t="e">
        <f>INDEX(AO!$EU$18:$EU$20,MATCH(A79,AO!$C$18:$C$20,0))</f>
        <v>#REF!</v>
      </c>
      <c r="Q79" s="1257" t="e">
        <f t="shared" si="24"/>
        <v>#REF!</v>
      </c>
      <c r="S79" s="1257"/>
      <c r="T79" s="1257"/>
      <c r="U79" s="1257"/>
      <c r="V79" s="1257"/>
      <c r="W79" s="1257"/>
      <c r="X79" s="1257"/>
      <c r="Y79" s="1257"/>
      <c r="Z79" s="1257"/>
      <c r="AA79" s="1257"/>
      <c r="AB79" s="1257"/>
      <c r="AC79" s="1257"/>
      <c r="AD79" s="1257"/>
      <c r="AF79" s="1257" t="e">
        <f t="shared" si="25"/>
        <v>#REF!</v>
      </c>
      <c r="AG79" s="1257" t="e">
        <f t="shared" si="13"/>
        <v>#REF!</v>
      </c>
      <c r="AH79" s="1257" t="e">
        <f t="shared" si="14"/>
        <v>#REF!</v>
      </c>
      <c r="AI79" s="1257" t="e">
        <f t="shared" si="15"/>
        <v>#REF!</v>
      </c>
      <c r="AJ79" s="1257" t="e">
        <f t="shared" si="16"/>
        <v>#REF!</v>
      </c>
      <c r="AK79" s="1257" t="e">
        <f t="shared" si="17"/>
        <v>#REF!</v>
      </c>
      <c r="AL79" s="1257" t="e">
        <f t="shared" si="18"/>
        <v>#REF!</v>
      </c>
      <c r="AM79" s="1257" t="e">
        <f t="shared" si="19"/>
        <v>#REF!</v>
      </c>
      <c r="AN79" s="1257" t="e">
        <f t="shared" si="20"/>
        <v>#REF!</v>
      </c>
      <c r="AO79" s="1257" t="e">
        <f t="shared" si="21"/>
        <v>#REF!</v>
      </c>
      <c r="AP79" s="1257" t="e">
        <f t="shared" si="22"/>
        <v>#REF!</v>
      </c>
      <c r="AQ79" s="1257" t="e">
        <f t="shared" si="23"/>
        <v>#REF!</v>
      </c>
    </row>
    <row r="80" spans="1:43">
      <c r="A80" t="e">
        <f>AA!#REF!</f>
        <v>#REF!</v>
      </c>
      <c r="B80" t="e">
        <f>INDEX(AA!$AC$13:$AC$15,MATCH(A80,AA!$C$13:$C$15,0))</f>
        <v>#REF!</v>
      </c>
      <c r="C80" t="e">
        <f>INDEX(AA!$AI$13:$AI$15,MATCH(A80,AA!$C$13:$C$15,0))</f>
        <v>#REF!</v>
      </c>
      <c r="D80" t="e">
        <f>INDEX(AA!$AN$13:$AN$15,MATCH(A80,AA!$C$13:$C$15,0))</f>
        <v>#REF!</v>
      </c>
      <c r="F80" s="261" t="e">
        <f>INDEX(AO!$DJ$18:$DJ$20,MATCH(A80,AO!$C$18:$C$20,0))</f>
        <v>#REF!</v>
      </c>
      <c r="G80" s="261" t="e">
        <f>INDEX(AO!$AS$18:$AS$20,MATCH(A80,AO!$C$18:$C$20,0))</f>
        <v>#REF!</v>
      </c>
      <c r="H80" s="261" t="e">
        <f>INDEX(AO!$AT$18:$AT$20,MATCH(A80,AO!$C$18:$C$20,0))</f>
        <v>#REF!</v>
      </c>
      <c r="I80" s="261" t="e">
        <f>INDEX(AO!$CE$18:$CE$20,MATCH(A80,AO!$C$18:$C$20,0))</f>
        <v>#REF!</v>
      </c>
      <c r="J80" s="261" t="e">
        <f>INDEX(AA!$M$13:$M$15,MATCH(A80,AA!$C$13:$C$15,0))</f>
        <v>#REF!</v>
      </c>
      <c r="K80" s="261" t="e">
        <f>INDEX(AA!$AA$13:$AA$15,MATCH(A80,AA!$C$13:$C$15,0))</f>
        <v>#REF!</v>
      </c>
      <c r="L80" s="261" t="e">
        <f>-INDEX(AO!$AZ$18:$AZ$20,MATCH(A80,AO!$C$18:$C$20,0))</f>
        <v>#REF!</v>
      </c>
      <c r="M80" s="261" t="e">
        <f>INDEX(AO!$DF$18:$DF$20,MATCH(A80,AO!$C$18:$C$20,0))-INDEX(AO!$DA$18:$DA$20,MATCH(A80,AO!$C$18:$C$20,0))+INDEX(AA!$IJ$13:$IJ$15,MATCH(A80,AA!$C$13:$C$15,0))</f>
        <v>#REF!</v>
      </c>
      <c r="N80" s="261" t="e">
        <f>INDEX(AO!$EY$18:$EY$20,MATCH(A80,AO!$C$18:$C$20,0))</f>
        <v>#REF!</v>
      </c>
      <c r="O80" s="261" t="e">
        <f>INDEX(AO!$ED$18:$ED$20,MATCH(A80,AO!$C$18:$C$20,0))</f>
        <v>#REF!</v>
      </c>
      <c r="P80" s="261" t="e">
        <f>INDEX(AO!$EU$18:$EU$20,MATCH(A80,AO!$C$18:$C$20,0))</f>
        <v>#REF!</v>
      </c>
      <c r="Q80" s="261" t="e">
        <f t="shared" si="24"/>
        <v>#REF!</v>
      </c>
      <c r="S80" s="261"/>
      <c r="T80" s="261"/>
      <c r="U80" s="261"/>
      <c r="V80" s="261"/>
      <c r="W80" s="261"/>
      <c r="X80" s="261"/>
      <c r="Y80" s="261"/>
      <c r="Z80" s="261"/>
      <c r="AA80" s="261"/>
      <c r="AB80" s="261"/>
      <c r="AC80" s="261"/>
      <c r="AD80" s="261"/>
      <c r="AF80" s="261" t="e">
        <f t="shared" si="25"/>
        <v>#REF!</v>
      </c>
      <c r="AG80" s="261" t="e">
        <f t="shared" si="13"/>
        <v>#REF!</v>
      </c>
      <c r="AH80" s="261" t="e">
        <f t="shared" si="14"/>
        <v>#REF!</v>
      </c>
      <c r="AI80" s="261" t="e">
        <f t="shared" si="15"/>
        <v>#REF!</v>
      </c>
      <c r="AJ80" s="261" t="e">
        <f t="shared" si="16"/>
        <v>#REF!</v>
      </c>
      <c r="AK80" s="261" t="e">
        <f t="shared" si="17"/>
        <v>#REF!</v>
      </c>
      <c r="AL80" s="261" t="e">
        <f t="shared" si="18"/>
        <v>#REF!</v>
      </c>
      <c r="AM80" s="261" t="e">
        <f t="shared" si="19"/>
        <v>#REF!</v>
      </c>
      <c r="AN80" s="261" t="e">
        <f t="shared" si="20"/>
        <v>#REF!</v>
      </c>
      <c r="AO80" s="261" t="e">
        <f t="shared" si="21"/>
        <v>#REF!</v>
      </c>
      <c r="AP80" s="261" t="e">
        <f t="shared" si="22"/>
        <v>#REF!</v>
      </c>
      <c r="AQ80" s="261" t="e">
        <f t="shared" si="23"/>
        <v>#REF!</v>
      </c>
    </row>
    <row r="81" spans="1:43">
      <c r="A81" s="1256" t="e">
        <f>AA!#REF!</f>
        <v>#REF!</v>
      </c>
      <c r="B81" s="1256" t="e">
        <f>INDEX(AA!$AC$13:$AC$15,MATCH(A81,AA!$C$13:$C$15,0))</f>
        <v>#REF!</v>
      </c>
      <c r="C81" s="1256" t="e">
        <f>INDEX(AA!$AI$13:$AI$15,MATCH(A81,AA!$C$13:$C$15,0))</f>
        <v>#REF!</v>
      </c>
      <c r="D81" s="1256" t="e">
        <f>INDEX(AA!$AN$13:$AN$15,MATCH(A81,AA!$C$13:$C$15,0))</f>
        <v>#REF!</v>
      </c>
      <c r="E81" s="1256"/>
      <c r="F81" s="1257" t="e">
        <f>INDEX(AO!$DJ$18:$DJ$20,MATCH(A81,AO!$C$18:$C$20,0))</f>
        <v>#REF!</v>
      </c>
      <c r="G81" s="1257" t="e">
        <f>INDEX(AO!$AS$18:$AS$20,MATCH(A81,AO!$C$18:$C$20,0))</f>
        <v>#REF!</v>
      </c>
      <c r="H81" s="1257" t="e">
        <f>INDEX(AO!$AT$18:$AT$20,MATCH(A81,AO!$C$18:$C$20,0))</f>
        <v>#REF!</v>
      </c>
      <c r="I81" s="1257" t="e">
        <f>INDEX(AO!$CE$18:$CE$20,MATCH(A81,AO!$C$18:$C$20,0))</f>
        <v>#REF!</v>
      </c>
      <c r="J81" s="1257" t="e">
        <f>INDEX(AA!$M$13:$M$15,MATCH(A81,AA!$C$13:$C$15,0))</f>
        <v>#REF!</v>
      </c>
      <c r="K81" s="1257" t="e">
        <f>INDEX(AA!$AA$13:$AA$15,MATCH(A81,AA!$C$13:$C$15,0))</f>
        <v>#REF!</v>
      </c>
      <c r="L81" s="1257" t="e">
        <f>-INDEX(AO!$AZ$18:$AZ$20,MATCH(A81,AO!$C$18:$C$20,0))</f>
        <v>#REF!</v>
      </c>
      <c r="M81" s="1257" t="e">
        <f>INDEX(AO!$DF$18:$DF$20,MATCH(A81,AO!$C$18:$C$20,0))-INDEX(AO!$DA$18:$DA$20,MATCH(A81,AO!$C$18:$C$20,0))+INDEX(AA!$IJ$13:$IJ$15,MATCH(A81,AA!$C$13:$C$15,0))</f>
        <v>#REF!</v>
      </c>
      <c r="N81" s="1257" t="e">
        <f>INDEX(AO!$EY$18:$EY$20,MATCH(A81,AO!$C$18:$C$20,0))</f>
        <v>#REF!</v>
      </c>
      <c r="O81" s="1257" t="e">
        <f>INDEX(AO!$ED$18:$ED$20,MATCH(A81,AO!$C$18:$C$20,0))</f>
        <v>#REF!</v>
      </c>
      <c r="P81" s="1257" t="e">
        <f>INDEX(AO!$EU$18:$EU$20,MATCH(A81,AO!$C$18:$C$20,0))</f>
        <v>#REF!</v>
      </c>
      <c r="Q81" s="1257" t="e">
        <f t="shared" si="24"/>
        <v>#REF!</v>
      </c>
      <c r="S81" s="1257"/>
      <c r="T81" s="1257"/>
      <c r="U81" s="1257"/>
      <c r="V81" s="1257"/>
      <c r="W81" s="1257"/>
      <c r="X81" s="1257"/>
      <c r="Y81" s="1257"/>
      <c r="Z81" s="1257"/>
      <c r="AA81" s="1257"/>
      <c r="AB81" s="1257"/>
      <c r="AC81" s="1257"/>
      <c r="AD81" s="1257"/>
      <c r="AF81" s="1257" t="e">
        <f t="shared" si="25"/>
        <v>#REF!</v>
      </c>
      <c r="AG81" s="1257" t="e">
        <f t="shared" si="13"/>
        <v>#REF!</v>
      </c>
      <c r="AH81" s="1257" t="e">
        <f t="shared" si="14"/>
        <v>#REF!</v>
      </c>
      <c r="AI81" s="1257" t="e">
        <f t="shared" si="15"/>
        <v>#REF!</v>
      </c>
      <c r="AJ81" s="1257" t="e">
        <f t="shared" si="16"/>
        <v>#REF!</v>
      </c>
      <c r="AK81" s="1257" t="e">
        <f t="shared" si="17"/>
        <v>#REF!</v>
      </c>
      <c r="AL81" s="1257" t="e">
        <f t="shared" si="18"/>
        <v>#REF!</v>
      </c>
      <c r="AM81" s="1257" t="e">
        <f t="shared" si="19"/>
        <v>#REF!</v>
      </c>
      <c r="AN81" s="1257" t="e">
        <f t="shared" si="20"/>
        <v>#REF!</v>
      </c>
      <c r="AO81" s="1257" t="e">
        <f t="shared" si="21"/>
        <v>#REF!</v>
      </c>
      <c r="AP81" s="1257" t="e">
        <f t="shared" si="22"/>
        <v>#REF!</v>
      </c>
      <c r="AQ81" s="1257" t="e">
        <f t="shared" si="23"/>
        <v>#REF!</v>
      </c>
    </row>
    <row r="82" spans="1:43">
      <c r="A82" t="e">
        <f>AA!#REF!</f>
        <v>#REF!</v>
      </c>
      <c r="B82" t="e">
        <f>INDEX(AA!$AC$13:$AC$15,MATCH(A82,AA!$C$13:$C$15,0))</f>
        <v>#REF!</v>
      </c>
      <c r="C82" t="e">
        <f>INDEX(AA!$AI$13:$AI$15,MATCH(A82,AA!$C$13:$C$15,0))</f>
        <v>#REF!</v>
      </c>
      <c r="D82" t="e">
        <f>INDEX(AA!$AN$13:$AN$15,MATCH(A82,AA!$C$13:$C$15,0))</f>
        <v>#REF!</v>
      </c>
      <c r="F82" s="261" t="e">
        <f>INDEX(AO!$DJ$18:$DJ$20,MATCH(A82,AO!$C$18:$C$20,0))</f>
        <v>#REF!</v>
      </c>
      <c r="G82" s="261" t="e">
        <f>INDEX(AO!$AS$18:$AS$20,MATCH(A82,AO!$C$18:$C$20,0))</f>
        <v>#REF!</v>
      </c>
      <c r="H82" s="261" t="e">
        <f>INDEX(AO!$AT$18:$AT$20,MATCH(A82,AO!$C$18:$C$20,0))</f>
        <v>#REF!</v>
      </c>
      <c r="I82" s="261" t="e">
        <f>INDEX(AO!$CE$18:$CE$20,MATCH(A82,AO!$C$18:$C$20,0))</f>
        <v>#REF!</v>
      </c>
      <c r="J82" s="261" t="e">
        <f>INDEX(AA!$M$13:$M$15,MATCH(A82,AA!$C$13:$C$15,0))</f>
        <v>#REF!</v>
      </c>
      <c r="K82" s="261" t="e">
        <f>INDEX(AA!$AA$13:$AA$15,MATCH(A82,AA!$C$13:$C$15,0))</f>
        <v>#REF!</v>
      </c>
      <c r="L82" s="261" t="e">
        <f>-INDEX(AO!$AZ$18:$AZ$20,MATCH(A82,AO!$C$18:$C$20,0))</f>
        <v>#REF!</v>
      </c>
      <c r="M82" s="261" t="e">
        <f>INDEX(AO!$DF$18:$DF$20,MATCH(A82,AO!$C$18:$C$20,0))-INDEX(AO!$DA$18:$DA$20,MATCH(A82,AO!$C$18:$C$20,0))+INDEX(AA!$IJ$13:$IJ$15,MATCH(A82,AA!$C$13:$C$15,0))</f>
        <v>#REF!</v>
      </c>
      <c r="N82" s="261" t="e">
        <f>INDEX(AO!$EY$18:$EY$20,MATCH(A82,AO!$C$18:$C$20,0))</f>
        <v>#REF!</v>
      </c>
      <c r="O82" s="261" t="e">
        <f>INDEX(AO!$ED$18:$ED$20,MATCH(A82,AO!$C$18:$C$20,0))</f>
        <v>#REF!</v>
      </c>
      <c r="P82" s="261" t="e">
        <f>INDEX(AO!$EU$18:$EU$20,MATCH(A82,AO!$C$18:$C$20,0))</f>
        <v>#REF!</v>
      </c>
      <c r="Q82" s="261" t="e">
        <f t="shared" si="24"/>
        <v>#REF!</v>
      </c>
      <c r="S82" s="261"/>
      <c r="T82" s="261"/>
      <c r="U82" s="261"/>
      <c r="V82" s="261"/>
      <c r="W82" s="261"/>
      <c r="X82" s="261"/>
      <c r="Y82" s="261"/>
      <c r="Z82" s="261"/>
      <c r="AA82" s="261"/>
      <c r="AB82" s="261"/>
      <c r="AC82" s="261"/>
      <c r="AD82" s="261"/>
      <c r="AF82" s="261" t="e">
        <f t="shared" si="25"/>
        <v>#REF!</v>
      </c>
      <c r="AG82" s="261" t="e">
        <f t="shared" si="13"/>
        <v>#REF!</v>
      </c>
      <c r="AH82" s="261" t="e">
        <f t="shared" si="14"/>
        <v>#REF!</v>
      </c>
      <c r="AI82" s="261" t="e">
        <f t="shared" si="15"/>
        <v>#REF!</v>
      </c>
      <c r="AJ82" s="261" t="e">
        <f t="shared" si="16"/>
        <v>#REF!</v>
      </c>
      <c r="AK82" s="261" t="e">
        <f t="shared" si="17"/>
        <v>#REF!</v>
      </c>
      <c r="AL82" s="261" t="e">
        <f t="shared" si="18"/>
        <v>#REF!</v>
      </c>
      <c r="AM82" s="261" t="e">
        <f t="shared" si="19"/>
        <v>#REF!</v>
      </c>
      <c r="AN82" s="261" t="e">
        <f t="shared" si="20"/>
        <v>#REF!</v>
      </c>
      <c r="AO82" s="261" t="e">
        <f t="shared" si="21"/>
        <v>#REF!</v>
      </c>
      <c r="AP82" s="261" t="e">
        <f t="shared" si="22"/>
        <v>#REF!</v>
      </c>
      <c r="AQ82" s="261" t="e">
        <f t="shared" si="23"/>
        <v>#REF!</v>
      </c>
    </row>
    <row r="83" spans="1:43">
      <c r="A83" s="1256" t="e">
        <f>AA!#REF!</f>
        <v>#REF!</v>
      </c>
      <c r="B83" s="1256" t="e">
        <f>INDEX(AA!$AC$13:$AC$15,MATCH(A83,AA!$C$13:$C$15,0))</f>
        <v>#REF!</v>
      </c>
      <c r="C83" s="1256" t="e">
        <f>INDEX(AA!$AI$13:$AI$15,MATCH(A83,AA!$C$13:$C$15,0))</f>
        <v>#REF!</v>
      </c>
      <c r="D83" s="1256" t="e">
        <f>INDEX(AA!$AN$13:$AN$15,MATCH(A83,AA!$C$13:$C$15,0))</f>
        <v>#REF!</v>
      </c>
      <c r="E83" s="1256"/>
      <c r="F83" s="1257" t="e">
        <f>INDEX(AO!$DJ$18:$DJ$20,MATCH(A83,AO!$C$18:$C$20,0))</f>
        <v>#REF!</v>
      </c>
      <c r="G83" s="1257" t="e">
        <f>INDEX(AO!$AS$18:$AS$20,MATCH(A83,AO!$C$18:$C$20,0))</f>
        <v>#REF!</v>
      </c>
      <c r="H83" s="1257" t="e">
        <f>INDEX(AO!$AT$18:$AT$20,MATCH(A83,AO!$C$18:$C$20,0))</f>
        <v>#REF!</v>
      </c>
      <c r="I83" s="1257" t="e">
        <f>INDEX(AO!$CE$18:$CE$20,MATCH(A83,AO!$C$18:$C$20,0))</f>
        <v>#REF!</v>
      </c>
      <c r="J83" s="1257" t="e">
        <f>INDEX(AA!$M$13:$M$15,MATCH(A83,AA!$C$13:$C$15,0))</f>
        <v>#REF!</v>
      </c>
      <c r="K83" s="1257" t="e">
        <f>INDEX(AA!$AA$13:$AA$15,MATCH(A83,AA!$C$13:$C$15,0))</f>
        <v>#REF!</v>
      </c>
      <c r="L83" s="1257" t="e">
        <f>-INDEX(AO!$AZ$18:$AZ$20,MATCH(A83,AO!$C$18:$C$20,0))</f>
        <v>#REF!</v>
      </c>
      <c r="M83" s="1257" t="e">
        <f>INDEX(AO!$DF$18:$DF$20,MATCH(A83,AO!$C$18:$C$20,0))-INDEX(AO!$DA$18:$DA$20,MATCH(A83,AO!$C$18:$C$20,0))+INDEX(AA!$IJ$13:$IJ$15,MATCH(A83,AA!$C$13:$C$15,0))</f>
        <v>#REF!</v>
      </c>
      <c r="N83" s="1257" t="e">
        <f>INDEX(AO!$EY$18:$EY$20,MATCH(A83,AO!$C$18:$C$20,0))</f>
        <v>#REF!</v>
      </c>
      <c r="O83" s="1257" t="e">
        <f>INDEX(AO!$ED$18:$ED$20,MATCH(A83,AO!$C$18:$C$20,0))</f>
        <v>#REF!</v>
      </c>
      <c r="P83" s="1257" t="e">
        <f>INDEX(AO!$EU$18:$EU$20,MATCH(A83,AO!$C$18:$C$20,0))</f>
        <v>#REF!</v>
      </c>
      <c r="Q83" s="1257" t="e">
        <f t="shared" si="24"/>
        <v>#REF!</v>
      </c>
      <c r="S83" s="1257"/>
      <c r="T83" s="1257"/>
      <c r="U83" s="1257"/>
      <c r="V83" s="1257"/>
      <c r="W83" s="1257"/>
      <c r="X83" s="1257"/>
      <c r="Y83" s="1257"/>
      <c r="Z83" s="1257"/>
      <c r="AA83" s="1257"/>
      <c r="AB83" s="1257"/>
      <c r="AC83" s="1257"/>
      <c r="AD83" s="1257"/>
      <c r="AF83" s="1257" t="e">
        <f t="shared" si="25"/>
        <v>#REF!</v>
      </c>
      <c r="AG83" s="1257" t="e">
        <f t="shared" si="13"/>
        <v>#REF!</v>
      </c>
      <c r="AH83" s="1257" t="e">
        <f t="shared" si="14"/>
        <v>#REF!</v>
      </c>
      <c r="AI83" s="1257" t="e">
        <f t="shared" si="15"/>
        <v>#REF!</v>
      </c>
      <c r="AJ83" s="1257" t="e">
        <f t="shared" si="16"/>
        <v>#REF!</v>
      </c>
      <c r="AK83" s="1257" t="e">
        <f t="shared" si="17"/>
        <v>#REF!</v>
      </c>
      <c r="AL83" s="1257" t="e">
        <f t="shared" si="18"/>
        <v>#REF!</v>
      </c>
      <c r="AM83" s="1257" t="e">
        <f t="shared" si="19"/>
        <v>#REF!</v>
      </c>
      <c r="AN83" s="1257" t="e">
        <f t="shared" si="20"/>
        <v>#REF!</v>
      </c>
      <c r="AO83" s="1257" t="e">
        <f t="shared" si="21"/>
        <v>#REF!</v>
      </c>
      <c r="AP83" s="1257" t="e">
        <f t="shared" si="22"/>
        <v>#REF!</v>
      </c>
      <c r="AQ83" s="1257" t="e">
        <f t="shared" si="23"/>
        <v>#REF!</v>
      </c>
    </row>
    <row r="84" spans="1:43">
      <c r="A84" t="e">
        <f>AA!#REF!</f>
        <v>#REF!</v>
      </c>
      <c r="B84" t="e">
        <f>INDEX(AA!$AC$13:$AC$15,MATCH(A84,AA!$C$13:$C$15,0))</f>
        <v>#REF!</v>
      </c>
      <c r="C84" t="e">
        <f>INDEX(AA!$AI$13:$AI$15,MATCH(A84,AA!$C$13:$C$15,0))</f>
        <v>#REF!</v>
      </c>
      <c r="D84" t="e">
        <f>INDEX(AA!$AN$13:$AN$15,MATCH(A84,AA!$C$13:$C$15,0))</f>
        <v>#REF!</v>
      </c>
      <c r="F84" s="261" t="e">
        <f>INDEX(AO!$DJ$18:$DJ$20,MATCH(A84,AO!$C$18:$C$20,0))</f>
        <v>#REF!</v>
      </c>
      <c r="G84" s="261" t="e">
        <f>INDEX(AO!$AS$18:$AS$20,MATCH(A84,AO!$C$18:$C$20,0))</f>
        <v>#REF!</v>
      </c>
      <c r="H84" s="261" t="e">
        <f>INDEX(AO!$AT$18:$AT$20,MATCH(A84,AO!$C$18:$C$20,0))</f>
        <v>#REF!</v>
      </c>
      <c r="I84" s="261" t="e">
        <f>INDEX(AO!$CE$18:$CE$20,MATCH(A84,AO!$C$18:$C$20,0))</f>
        <v>#REF!</v>
      </c>
      <c r="J84" s="261" t="e">
        <f>INDEX(AA!$M$13:$M$15,MATCH(A84,AA!$C$13:$C$15,0))</f>
        <v>#REF!</v>
      </c>
      <c r="K84" s="261" t="e">
        <f>INDEX(AA!$AA$13:$AA$15,MATCH(A84,AA!$C$13:$C$15,0))</f>
        <v>#REF!</v>
      </c>
      <c r="L84" s="261" t="e">
        <f>-INDEX(AO!$AZ$18:$AZ$20,MATCH(A84,AO!$C$18:$C$20,0))</f>
        <v>#REF!</v>
      </c>
      <c r="M84" s="261" t="e">
        <f>INDEX(AO!$DF$18:$DF$20,MATCH(A84,AO!$C$18:$C$20,0))-INDEX(AO!$DA$18:$DA$20,MATCH(A84,AO!$C$18:$C$20,0))+INDEX(AA!$IJ$13:$IJ$15,MATCH(A84,AA!$C$13:$C$15,0))</f>
        <v>#REF!</v>
      </c>
      <c r="N84" s="261" t="e">
        <f>INDEX(AO!$EY$18:$EY$20,MATCH(A84,AO!$C$18:$C$20,0))</f>
        <v>#REF!</v>
      </c>
      <c r="O84" s="261" t="e">
        <f>INDEX(AO!$ED$18:$ED$20,MATCH(A84,AO!$C$18:$C$20,0))</f>
        <v>#REF!</v>
      </c>
      <c r="P84" s="261" t="e">
        <f>INDEX(AO!$EU$18:$EU$20,MATCH(A84,AO!$C$18:$C$20,0))</f>
        <v>#REF!</v>
      </c>
      <c r="Q84" s="261" t="e">
        <f t="shared" si="24"/>
        <v>#REF!</v>
      </c>
      <c r="S84" s="261"/>
      <c r="T84" s="261"/>
      <c r="U84" s="261"/>
      <c r="V84" s="261"/>
      <c r="W84" s="261"/>
      <c r="X84" s="261"/>
      <c r="Y84" s="261"/>
      <c r="Z84" s="261"/>
      <c r="AA84" s="261"/>
      <c r="AB84" s="261"/>
      <c r="AC84" s="261"/>
      <c r="AD84" s="261"/>
      <c r="AF84" s="261" t="e">
        <f t="shared" si="25"/>
        <v>#REF!</v>
      </c>
      <c r="AG84" s="261" t="e">
        <f t="shared" si="13"/>
        <v>#REF!</v>
      </c>
      <c r="AH84" s="261" t="e">
        <f t="shared" si="14"/>
        <v>#REF!</v>
      </c>
      <c r="AI84" s="261" t="e">
        <f t="shared" si="15"/>
        <v>#REF!</v>
      </c>
      <c r="AJ84" s="261" t="e">
        <f t="shared" si="16"/>
        <v>#REF!</v>
      </c>
      <c r="AK84" s="261" t="e">
        <f t="shared" si="17"/>
        <v>#REF!</v>
      </c>
      <c r="AL84" s="261" t="e">
        <f t="shared" si="18"/>
        <v>#REF!</v>
      </c>
      <c r="AM84" s="261" t="e">
        <f t="shared" si="19"/>
        <v>#REF!</v>
      </c>
      <c r="AN84" s="261" t="e">
        <f t="shared" si="20"/>
        <v>#REF!</v>
      </c>
      <c r="AO84" s="261" t="e">
        <f t="shared" si="21"/>
        <v>#REF!</v>
      </c>
      <c r="AP84" s="261" t="e">
        <f t="shared" si="22"/>
        <v>#REF!</v>
      </c>
      <c r="AQ84" s="261" t="e">
        <f t="shared" si="23"/>
        <v>#REF!</v>
      </c>
    </row>
    <row r="85" spans="1:43">
      <c r="A85" s="1256" t="e">
        <f>AA!#REF!</f>
        <v>#REF!</v>
      </c>
      <c r="B85" s="1256" t="e">
        <f>INDEX(AA!$AC$13:$AC$15,MATCH(A85,AA!$C$13:$C$15,0))</f>
        <v>#REF!</v>
      </c>
      <c r="C85" s="1256" t="e">
        <f>INDEX(AA!$AI$13:$AI$15,MATCH(A85,AA!$C$13:$C$15,0))</f>
        <v>#REF!</v>
      </c>
      <c r="D85" s="1256" t="e">
        <f>INDEX(AA!$AN$13:$AN$15,MATCH(A85,AA!$C$13:$C$15,0))</f>
        <v>#REF!</v>
      </c>
      <c r="E85" s="1256"/>
      <c r="F85" s="1257" t="e">
        <f>INDEX(AO!$DJ$18:$DJ$20,MATCH(A85,AO!$C$18:$C$20,0))</f>
        <v>#REF!</v>
      </c>
      <c r="G85" s="1257" t="e">
        <f>INDEX(AO!$AS$18:$AS$20,MATCH(A85,AO!$C$18:$C$20,0))</f>
        <v>#REF!</v>
      </c>
      <c r="H85" s="1257" t="e">
        <f>INDEX(AO!$AT$18:$AT$20,MATCH(A85,AO!$C$18:$C$20,0))</f>
        <v>#REF!</v>
      </c>
      <c r="I85" s="1257" t="e">
        <f>INDEX(AO!$CE$18:$CE$20,MATCH(A85,AO!$C$18:$C$20,0))</f>
        <v>#REF!</v>
      </c>
      <c r="J85" s="1257" t="e">
        <f>INDEX(AA!$M$13:$M$15,MATCH(A85,AA!$C$13:$C$15,0))</f>
        <v>#REF!</v>
      </c>
      <c r="K85" s="1257" t="e">
        <f>INDEX(AA!$AA$13:$AA$15,MATCH(A85,AA!$C$13:$C$15,0))</f>
        <v>#REF!</v>
      </c>
      <c r="L85" s="1257" t="e">
        <f>-INDEX(AO!$AZ$18:$AZ$20,MATCH(A85,AO!$C$18:$C$20,0))</f>
        <v>#REF!</v>
      </c>
      <c r="M85" s="1257" t="e">
        <f>INDEX(AO!$DF$18:$DF$20,MATCH(A85,AO!$C$18:$C$20,0))-INDEX(AO!$DA$18:$DA$20,MATCH(A85,AO!$C$18:$C$20,0))+INDEX(AA!$IJ$13:$IJ$15,MATCH(A85,AA!$C$13:$C$15,0))</f>
        <v>#REF!</v>
      </c>
      <c r="N85" s="1257" t="e">
        <f>INDEX(AO!$EY$18:$EY$20,MATCH(A85,AO!$C$18:$C$20,0))</f>
        <v>#REF!</v>
      </c>
      <c r="O85" s="1257" t="e">
        <f>INDEX(AO!$ED$18:$ED$20,MATCH(A85,AO!$C$18:$C$20,0))</f>
        <v>#REF!</v>
      </c>
      <c r="P85" s="1257" t="e">
        <f>INDEX(AO!$EU$18:$EU$20,MATCH(A85,AO!$C$18:$C$20,0))</f>
        <v>#REF!</v>
      </c>
      <c r="Q85" s="1257" t="e">
        <f t="shared" si="24"/>
        <v>#REF!</v>
      </c>
      <c r="S85" s="1257"/>
      <c r="T85" s="1257"/>
      <c r="U85" s="1257"/>
      <c r="V85" s="1257"/>
      <c r="W85" s="1257"/>
      <c r="X85" s="1257"/>
      <c r="Y85" s="1257"/>
      <c r="Z85" s="1257"/>
      <c r="AA85" s="1257"/>
      <c r="AB85" s="1257"/>
      <c r="AC85" s="1257"/>
      <c r="AD85" s="1257"/>
      <c r="AF85" s="1257" t="e">
        <f t="shared" si="25"/>
        <v>#REF!</v>
      </c>
      <c r="AG85" s="1257" t="e">
        <f t="shared" si="13"/>
        <v>#REF!</v>
      </c>
      <c r="AH85" s="1257" t="e">
        <f t="shared" si="14"/>
        <v>#REF!</v>
      </c>
      <c r="AI85" s="1257" t="e">
        <f t="shared" si="15"/>
        <v>#REF!</v>
      </c>
      <c r="AJ85" s="1257" t="e">
        <f t="shared" si="16"/>
        <v>#REF!</v>
      </c>
      <c r="AK85" s="1257" t="e">
        <f t="shared" si="17"/>
        <v>#REF!</v>
      </c>
      <c r="AL85" s="1257" t="e">
        <f t="shared" si="18"/>
        <v>#REF!</v>
      </c>
      <c r="AM85" s="1257" t="e">
        <f t="shared" si="19"/>
        <v>#REF!</v>
      </c>
      <c r="AN85" s="1257" t="e">
        <f t="shared" si="20"/>
        <v>#REF!</v>
      </c>
      <c r="AO85" s="1257" t="e">
        <f t="shared" si="21"/>
        <v>#REF!</v>
      </c>
      <c r="AP85" s="1257" t="e">
        <f t="shared" si="22"/>
        <v>#REF!</v>
      </c>
      <c r="AQ85" s="1257" t="e">
        <f t="shared" si="23"/>
        <v>#REF!</v>
      </c>
    </row>
    <row r="86" spans="1:43">
      <c r="A86" t="e">
        <f>AA!#REF!</f>
        <v>#REF!</v>
      </c>
      <c r="B86" t="e">
        <f>INDEX(AA!$AC$13:$AC$15,MATCH(A86,AA!$C$13:$C$15,0))</f>
        <v>#REF!</v>
      </c>
      <c r="C86" t="e">
        <f>INDEX(AA!$AI$13:$AI$15,MATCH(A86,AA!$C$13:$C$15,0))</f>
        <v>#REF!</v>
      </c>
      <c r="D86" t="e">
        <f>INDEX(AA!$AN$13:$AN$15,MATCH(A86,AA!$C$13:$C$15,0))</f>
        <v>#REF!</v>
      </c>
      <c r="F86" s="261" t="e">
        <f>INDEX(AO!$DJ$18:$DJ$20,MATCH(A86,AO!$C$18:$C$20,0))</f>
        <v>#REF!</v>
      </c>
      <c r="G86" s="261" t="e">
        <f>INDEX(AO!$AS$18:$AS$20,MATCH(A86,AO!$C$18:$C$20,0))</f>
        <v>#REF!</v>
      </c>
      <c r="H86" s="261" t="e">
        <f>INDEX(AO!$AT$18:$AT$20,MATCH(A86,AO!$C$18:$C$20,0))</f>
        <v>#REF!</v>
      </c>
      <c r="I86" s="261" t="e">
        <f>INDEX(AO!$CE$18:$CE$20,MATCH(A86,AO!$C$18:$C$20,0))</f>
        <v>#REF!</v>
      </c>
      <c r="J86" s="261" t="e">
        <f>INDEX(AA!$M$13:$M$15,MATCH(A86,AA!$C$13:$C$15,0))</f>
        <v>#REF!</v>
      </c>
      <c r="K86" s="261" t="e">
        <f>INDEX(AA!$AA$13:$AA$15,MATCH(A86,AA!$C$13:$C$15,0))</f>
        <v>#REF!</v>
      </c>
      <c r="L86" s="261" t="e">
        <f>-INDEX(AO!$AZ$18:$AZ$20,MATCH(A86,AO!$C$18:$C$20,0))</f>
        <v>#REF!</v>
      </c>
      <c r="M86" s="261" t="e">
        <f>INDEX(AO!$DF$18:$DF$20,MATCH(A86,AO!$C$18:$C$20,0))-INDEX(AO!$DA$18:$DA$20,MATCH(A86,AO!$C$18:$C$20,0))+INDEX(AA!$IJ$13:$IJ$15,MATCH(A86,AA!$C$13:$C$15,0))</f>
        <v>#REF!</v>
      </c>
      <c r="N86" s="261" t="e">
        <f>INDEX(AO!$EY$18:$EY$20,MATCH(A86,AO!$C$18:$C$20,0))</f>
        <v>#REF!</v>
      </c>
      <c r="O86" s="261" t="e">
        <f>INDEX(AO!$ED$18:$ED$20,MATCH(A86,AO!$C$18:$C$20,0))</f>
        <v>#REF!</v>
      </c>
      <c r="P86" s="261" t="e">
        <f>INDEX(AO!$EU$18:$EU$20,MATCH(A86,AO!$C$18:$C$20,0))</f>
        <v>#REF!</v>
      </c>
      <c r="Q86" s="261" t="e">
        <f t="shared" si="24"/>
        <v>#REF!</v>
      </c>
      <c r="S86" s="261"/>
      <c r="T86" s="261"/>
      <c r="U86" s="261"/>
      <c r="V86" s="261"/>
      <c r="W86" s="261"/>
      <c r="X86" s="261"/>
      <c r="Y86" s="261"/>
      <c r="Z86" s="261"/>
      <c r="AA86" s="261"/>
      <c r="AB86" s="261"/>
      <c r="AC86" s="261"/>
      <c r="AD86" s="261"/>
      <c r="AF86" s="261" t="e">
        <f t="shared" si="25"/>
        <v>#REF!</v>
      </c>
      <c r="AG86" s="261" t="e">
        <f t="shared" si="13"/>
        <v>#REF!</v>
      </c>
      <c r="AH86" s="261" t="e">
        <f t="shared" si="14"/>
        <v>#REF!</v>
      </c>
      <c r="AI86" s="261" t="e">
        <f t="shared" si="15"/>
        <v>#REF!</v>
      </c>
      <c r="AJ86" s="261" t="e">
        <f t="shared" si="16"/>
        <v>#REF!</v>
      </c>
      <c r="AK86" s="261" t="e">
        <f t="shared" si="17"/>
        <v>#REF!</v>
      </c>
      <c r="AL86" s="261" t="e">
        <f t="shared" si="18"/>
        <v>#REF!</v>
      </c>
      <c r="AM86" s="261" t="e">
        <f t="shared" si="19"/>
        <v>#REF!</v>
      </c>
      <c r="AN86" s="261" t="e">
        <f t="shared" si="20"/>
        <v>#REF!</v>
      </c>
      <c r="AO86" s="261" t="e">
        <f t="shared" si="21"/>
        <v>#REF!</v>
      </c>
      <c r="AP86" s="261" t="e">
        <f t="shared" si="22"/>
        <v>#REF!</v>
      </c>
      <c r="AQ86" s="261" t="e">
        <f t="shared" si="23"/>
        <v>#REF!</v>
      </c>
    </row>
    <row r="87" spans="1:43">
      <c r="A87" s="1256" t="e">
        <f>AA!#REF!</f>
        <v>#REF!</v>
      </c>
      <c r="B87" s="1256" t="e">
        <f>INDEX(AA!$AC$13:$AC$15,MATCH(A87,AA!$C$13:$C$15,0))</f>
        <v>#REF!</v>
      </c>
      <c r="C87" s="1256" t="e">
        <f>INDEX(AA!$AI$13:$AI$15,MATCH(A87,AA!$C$13:$C$15,0))</f>
        <v>#REF!</v>
      </c>
      <c r="D87" s="1256" t="e">
        <f>INDEX(AA!$AN$13:$AN$15,MATCH(A87,AA!$C$13:$C$15,0))</f>
        <v>#REF!</v>
      </c>
      <c r="E87" s="1256"/>
      <c r="F87" s="1257" t="e">
        <f>INDEX(AO!$DJ$18:$DJ$20,MATCH(A87,AO!$C$18:$C$20,0))</f>
        <v>#REF!</v>
      </c>
      <c r="G87" s="1257" t="e">
        <f>INDEX(AO!$AS$18:$AS$20,MATCH(A87,AO!$C$18:$C$20,0))</f>
        <v>#REF!</v>
      </c>
      <c r="H87" s="1257" t="e">
        <f>INDEX(AO!$AT$18:$AT$20,MATCH(A87,AO!$C$18:$C$20,0))</f>
        <v>#REF!</v>
      </c>
      <c r="I87" s="1257" t="e">
        <f>INDEX(AO!$CE$18:$CE$20,MATCH(A87,AO!$C$18:$C$20,0))</f>
        <v>#REF!</v>
      </c>
      <c r="J87" s="1257" t="e">
        <f>INDEX(AA!$M$13:$M$15,MATCH(A87,AA!$C$13:$C$15,0))</f>
        <v>#REF!</v>
      </c>
      <c r="K87" s="1257" t="e">
        <f>INDEX(AA!$AA$13:$AA$15,MATCH(A87,AA!$C$13:$C$15,0))</f>
        <v>#REF!</v>
      </c>
      <c r="L87" s="1257" t="e">
        <f>-INDEX(AO!$AZ$18:$AZ$20,MATCH(A87,AO!$C$18:$C$20,0))</f>
        <v>#REF!</v>
      </c>
      <c r="M87" s="1257" t="e">
        <f>INDEX(AO!$DF$18:$DF$20,MATCH(A87,AO!$C$18:$C$20,0))-INDEX(AO!$DA$18:$DA$20,MATCH(A87,AO!$C$18:$C$20,0))+INDEX(AA!$IJ$13:$IJ$15,MATCH(A87,AA!$C$13:$C$15,0))</f>
        <v>#REF!</v>
      </c>
      <c r="N87" s="1257" t="e">
        <f>INDEX(AO!$EY$18:$EY$20,MATCH(A87,AO!$C$18:$C$20,0))</f>
        <v>#REF!</v>
      </c>
      <c r="O87" s="1257" t="e">
        <f>INDEX(AO!$ED$18:$ED$20,MATCH(A87,AO!$C$18:$C$20,0))</f>
        <v>#REF!</v>
      </c>
      <c r="P87" s="1257" t="e">
        <f>INDEX(AO!$EU$18:$EU$20,MATCH(A87,AO!$C$18:$C$20,0))</f>
        <v>#REF!</v>
      </c>
      <c r="Q87" s="1257" t="e">
        <f t="shared" si="24"/>
        <v>#REF!</v>
      </c>
      <c r="S87" s="1257"/>
      <c r="T87" s="1257"/>
      <c r="U87" s="1257"/>
      <c r="V87" s="1257"/>
      <c r="W87" s="1257"/>
      <c r="X87" s="1257"/>
      <c r="Y87" s="1257"/>
      <c r="Z87" s="1257"/>
      <c r="AA87" s="1257"/>
      <c r="AB87" s="1257"/>
      <c r="AC87" s="1257"/>
      <c r="AD87" s="1257"/>
      <c r="AF87" s="1257" t="e">
        <f t="shared" si="25"/>
        <v>#REF!</v>
      </c>
      <c r="AG87" s="1257" t="e">
        <f t="shared" si="13"/>
        <v>#REF!</v>
      </c>
      <c r="AH87" s="1257" t="e">
        <f t="shared" si="14"/>
        <v>#REF!</v>
      </c>
      <c r="AI87" s="1257" t="e">
        <f t="shared" si="15"/>
        <v>#REF!</v>
      </c>
      <c r="AJ87" s="1257" t="e">
        <f t="shared" si="16"/>
        <v>#REF!</v>
      </c>
      <c r="AK87" s="1257" t="e">
        <f t="shared" si="17"/>
        <v>#REF!</v>
      </c>
      <c r="AL87" s="1257" t="e">
        <f t="shared" si="18"/>
        <v>#REF!</v>
      </c>
      <c r="AM87" s="1257" t="e">
        <f t="shared" si="19"/>
        <v>#REF!</v>
      </c>
      <c r="AN87" s="1257" t="e">
        <f t="shared" si="20"/>
        <v>#REF!</v>
      </c>
      <c r="AO87" s="1257" t="e">
        <f t="shared" si="21"/>
        <v>#REF!</v>
      </c>
      <c r="AP87" s="1257" t="e">
        <f t="shared" si="22"/>
        <v>#REF!</v>
      </c>
      <c r="AQ87" s="1257" t="e">
        <f t="shared" si="23"/>
        <v>#REF!</v>
      </c>
    </row>
    <row r="88" spans="1:43">
      <c r="A88" t="e">
        <f>AA!#REF!</f>
        <v>#REF!</v>
      </c>
      <c r="B88" t="e">
        <f>INDEX(AA!$AC$13:$AC$15,MATCH(A88,AA!$C$13:$C$15,0))</f>
        <v>#REF!</v>
      </c>
      <c r="C88" t="e">
        <f>INDEX(AA!$AI$13:$AI$15,MATCH(A88,AA!$C$13:$C$15,0))</f>
        <v>#REF!</v>
      </c>
      <c r="D88" t="e">
        <f>INDEX(AA!$AN$13:$AN$15,MATCH(A88,AA!$C$13:$C$15,0))</f>
        <v>#REF!</v>
      </c>
      <c r="F88" s="261" t="e">
        <f>INDEX(AO!$DJ$18:$DJ$20,MATCH(A88,AO!$C$18:$C$20,0))</f>
        <v>#REF!</v>
      </c>
      <c r="G88" s="261" t="e">
        <f>INDEX(AO!$AS$18:$AS$20,MATCH(A88,AO!$C$18:$C$20,0))</f>
        <v>#REF!</v>
      </c>
      <c r="H88" s="261" t="e">
        <f>INDEX(AO!$AT$18:$AT$20,MATCH(A88,AO!$C$18:$C$20,0))</f>
        <v>#REF!</v>
      </c>
      <c r="I88" s="261" t="e">
        <f>INDEX(AO!$CE$18:$CE$20,MATCH(A88,AO!$C$18:$C$20,0))</f>
        <v>#REF!</v>
      </c>
      <c r="J88" s="261" t="e">
        <f>INDEX(AA!$M$13:$M$15,MATCH(A88,AA!$C$13:$C$15,0))</f>
        <v>#REF!</v>
      </c>
      <c r="K88" s="261" t="e">
        <f>INDEX(AA!$AA$13:$AA$15,MATCH(A88,AA!$C$13:$C$15,0))</f>
        <v>#REF!</v>
      </c>
      <c r="L88" s="261" t="e">
        <f>-INDEX(AO!$AZ$18:$AZ$20,MATCH(A88,AO!$C$18:$C$20,0))</f>
        <v>#REF!</v>
      </c>
      <c r="M88" s="261" t="e">
        <f>INDEX(AO!$DF$18:$DF$20,MATCH(A88,AO!$C$18:$C$20,0))-INDEX(AO!$DA$18:$DA$20,MATCH(A88,AO!$C$18:$C$20,0))+INDEX(AA!$IJ$13:$IJ$15,MATCH(A88,AA!$C$13:$C$15,0))</f>
        <v>#REF!</v>
      </c>
      <c r="N88" s="261" t="e">
        <f>INDEX(AO!$EY$18:$EY$20,MATCH(A88,AO!$C$18:$C$20,0))</f>
        <v>#REF!</v>
      </c>
      <c r="O88" s="261" t="e">
        <f>INDEX(AO!$ED$18:$ED$20,MATCH(A88,AO!$C$18:$C$20,0))</f>
        <v>#REF!</v>
      </c>
      <c r="P88" s="261" t="e">
        <f>INDEX(AO!$EU$18:$EU$20,MATCH(A88,AO!$C$18:$C$20,0))</f>
        <v>#REF!</v>
      </c>
      <c r="Q88" s="261" t="e">
        <f t="shared" si="24"/>
        <v>#REF!</v>
      </c>
      <c r="S88" s="261"/>
      <c r="T88" s="261"/>
      <c r="U88" s="261"/>
      <c r="V88" s="261"/>
      <c r="W88" s="261"/>
      <c r="X88" s="261"/>
      <c r="Y88" s="261"/>
      <c r="Z88" s="261"/>
      <c r="AA88" s="261"/>
      <c r="AB88" s="261"/>
      <c r="AC88" s="261"/>
      <c r="AD88" s="261"/>
      <c r="AF88" s="261" t="e">
        <f t="shared" si="25"/>
        <v>#REF!</v>
      </c>
      <c r="AG88" s="261" t="e">
        <f t="shared" si="13"/>
        <v>#REF!</v>
      </c>
      <c r="AH88" s="261" t="e">
        <f t="shared" si="14"/>
        <v>#REF!</v>
      </c>
      <c r="AI88" s="261" t="e">
        <f t="shared" si="15"/>
        <v>#REF!</v>
      </c>
      <c r="AJ88" s="261" t="e">
        <f t="shared" si="16"/>
        <v>#REF!</v>
      </c>
      <c r="AK88" s="261" t="e">
        <f t="shared" si="17"/>
        <v>#REF!</v>
      </c>
      <c r="AL88" s="261" t="e">
        <f t="shared" si="18"/>
        <v>#REF!</v>
      </c>
      <c r="AM88" s="261" t="e">
        <f t="shared" si="19"/>
        <v>#REF!</v>
      </c>
      <c r="AN88" s="261" t="e">
        <f t="shared" si="20"/>
        <v>#REF!</v>
      </c>
      <c r="AO88" s="261" t="e">
        <f t="shared" si="21"/>
        <v>#REF!</v>
      </c>
      <c r="AP88" s="261" t="e">
        <f t="shared" si="22"/>
        <v>#REF!</v>
      </c>
      <c r="AQ88" s="261" t="e">
        <f t="shared" si="23"/>
        <v>#REF!</v>
      </c>
    </row>
    <row r="89" spans="1:43">
      <c r="A89" s="1256" t="e">
        <f>AA!#REF!</f>
        <v>#REF!</v>
      </c>
      <c r="B89" s="1256" t="e">
        <f>INDEX(AA!$AC$13:$AC$15,MATCH(A89,AA!$C$13:$C$15,0))</f>
        <v>#REF!</v>
      </c>
      <c r="C89" s="1256" t="e">
        <f>INDEX(AA!$AI$13:$AI$15,MATCH(A89,AA!$C$13:$C$15,0))</f>
        <v>#REF!</v>
      </c>
      <c r="D89" s="1256" t="e">
        <f>INDEX(AA!$AN$13:$AN$15,MATCH(A89,AA!$C$13:$C$15,0))</f>
        <v>#REF!</v>
      </c>
      <c r="E89" s="1256"/>
      <c r="F89" s="1257" t="e">
        <f>INDEX(AO!$DJ$18:$DJ$20,MATCH(A89,AO!$C$18:$C$20,0))</f>
        <v>#REF!</v>
      </c>
      <c r="G89" s="1257" t="e">
        <f>INDEX(AO!$AS$18:$AS$20,MATCH(A89,AO!$C$18:$C$20,0))</f>
        <v>#REF!</v>
      </c>
      <c r="H89" s="1257" t="e">
        <f>INDEX(AO!$AT$18:$AT$20,MATCH(A89,AO!$C$18:$C$20,0))</f>
        <v>#REF!</v>
      </c>
      <c r="I89" s="1257" t="e">
        <f>INDEX(AO!$CE$18:$CE$20,MATCH(A89,AO!$C$18:$C$20,0))</f>
        <v>#REF!</v>
      </c>
      <c r="J89" s="1257" t="e">
        <f>INDEX(AA!$M$13:$M$15,MATCH(A89,AA!$C$13:$C$15,0))</f>
        <v>#REF!</v>
      </c>
      <c r="K89" s="1257" t="e">
        <f>INDEX(AA!$AA$13:$AA$15,MATCH(A89,AA!$C$13:$C$15,0))</f>
        <v>#REF!</v>
      </c>
      <c r="L89" s="1257" t="e">
        <f>-INDEX(AO!$AZ$18:$AZ$20,MATCH(A89,AO!$C$18:$C$20,0))</f>
        <v>#REF!</v>
      </c>
      <c r="M89" s="1257" t="e">
        <f>INDEX(AO!$DF$18:$DF$20,MATCH(A89,AO!$C$18:$C$20,0))-INDEX(AO!$DA$18:$DA$20,MATCH(A89,AO!$C$18:$C$20,0))+INDEX(AA!$IJ$13:$IJ$15,MATCH(A89,AA!$C$13:$C$15,0))</f>
        <v>#REF!</v>
      </c>
      <c r="N89" s="1257" t="e">
        <f>INDEX(AO!$EY$18:$EY$20,MATCH(A89,AO!$C$18:$C$20,0))</f>
        <v>#REF!</v>
      </c>
      <c r="O89" s="1257" t="e">
        <f>INDEX(AO!$ED$18:$ED$20,MATCH(A89,AO!$C$18:$C$20,0))</f>
        <v>#REF!</v>
      </c>
      <c r="P89" s="1257" t="e">
        <f>INDEX(AO!$EU$18:$EU$20,MATCH(A89,AO!$C$18:$C$20,0))</f>
        <v>#REF!</v>
      </c>
      <c r="Q89" s="1257" t="e">
        <f t="shared" si="24"/>
        <v>#REF!</v>
      </c>
      <c r="S89" s="1257"/>
      <c r="T89" s="1257"/>
      <c r="U89" s="1257"/>
      <c r="V89" s="1257"/>
      <c r="W89" s="1257"/>
      <c r="X89" s="1257"/>
      <c r="Y89" s="1257"/>
      <c r="Z89" s="1257"/>
      <c r="AA89" s="1257"/>
      <c r="AB89" s="1257"/>
      <c r="AC89" s="1257"/>
      <c r="AD89" s="1257"/>
      <c r="AF89" s="1257" t="e">
        <f t="shared" si="25"/>
        <v>#REF!</v>
      </c>
      <c r="AG89" s="1257" t="e">
        <f t="shared" si="13"/>
        <v>#REF!</v>
      </c>
      <c r="AH89" s="1257" t="e">
        <f t="shared" si="14"/>
        <v>#REF!</v>
      </c>
      <c r="AI89" s="1257" t="e">
        <f t="shared" si="15"/>
        <v>#REF!</v>
      </c>
      <c r="AJ89" s="1257" t="e">
        <f t="shared" si="16"/>
        <v>#REF!</v>
      </c>
      <c r="AK89" s="1257" t="e">
        <f t="shared" si="17"/>
        <v>#REF!</v>
      </c>
      <c r="AL89" s="1257" t="e">
        <f t="shared" si="18"/>
        <v>#REF!</v>
      </c>
      <c r="AM89" s="1257" t="e">
        <f t="shared" si="19"/>
        <v>#REF!</v>
      </c>
      <c r="AN89" s="1257" t="e">
        <f t="shared" si="20"/>
        <v>#REF!</v>
      </c>
      <c r="AO89" s="1257" t="e">
        <f t="shared" si="21"/>
        <v>#REF!</v>
      </c>
      <c r="AP89" s="1257" t="e">
        <f t="shared" si="22"/>
        <v>#REF!</v>
      </c>
      <c r="AQ89" s="1257" t="e">
        <f t="shared" si="23"/>
        <v>#REF!</v>
      </c>
    </row>
    <row r="90" spans="1:43">
      <c r="A90" t="e">
        <f>AA!#REF!</f>
        <v>#REF!</v>
      </c>
      <c r="B90" t="e">
        <f>INDEX(AA!$AC$13:$AC$15,MATCH(A90,AA!$C$13:$C$15,0))</f>
        <v>#REF!</v>
      </c>
      <c r="C90" t="e">
        <f>INDEX(AA!$AI$13:$AI$15,MATCH(A90,AA!$C$13:$C$15,0))</f>
        <v>#REF!</v>
      </c>
      <c r="D90" t="e">
        <f>INDEX(AA!$AN$13:$AN$15,MATCH(A90,AA!$C$13:$C$15,0))</f>
        <v>#REF!</v>
      </c>
      <c r="F90" s="261" t="e">
        <f>INDEX(AO!$DJ$18:$DJ$20,MATCH(A90,AO!$C$18:$C$20,0))</f>
        <v>#REF!</v>
      </c>
      <c r="G90" s="261" t="e">
        <f>INDEX(AO!$AS$18:$AS$20,MATCH(A90,AO!$C$18:$C$20,0))</f>
        <v>#REF!</v>
      </c>
      <c r="H90" s="261" t="e">
        <f>INDEX(AO!$AT$18:$AT$20,MATCH(A90,AO!$C$18:$C$20,0))</f>
        <v>#REF!</v>
      </c>
      <c r="I90" s="261" t="e">
        <f>INDEX(AO!$CE$18:$CE$20,MATCH(A90,AO!$C$18:$C$20,0))</f>
        <v>#REF!</v>
      </c>
      <c r="J90" s="261" t="e">
        <f>INDEX(AA!$M$13:$M$15,MATCH(A90,AA!$C$13:$C$15,0))</f>
        <v>#REF!</v>
      </c>
      <c r="K90" s="261" t="e">
        <f>INDEX(AA!$AA$13:$AA$15,MATCH(A90,AA!$C$13:$C$15,0))</f>
        <v>#REF!</v>
      </c>
      <c r="L90" s="261" t="e">
        <f>-INDEX(AO!$AZ$18:$AZ$20,MATCH(A90,AO!$C$18:$C$20,0))</f>
        <v>#REF!</v>
      </c>
      <c r="M90" s="261" t="e">
        <f>INDEX(AO!$DF$18:$DF$20,MATCH(A90,AO!$C$18:$C$20,0))-INDEX(AO!$DA$18:$DA$20,MATCH(A90,AO!$C$18:$C$20,0))+INDEX(AA!$IJ$13:$IJ$15,MATCH(A90,AA!$C$13:$C$15,0))</f>
        <v>#REF!</v>
      </c>
      <c r="N90" s="261" t="e">
        <f>INDEX(AO!$EY$18:$EY$20,MATCH(A90,AO!$C$18:$C$20,0))</f>
        <v>#REF!</v>
      </c>
      <c r="O90" s="261" t="e">
        <f>INDEX(AO!$ED$18:$ED$20,MATCH(A90,AO!$C$18:$C$20,0))</f>
        <v>#REF!</v>
      </c>
      <c r="P90" s="261" t="e">
        <f>INDEX(AO!$EU$18:$EU$20,MATCH(A90,AO!$C$18:$C$20,0))</f>
        <v>#REF!</v>
      </c>
      <c r="Q90" s="261" t="e">
        <f t="shared" si="24"/>
        <v>#REF!</v>
      </c>
      <c r="S90" s="261"/>
      <c r="T90" s="261"/>
      <c r="U90" s="261"/>
      <c r="V90" s="261"/>
      <c r="W90" s="261"/>
      <c r="X90" s="261"/>
      <c r="Y90" s="261"/>
      <c r="Z90" s="261"/>
      <c r="AA90" s="261"/>
      <c r="AB90" s="261"/>
      <c r="AC90" s="261"/>
      <c r="AD90" s="261"/>
      <c r="AF90" s="261" t="e">
        <f t="shared" si="25"/>
        <v>#REF!</v>
      </c>
      <c r="AG90" s="261" t="e">
        <f t="shared" si="13"/>
        <v>#REF!</v>
      </c>
      <c r="AH90" s="261" t="e">
        <f t="shared" si="14"/>
        <v>#REF!</v>
      </c>
      <c r="AI90" s="261" t="e">
        <f t="shared" si="15"/>
        <v>#REF!</v>
      </c>
      <c r="AJ90" s="261" t="e">
        <f t="shared" si="16"/>
        <v>#REF!</v>
      </c>
      <c r="AK90" s="261" t="e">
        <f t="shared" si="17"/>
        <v>#REF!</v>
      </c>
      <c r="AL90" s="261" t="e">
        <f t="shared" si="18"/>
        <v>#REF!</v>
      </c>
      <c r="AM90" s="261" t="e">
        <f t="shared" si="19"/>
        <v>#REF!</v>
      </c>
      <c r="AN90" s="261" t="e">
        <f t="shared" si="20"/>
        <v>#REF!</v>
      </c>
      <c r="AO90" s="261" t="e">
        <f t="shared" si="21"/>
        <v>#REF!</v>
      </c>
      <c r="AP90" s="261" t="e">
        <f t="shared" si="22"/>
        <v>#REF!</v>
      </c>
      <c r="AQ90" s="261" t="e">
        <f t="shared" si="23"/>
        <v>#REF!</v>
      </c>
    </row>
    <row r="91" spans="1:43">
      <c r="A91" s="1256" t="e">
        <f>AA!#REF!</f>
        <v>#REF!</v>
      </c>
      <c r="B91" s="1256" t="e">
        <f>INDEX(AA!$AC$13:$AC$15,MATCH(A91,AA!$C$13:$C$15,0))</f>
        <v>#REF!</v>
      </c>
      <c r="C91" s="1256" t="e">
        <f>INDEX(AA!$AI$13:$AI$15,MATCH(A91,AA!$C$13:$C$15,0))</f>
        <v>#REF!</v>
      </c>
      <c r="D91" s="1256" t="e">
        <f>INDEX(AA!$AN$13:$AN$15,MATCH(A91,AA!$C$13:$C$15,0))</f>
        <v>#REF!</v>
      </c>
      <c r="E91" s="1256"/>
      <c r="F91" s="1257" t="e">
        <f>INDEX(AO!$DJ$18:$DJ$20,MATCH(A91,AO!$C$18:$C$20,0))</f>
        <v>#REF!</v>
      </c>
      <c r="G91" s="1257" t="e">
        <f>INDEX(AO!$AS$18:$AS$20,MATCH(A91,AO!$C$18:$C$20,0))</f>
        <v>#REF!</v>
      </c>
      <c r="H91" s="1257" t="e">
        <f>INDEX(AO!$AT$18:$AT$20,MATCH(A91,AO!$C$18:$C$20,0))</f>
        <v>#REF!</v>
      </c>
      <c r="I91" s="1257" t="e">
        <f>INDEX(AO!$CE$18:$CE$20,MATCH(A91,AO!$C$18:$C$20,0))</f>
        <v>#REF!</v>
      </c>
      <c r="J91" s="1257" t="e">
        <f>INDEX(AA!$M$13:$M$15,MATCH(A91,AA!$C$13:$C$15,0))</f>
        <v>#REF!</v>
      </c>
      <c r="K91" s="1257" t="e">
        <f>INDEX(AA!$AA$13:$AA$15,MATCH(A91,AA!$C$13:$C$15,0))</f>
        <v>#REF!</v>
      </c>
      <c r="L91" s="1257" t="e">
        <f>-INDEX(AO!$AZ$18:$AZ$20,MATCH(A91,AO!$C$18:$C$20,0))</f>
        <v>#REF!</v>
      </c>
      <c r="M91" s="1257" t="e">
        <f>INDEX(AO!$DF$18:$DF$20,MATCH(A91,AO!$C$18:$C$20,0))-INDEX(AO!$DA$18:$DA$20,MATCH(A91,AO!$C$18:$C$20,0))+INDEX(AA!$IJ$13:$IJ$15,MATCH(A91,AA!$C$13:$C$15,0))</f>
        <v>#REF!</v>
      </c>
      <c r="N91" s="1257" t="e">
        <f>INDEX(AO!$EY$18:$EY$20,MATCH(A91,AO!$C$18:$C$20,0))</f>
        <v>#REF!</v>
      </c>
      <c r="O91" s="1257" t="e">
        <f>INDEX(AO!$ED$18:$ED$20,MATCH(A91,AO!$C$18:$C$20,0))</f>
        <v>#REF!</v>
      </c>
      <c r="P91" s="1257" t="e">
        <f>INDEX(AO!$EU$18:$EU$20,MATCH(A91,AO!$C$18:$C$20,0))</f>
        <v>#REF!</v>
      </c>
      <c r="Q91" s="1257" t="e">
        <f t="shared" si="24"/>
        <v>#REF!</v>
      </c>
      <c r="S91" s="1257"/>
      <c r="T91" s="1257"/>
      <c r="U91" s="1257"/>
      <c r="V91" s="1257"/>
      <c r="W91" s="1257"/>
      <c r="X91" s="1257"/>
      <c r="Y91" s="1257"/>
      <c r="Z91" s="1257"/>
      <c r="AA91" s="1257"/>
      <c r="AB91" s="1257"/>
      <c r="AC91" s="1257"/>
      <c r="AD91" s="1257"/>
      <c r="AF91" s="1257" t="e">
        <f t="shared" si="25"/>
        <v>#REF!</v>
      </c>
      <c r="AG91" s="1257" t="e">
        <f t="shared" si="13"/>
        <v>#REF!</v>
      </c>
      <c r="AH91" s="1257" t="e">
        <f t="shared" si="14"/>
        <v>#REF!</v>
      </c>
      <c r="AI91" s="1257" t="e">
        <f t="shared" si="15"/>
        <v>#REF!</v>
      </c>
      <c r="AJ91" s="1257" t="e">
        <f t="shared" si="16"/>
        <v>#REF!</v>
      </c>
      <c r="AK91" s="1257" t="e">
        <f t="shared" si="17"/>
        <v>#REF!</v>
      </c>
      <c r="AL91" s="1257" t="e">
        <f t="shared" si="18"/>
        <v>#REF!</v>
      </c>
      <c r="AM91" s="1257" t="e">
        <f t="shared" si="19"/>
        <v>#REF!</v>
      </c>
      <c r="AN91" s="1257" t="e">
        <f t="shared" si="20"/>
        <v>#REF!</v>
      </c>
      <c r="AO91" s="1257" t="e">
        <f t="shared" si="21"/>
        <v>#REF!</v>
      </c>
      <c r="AP91" s="1257" t="e">
        <f t="shared" si="22"/>
        <v>#REF!</v>
      </c>
      <c r="AQ91" s="1257" t="e">
        <f t="shared" si="23"/>
        <v>#REF!</v>
      </c>
    </row>
    <row r="92" spans="1:43">
      <c r="A92" t="e">
        <f>AA!#REF!</f>
        <v>#REF!</v>
      </c>
      <c r="B92" t="e">
        <f>INDEX(AA!$AC$13:$AC$15,MATCH(A92,AA!$C$13:$C$15,0))</f>
        <v>#REF!</v>
      </c>
      <c r="C92" t="e">
        <f>INDEX(AA!$AI$13:$AI$15,MATCH(A92,AA!$C$13:$C$15,0))</f>
        <v>#REF!</v>
      </c>
      <c r="D92" t="e">
        <f>INDEX(AA!$AN$13:$AN$15,MATCH(A92,AA!$C$13:$C$15,0))</f>
        <v>#REF!</v>
      </c>
      <c r="F92" s="261" t="e">
        <f>INDEX(AO!$DJ$18:$DJ$20,MATCH(A92,AO!$C$18:$C$20,0))</f>
        <v>#REF!</v>
      </c>
      <c r="G92" s="261" t="e">
        <f>INDEX(AO!$AS$18:$AS$20,MATCH(A92,AO!$C$18:$C$20,0))</f>
        <v>#REF!</v>
      </c>
      <c r="H92" s="261" t="e">
        <f>INDEX(AO!$AT$18:$AT$20,MATCH(A92,AO!$C$18:$C$20,0))</f>
        <v>#REF!</v>
      </c>
      <c r="I92" s="261" t="e">
        <f>INDEX(AO!$CE$18:$CE$20,MATCH(A92,AO!$C$18:$C$20,0))</f>
        <v>#REF!</v>
      </c>
      <c r="J92" s="261" t="e">
        <f>INDEX(AA!$M$13:$M$15,MATCH(A92,AA!$C$13:$C$15,0))</f>
        <v>#REF!</v>
      </c>
      <c r="K92" s="261" t="e">
        <f>INDEX(AA!$AA$13:$AA$15,MATCH(A92,AA!$C$13:$C$15,0))</f>
        <v>#REF!</v>
      </c>
      <c r="L92" s="261" t="e">
        <f>-INDEX(AO!$AZ$18:$AZ$20,MATCH(A92,AO!$C$18:$C$20,0))</f>
        <v>#REF!</v>
      </c>
      <c r="M92" s="261" t="e">
        <f>INDEX(AO!$DF$18:$DF$20,MATCH(A92,AO!$C$18:$C$20,0))-INDEX(AO!$DA$18:$DA$20,MATCH(A92,AO!$C$18:$C$20,0))+INDEX(AA!$IJ$13:$IJ$15,MATCH(A92,AA!$C$13:$C$15,0))</f>
        <v>#REF!</v>
      </c>
      <c r="N92" s="261" t="e">
        <f>INDEX(AO!$EY$18:$EY$20,MATCH(A92,AO!$C$18:$C$20,0))</f>
        <v>#REF!</v>
      </c>
      <c r="O92" s="261" t="e">
        <f>INDEX(AO!$ED$18:$ED$20,MATCH(A92,AO!$C$18:$C$20,0))</f>
        <v>#REF!</v>
      </c>
      <c r="P92" s="261" t="e">
        <f>INDEX(AO!$EU$18:$EU$20,MATCH(A92,AO!$C$18:$C$20,0))</f>
        <v>#REF!</v>
      </c>
      <c r="Q92" s="261" t="e">
        <f t="shared" si="24"/>
        <v>#REF!</v>
      </c>
      <c r="S92" s="261"/>
      <c r="T92" s="261"/>
      <c r="U92" s="261"/>
      <c r="V92" s="261"/>
      <c r="W92" s="261"/>
      <c r="X92" s="261"/>
      <c r="Y92" s="261"/>
      <c r="Z92" s="261"/>
      <c r="AA92" s="261"/>
      <c r="AB92" s="261"/>
      <c r="AC92" s="261"/>
      <c r="AD92" s="261"/>
      <c r="AF92" s="261" t="e">
        <f t="shared" si="25"/>
        <v>#REF!</v>
      </c>
      <c r="AG92" s="261" t="e">
        <f t="shared" si="13"/>
        <v>#REF!</v>
      </c>
      <c r="AH92" s="261" t="e">
        <f t="shared" si="14"/>
        <v>#REF!</v>
      </c>
      <c r="AI92" s="261" t="e">
        <f t="shared" si="15"/>
        <v>#REF!</v>
      </c>
      <c r="AJ92" s="261" t="e">
        <f t="shared" si="16"/>
        <v>#REF!</v>
      </c>
      <c r="AK92" s="261" t="e">
        <f t="shared" si="17"/>
        <v>#REF!</v>
      </c>
      <c r="AL92" s="261" t="e">
        <f t="shared" si="18"/>
        <v>#REF!</v>
      </c>
      <c r="AM92" s="261" t="e">
        <f t="shared" si="19"/>
        <v>#REF!</v>
      </c>
      <c r="AN92" s="261" t="e">
        <f t="shared" si="20"/>
        <v>#REF!</v>
      </c>
      <c r="AO92" s="261" t="e">
        <f t="shared" si="21"/>
        <v>#REF!</v>
      </c>
      <c r="AP92" s="261" t="e">
        <f t="shared" si="22"/>
        <v>#REF!</v>
      </c>
      <c r="AQ92" s="261" t="e">
        <f t="shared" si="23"/>
        <v>#REF!</v>
      </c>
    </row>
    <row r="93" spans="1:43">
      <c r="A93" s="1256" t="e">
        <f>AA!#REF!</f>
        <v>#REF!</v>
      </c>
      <c r="B93" s="1256" t="e">
        <f>INDEX(AA!$AC$13:$AC$15,MATCH(A93,AA!$C$13:$C$15,0))</f>
        <v>#REF!</v>
      </c>
      <c r="C93" s="1256" t="e">
        <f>INDEX(AA!$AI$13:$AI$15,MATCH(A93,AA!$C$13:$C$15,0))</f>
        <v>#REF!</v>
      </c>
      <c r="D93" s="1256" t="e">
        <f>INDEX(AA!$AN$13:$AN$15,MATCH(A93,AA!$C$13:$C$15,0))</f>
        <v>#REF!</v>
      </c>
      <c r="E93" s="1256"/>
      <c r="F93" s="1257" t="e">
        <f>INDEX(AO!$DJ$18:$DJ$20,MATCH(A93,AO!$C$18:$C$20,0))</f>
        <v>#REF!</v>
      </c>
      <c r="G93" s="1257" t="e">
        <f>INDEX(AO!$AS$18:$AS$20,MATCH(A93,AO!$C$18:$C$20,0))</f>
        <v>#REF!</v>
      </c>
      <c r="H93" s="1257" t="e">
        <f>INDEX(AO!$AT$18:$AT$20,MATCH(A93,AO!$C$18:$C$20,0))</f>
        <v>#REF!</v>
      </c>
      <c r="I93" s="1257" t="e">
        <f>INDEX(AO!$CE$18:$CE$20,MATCH(A93,AO!$C$18:$C$20,0))</f>
        <v>#REF!</v>
      </c>
      <c r="J93" s="1257" t="e">
        <f>INDEX(AA!$M$13:$M$15,MATCH(A93,AA!$C$13:$C$15,0))</f>
        <v>#REF!</v>
      </c>
      <c r="K93" s="1257" t="e">
        <f>INDEX(AA!$AA$13:$AA$15,MATCH(A93,AA!$C$13:$C$15,0))</f>
        <v>#REF!</v>
      </c>
      <c r="L93" s="1257" t="e">
        <f>-INDEX(AO!$AZ$18:$AZ$20,MATCH(A93,AO!$C$18:$C$20,0))</f>
        <v>#REF!</v>
      </c>
      <c r="M93" s="1257" t="e">
        <f>INDEX(AO!$DF$18:$DF$20,MATCH(A93,AO!$C$18:$C$20,0))-INDEX(AO!$DA$18:$DA$20,MATCH(A93,AO!$C$18:$C$20,0))+INDEX(AA!$IJ$13:$IJ$15,MATCH(A93,AA!$C$13:$C$15,0))</f>
        <v>#REF!</v>
      </c>
      <c r="N93" s="1257" t="e">
        <f>INDEX(AO!$EY$18:$EY$20,MATCH(A93,AO!$C$18:$C$20,0))</f>
        <v>#REF!</v>
      </c>
      <c r="O93" s="1257" t="e">
        <f>INDEX(AO!$ED$18:$ED$20,MATCH(A93,AO!$C$18:$C$20,0))</f>
        <v>#REF!</v>
      </c>
      <c r="P93" s="1257" t="e">
        <f>INDEX(AO!$EU$18:$EU$20,MATCH(A93,AO!$C$18:$C$20,0))</f>
        <v>#REF!</v>
      </c>
      <c r="Q93" s="1257" t="e">
        <f t="shared" si="24"/>
        <v>#REF!</v>
      </c>
      <c r="S93" s="1257"/>
      <c r="T93" s="1257"/>
      <c r="U93" s="1257"/>
      <c r="V93" s="1257"/>
      <c r="W93" s="1257"/>
      <c r="X93" s="1257"/>
      <c r="Y93" s="1257"/>
      <c r="Z93" s="1257"/>
      <c r="AA93" s="1257"/>
      <c r="AB93" s="1257"/>
      <c r="AC93" s="1257"/>
      <c r="AD93" s="1257"/>
      <c r="AF93" s="1257" t="e">
        <f t="shared" si="25"/>
        <v>#REF!</v>
      </c>
      <c r="AG93" s="1257" t="e">
        <f t="shared" si="13"/>
        <v>#REF!</v>
      </c>
      <c r="AH93" s="1257" t="e">
        <f t="shared" si="14"/>
        <v>#REF!</v>
      </c>
      <c r="AI93" s="1257" t="e">
        <f t="shared" si="15"/>
        <v>#REF!</v>
      </c>
      <c r="AJ93" s="1257" t="e">
        <f t="shared" si="16"/>
        <v>#REF!</v>
      </c>
      <c r="AK93" s="1257" t="e">
        <f t="shared" si="17"/>
        <v>#REF!</v>
      </c>
      <c r="AL93" s="1257" t="e">
        <f t="shared" si="18"/>
        <v>#REF!</v>
      </c>
      <c r="AM93" s="1257" t="e">
        <f t="shared" si="19"/>
        <v>#REF!</v>
      </c>
      <c r="AN93" s="1257" t="e">
        <f t="shared" si="20"/>
        <v>#REF!</v>
      </c>
      <c r="AO93" s="1257" t="e">
        <f t="shared" si="21"/>
        <v>#REF!</v>
      </c>
      <c r="AP93" s="1257" t="e">
        <f t="shared" si="22"/>
        <v>#REF!</v>
      </c>
      <c r="AQ93" s="1257" t="e">
        <f t="shared" si="23"/>
        <v>#REF!</v>
      </c>
    </row>
    <row r="94" spans="1:43">
      <c r="A94" t="e">
        <f>AA!#REF!</f>
        <v>#REF!</v>
      </c>
      <c r="B94" t="e">
        <f>INDEX(AA!$AC$13:$AC$15,MATCH(A94,AA!$C$13:$C$15,0))</f>
        <v>#REF!</v>
      </c>
      <c r="C94" t="e">
        <f>INDEX(AA!$AI$13:$AI$15,MATCH(A94,AA!$C$13:$C$15,0))</f>
        <v>#REF!</v>
      </c>
      <c r="D94" t="e">
        <f>INDEX(AA!$AN$13:$AN$15,MATCH(A94,AA!$C$13:$C$15,0))</f>
        <v>#REF!</v>
      </c>
      <c r="F94" s="261" t="e">
        <f>INDEX(AO!$DJ$18:$DJ$20,MATCH(A94,AO!$C$18:$C$20,0))</f>
        <v>#REF!</v>
      </c>
      <c r="G94" s="261" t="e">
        <f>INDEX(AO!$AS$18:$AS$20,MATCH(A94,AO!$C$18:$C$20,0))</f>
        <v>#REF!</v>
      </c>
      <c r="H94" s="261" t="e">
        <f>INDEX(AO!$AT$18:$AT$20,MATCH(A94,AO!$C$18:$C$20,0))</f>
        <v>#REF!</v>
      </c>
      <c r="I94" s="261" t="e">
        <f>INDEX(AO!$CE$18:$CE$20,MATCH(A94,AO!$C$18:$C$20,0))</f>
        <v>#REF!</v>
      </c>
      <c r="J94" s="261" t="e">
        <f>INDEX(AA!$M$13:$M$15,MATCH(A94,AA!$C$13:$C$15,0))</f>
        <v>#REF!</v>
      </c>
      <c r="K94" s="261" t="e">
        <f>INDEX(AA!$AA$13:$AA$15,MATCH(A94,AA!$C$13:$C$15,0))</f>
        <v>#REF!</v>
      </c>
      <c r="L94" s="261" t="e">
        <f>-INDEX(AO!$AZ$18:$AZ$20,MATCH(A94,AO!$C$18:$C$20,0))</f>
        <v>#REF!</v>
      </c>
      <c r="M94" s="261" t="e">
        <f>INDEX(AO!$DF$18:$DF$20,MATCH(A94,AO!$C$18:$C$20,0))-INDEX(AO!$DA$18:$DA$20,MATCH(A94,AO!$C$18:$C$20,0))+INDEX(AA!$IJ$13:$IJ$15,MATCH(A94,AA!$C$13:$C$15,0))</f>
        <v>#REF!</v>
      </c>
      <c r="N94" s="261" t="e">
        <f>INDEX(AO!$EY$18:$EY$20,MATCH(A94,AO!$C$18:$C$20,0))</f>
        <v>#REF!</v>
      </c>
      <c r="O94" s="261" t="e">
        <f>INDEX(AO!$ED$18:$ED$20,MATCH(A94,AO!$C$18:$C$20,0))</f>
        <v>#REF!</v>
      </c>
      <c r="P94" s="261" t="e">
        <f>INDEX(AO!$EU$18:$EU$20,MATCH(A94,AO!$C$18:$C$20,0))</f>
        <v>#REF!</v>
      </c>
      <c r="Q94" s="261" t="e">
        <f t="shared" si="24"/>
        <v>#REF!</v>
      </c>
      <c r="S94" s="261"/>
      <c r="T94" s="261"/>
      <c r="U94" s="261"/>
      <c r="V94" s="261"/>
      <c r="W94" s="261"/>
      <c r="X94" s="261"/>
      <c r="Y94" s="261"/>
      <c r="Z94" s="261"/>
      <c r="AA94" s="261"/>
      <c r="AB94" s="261"/>
      <c r="AC94" s="261"/>
      <c r="AD94" s="261"/>
      <c r="AF94" s="261" t="e">
        <f t="shared" si="25"/>
        <v>#REF!</v>
      </c>
      <c r="AG94" s="261" t="e">
        <f t="shared" si="13"/>
        <v>#REF!</v>
      </c>
      <c r="AH94" s="261" t="e">
        <f t="shared" si="14"/>
        <v>#REF!</v>
      </c>
      <c r="AI94" s="261" t="e">
        <f t="shared" si="15"/>
        <v>#REF!</v>
      </c>
      <c r="AJ94" s="261" t="e">
        <f t="shared" si="16"/>
        <v>#REF!</v>
      </c>
      <c r="AK94" s="261" t="e">
        <f t="shared" si="17"/>
        <v>#REF!</v>
      </c>
      <c r="AL94" s="261" t="e">
        <f t="shared" si="18"/>
        <v>#REF!</v>
      </c>
      <c r="AM94" s="261" t="e">
        <f t="shared" si="19"/>
        <v>#REF!</v>
      </c>
      <c r="AN94" s="261" t="e">
        <f t="shared" si="20"/>
        <v>#REF!</v>
      </c>
      <c r="AO94" s="261" t="e">
        <f t="shared" si="21"/>
        <v>#REF!</v>
      </c>
      <c r="AP94" s="261" t="e">
        <f t="shared" si="22"/>
        <v>#REF!</v>
      </c>
      <c r="AQ94" s="261" t="e">
        <f t="shared" si="23"/>
        <v>#REF!</v>
      </c>
    </row>
    <row r="95" spans="1:43">
      <c r="A95" s="1256" t="e">
        <f>AA!#REF!</f>
        <v>#REF!</v>
      </c>
      <c r="B95" s="1256" t="e">
        <f>INDEX(AA!$AC$13:$AC$15,MATCH(A95,AA!$C$13:$C$15,0))</f>
        <v>#REF!</v>
      </c>
      <c r="C95" s="1256" t="e">
        <f>INDEX(AA!$AI$13:$AI$15,MATCH(A95,AA!$C$13:$C$15,0))</f>
        <v>#REF!</v>
      </c>
      <c r="D95" s="1256" t="e">
        <f>INDEX(AA!$AN$13:$AN$15,MATCH(A95,AA!$C$13:$C$15,0))</f>
        <v>#REF!</v>
      </c>
      <c r="E95" s="1256"/>
      <c r="F95" s="1257" t="e">
        <f>INDEX(AO!$DJ$18:$DJ$20,MATCH(A95,AO!$C$18:$C$20,0))</f>
        <v>#REF!</v>
      </c>
      <c r="G95" s="1257" t="e">
        <f>INDEX(AO!$AS$18:$AS$20,MATCH(A95,AO!$C$18:$C$20,0))</f>
        <v>#REF!</v>
      </c>
      <c r="H95" s="1257" t="e">
        <f>INDEX(AO!$AT$18:$AT$20,MATCH(A95,AO!$C$18:$C$20,0))</f>
        <v>#REF!</v>
      </c>
      <c r="I95" s="1257" t="e">
        <f>INDEX(AO!$CE$18:$CE$20,MATCH(A95,AO!$C$18:$C$20,0))</f>
        <v>#REF!</v>
      </c>
      <c r="J95" s="1257" t="e">
        <f>INDEX(AA!$M$13:$M$15,MATCH(A95,AA!$C$13:$C$15,0))</f>
        <v>#REF!</v>
      </c>
      <c r="K95" s="1257" t="e">
        <f>INDEX(AA!$AA$13:$AA$15,MATCH(A95,AA!$C$13:$C$15,0))</f>
        <v>#REF!</v>
      </c>
      <c r="L95" s="1257" t="e">
        <f>-INDEX(AO!$AZ$18:$AZ$20,MATCH(A95,AO!$C$18:$C$20,0))</f>
        <v>#REF!</v>
      </c>
      <c r="M95" s="1257" t="e">
        <f>INDEX(AO!$DF$18:$DF$20,MATCH(A95,AO!$C$18:$C$20,0))-INDEX(AO!$DA$18:$DA$20,MATCH(A95,AO!$C$18:$C$20,0))+INDEX(AA!$IJ$13:$IJ$15,MATCH(A95,AA!$C$13:$C$15,0))</f>
        <v>#REF!</v>
      </c>
      <c r="N95" s="1257" t="e">
        <f>INDEX(AO!$EY$18:$EY$20,MATCH(A95,AO!$C$18:$C$20,0))</f>
        <v>#REF!</v>
      </c>
      <c r="O95" s="1257" t="e">
        <f>INDEX(AO!$ED$18:$ED$20,MATCH(A95,AO!$C$18:$C$20,0))</f>
        <v>#REF!</v>
      </c>
      <c r="P95" s="1257" t="e">
        <f>INDEX(AO!$EU$18:$EU$20,MATCH(A95,AO!$C$18:$C$20,0))</f>
        <v>#REF!</v>
      </c>
      <c r="Q95" s="1257" t="e">
        <f t="shared" si="24"/>
        <v>#REF!</v>
      </c>
      <c r="S95" s="1257"/>
      <c r="T95" s="1257"/>
      <c r="U95" s="1257"/>
      <c r="V95" s="1257"/>
      <c r="W95" s="1257"/>
      <c r="X95" s="1257"/>
      <c r="Y95" s="1257"/>
      <c r="Z95" s="1257"/>
      <c r="AA95" s="1257"/>
      <c r="AB95" s="1257"/>
      <c r="AC95" s="1257"/>
      <c r="AD95" s="1257"/>
      <c r="AF95" s="1257" t="e">
        <f t="shared" si="25"/>
        <v>#REF!</v>
      </c>
      <c r="AG95" s="1257" t="e">
        <f t="shared" si="13"/>
        <v>#REF!</v>
      </c>
      <c r="AH95" s="1257" t="e">
        <f t="shared" si="14"/>
        <v>#REF!</v>
      </c>
      <c r="AI95" s="1257" t="e">
        <f t="shared" si="15"/>
        <v>#REF!</v>
      </c>
      <c r="AJ95" s="1257" t="e">
        <f t="shared" si="16"/>
        <v>#REF!</v>
      </c>
      <c r="AK95" s="1257" t="e">
        <f t="shared" si="17"/>
        <v>#REF!</v>
      </c>
      <c r="AL95" s="1257" t="e">
        <f t="shared" si="18"/>
        <v>#REF!</v>
      </c>
      <c r="AM95" s="1257" t="e">
        <f t="shared" si="19"/>
        <v>#REF!</v>
      </c>
      <c r="AN95" s="1257" t="e">
        <f t="shared" si="20"/>
        <v>#REF!</v>
      </c>
      <c r="AO95" s="1257" t="e">
        <f t="shared" si="21"/>
        <v>#REF!</v>
      </c>
      <c r="AP95" s="1257" t="e">
        <f t="shared" si="22"/>
        <v>#REF!</v>
      </c>
      <c r="AQ95" s="1257" t="e">
        <f t="shared" si="23"/>
        <v>#REF!</v>
      </c>
    </row>
    <row r="96" spans="1:43">
      <c r="A96" t="e">
        <f>AA!#REF!</f>
        <v>#REF!</v>
      </c>
      <c r="B96" t="e">
        <f>INDEX(AA!$AC$13:$AC$15,MATCH(A96,AA!$C$13:$C$15,0))</f>
        <v>#REF!</v>
      </c>
      <c r="C96" t="e">
        <f>INDEX(AA!$AI$13:$AI$15,MATCH(A96,AA!$C$13:$C$15,0))</f>
        <v>#REF!</v>
      </c>
      <c r="D96" t="e">
        <f>INDEX(AA!$AN$13:$AN$15,MATCH(A96,AA!$C$13:$C$15,0))</f>
        <v>#REF!</v>
      </c>
      <c r="F96" s="261" t="e">
        <f>INDEX(AO!$DJ$18:$DJ$20,MATCH(A96,AO!$C$18:$C$20,0))</f>
        <v>#REF!</v>
      </c>
      <c r="G96" s="261" t="e">
        <f>INDEX(AO!$AS$18:$AS$20,MATCH(A96,AO!$C$18:$C$20,0))</f>
        <v>#REF!</v>
      </c>
      <c r="H96" s="261" t="e">
        <f>INDEX(AO!$AT$18:$AT$20,MATCH(A96,AO!$C$18:$C$20,0))</f>
        <v>#REF!</v>
      </c>
      <c r="I96" s="261" t="e">
        <f>INDEX(AO!$CE$18:$CE$20,MATCH(A96,AO!$C$18:$C$20,0))</f>
        <v>#REF!</v>
      </c>
      <c r="J96" s="261" t="e">
        <f>INDEX(AA!$M$13:$M$15,MATCH(A96,AA!$C$13:$C$15,0))</f>
        <v>#REF!</v>
      </c>
      <c r="K96" s="261" t="e">
        <f>INDEX(AA!$AA$13:$AA$15,MATCH(A96,AA!$C$13:$C$15,0))</f>
        <v>#REF!</v>
      </c>
      <c r="L96" s="261" t="e">
        <f>-INDEX(AO!$AZ$18:$AZ$20,MATCH(A96,AO!$C$18:$C$20,0))</f>
        <v>#REF!</v>
      </c>
      <c r="M96" s="261" t="e">
        <f>INDEX(AO!$DF$18:$DF$20,MATCH(A96,AO!$C$18:$C$20,0))-INDEX(AO!$DA$18:$DA$20,MATCH(A96,AO!$C$18:$C$20,0))+INDEX(AA!$IJ$13:$IJ$15,MATCH(A96,AA!$C$13:$C$15,0))</f>
        <v>#REF!</v>
      </c>
      <c r="N96" s="261" t="e">
        <f>INDEX(AO!$EY$18:$EY$20,MATCH(A96,AO!$C$18:$C$20,0))</f>
        <v>#REF!</v>
      </c>
      <c r="O96" s="261" t="e">
        <f>INDEX(AO!$ED$18:$ED$20,MATCH(A96,AO!$C$18:$C$20,0))</f>
        <v>#REF!</v>
      </c>
      <c r="P96" s="261" t="e">
        <f>INDEX(AO!$EU$18:$EU$20,MATCH(A96,AO!$C$18:$C$20,0))</f>
        <v>#REF!</v>
      </c>
      <c r="Q96" s="261" t="e">
        <f t="shared" si="24"/>
        <v>#REF!</v>
      </c>
      <c r="S96" s="261"/>
      <c r="T96" s="261"/>
      <c r="U96" s="261"/>
      <c r="V96" s="261"/>
      <c r="W96" s="261"/>
      <c r="X96" s="261"/>
      <c r="Y96" s="261"/>
      <c r="Z96" s="261"/>
      <c r="AA96" s="261"/>
      <c r="AB96" s="261"/>
      <c r="AC96" s="261"/>
      <c r="AD96" s="261"/>
      <c r="AF96" s="261" t="e">
        <f t="shared" si="25"/>
        <v>#REF!</v>
      </c>
      <c r="AG96" s="261" t="e">
        <f t="shared" si="13"/>
        <v>#REF!</v>
      </c>
      <c r="AH96" s="261" t="e">
        <f t="shared" si="14"/>
        <v>#REF!</v>
      </c>
      <c r="AI96" s="261" t="e">
        <f t="shared" si="15"/>
        <v>#REF!</v>
      </c>
      <c r="AJ96" s="261" t="e">
        <f t="shared" si="16"/>
        <v>#REF!</v>
      </c>
      <c r="AK96" s="261" t="e">
        <f t="shared" si="17"/>
        <v>#REF!</v>
      </c>
      <c r="AL96" s="261" t="e">
        <f t="shared" si="18"/>
        <v>#REF!</v>
      </c>
      <c r="AM96" s="261" t="e">
        <f t="shared" si="19"/>
        <v>#REF!</v>
      </c>
      <c r="AN96" s="261" t="e">
        <f t="shared" si="20"/>
        <v>#REF!</v>
      </c>
      <c r="AO96" s="261" t="e">
        <f t="shared" si="21"/>
        <v>#REF!</v>
      </c>
      <c r="AP96" s="261" t="e">
        <f t="shared" si="22"/>
        <v>#REF!</v>
      </c>
      <c r="AQ96" s="261" t="e">
        <f t="shared" si="23"/>
        <v>#REF!</v>
      </c>
    </row>
    <row r="97" spans="1:52">
      <c r="A97" s="1256" t="e">
        <f>AA!#REF!</f>
        <v>#REF!</v>
      </c>
      <c r="B97" s="1256" t="e">
        <f>INDEX(AA!$AC$13:$AC$15,MATCH(A97,AA!$C$13:$C$15,0))</f>
        <v>#REF!</v>
      </c>
      <c r="C97" s="1256" t="e">
        <f>INDEX(AA!$AI$13:$AI$15,MATCH(A97,AA!$C$13:$C$15,0))</f>
        <v>#REF!</v>
      </c>
      <c r="D97" s="1256" t="e">
        <f>INDEX(AA!$AN$13:$AN$15,MATCH(A97,AA!$C$13:$C$15,0))</f>
        <v>#REF!</v>
      </c>
      <c r="E97" s="1256"/>
      <c r="F97" s="1257" t="e">
        <f>INDEX(AO!$DJ$18:$DJ$20,MATCH(A97,AO!$C$18:$C$20,0))</f>
        <v>#REF!</v>
      </c>
      <c r="G97" s="1257" t="e">
        <f>INDEX(AO!$AS$18:$AS$20,MATCH(A97,AO!$C$18:$C$20,0))</f>
        <v>#REF!</v>
      </c>
      <c r="H97" s="1257" t="e">
        <f>INDEX(AO!$AT$18:$AT$20,MATCH(A97,AO!$C$18:$C$20,0))</f>
        <v>#REF!</v>
      </c>
      <c r="I97" s="1257" t="e">
        <f>INDEX(AO!$CE$18:$CE$20,MATCH(A97,AO!$C$18:$C$20,0))</f>
        <v>#REF!</v>
      </c>
      <c r="J97" s="1257" t="e">
        <f>INDEX(AA!$M$13:$M$15,MATCH(A97,AA!$C$13:$C$15,0))</f>
        <v>#REF!</v>
      </c>
      <c r="K97" s="1257" t="e">
        <f>INDEX(AA!$AA$13:$AA$15,MATCH(A97,AA!$C$13:$C$15,0))</f>
        <v>#REF!</v>
      </c>
      <c r="L97" s="1257" t="e">
        <f>-INDEX(AO!$AZ$18:$AZ$20,MATCH(A97,AO!$C$18:$C$20,0))</f>
        <v>#REF!</v>
      </c>
      <c r="M97" s="1257" t="e">
        <f>INDEX(AO!$DF$18:$DF$20,MATCH(A97,AO!$C$18:$C$20,0))-INDEX(AO!$DA$18:$DA$20,MATCH(A97,AO!$C$18:$C$20,0))+INDEX(AA!$IJ$13:$IJ$15,MATCH(A97,AA!$C$13:$C$15,0))</f>
        <v>#REF!</v>
      </c>
      <c r="N97" s="1257" t="e">
        <f>INDEX(AO!$EY$18:$EY$20,MATCH(A97,AO!$C$18:$C$20,0))</f>
        <v>#REF!</v>
      </c>
      <c r="O97" s="1257" t="e">
        <f>INDEX(AO!$ED$18:$ED$20,MATCH(A97,AO!$C$18:$C$20,0))</f>
        <v>#REF!</v>
      </c>
      <c r="P97" s="1257" t="e">
        <f>INDEX(AO!$EU$18:$EU$20,MATCH(A97,AO!$C$18:$C$20,0))</f>
        <v>#REF!</v>
      </c>
      <c r="Q97" s="1257" t="e">
        <f t="shared" si="24"/>
        <v>#REF!</v>
      </c>
      <c r="S97" s="1257"/>
      <c r="T97" s="1257"/>
      <c r="U97" s="1257"/>
      <c r="V97" s="1257"/>
      <c r="W97" s="1257"/>
      <c r="X97" s="1257"/>
      <c r="Y97" s="1257"/>
      <c r="Z97" s="1257"/>
      <c r="AA97" s="1257"/>
      <c r="AB97" s="1257"/>
      <c r="AC97" s="1257"/>
      <c r="AD97" s="1257"/>
      <c r="AF97" s="1257" t="e">
        <f t="shared" si="25"/>
        <v>#REF!</v>
      </c>
      <c r="AG97" s="1257" t="e">
        <f t="shared" si="13"/>
        <v>#REF!</v>
      </c>
      <c r="AH97" s="1257" t="e">
        <f t="shared" si="14"/>
        <v>#REF!</v>
      </c>
      <c r="AI97" s="1257" t="e">
        <f t="shared" si="15"/>
        <v>#REF!</v>
      </c>
      <c r="AJ97" s="1257" t="e">
        <f t="shared" si="16"/>
        <v>#REF!</v>
      </c>
      <c r="AK97" s="1257" t="e">
        <f t="shared" si="17"/>
        <v>#REF!</v>
      </c>
      <c r="AL97" s="1257" t="e">
        <f t="shared" si="18"/>
        <v>#REF!</v>
      </c>
      <c r="AM97" s="1257" t="e">
        <f t="shared" si="19"/>
        <v>#REF!</v>
      </c>
      <c r="AN97" s="1257" t="e">
        <f t="shared" si="20"/>
        <v>#REF!</v>
      </c>
      <c r="AO97" s="1257" t="e">
        <f t="shared" si="21"/>
        <v>#REF!</v>
      </c>
      <c r="AP97" s="1257" t="e">
        <f t="shared" si="22"/>
        <v>#REF!</v>
      </c>
      <c r="AQ97" s="1257" t="e">
        <f t="shared" si="23"/>
        <v>#REF!</v>
      </c>
    </row>
    <row r="98" spans="1:52">
      <c r="A98" t="e">
        <f>AA!#REF!</f>
        <v>#REF!</v>
      </c>
      <c r="B98" t="e">
        <f>INDEX(AA!$AC$13:$AC$15,MATCH(A98,AA!$C$13:$C$15,0))</f>
        <v>#REF!</v>
      </c>
      <c r="C98" t="e">
        <f>INDEX(AA!$AI$13:$AI$15,MATCH(A98,AA!$C$13:$C$15,0))</f>
        <v>#REF!</v>
      </c>
      <c r="D98" t="e">
        <f>INDEX(AA!$AN$13:$AN$15,MATCH(A98,AA!$C$13:$C$15,0))</f>
        <v>#REF!</v>
      </c>
      <c r="F98" s="261" t="e">
        <f>INDEX(AO!$DJ$18:$DJ$20,MATCH(A98,AO!$C$18:$C$20,0))</f>
        <v>#REF!</v>
      </c>
      <c r="G98" s="261" t="e">
        <f>INDEX(AO!$AS$18:$AS$20,MATCH(A98,AO!$C$18:$C$20,0))</f>
        <v>#REF!</v>
      </c>
      <c r="H98" s="261" t="e">
        <f>INDEX(AO!$AT$18:$AT$20,MATCH(A98,AO!$C$18:$C$20,0))</f>
        <v>#REF!</v>
      </c>
      <c r="I98" s="261" t="e">
        <f>INDEX(AO!$CE$18:$CE$20,MATCH(A98,AO!$C$18:$C$20,0))</f>
        <v>#REF!</v>
      </c>
      <c r="J98" s="261" t="e">
        <f>INDEX(AA!$M$13:$M$15,MATCH(A98,AA!$C$13:$C$15,0))</f>
        <v>#REF!</v>
      </c>
      <c r="K98" s="261" t="e">
        <f>INDEX(AA!$AA$13:$AA$15,MATCH(A98,AA!$C$13:$C$15,0))</f>
        <v>#REF!</v>
      </c>
      <c r="L98" s="261" t="e">
        <f>-INDEX(AO!$AZ$18:$AZ$20,MATCH(A98,AO!$C$18:$C$20,0))</f>
        <v>#REF!</v>
      </c>
      <c r="M98" s="261" t="e">
        <f>INDEX(AO!$DF$18:$DF$20,MATCH(A98,AO!$C$18:$C$20,0))-INDEX(AO!$DA$18:$DA$20,MATCH(A98,AO!$C$18:$C$20,0))+INDEX(AA!$IJ$13:$IJ$15,MATCH(A98,AA!$C$13:$C$15,0))</f>
        <v>#REF!</v>
      </c>
      <c r="N98" s="261" t="e">
        <f>INDEX(AO!$EY$18:$EY$20,MATCH(A98,AO!$C$18:$C$20,0))</f>
        <v>#REF!</v>
      </c>
      <c r="O98" s="261" t="e">
        <f>INDEX(AO!$ED$18:$ED$20,MATCH(A98,AO!$C$18:$C$20,0))</f>
        <v>#REF!</v>
      </c>
      <c r="P98" s="261" t="e">
        <f>INDEX(AO!$EU$18:$EU$20,MATCH(A98,AO!$C$18:$C$20,0))</f>
        <v>#REF!</v>
      </c>
      <c r="Q98" s="261" t="e">
        <f t="shared" si="24"/>
        <v>#REF!</v>
      </c>
      <c r="S98" s="261"/>
      <c r="T98" s="261"/>
      <c r="U98" s="261"/>
      <c r="V98" s="261"/>
      <c r="W98" s="261"/>
      <c r="X98" s="261"/>
      <c r="Y98" s="261"/>
      <c r="Z98" s="261"/>
      <c r="AA98" s="261"/>
      <c r="AB98" s="261"/>
      <c r="AC98" s="261"/>
      <c r="AD98" s="261"/>
      <c r="AF98" s="261" t="e">
        <f t="shared" si="25"/>
        <v>#REF!</v>
      </c>
      <c r="AG98" s="261" t="e">
        <f t="shared" si="13"/>
        <v>#REF!</v>
      </c>
      <c r="AH98" s="261" t="e">
        <f t="shared" si="14"/>
        <v>#REF!</v>
      </c>
      <c r="AI98" s="261" t="e">
        <f t="shared" si="15"/>
        <v>#REF!</v>
      </c>
      <c r="AJ98" s="261" t="e">
        <f t="shared" si="16"/>
        <v>#REF!</v>
      </c>
      <c r="AK98" s="261" t="e">
        <f t="shared" si="17"/>
        <v>#REF!</v>
      </c>
      <c r="AL98" s="261" t="e">
        <f t="shared" si="18"/>
        <v>#REF!</v>
      </c>
      <c r="AM98" s="261" t="e">
        <f t="shared" si="19"/>
        <v>#REF!</v>
      </c>
      <c r="AN98" s="261" t="e">
        <f t="shared" si="20"/>
        <v>#REF!</v>
      </c>
      <c r="AO98" s="261" t="e">
        <f t="shared" si="21"/>
        <v>#REF!</v>
      </c>
      <c r="AP98" s="261" t="e">
        <f t="shared" si="22"/>
        <v>#REF!</v>
      </c>
      <c r="AQ98" s="261" t="e">
        <f t="shared" si="23"/>
        <v>#REF!</v>
      </c>
    </row>
    <row r="99" spans="1:52">
      <c r="A99" s="1256" t="e">
        <f>AA!#REF!</f>
        <v>#REF!</v>
      </c>
      <c r="B99" s="1256" t="e">
        <f>INDEX(AA!$AC$13:$AC$15,MATCH(A99,AA!$C$13:$C$15,0))</f>
        <v>#REF!</v>
      </c>
      <c r="C99" s="1256" t="e">
        <f>INDEX(AA!$AI$13:$AI$15,MATCH(A99,AA!$C$13:$C$15,0))</f>
        <v>#REF!</v>
      </c>
      <c r="D99" s="1256" t="e">
        <f>INDEX(AA!$AN$13:$AN$15,MATCH(A99,AA!$C$13:$C$15,0))</f>
        <v>#REF!</v>
      </c>
      <c r="E99" s="1256"/>
      <c r="F99" s="1257" t="e">
        <f>INDEX(AO!$DJ$18:$DJ$20,MATCH(A99,AO!$C$18:$C$20,0))</f>
        <v>#REF!</v>
      </c>
      <c r="G99" s="1257" t="e">
        <f>INDEX(AO!$AS$18:$AS$20,MATCH(A99,AO!$C$18:$C$20,0))</f>
        <v>#REF!</v>
      </c>
      <c r="H99" s="1257" t="e">
        <f>INDEX(AO!$AT$18:$AT$20,MATCH(A99,AO!$C$18:$C$20,0))</f>
        <v>#REF!</v>
      </c>
      <c r="I99" s="1257" t="e">
        <f>INDEX(AO!$CE$18:$CE$20,MATCH(A99,AO!$C$18:$C$20,0))</f>
        <v>#REF!</v>
      </c>
      <c r="J99" s="1257" t="e">
        <f>INDEX(AA!$M$13:$M$15,MATCH(A99,AA!$C$13:$C$15,0))</f>
        <v>#REF!</v>
      </c>
      <c r="K99" s="1257" t="e">
        <f>INDEX(AA!$AA$13:$AA$15,MATCH(A99,AA!$C$13:$C$15,0))</f>
        <v>#REF!</v>
      </c>
      <c r="L99" s="1257" t="e">
        <f>-INDEX(AO!$AZ$18:$AZ$20,MATCH(A99,AO!$C$18:$C$20,0))</f>
        <v>#REF!</v>
      </c>
      <c r="M99" s="1257" t="e">
        <f>INDEX(AO!$DF$18:$DF$20,MATCH(A99,AO!$C$18:$C$20,0))-INDEX(AO!$DA$18:$DA$20,MATCH(A99,AO!$C$18:$C$20,0))+INDEX(AA!$IJ$13:$IJ$15,MATCH(A99,AA!$C$13:$C$15,0))</f>
        <v>#REF!</v>
      </c>
      <c r="N99" s="1257" t="e">
        <f>INDEX(AO!$EY$18:$EY$20,MATCH(A99,AO!$C$18:$C$20,0))</f>
        <v>#REF!</v>
      </c>
      <c r="O99" s="1257" t="e">
        <f>INDEX(AO!$ED$18:$ED$20,MATCH(A99,AO!$C$18:$C$20,0))</f>
        <v>#REF!</v>
      </c>
      <c r="P99" s="1257" t="e">
        <f>INDEX(AO!$EU$18:$EU$20,MATCH(A99,AO!$C$18:$C$20,0))</f>
        <v>#REF!</v>
      </c>
      <c r="Q99" s="1257" t="e">
        <f t="shared" si="24"/>
        <v>#REF!</v>
      </c>
      <c r="S99" s="1257"/>
      <c r="T99" s="1257"/>
      <c r="U99" s="1257"/>
      <c r="V99" s="1257"/>
      <c r="W99" s="1257"/>
      <c r="X99" s="1257"/>
      <c r="Y99" s="1257"/>
      <c r="Z99" s="1257"/>
      <c r="AA99" s="1257"/>
      <c r="AB99" s="1257"/>
      <c r="AC99" s="1257"/>
      <c r="AD99" s="1257"/>
      <c r="AF99" s="1257" t="e">
        <f t="shared" si="25"/>
        <v>#REF!</v>
      </c>
      <c r="AG99" s="1257" t="e">
        <f t="shared" si="13"/>
        <v>#REF!</v>
      </c>
      <c r="AH99" s="1257" t="e">
        <f t="shared" si="14"/>
        <v>#REF!</v>
      </c>
      <c r="AI99" s="1257" t="e">
        <f t="shared" si="15"/>
        <v>#REF!</v>
      </c>
      <c r="AJ99" s="1257" t="e">
        <f t="shared" si="16"/>
        <v>#REF!</v>
      </c>
      <c r="AK99" s="1257" t="e">
        <f t="shared" si="17"/>
        <v>#REF!</v>
      </c>
      <c r="AL99" s="1257" t="e">
        <f t="shared" si="18"/>
        <v>#REF!</v>
      </c>
      <c r="AM99" s="1257" t="e">
        <f t="shared" si="19"/>
        <v>#REF!</v>
      </c>
      <c r="AN99" s="1257" t="e">
        <f t="shared" si="20"/>
        <v>#REF!</v>
      </c>
      <c r="AO99" s="1257" t="e">
        <f t="shared" si="21"/>
        <v>#REF!</v>
      </c>
      <c r="AP99" s="1257" t="e">
        <f t="shared" si="22"/>
        <v>#REF!</v>
      </c>
      <c r="AQ99" s="1257" t="e">
        <f t="shared" si="23"/>
        <v>#REF!</v>
      </c>
    </row>
    <row r="100" spans="1:52">
      <c r="A100" t="e">
        <f>AA!#REF!</f>
        <v>#REF!</v>
      </c>
      <c r="B100" t="e">
        <f>INDEX(AA!$AC$13:$AC$15,MATCH(A100,AA!$C$13:$C$15,0))</f>
        <v>#REF!</v>
      </c>
      <c r="C100" t="e">
        <f>INDEX(AA!$AI$13:$AI$15,MATCH(A100,AA!$C$13:$C$15,0))</f>
        <v>#REF!</v>
      </c>
      <c r="D100" t="e">
        <f>INDEX(AA!$AN$13:$AN$15,MATCH(A100,AA!$C$13:$C$15,0))</f>
        <v>#REF!</v>
      </c>
      <c r="F100" s="261" t="e">
        <f>INDEX(AO!$DJ$18:$DJ$20,MATCH(A100,AO!$C$18:$C$20,0))</f>
        <v>#REF!</v>
      </c>
      <c r="G100" s="261" t="e">
        <f>INDEX(AO!$AS$18:$AS$20,MATCH(A100,AO!$C$18:$C$20,0))</f>
        <v>#REF!</v>
      </c>
      <c r="H100" s="261" t="e">
        <f>INDEX(AO!$AT$18:$AT$20,MATCH(A100,AO!$C$18:$C$20,0))</f>
        <v>#REF!</v>
      </c>
      <c r="I100" s="261" t="e">
        <f>INDEX(AO!$CE$18:$CE$20,MATCH(A100,AO!$C$18:$C$20,0))</f>
        <v>#REF!</v>
      </c>
      <c r="J100" s="261" t="e">
        <f>INDEX(AA!$M$13:$M$15,MATCH(A100,AA!$C$13:$C$15,0))</f>
        <v>#REF!</v>
      </c>
      <c r="K100" s="261" t="e">
        <f>INDEX(AA!$AA$13:$AA$15,MATCH(A100,AA!$C$13:$C$15,0))</f>
        <v>#REF!</v>
      </c>
      <c r="L100" s="261" t="e">
        <f>-INDEX(AO!$AZ$18:$AZ$20,MATCH(A100,AO!$C$18:$C$20,0))</f>
        <v>#REF!</v>
      </c>
      <c r="M100" s="261" t="e">
        <f>INDEX(AO!$DF$18:$DF$20,MATCH(A100,AO!$C$18:$C$20,0))-INDEX(AO!$DA$18:$DA$20,MATCH(A100,AO!$C$18:$C$20,0))+INDEX(AA!$IJ$13:$IJ$15,MATCH(A100,AA!$C$13:$C$15,0))</f>
        <v>#REF!</v>
      </c>
      <c r="N100" s="261" t="e">
        <f>INDEX(AO!$EY$18:$EY$20,MATCH(A100,AO!$C$18:$C$20,0))</f>
        <v>#REF!</v>
      </c>
      <c r="O100" s="261" t="e">
        <f>INDEX(AO!$ED$18:$ED$20,MATCH(A100,AO!$C$18:$C$20,0))</f>
        <v>#REF!</v>
      </c>
      <c r="P100" s="261" t="e">
        <f>INDEX(AO!$EU$18:$EU$20,MATCH(A100,AO!$C$18:$C$20,0))</f>
        <v>#REF!</v>
      </c>
      <c r="Q100" s="261" t="e">
        <f t="shared" si="24"/>
        <v>#REF!</v>
      </c>
      <c r="S100" s="261"/>
      <c r="T100" s="261"/>
      <c r="U100" s="261"/>
      <c r="V100" s="261"/>
      <c r="W100" s="261"/>
      <c r="X100" s="261"/>
      <c r="Y100" s="261"/>
      <c r="Z100" s="261"/>
      <c r="AA100" s="261"/>
      <c r="AB100" s="261"/>
      <c r="AC100" s="261"/>
      <c r="AD100" s="261"/>
      <c r="AF100" s="261" t="e">
        <f t="shared" si="25"/>
        <v>#REF!</v>
      </c>
      <c r="AG100" s="261" t="e">
        <f t="shared" si="13"/>
        <v>#REF!</v>
      </c>
      <c r="AH100" s="261" t="e">
        <f t="shared" si="14"/>
        <v>#REF!</v>
      </c>
      <c r="AI100" s="261" t="e">
        <f t="shared" si="15"/>
        <v>#REF!</v>
      </c>
      <c r="AJ100" s="261" t="e">
        <f t="shared" si="16"/>
        <v>#REF!</v>
      </c>
      <c r="AK100" s="261" t="e">
        <f t="shared" si="17"/>
        <v>#REF!</v>
      </c>
      <c r="AL100" s="261" t="e">
        <f t="shared" si="18"/>
        <v>#REF!</v>
      </c>
      <c r="AM100" s="261" t="e">
        <f t="shared" si="19"/>
        <v>#REF!</v>
      </c>
      <c r="AN100" s="261" t="e">
        <f t="shared" si="20"/>
        <v>#REF!</v>
      </c>
      <c r="AO100" s="261" t="e">
        <f t="shared" si="21"/>
        <v>#REF!</v>
      </c>
      <c r="AP100" s="261" t="e">
        <f t="shared" si="22"/>
        <v>#REF!</v>
      </c>
      <c r="AQ100" s="261" t="e">
        <f t="shared" si="23"/>
        <v>#REF!</v>
      </c>
    </row>
    <row r="101" spans="1:52">
      <c r="A101" s="1256" t="e">
        <f>AA!#REF!</f>
        <v>#REF!</v>
      </c>
      <c r="B101" s="1256" t="e">
        <f>INDEX(AA!$AC$13:$AC$15,MATCH(A101,AA!$C$13:$C$15,0))</f>
        <v>#REF!</v>
      </c>
      <c r="C101" s="1256" t="e">
        <f>INDEX(AA!$AI$13:$AI$15,MATCH(A101,AA!$C$13:$C$15,0))</f>
        <v>#REF!</v>
      </c>
      <c r="D101" s="1256" t="e">
        <f>INDEX(AA!$AN$13:$AN$15,MATCH(A101,AA!$C$13:$C$15,0))</f>
        <v>#REF!</v>
      </c>
      <c r="E101" s="1256"/>
      <c r="F101" s="1257" t="e">
        <f>INDEX(AO!$DJ$18:$DJ$20,MATCH(A101,AO!$C$18:$C$20,0))</f>
        <v>#REF!</v>
      </c>
      <c r="G101" s="1257" t="e">
        <f>INDEX(AO!$AS$18:$AS$20,MATCH(A101,AO!$C$18:$C$20,0))</f>
        <v>#REF!</v>
      </c>
      <c r="H101" s="1257" t="e">
        <f>INDEX(AO!$AT$18:$AT$20,MATCH(A101,AO!$C$18:$C$20,0))</f>
        <v>#REF!</v>
      </c>
      <c r="I101" s="1257" t="e">
        <f>INDEX(AO!$CE$18:$CE$20,MATCH(A101,AO!$C$18:$C$20,0))</f>
        <v>#REF!</v>
      </c>
      <c r="J101" s="1257" t="e">
        <f>INDEX(AA!$M$13:$M$15,MATCH(A101,AA!$C$13:$C$15,0))</f>
        <v>#REF!</v>
      </c>
      <c r="K101" s="1257" t="e">
        <f>INDEX(AA!$AA$13:$AA$15,MATCH(A101,AA!$C$13:$C$15,0))</f>
        <v>#REF!</v>
      </c>
      <c r="L101" s="1257" t="e">
        <f>-INDEX(AO!$AZ$18:$AZ$20,MATCH(A101,AO!$C$18:$C$20,0))</f>
        <v>#REF!</v>
      </c>
      <c r="M101" s="1257" t="e">
        <f>INDEX(AO!$DF$18:$DF$20,MATCH(A101,AO!$C$18:$C$20,0))-INDEX(AO!$DA$18:$DA$20,MATCH(A101,AO!$C$18:$C$20,0))+INDEX(AA!$IJ$13:$IJ$15,MATCH(A101,AA!$C$13:$C$15,0))</f>
        <v>#REF!</v>
      </c>
      <c r="N101" s="1257" t="e">
        <f>INDEX(AO!$EY$18:$EY$20,MATCH(A101,AO!$C$18:$C$20,0))</f>
        <v>#REF!</v>
      </c>
      <c r="O101" s="1257" t="e">
        <f>INDEX(AO!$ED$18:$ED$20,MATCH(A101,AO!$C$18:$C$20,0))</f>
        <v>#REF!</v>
      </c>
      <c r="P101" s="1257" t="e">
        <f>INDEX(AO!$EU$18:$EU$20,MATCH(A101,AO!$C$18:$C$20,0))</f>
        <v>#REF!</v>
      </c>
      <c r="Q101" s="1257" t="e">
        <f t="shared" si="24"/>
        <v>#REF!</v>
      </c>
      <c r="S101" s="1257"/>
      <c r="T101" s="1257"/>
      <c r="U101" s="1257"/>
      <c r="V101" s="1257"/>
      <c r="W101" s="1257"/>
      <c r="X101" s="1257"/>
      <c r="Y101" s="1257"/>
      <c r="Z101" s="1257"/>
      <c r="AA101" s="1257"/>
      <c r="AB101" s="1257"/>
      <c r="AC101" s="1257"/>
      <c r="AD101" s="1257"/>
      <c r="AF101" s="1257" t="e">
        <f t="shared" si="25"/>
        <v>#REF!</v>
      </c>
      <c r="AG101" s="1257" t="e">
        <f t="shared" si="13"/>
        <v>#REF!</v>
      </c>
      <c r="AH101" s="1257" t="e">
        <f t="shared" si="14"/>
        <v>#REF!</v>
      </c>
      <c r="AI101" s="1257" t="e">
        <f t="shared" si="15"/>
        <v>#REF!</v>
      </c>
      <c r="AJ101" s="1257" t="e">
        <f t="shared" si="16"/>
        <v>#REF!</v>
      </c>
      <c r="AK101" s="1257" t="e">
        <f t="shared" si="17"/>
        <v>#REF!</v>
      </c>
      <c r="AL101" s="1257" t="e">
        <f t="shared" si="18"/>
        <v>#REF!</v>
      </c>
      <c r="AM101" s="1257" t="e">
        <f t="shared" si="19"/>
        <v>#REF!</v>
      </c>
      <c r="AN101" s="1257" t="e">
        <f t="shared" si="20"/>
        <v>#REF!</v>
      </c>
      <c r="AO101" s="1257" t="e">
        <f t="shared" si="21"/>
        <v>#REF!</v>
      </c>
      <c r="AP101" s="1257" t="e">
        <f t="shared" si="22"/>
        <v>#REF!</v>
      </c>
      <c r="AQ101" s="1257" t="e">
        <f t="shared" si="23"/>
        <v>#REF!</v>
      </c>
    </row>
    <row r="102" spans="1:52">
      <c r="A102" t="e">
        <f>AA!#REF!</f>
        <v>#REF!</v>
      </c>
      <c r="B102" t="e">
        <f>INDEX(AA!$AC$13:$AC$15,MATCH(A102,AA!$C$13:$C$15,0))</f>
        <v>#REF!</v>
      </c>
      <c r="C102" t="e">
        <f>INDEX(AA!$AI$13:$AI$15,MATCH(A102,AA!$C$13:$C$15,0))</f>
        <v>#REF!</v>
      </c>
      <c r="D102" t="e">
        <f>INDEX(AA!$AN$13:$AN$15,MATCH(A102,AA!$C$13:$C$15,0))</f>
        <v>#REF!</v>
      </c>
      <c r="F102" s="261" t="e">
        <f>INDEX(AO!$DJ$18:$DJ$20,MATCH(A102,AO!$C$18:$C$20,0))</f>
        <v>#REF!</v>
      </c>
      <c r="G102" s="261" t="e">
        <f>INDEX(AO!$AS$18:$AS$20,MATCH(A102,AO!$C$18:$C$20,0))</f>
        <v>#REF!</v>
      </c>
      <c r="H102" s="261" t="e">
        <f>INDEX(AO!$AT$18:$AT$20,MATCH(A102,AO!$C$18:$C$20,0))</f>
        <v>#REF!</v>
      </c>
      <c r="I102" s="261" t="e">
        <f>INDEX(AO!$CE$18:$CE$20,MATCH(A102,AO!$C$18:$C$20,0))</f>
        <v>#REF!</v>
      </c>
      <c r="J102" s="261" t="e">
        <f>INDEX(AA!$M$13:$M$15,MATCH(A102,AA!$C$13:$C$15,0))</f>
        <v>#REF!</v>
      </c>
      <c r="K102" s="261" t="e">
        <f>INDEX(AA!$AA$13:$AA$15,MATCH(A102,AA!$C$13:$C$15,0))</f>
        <v>#REF!</v>
      </c>
      <c r="L102" s="261" t="e">
        <f>-INDEX(AO!$AZ$18:$AZ$20,MATCH(A102,AO!$C$18:$C$20,0))</f>
        <v>#REF!</v>
      </c>
      <c r="M102" s="261" t="e">
        <f>INDEX(AO!$DF$18:$DF$20,MATCH(A102,AO!$C$18:$C$20,0))-INDEX(AO!$DA$18:$DA$20,MATCH(A102,AO!$C$18:$C$20,0))+INDEX(AA!$IJ$13:$IJ$15,MATCH(A102,AA!$C$13:$C$15,0))</f>
        <v>#REF!</v>
      </c>
      <c r="N102" s="261" t="e">
        <f>INDEX(AO!$EY$18:$EY$20,MATCH(A102,AO!$C$18:$C$20,0))</f>
        <v>#REF!</v>
      </c>
      <c r="O102" s="261" t="e">
        <f>INDEX(AO!$ED$18:$ED$20,MATCH(A102,AO!$C$18:$C$20,0))</f>
        <v>#REF!</v>
      </c>
      <c r="P102" s="261" t="e">
        <f>INDEX(AO!$EU$18:$EU$20,MATCH(A102,AO!$C$18:$C$20,0))</f>
        <v>#REF!</v>
      </c>
      <c r="Q102" s="261" t="e">
        <f t="shared" si="24"/>
        <v>#REF!</v>
      </c>
      <c r="S102" s="261"/>
      <c r="T102" s="261"/>
      <c r="U102" s="261"/>
      <c r="V102" s="261"/>
      <c r="W102" s="261"/>
      <c r="X102" s="261"/>
      <c r="Y102" s="261"/>
      <c r="Z102" s="261"/>
      <c r="AA102" s="261"/>
      <c r="AB102" s="261"/>
      <c r="AC102" s="261"/>
      <c r="AD102" s="261"/>
      <c r="AF102" s="261" t="e">
        <f t="shared" si="25"/>
        <v>#REF!</v>
      </c>
      <c r="AG102" s="261" t="e">
        <f t="shared" si="13"/>
        <v>#REF!</v>
      </c>
      <c r="AH102" s="261" t="e">
        <f t="shared" si="14"/>
        <v>#REF!</v>
      </c>
      <c r="AI102" s="261" t="e">
        <f t="shared" si="15"/>
        <v>#REF!</v>
      </c>
      <c r="AJ102" s="261" t="e">
        <f t="shared" si="16"/>
        <v>#REF!</v>
      </c>
      <c r="AK102" s="261" t="e">
        <f t="shared" si="17"/>
        <v>#REF!</v>
      </c>
      <c r="AL102" s="261" t="e">
        <f t="shared" si="18"/>
        <v>#REF!</v>
      </c>
      <c r="AM102" s="261" t="e">
        <f t="shared" si="19"/>
        <v>#REF!</v>
      </c>
      <c r="AN102" s="261" t="e">
        <f t="shared" si="20"/>
        <v>#REF!</v>
      </c>
      <c r="AO102" s="261" t="e">
        <f t="shared" si="21"/>
        <v>#REF!</v>
      </c>
      <c r="AP102" s="261" t="e">
        <f t="shared" si="22"/>
        <v>#REF!</v>
      </c>
      <c r="AQ102" s="261" t="e">
        <f t="shared" si="23"/>
        <v>#REF!</v>
      </c>
    </row>
    <row r="103" spans="1:52">
      <c r="A103" s="1256" t="e">
        <f>AA!#REF!</f>
        <v>#REF!</v>
      </c>
      <c r="B103" s="1256" t="e">
        <f>INDEX(AA!$AC$13:$AC$15,MATCH(A103,AA!$C$13:$C$15,0))</f>
        <v>#REF!</v>
      </c>
      <c r="C103" s="1256" t="e">
        <f>INDEX(AA!$AI$13:$AI$15,MATCH(A103,AA!$C$13:$C$15,0))</f>
        <v>#REF!</v>
      </c>
      <c r="D103" s="1256" t="e">
        <f>INDEX(AA!$AN$13:$AN$15,MATCH(A103,AA!$C$13:$C$15,0))</f>
        <v>#REF!</v>
      </c>
      <c r="E103" s="1256"/>
      <c r="F103" s="1257" t="e">
        <f>INDEX(AO!$DJ$18:$DJ$20,MATCH(A103,AO!$C$18:$C$20,0))</f>
        <v>#REF!</v>
      </c>
      <c r="G103" s="1257" t="e">
        <f>INDEX(AO!$AS$18:$AS$20,MATCH(A103,AO!$C$18:$C$20,0))</f>
        <v>#REF!</v>
      </c>
      <c r="H103" s="1257" t="e">
        <f>INDEX(AO!$AT$18:$AT$20,MATCH(A103,AO!$C$18:$C$20,0))</f>
        <v>#REF!</v>
      </c>
      <c r="I103" s="1257" t="e">
        <f>INDEX(AO!$CE$18:$CE$20,MATCH(A103,AO!$C$18:$C$20,0))</f>
        <v>#REF!</v>
      </c>
      <c r="J103" s="1257" t="e">
        <f>INDEX(AA!$M$13:$M$15,MATCH(A103,AA!$C$13:$C$15,0))</f>
        <v>#REF!</v>
      </c>
      <c r="K103" s="1257" t="e">
        <f>INDEX(AA!$AA$13:$AA$15,MATCH(A103,AA!$C$13:$C$15,0))</f>
        <v>#REF!</v>
      </c>
      <c r="L103" s="1257" t="e">
        <f>-INDEX(AO!$AZ$18:$AZ$20,MATCH(A103,AO!$C$18:$C$20,0))</f>
        <v>#REF!</v>
      </c>
      <c r="M103" s="1257" t="e">
        <f>INDEX(AO!$DF$18:$DF$20,MATCH(A103,AO!$C$18:$C$20,0))-INDEX(AO!$DA$18:$DA$20,MATCH(A103,AO!$C$18:$C$20,0))+INDEX(AA!$IJ$13:$IJ$15,MATCH(A103,AA!$C$13:$C$15,0))</f>
        <v>#REF!</v>
      </c>
      <c r="N103" s="1257" t="e">
        <f>INDEX(AO!$EY$18:$EY$20,MATCH(A103,AO!$C$18:$C$20,0))</f>
        <v>#REF!</v>
      </c>
      <c r="O103" s="1257" t="e">
        <f>INDEX(AO!$ED$18:$ED$20,MATCH(A103,AO!$C$18:$C$20,0))</f>
        <v>#REF!</v>
      </c>
      <c r="P103" s="1257" t="e">
        <f>INDEX(AO!$EU$18:$EU$20,MATCH(A103,AO!$C$18:$C$20,0))</f>
        <v>#REF!</v>
      </c>
      <c r="Q103" s="1257" t="e">
        <f t="shared" si="24"/>
        <v>#REF!</v>
      </c>
      <c r="S103" s="1257"/>
      <c r="T103" s="1257"/>
      <c r="U103" s="1257"/>
      <c r="V103" s="1257"/>
      <c r="W103" s="1257"/>
      <c r="X103" s="1257"/>
      <c r="Y103" s="1257"/>
      <c r="Z103" s="1257"/>
      <c r="AA103" s="1257"/>
      <c r="AB103" s="1257"/>
      <c r="AC103" s="1257"/>
      <c r="AD103" s="1257"/>
      <c r="AF103" s="1257" t="e">
        <f t="shared" si="25"/>
        <v>#REF!</v>
      </c>
      <c r="AG103" s="1257" t="e">
        <f t="shared" si="13"/>
        <v>#REF!</v>
      </c>
      <c r="AH103" s="1257" t="e">
        <f t="shared" si="14"/>
        <v>#REF!</v>
      </c>
      <c r="AI103" s="1257" t="e">
        <f t="shared" si="15"/>
        <v>#REF!</v>
      </c>
      <c r="AJ103" s="1257" t="e">
        <f t="shared" si="16"/>
        <v>#REF!</v>
      </c>
      <c r="AK103" s="1257" t="e">
        <f t="shared" si="17"/>
        <v>#REF!</v>
      </c>
      <c r="AL103" s="1257" t="e">
        <f t="shared" si="18"/>
        <v>#REF!</v>
      </c>
      <c r="AM103" s="1257" t="e">
        <f t="shared" si="19"/>
        <v>#REF!</v>
      </c>
      <c r="AN103" s="1257" t="e">
        <f t="shared" si="20"/>
        <v>#REF!</v>
      </c>
      <c r="AO103" s="1257" t="e">
        <f t="shared" si="21"/>
        <v>#REF!</v>
      </c>
      <c r="AP103" s="1257" t="e">
        <f t="shared" si="22"/>
        <v>#REF!</v>
      </c>
      <c r="AQ103" s="1257" t="e">
        <f t="shared" si="23"/>
        <v>#REF!</v>
      </c>
    </row>
    <row r="104" spans="1:52">
      <c r="A104" t="e">
        <f>AA!#REF!</f>
        <v>#REF!</v>
      </c>
      <c r="B104" t="e">
        <f>INDEX(AA!$AC$13:$AC$15,MATCH(A104,AA!$C$13:$C$15,0))</f>
        <v>#REF!</v>
      </c>
      <c r="C104" t="e">
        <f>INDEX(AA!$AI$13:$AI$15,MATCH(A104,AA!$C$13:$C$15,0))</f>
        <v>#REF!</v>
      </c>
      <c r="D104" t="e">
        <f>INDEX(AA!$AN$13:$AN$15,MATCH(A104,AA!$C$13:$C$15,0))</f>
        <v>#REF!</v>
      </c>
      <c r="F104" s="261" t="e">
        <f>INDEX(AO!$DJ$18:$DJ$20,MATCH(A104,AO!$C$18:$C$20,0))</f>
        <v>#REF!</v>
      </c>
      <c r="G104" s="261" t="e">
        <f>INDEX(AO!$AS$18:$AS$20,MATCH(A104,AO!$C$18:$C$20,0))</f>
        <v>#REF!</v>
      </c>
      <c r="H104" s="261" t="e">
        <f>INDEX(AO!$AT$18:$AT$20,MATCH(A104,AO!$C$18:$C$20,0))</f>
        <v>#REF!</v>
      </c>
      <c r="I104" s="261" t="e">
        <f>INDEX(AO!$CE$18:$CE$20,MATCH(A104,AO!$C$18:$C$20,0))</f>
        <v>#REF!</v>
      </c>
      <c r="J104" s="261" t="e">
        <f>INDEX(AA!$M$13:$M$15,MATCH(A104,AA!$C$13:$C$15,0))</f>
        <v>#REF!</v>
      </c>
      <c r="K104" s="261" t="e">
        <f>INDEX(AA!$AA$13:$AA$15,MATCH(A104,AA!$C$13:$C$15,0))</f>
        <v>#REF!</v>
      </c>
      <c r="L104" s="261" t="e">
        <f>-INDEX(AO!$AZ$18:$AZ$20,MATCH(A104,AO!$C$18:$C$20,0))</f>
        <v>#REF!</v>
      </c>
      <c r="M104" s="261" t="e">
        <f>INDEX(AO!$DF$18:$DF$20,MATCH(A104,AO!$C$18:$C$20,0))-INDEX(AO!$DA$18:$DA$20,MATCH(A104,AO!$C$18:$C$20,0))+INDEX(AA!$IJ$13:$IJ$15,MATCH(A104,AA!$C$13:$C$15,0))</f>
        <v>#REF!</v>
      </c>
      <c r="N104" s="261" t="e">
        <f>INDEX(AO!$EY$18:$EY$20,MATCH(A104,AO!$C$18:$C$20,0))</f>
        <v>#REF!</v>
      </c>
      <c r="O104" s="261" t="e">
        <f>INDEX(AO!$ED$18:$ED$20,MATCH(A104,AO!$C$18:$C$20,0))</f>
        <v>#REF!</v>
      </c>
      <c r="P104" s="261" t="e">
        <f>INDEX(AO!$EU$18:$EU$20,MATCH(A104,AO!$C$18:$C$20,0))</f>
        <v>#REF!</v>
      </c>
      <c r="Q104" s="261" t="e">
        <f t="shared" si="24"/>
        <v>#REF!</v>
      </c>
      <c r="S104" s="261"/>
      <c r="T104" s="261"/>
      <c r="U104" s="261"/>
      <c r="V104" s="261"/>
      <c r="W104" s="261"/>
      <c r="X104" s="261"/>
      <c r="Y104" s="261"/>
      <c r="Z104" s="261"/>
      <c r="AA104" s="261"/>
      <c r="AB104" s="261"/>
      <c r="AC104" s="261"/>
      <c r="AD104" s="261"/>
      <c r="AF104" s="261" t="e">
        <f t="shared" si="25"/>
        <v>#REF!</v>
      </c>
      <c r="AG104" s="261" t="e">
        <f t="shared" si="13"/>
        <v>#REF!</v>
      </c>
      <c r="AH104" s="261" t="e">
        <f t="shared" si="14"/>
        <v>#REF!</v>
      </c>
      <c r="AI104" s="261" t="e">
        <f t="shared" si="15"/>
        <v>#REF!</v>
      </c>
      <c r="AJ104" s="261" t="e">
        <f t="shared" si="16"/>
        <v>#REF!</v>
      </c>
      <c r="AK104" s="261" t="e">
        <f t="shared" si="17"/>
        <v>#REF!</v>
      </c>
      <c r="AL104" s="261" t="e">
        <f t="shared" si="18"/>
        <v>#REF!</v>
      </c>
      <c r="AM104" s="261" t="e">
        <f t="shared" si="19"/>
        <v>#REF!</v>
      </c>
      <c r="AN104" s="261" t="e">
        <f t="shared" si="20"/>
        <v>#REF!</v>
      </c>
      <c r="AO104" s="261" t="e">
        <f t="shared" si="21"/>
        <v>#REF!</v>
      </c>
      <c r="AP104" s="261" t="e">
        <f t="shared" si="22"/>
        <v>#REF!</v>
      </c>
      <c r="AQ104" s="261" t="e">
        <f t="shared" si="23"/>
        <v>#REF!</v>
      </c>
    </row>
    <row r="105" spans="1:52">
      <c r="A105" s="1256" t="e">
        <f>AA!#REF!</f>
        <v>#REF!</v>
      </c>
      <c r="B105" s="1256" t="e">
        <f>INDEX(AA!$AC$13:$AC$15,MATCH(A105,AA!$C$13:$C$15,0))</f>
        <v>#REF!</v>
      </c>
      <c r="C105" s="1256" t="e">
        <f>INDEX(AA!$AI$13:$AI$15,MATCH(A105,AA!$C$13:$C$15,0))</f>
        <v>#REF!</v>
      </c>
      <c r="D105" s="1256" t="e">
        <f>INDEX(AA!$AN$13:$AN$15,MATCH(A105,AA!$C$13:$C$15,0))</f>
        <v>#REF!</v>
      </c>
      <c r="E105" s="1256"/>
      <c r="F105" s="1257" t="e">
        <f>INDEX(AO!$DJ$18:$DJ$20,MATCH(A105,AO!$C$18:$C$20,0))</f>
        <v>#REF!</v>
      </c>
      <c r="G105" s="1257" t="e">
        <f>INDEX(AO!$AS$18:$AS$20,MATCH(A105,AO!$C$18:$C$20,0))</f>
        <v>#REF!</v>
      </c>
      <c r="H105" s="1257" t="e">
        <f>INDEX(AO!$AT$18:$AT$20,MATCH(A105,AO!$C$18:$C$20,0))</f>
        <v>#REF!</v>
      </c>
      <c r="I105" s="1257" t="e">
        <f>INDEX(AO!$CE$18:$CE$20,MATCH(A105,AO!$C$18:$C$20,0))</f>
        <v>#REF!</v>
      </c>
      <c r="J105" s="1257" t="e">
        <f>INDEX(AA!$M$13:$M$15,MATCH(A105,AA!$C$13:$C$15,0))</f>
        <v>#REF!</v>
      </c>
      <c r="K105" s="1257" t="e">
        <f>INDEX(AA!$AA$13:$AA$15,MATCH(A105,AA!$C$13:$C$15,0))</f>
        <v>#REF!</v>
      </c>
      <c r="L105" s="1257" t="e">
        <f>-INDEX(AO!$AZ$18:$AZ$20,MATCH(A105,AO!$C$18:$C$20,0))</f>
        <v>#REF!</v>
      </c>
      <c r="M105" s="1257" t="e">
        <f>INDEX(AO!$DF$18:$DF$20,MATCH(A105,AO!$C$18:$C$20,0))-INDEX(AO!$DA$18:$DA$20,MATCH(A105,AO!$C$18:$C$20,0))+INDEX(AA!$IJ$13:$IJ$15,MATCH(A105,AA!$C$13:$C$15,0))</f>
        <v>#REF!</v>
      </c>
      <c r="N105" s="1257" t="e">
        <f>INDEX(AO!$EY$18:$EY$20,MATCH(A105,AO!$C$18:$C$20,0))</f>
        <v>#REF!</v>
      </c>
      <c r="O105" s="1257" t="e">
        <f>INDEX(AO!$ED$18:$ED$20,MATCH(A105,AO!$C$18:$C$20,0))</f>
        <v>#REF!</v>
      </c>
      <c r="P105" s="1257" t="e">
        <f>INDEX(AO!$EU$18:$EU$20,MATCH(A105,AO!$C$18:$C$20,0))</f>
        <v>#REF!</v>
      </c>
      <c r="Q105" s="1257" t="e">
        <f t="shared" si="24"/>
        <v>#REF!</v>
      </c>
      <c r="S105" s="1257"/>
      <c r="T105" s="1257"/>
      <c r="U105" s="1257"/>
      <c r="V105" s="1257"/>
      <c r="W105" s="1257"/>
      <c r="X105" s="1257"/>
      <c r="Y105" s="1257"/>
      <c r="Z105" s="1257"/>
      <c r="AA105" s="1257"/>
      <c r="AB105" s="1257"/>
      <c r="AC105" s="1257"/>
      <c r="AD105" s="1257"/>
      <c r="AF105" s="1257" t="e">
        <f t="shared" si="25"/>
        <v>#REF!</v>
      </c>
      <c r="AG105" s="1257" t="e">
        <f t="shared" si="13"/>
        <v>#REF!</v>
      </c>
      <c r="AH105" s="1257" t="e">
        <f t="shared" si="14"/>
        <v>#REF!</v>
      </c>
      <c r="AI105" s="1257" t="e">
        <f t="shared" si="15"/>
        <v>#REF!</v>
      </c>
      <c r="AJ105" s="1257" t="e">
        <f t="shared" si="16"/>
        <v>#REF!</v>
      </c>
      <c r="AK105" s="1257" t="e">
        <f t="shared" si="17"/>
        <v>#REF!</v>
      </c>
      <c r="AL105" s="1257" t="e">
        <f t="shared" si="18"/>
        <v>#REF!</v>
      </c>
      <c r="AM105" s="1257" t="e">
        <f t="shared" si="19"/>
        <v>#REF!</v>
      </c>
      <c r="AN105" s="1257" t="e">
        <f t="shared" si="20"/>
        <v>#REF!</v>
      </c>
      <c r="AO105" s="1257" t="e">
        <f t="shared" si="21"/>
        <v>#REF!</v>
      </c>
      <c r="AP105" s="1257" t="e">
        <f t="shared" si="22"/>
        <v>#REF!</v>
      </c>
      <c r="AQ105" s="1257" t="e">
        <f t="shared" si="23"/>
        <v>#REF!</v>
      </c>
    </row>
    <row r="106" spans="1:52">
      <c r="A106" t="e">
        <f>AA!#REF!</f>
        <v>#REF!</v>
      </c>
      <c r="B106" t="e">
        <f>INDEX(AA!$AC$13:$AC$15,MATCH(A106,AA!$C$13:$C$15,0))</f>
        <v>#REF!</v>
      </c>
      <c r="C106" t="e">
        <f>INDEX(AA!$AI$13:$AI$15,MATCH(A106,AA!$C$13:$C$15,0))</f>
        <v>#REF!</v>
      </c>
      <c r="D106" t="e">
        <f>INDEX(AA!$AN$13:$AN$15,MATCH(A106,AA!$C$13:$C$15,0))</f>
        <v>#REF!</v>
      </c>
      <c r="F106" s="261" t="e">
        <f>INDEX(AO!$DJ$18:$DJ$20,MATCH(A106,AO!$C$18:$C$20,0))</f>
        <v>#REF!</v>
      </c>
      <c r="G106" s="261" t="e">
        <f>INDEX(AO!$AS$18:$AS$20,MATCH(A106,AO!$C$18:$C$20,0))</f>
        <v>#REF!</v>
      </c>
      <c r="H106" s="261" t="e">
        <f>INDEX(AO!$AT$18:$AT$20,MATCH(A106,AO!$C$18:$C$20,0))</f>
        <v>#REF!</v>
      </c>
      <c r="I106" s="261" t="e">
        <f>INDEX(AO!$CE$18:$CE$20,MATCH(A106,AO!$C$18:$C$20,0))</f>
        <v>#REF!</v>
      </c>
      <c r="J106" s="261" t="e">
        <f>INDEX(AA!$M$13:$M$15,MATCH(A106,AA!$C$13:$C$15,0))</f>
        <v>#REF!</v>
      </c>
      <c r="K106" s="261" t="e">
        <f>INDEX(AA!$AA$13:$AA$15,MATCH(A106,AA!$C$13:$C$15,0))</f>
        <v>#REF!</v>
      </c>
      <c r="L106" s="261" t="e">
        <f>-INDEX(AO!$AZ$18:$AZ$20,MATCH(A106,AO!$C$18:$C$20,0))</f>
        <v>#REF!</v>
      </c>
      <c r="M106" s="261" t="e">
        <f>INDEX(AO!$DF$18:$DF$20,MATCH(A106,AO!$C$18:$C$20,0))-INDEX(AO!$DA$18:$DA$20,MATCH(A106,AO!$C$18:$C$20,0))+INDEX(AA!$IJ$13:$IJ$15,MATCH(A106,AA!$C$13:$C$15,0))</f>
        <v>#REF!</v>
      </c>
      <c r="N106" s="261" t="e">
        <f>INDEX(AO!$EY$18:$EY$20,MATCH(A106,AO!$C$18:$C$20,0))</f>
        <v>#REF!</v>
      </c>
      <c r="O106" s="261" t="e">
        <f>INDEX(AO!$ED$18:$ED$20,MATCH(A106,AO!$C$18:$C$20,0))</f>
        <v>#REF!</v>
      </c>
      <c r="P106" s="261" t="e">
        <f>INDEX(AO!$EU$18:$EU$20,MATCH(A106,AO!$C$18:$C$20,0))</f>
        <v>#REF!</v>
      </c>
      <c r="Q106" s="261" t="e">
        <f t="shared" si="24"/>
        <v>#REF!</v>
      </c>
      <c r="S106" s="261"/>
      <c r="T106" s="261"/>
      <c r="U106" s="261"/>
      <c r="V106" s="261"/>
      <c r="W106" s="261"/>
      <c r="X106" s="261"/>
      <c r="Y106" s="261"/>
      <c r="Z106" s="261"/>
      <c r="AA106" s="261"/>
      <c r="AB106" s="261"/>
      <c r="AC106" s="261"/>
      <c r="AD106" s="261"/>
      <c r="AF106" s="261" t="e">
        <f t="shared" si="25"/>
        <v>#REF!</v>
      </c>
      <c r="AG106" s="261" t="e">
        <f t="shared" si="13"/>
        <v>#REF!</v>
      </c>
      <c r="AH106" s="261" t="e">
        <f t="shared" si="14"/>
        <v>#REF!</v>
      </c>
      <c r="AI106" s="261" t="e">
        <f t="shared" si="15"/>
        <v>#REF!</v>
      </c>
      <c r="AJ106" s="261" t="e">
        <f t="shared" si="16"/>
        <v>#REF!</v>
      </c>
      <c r="AK106" s="261" t="e">
        <f t="shared" si="17"/>
        <v>#REF!</v>
      </c>
      <c r="AL106" s="261" t="e">
        <f t="shared" si="18"/>
        <v>#REF!</v>
      </c>
      <c r="AM106" s="261" t="e">
        <f t="shared" si="19"/>
        <v>#REF!</v>
      </c>
      <c r="AN106" s="261" t="e">
        <f t="shared" si="20"/>
        <v>#REF!</v>
      </c>
      <c r="AO106" s="261" t="e">
        <f t="shared" si="21"/>
        <v>#REF!</v>
      </c>
      <c r="AP106" s="261" t="e">
        <f t="shared" si="22"/>
        <v>#REF!</v>
      </c>
      <c r="AQ106" s="261" t="e">
        <f t="shared" si="23"/>
        <v>#REF!</v>
      </c>
    </row>
    <row r="107" spans="1:52">
      <c r="A107" s="1256" t="e">
        <f>AA!#REF!</f>
        <v>#REF!</v>
      </c>
      <c r="B107" s="1256" t="e">
        <f>INDEX(AA!$AC$13:$AC$15,MATCH(A107,AA!$C$13:$C$15,0))</f>
        <v>#REF!</v>
      </c>
      <c r="C107" s="1256" t="e">
        <f>INDEX(AA!$AI$13:$AI$15,MATCH(A107,AA!$C$13:$C$15,0))</f>
        <v>#REF!</v>
      </c>
      <c r="D107" s="1256" t="e">
        <f>INDEX(AA!$AN$13:$AN$15,MATCH(A107,AA!$C$13:$C$15,0))</f>
        <v>#REF!</v>
      </c>
      <c r="E107" s="1256"/>
      <c r="F107" s="1257" t="e">
        <f>INDEX(AO!$DJ$18:$DJ$20,MATCH(A107,AO!$C$18:$C$20,0))</f>
        <v>#REF!</v>
      </c>
      <c r="G107" s="1257" t="e">
        <f>INDEX(AO!$AS$18:$AS$20,MATCH(A107,AO!$C$18:$C$20,0))</f>
        <v>#REF!</v>
      </c>
      <c r="H107" s="1257" t="e">
        <f>INDEX(AO!$AT$18:$AT$20,MATCH(A107,AO!$C$18:$C$20,0))</f>
        <v>#REF!</v>
      </c>
      <c r="I107" s="1257" t="e">
        <f>INDEX(AO!$CE$18:$CE$20,MATCH(A107,AO!$C$18:$C$20,0))</f>
        <v>#REF!</v>
      </c>
      <c r="J107" s="1257" t="e">
        <f>INDEX(AA!$M$13:$M$15,MATCH(A107,AA!$C$13:$C$15,0))</f>
        <v>#REF!</v>
      </c>
      <c r="K107" s="1257" t="e">
        <f>INDEX(AA!$AA$13:$AA$15,MATCH(A107,AA!$C$13:$C$15,0))</f>
        <v>#REF!</v>
      </c>
      <c r="L107" s="1257" t="e">
        <f>-INDEX(AO!$AZ$18:$AZ$20,MATCH(A107,AO!$C$18:$C$20,0))</f>
        <v>#REF!</v>
      </c>
      <c r="M107" s="1257" t="e">
        <f>INDEX(AO!$DF$18:$DF$20,MATCH(A107,AO!$C$18:$C$20,0))-INDEX(AO!$DA$18:$DA$20,MATCH(A107,AO!$C$18:$C$20,0))+INDEX(AA!$IJ$13:$IJ$15,MATCH(A107,AA!$C$13:$C$15,0))</f>
        <v>#REF!</v>
      </c>
      <c r="N107" s="1257" t="e">
        <f>INDEX(AO!$EY$18:$EY$20,MATCH(A107,AO!$C$18:$C$20,0))</f>
        <v>#REF!</v>
      </c>
      <c r="O107" s="1257" t="e">
        <f>INDEX(AO!$ED$18:$ED$20,MATCH(A107,AO!$C$18:$C$20,0))</f>
        <v>#REF!</v>
      </c>
      <c r="P107" s="1257" t="e">
        <f>INDEX(AO!$EU$18:$EU$20,MATCH(A107,AO!$C$18:$C$20,0))</f>
        <v>#REF!</v>
      </c>
      <c r="Q107" s="1257" t="e">
        <f t="shared" si="24"/>
        <v>#REF!</v>
      </c>
      <c r="S107" s="1257"/>
      <c r="T107" s="1257"/>
      <c r="U107" s="1257"/>
      <c r="V107" s="1257"/>
      <c r="W107" s="1257"/>
      <c r="X107" s="1257"/>
      <c r="Y107" s="1257"/>
      <c r="Z107" s="1257"/>
      <c r="AA107" s="1257"/>
      <c r="AB107" s="1257"/>
      <c r="AC107" s="1257"/>
      <c r="AD107" s="1257"/>
      <c r="AF107" s="1257" t="e">
        <f t="shared" si="25"/>
        <v>#REF!</v>
      </c>
      <c r="AG107" s="1257" t="e">
        <f t="shared" si="13"/>
        <v>#REF!</v>
      </c>
      <c r="AH107" s="1257" t="e">
        <f t="shared" si="14"/>
        <v>#REF!</v>
      </c>
      <c r="AI107" s="1257" t="e">
        <f t="shared" si="15"/>
        <v>#REF!</v>
      </c>
      <c r="AJ107" s="1257" t="e">
        <f t="shared" si="16"/>
        <v>#REF!</v>
      </c>
      <c r="AK107" s="1257" t="e">
        <f t="shared" si="17"/>
        <v>#REF!</v>
      </c>
      <c r="AL107" s="1257" t="e">
        <f t="shared" si="18"/>
        <v>#REF!</v>
      </c>
      <c r="AM107" s="1257" t="e">
        <f t="shared" si="19"/>
        <v>#REF!</v>
      </c>
      <c r="AN107" s="1257" t="e">
        <f t="shared" si="20"/>
        <v>#REF!</v>
      </c>
      <c r="AO107" s="1257" t="e">
        <f t="shared" si="21"/>
        <v>#REF!</v>
      </c>
      <c r="AP107" s="1257" t="e">
        <f t="shared" si="22"/>
        <v>#REF!</v>
      </c>
      <c r="AQ107" s="1257" t="e">
        <f t="shared" si="23"/>
        <v>#REF!</v>
      </c>
    </row>
    <row r="108" spans="1:52">
      <c r="A108" s="253"/>
      <c r="B108" s="253" t="s">
        <v>152</v>
      </c>
      <c r="C108" s="253"/>
      <c r="D108" s="253"/>
      <c r="E108" s="253"/>
      <c r="F108" s="1143" t="e">
        <f>SUM(F8:F107)</f>
        <v>#REF!</v>
      </c>
      <c r="G108" s="1143" t="e">
        <f>SUM(G8:G107)</f>
        <v>#REF!</v>
      </c>
      <c r="H108" s="1143" t="e">
        <f>SUM(H8:H107)</f>
        <v>#REF!</v>
      </c>
      <c r="I108" s="1143" t="e">
        <f>SUM(I8:I107)</f>
        <v>#REF!</v>
      </c>
      <c r="J108" s="1576" t="e">
        <f>F108/I108</f>
        <v>#REF!</v>
      </c>
      <c r="K108" s="1576"/>
      <c r="L108" s="1143" t="e">
        <f t="shared" ref="L108:Q108" si="26">SUM(L8:L107)</f>
        <v>#REF!</v>
      </c>
      <c r="M108" s="1143" t="e">
        <f t="shared" si="26"/>
        <v>#REF!</v>
      </c>
      <c r="N108" s="1143" t="e">
        <f t="shared" si="26"/>
        <v>#REF!</v>
      </c>
      <c r="O108" s="1143" t="e">
        <f t="shared" si="26"/>
        <v>#REF!</v>
      </c>
      <c r="P108" s="1143" t="e">
        <f t="shared" si="26"/>
        <v>#REF!</v>
      </c>
      <c r="Q108" s="1143" t="e">
        <f t="shared" si="26"/>
        <v>#REF!</v>
      </c>
      <c r="S108" s="1143">
        <f>SUM(S8:S107)</f>
        <v>0</v>
      </c>
      <c r="T108" s="1143">
        <f>SUM(T8:T107)</f>
        <v>0</v>
      </c>
      <c r="U108" s="1143">
        <f>SUM(U8:U107)</f>
        <v>0</v>
      </c>
      <c r="V108" s="1143">
        <f>SUM(V8:V107)</f>
        <v>0</v>
      </c>
      <c r="W108" s="1576" t="e">
        <f>S108/V108</f>
        <v>#DIV/0!</v>
      </c>
      <c r="X108" s="1576"/>
      <c r="Y108" s="1143">
        <f t="shared" ref="Y108:AD108" si="27">SUM(Y8:Y107)</f>
        <v>0</v>
      </c>
      <c r="Z108" s="1143">
        <f t="shared" si="27"/>
        <v>0</v>
      </c>
      <c r="AA108" s="1143">
        <f t="shared" si="27"/>
        <v>0</v>
      </c>
      <c r="AB108" s="1143">
        <f t="shared" si="27"/>
        <v>0</v>
      </c>
      <c r="AC108" s="1143">
        <f t="shared" si="27"/>
        <v>0</v>
      </c>
      <c r="AD108" s="1143">
        <f t="shared" si="27"/>
        <v>0</v>
      </c>
      <c r="AF108" s="1143" t="e">
        <f>SUM(AF8:AF107)</f>
        <v>#REF!</v>
      </c>
      <c r="AG108" s="1143" t="e">
        <f>SUM(AG8:AG107)</f>
        <v>#REF!</v>
      </c>
      <c r="AH108" s="1143" t="e">
        <f>SUM(AH8:AH107)</f>
        <v>#REF!</v>
      </c>
      <c r="AI108" s="1143" t="e">
        <f>SUM(AI8:AI107)</f>
        <v>#REF!</v>
      </c>
      <c r="AJ108" s="1576" t="e">
        <f>AF108/AI108</f>
        <v>#REF!</v>
      </c>
      <c r="AK108" s="1576"/>
      <c r="AL108" s="1143" t="e">
        <f t="shared" ref="AL108:AQ108" si="28">SUM(AL8:AL107)</f>
        <v>#REF!</v>
      </c>
      <c r="AM108" s="1143" t="e">
        <f t="shared" si="28"/>
        <v>#REF!</v>
      </c>
      <c r="AN108" s="1143" t="e">
        <f t="shared" si="28"/>
        <v>#REF!</v>
      </c>
      <c r="AO108" s="1143" t="e">
        <f t="shared" si="28"/>
        <v>#REF!</v>
      </c>
      <c r="AP108" s="1143" t="e">
        <f t="shared" si="28"/>
        <v>#REF!</v>
      </c>
      <c r="AQ108" s="1143" t="e">
        <f t="shared" si="28"/>
        <v>#REF!</v>
      </c>
    </row>
    <row r="110" spans="1:52">
      <c r="AS110" s="582" t="s">
        <v>1554</v>
      </c>
      <c r="AT110" s="1573"/>
      <c r="AV110" s="582" t="s">
        <v>1555</v>
      </c>
      <c r="AW110" s="1573"/>
      <c r="AY110" s="582" t="s">
        <v>1545</v>
      </c>
      <c r="AZ110" s="1573"/>
    </row>
    <row r="111" spans="1:52">
      <c r="AS111" s="765"/>
      <c r="AT111" s="766"/>
      <c r="AV111" s="765"/>
      <c r="AW111" s="766"/>
      <c r="AY111" s="765"/>
      <c r="AZ111" s="766"/>
    </row>
    <row r="112" spans="1:52">
      <c r="AS112" s="768" t="str">
        <f>ES!D9</f>
        <v>Number of Properties</v>
      </c>
      <c r="AT112" s="769">
        <f>ES!E9</f>
        <v>3</v>
      </c>
      <c r="AV112" s="768" t="s">
        <v>946</v>
      </c>
      <c r="AW112" s="769"/>
      <c r="AY112" s="768" t="s">
        <v>946</v>
      </c>
      <c r="AZ112" s="769">
        <f>AW112-AT112</f>
        <v>-3</v>
      </c>
    </row>
    <row r="113" spans="45:52">
      <c r="AS113" s="768" t="str">
        <f>ES!D10</f>
        <v>Total Lettable Area</v>
      </c>
      <c r="AT113" s="771">
        <f>ES!E10</f>
        <v>3000</v>
      </c>
      <c r="AV113" s="768" t="s">
        <v>331</v>
      </c>
      <c r="AW113" s="771"/>
      <c r="AY113" s="768" t="s">
        <v>331</v>
      </c>
      <c r="AZ113" s="771">
        <f t="shared" ref="AZ113:AZ147" si="29">AW113-AT113</f>
        <v>-3000</v>
      </c>
    </row>
    <row r="114" spans="45:52">
      <c r="AS114" s="773"/>
      <c r="AT114" s="774"/>
      <c r="AV114" s="773"/>
      <c r="AW114" s="774"/>
      <c r="AY114" s="773"/>
      <c r="AZ114" s="774"/>
    </row>
    <row r="115" spans="45:52">
      <c r="AS115" s="768" t="str">
        <f>ES!D12</f>
        <v>In Place Net Rental Income</v>
      </c>
      <c r="AT115" s="775">
        <f>ES!E12</f>
        <v>300000</v>
      </c>
      <c r="AV115" s="768" t="s">
        <v>1000</v>
      </c>
      <c r="AW115" s="775"/>
      <c r="AY115" s="768" t="s">
        <v>1000</v>
      </c>
      <c r="AZ115" s="775">
        <f t="shared" si="29"/>
        <v>-300000</v>
      </c>
    </row>
    <row r="116" spans="45:52">
      <c r="AS116" s="768" t="str">
        <f>ES!D13</f>
        <v>In Place Net Operating Income</v>
      </c>
      <c r="AT116" s="775">
        <f>ES!E13</f>
        <v>274300</v>
      </c>
      <c r="AV116" s="768" t="s">
        <v>1001</v>
      </c>
      <c r="AW116" s="775"/>
      <c r="AY116" s="768" t="s">
        <v>1001</v>
      </c>
      <c r="AZ116" s="775">
        <f t="shared" si="29"/>
        <v>-274300</v>
      </c>
    </row>
    <row r="117" spans="45:52">
      <c r="AS117" s="780" t="str">
        <f>ES!D14</f>
        <v>In Place Physical Occupancy</v>
      </c>
      <c r="AT117" s="781">
        <f>ES!E14</f>
        <v>1</v>
      </c>
      <c r="AV117" s="780" t="s">
        <v>954</v>
      </c>
      <c r="AW117" s="781"/>
      <c r="AY117" s="780" t="s">
        <v>954</v>
      </c>
      <c r="AZ117" s="781">
        <f t="shared" si="29"/>
        <v>-1</v>
      </c>
    </row>
    <row r="118" spans="45:52">
      <c r="AS118" s="780" t="str">
        <f>ES!D15</f>
        <v>WALT*</v>
      </c>
      <c r="AT118" s="785">
        <f>ES!E15</f>
        <v>17.846575342465758</v>
      </c>
      <c r="AV118" s="780" t="s">
        <v>908</v>
      </c>
      <c r="AW118" s="785"/>
      <c r="AY118" s="780" t="s">
        <v>908</v>
      </c>
      <c r="AZ118" s="785">
        <f t="shared" si="29"/>
        <v>-17.846575342465758</v>
      </c>
    </row>
    <row r="119" spans="45:52">
      <c r="AS119" s="77"/>
      <c r="AT119" s="151"/>
      <c r="AV119" s="77"/>
      <c r="AW119" s="151"/>
      <c r="AY119" s="77"/>
      <c r="AZ119" s="151"/>
    </row>
    <row r="120" spans="45:52">
      <c r="AS120" s="768" t="str">
        <f>ES!D17</f>
        <v>ERV (pre expansion)</v>
      </c>
      <c r="AT120" s="775">
        <f>ES!E17</f>
        <v>300000</v>
      </c>
      <c r="AV120" s="768" t="s">
        <v>1002</v>
      </c>
      <c r="AW120" s="775"/>
      <c r="AY120" s="768" t="s">
        <v>1002</v>
      </c>
      <c r="AZ120" s="775">
        <f t="shared" si="29"/>
        <v>-300000</v>
      </c>
    </row>
    <row r="121" spans="45:52">
      <c r="AS121" s="791"/>
      <c r="AT121" s="792"/>
      <c r="AV121" s="791"/>
      <c r="AW121" s="792"/>
      <c r="AY121" s="791"/>
      <c r="AZ121" s="792">
        <f t="shared" si="29"/>
        <v>0</v>
      </c>
    </row>
    <row r="122" spans="45:52">
      <c r="AS122" s="791" t="str">
        <f>ES!D19</f>
        <v>Exit Income (Inflation adj.)</v>
      </c>
      <c r="AT122" s="792">
        <f>ES!E19</f>
        <v>306800.75156249973</v>
      </c>
      <c r="AV122" s="791" t="s">
        <v>998</v>
      </c>
      <c r="AW122" s="792"/>
      <c r="AY122" s="791" t="s">
        <v>998</v>
      </c>
      <c r="AZ122" s="792">
        <f t="shared" si="29"/>
        <v>-306800.75156249973</v>
      </c>
    </row>
    <row r="123" spans="45:52">
      <c r="AS123" s="791" t="str">
        <f>ES!D20</f>
        <v>Exit NOI (Inflation adj.)</v>
      </c>
      <c r="AT123" s="792">
        <f>ES!E20</f>
        <v>280053.76096640597</v>
      </c>
      <c r="AV123" s="791" t="s">
        <v>999</v>
      </c>
      <c r="AW123" s="792"/>
      <c r="AY123" s="791" t="s">
        <v>999</v>
      </c>
      <c r="AZ123" s="792">
        <f t="shared" si="29"/>
        <v>-280053.76096640597</v>
      </c>
    </row>
    <row r="124" spans="45:52">
      <c r="AS124" s="791" t="str">
        <f>ES!D21</f>
        <v>Exit EBITDA (Inflation adj.)</v>
      </c>
      <c r="AT124" s="792">
        <f>ES!E21</f>
        <v>210031.21096640592</v>
      </c>
      <c r="AV124" s="791" t="s">
        <v>1452</v>
      </c>
      <c r="AW124" s="792"/>
      <c r="AY124" s="791" t="s">
        <v>1452</v>
      </c>
      <c r="AZ124" s="792">
        <f t="shared" si="29"/>
        <v>-210031.21096640592</v>
      </c>
    </row>
    <row r="125" spans="45:52">
      <c r="AS125" s="780" t="str">
        <f>ES!D22</f>
        <v>Exit Physical Occupancy</v>
      </c>
      <c r="AT125" s="781">
        <f>ES!E22</f>
        <v>1</v>
      </c>
      <c r="AV125" s="780" t="s">
        <v>958</v>
      </c>
      <c r="AW125" s="781"/>
      <c r="AY125" s="780" t="s">
        <v>958</v>
      </c>
      <c r="AZ125" s="781">
        <f t="shared" si="29"/>
        <v>-1</v>
      </c>
    </row>
    <row r="126" spans="45:52">
      <c r="AS126" s="780" t="str">
        <f>ES!D23</f>
        <v>Exit WALT</v>
      </c>
      <c r="AT126" s="798">
        <f>ES!E23</f>
        <v>14.846575342465755</v>
      </c>
      <c r="AV126" s="780" t="s">
        <v>911</v>
      </c>
      <c r="AW126" s="798"/>
      <c r="AY126" s="780" t="s">
        <v>911</v>
      </c>
      <c r="AZ126" s="798">
        <f t="shared" si="29"/>
        <v>-14.846575342465755</v>
      </c>
    </row>
    <row r="127" spans="45:52">
      <c r="AS127" s="780" t="str">
        <f>ES!D24</f>
        <v>FFO Yield (Levered)</v>
      </c>
      <c r="AT127" s="781">
        <f>ES!E24</f>
        <v>7.4385689189320578E-2</v>
      </c>
      <c r="AV127" s="780"/>
      <c r="AW127" s="781"/>
      <c r="AY127" s="780"/>
      <c r="AZ127" s="781"/>
    </row>
    <row r="128" spans="45:52">
      <c r="AS128" s="768" t="str">
        <f>ES!D25</f>
        <v>GDP before Capex Backlog</v>
      </c>
      <c r="AT128" s="775">
        <f>ES!E25</f>
        <v>3681609.018749997</v>
      </c>
      <c r="AV128" s="768" t="s">
        <v>920</v>
      </c>
      <c r="AW128" s="775"/>
      <c r="AY128" s="768" t="s">
        <v>920</v>
      </c>
      <c r="AZ128" s="775">
        <f t="shared" si="29"/>
        <v>-3681609.018749997</v>
      </c>
    </row>
    <row r="129" spans="45:52">
      <c r="AS129" s="804" t="str">
        <f>ES!D26</f>
        <v>GDP per sqm</v>
      </c>
      <c r="AT129" s="805">
        <f>ES!E26</f>
        <v>1227.2030062499989</v>
      </c>
      <c r="AV129" s="804" t="s">
        <v>960</v>
      </c>
      <c r="AW129" s="805"/>
      <c r="AY129" s="804" t="s">
        <v>960</v>
      </c>
      <c r="AZ129" s="805">
        <f t="shared" si="29"/>
        <v>-1227.2030062499989</v>
      </c>
    </row>
    <row r="130" spans="45:52">
      <c r="AS130" s="780" t="str">
        <f>ES!D27</f>
        <v>Exit Rent Cap Rate</v>
      </c>
      <c r="AT130" s="809">
        <f>ES!E27</f>
        <v>8.3333333333333329E-2</v>
      </c>
      <c r="AV130" s="780" t="s">
        <v>922</v>
      </c>
      <c r="AW130" s="809"/>
      <c r="AY130" s="780" t="s">
        <v>922</v>
      </c>
      <c r="AZ130" s="809">
        <f t="shared" si="29"/>
        <v>-8.3333333333333329E-2</v>
      </c>
    </row>
    <row r="131" spans="45:52">
      <c r="AS131" s="780" t="str">
        <f>ES!D28</f>
        <v>NRI Multiplier</v>
      </c>
      <c r="AT131" s="811">
        <f>ES!E28</f>
        <v>12</v>
      </c>
      <c r="AV131" s="780" t="s">
        <v>1453</v>
      </c>
      <c r="AW131" s="811"/>
      <c r="AY131" s="780" t="s">
        <v>1453</v>
      </c>
      <c r="AZ131" s="811">
        <f t="shared" si="29"/>
        <v>-12</v>
      </c>
    </row>
    <row r="132" spans="45:52">
      <c r="AS132" s="780" t="str">
        <f>ES!D29</f>
        <v>Exit NOI Cap Rate</v>
      </c>
      <c r="AT132" s="809">
        <f>ES!E29</f>
        <v>7.606830587933848E-2</v>
      </c>
      <c r="AV132" s="780" t="s">
        <v>923</v>
      </c>
      <c r="AW132" s="809"/>
      <c r="AY132" s="780" t="s">
        <v>923</v>
      </c>
      <c r="AZ132" s="809">
        <f t="shared" si="29"/>
        <v>-7.606830587933848E-2</v>
      </c>
    </row>
    <row r="133" spans="45:52">
      <c r="AS133" s="780" t="str">
        <f>ES!D30</f>
        <v>NOI Multiplier</v>
      </c>
      <c r="AT133" s="811">
        <f>ES!E30</f>
        <v>13.146079545747028</v>
      </c>
      <c r="AV133" s="780" t="s">
        <v>1455</v>
      </c>
      <c r="AW133" s="811"/>
      <c r="AY133" s="780" t="s">
        <v>1455</v>
      </c>
      <c r="AZ133" s="811">
        <f t="shared" si="29"/>
        <v>-13.146079545747028</v>
      </c>
    </row>
    <row r="134" spans="45:52">
      <c r="AS134" s="780" t="str">
        <f>ES!D31</f>
        <v>Exit EBITDA Cap Rate</v>
      </c>
      <c r="AT134" s="809">
        <f>ES!E31</f>
        <v>5.7048755013566606E-2</v>
      </c>
      <c r="AV134" s="780" t="s">
        <v>1454</v>
      </c>
      <c r="AW134" s="809"/>
      <c r="AY134" s="780" t="s">
        <v>1454</v>
      </c>
      <c r="AZ134" s="809">
        <f t="shared" si="29"/>
        <v>-5.7048755013566606E-2</v>
      </c>
    </row>
    <row r="135" spans="45:52">
      <c r="AS135" s="780" t="str">
        <f>ES!D32</f>
        <v>EBITDA Multiplier</v>
      </c>
      <c r="AT135" s="811">
        <f>ES!E32</f>
        <v>17.528866313773065</v>
      </c>
      <c r="AV135" s="780" t="s">
        <v>1456</v>
      </c>
      <c r="AW135" s="811"/>
      <c r="AY135" s="780" t="s">
        <v>1456</v>
      </c>
      <c r="AZ135" s="811">
        <f t="shared" si="29"/>
        <v>-17.528866313773065</v>
      </c>
    </row>
    <row r="136" spans="45:52">
      <c r="AS136" s="780"/>
      <c r="AT136" s="811"/>
      <c r="AV136" s="780" t="s">
        <v>1546</v>
      </c>
      <c r="AW136" s="811"/>
      <c r="AY136" s="780" t="s">
        <v>1546</v>
      </c>
      <c r="AZ136" s="811">
        <f t="shared" si="29"/>
        <v>0</v>
      </c>
    </row>
    <row r="137" spans="45:52">
      <c r="AS137" s="804" t="str">
        <f>ES!D34</f>
        <v>Capex Backlog Deduction at Exit</v>
      </c>
      <c r="AT137" s="819">
        <f>ES!E34</f>
        <v>0</v>
      </c>
      <c r="AV137" s="804" t="s">
        <v>994</v>
      </c>
      <c r="AW137" s="819"/>
      <c r="AY137" s="804" t="s">
        <v>994</v>
      </c>
      <c r="AZ137" s="819">
        <f t="shared" si="29"/>
        <v>0</v>
      </c>
    </row>
    <row r="138" spans="45:52">
      <c r="AS138" s="77"/>
      <c r="AT138" s="151"/>
      <c r="AV138" s="77"/>
      <c r="AW138" s="151"/>
      <c r="AY138" s="77"/>
      <c r="AZ138" s="151"/>
    </row>
    <row r="139" spans="45:52">
      <c r="AS139" s="768" t="str">
        <f>ES!D36</f>
        <v>x+bricks Purchase Price</v>
      </c>
      <c r="AT139" s="775">
        <f>ES!E36</f>
        <v>5000000</v>
      </c>
      <c r="AV139" s="768" t="s">
        <v>961</v>
      </c>
      <c r="AW139" s="775"/>
      <c r="AY139" s="768" t="s">
        <v>961</v>
      </c>
      <c r="AZ139" s="775">
        <f t="shared" si="29"/>
        <v>-5000000</v>
      </c>
    </row>
    <row r="140" spans="45:52">
      <c r="AS140" s="804" t="str">
        <f>ES!D37</f>
        <v>Purchase Price per sqm</v>
      </c>
      <c r="AT140" s="805">
        <f>ES!E37</f>
        <v>1666.6666666666667</v>
      </c>
      <c r="AV140" s="804" t="s">
        <v>962</v>
      </c>
      <c r="AW140" s="805"/>
      <c r="AY140" s="804" t="s">
        <v>962</v>
      </c>
      <c r="AZ140" s="805">
        <f t="shared" si="29"/>
        <v>-1666.6666666666667</v>
      </c>
    </row>
    <row r="141" spans="45:52">
      <c r="AS141" s="773"/>
      <c r="AT141" s="774"/>
      <c r="AV141" s="773"/>
      <c r="AW141" s="774"/>
      <c r="AY141" s="773"/>
      <c r="AZ141" s="774"/>
    </row>
    <row r="142" spans="45:52">
      <c r="AS142" s="804" t="str">
        <f>ES!D39</f>
        <v>Total Backlog Capex</v>
      </c>
      <c r="AT142" s="819">
        <f>ES!E39</f>
        <v>0</v>
      </c>
      <c r="AV142" s="804" t="s">
        <v>963</v>
      </c>
      <c r="AW142" s="819"/>
      <c r="AY142" s="804" t="s">
        <v>963</v>
      </c>
      <c r="AZ142" s="819">
        <f t="shared" si="29"/>
        <v>0</v>
      </c>
    </row>
    <row r="143" spans="45:52">
      <c r="AS143" s="804" t="str">
        <f>ES!D40</f>
        <v>Total Expansion TIs/CapEx</v>
      </c>
      <c r="AT143" s="819">
        <f>ES!E40</f>
        <v>0</v>
      </c>
      <c r="AV143" s="804" t="s">
        <v>982</v>
      </c>
      <c r="AW143" s="819"/>
      <c r="AY143" s="804" t="s">
        <v>982</v>
      </c>
      <c r="AZ143" s="819">
        <f t="shared" si="29"/>
        <v>0</v>
      </c>
    </row>
    <row r="144" spans="45:52">
      <c r="AS144" s="804"/>
      <c r="AT144" s="819"/>
      <c r="AV144" s="804"/>
      <c r="AW144" s="819"/>
      <c r="AY144" s="804"/>
      <c r="AZ144" s="819"/>
    </row>
    <row r="145" spans="45:62">
      <c r="AS145" s="804" t="str">
        <f>ES!D42</f>
        <v>Total TIs</v>
      </c>
      <c r="AT145" s="819">
        <f>ES!E42</f>
        <v>0</v>
      </c>
      <c r="AV145" s="804" t="s">
        <v>964</v>
      </c>
      <c r="AW145" s="819"/>
      <c r="AY145" s="804" t="s">
        <v>964</v>
      </c>
      <c r="AZ145" s="819">
        <f t="shared" si="29"/>
        <v>0</v>
      </c>
    </row>
    <row r="146" spans="45:62">
      <c r="AS146" s="804" t="str">
        <f>ES!D43</f>
        <v>Total Rent-Free Period</v>
      </c>
      <c r="AT146" s="819">
        <f>ES!E43</f>
        <v>0</v>
      </c>
      <c r="AV146" s="804" t="s">
        <v>965</v>
      </c>
      <c r="AW146" s="819"/>
      <c r="AY146" s="804" t="s">
        <v>965</v>
      </c>
      <c r="AZ146" s="819">
        <f t="shared" si="29"/>
        <v>0</v>
      </c>
    </row>
    <row r="147" spans="45:62">
      <c r="AS147" s="768" t="str">
        <f>ES!D44</f>
        <v>Total Capex, TIs &amp; Rent-Free</v>
      </c>
      <c r="AT147" s="826">
        <f>ES!E44</f>
        <v>0</v>
      </c>
      <c r="AV147" s="768" t="s">
        <v>966</v>
      </c>
      <c r="AW147" s="826"/>
      <c r="AY147" s="768" t="s">
        <v>966</v>
      </c>
      <c r="AZ147" s="826">
        <f t="shared" si="29"/>
        <v>0</v>
      </c>
    </row>
    <row r="148" spans="45:62">
      <c r="AS148" s="77"/>
      <c r="AT148" s="151"/>
      <c r="AV148" s="77"/>
      <c r="AW148" s="151"/>
      <c r="AY148" s="77"/>
      <c r="AZ148" s="151"/>
    </row>
    <row r="149" spans="45:62">
      <c r="AS149" s="1218" t="str">
        <f>ES!D46</f>
        <v>* WALT (excluding leases with unlimited term) as of DD-Mrz-YY.</v>
      </c>
      <c r="AT149" s="828"/>
      <c r="AV149" s="1218" t="s">
        <v>1547</v>
      </c>
      <c r="AW149" s="828"/>
      <c r="AY149" s="1218" t="s">
        <v>1547</v>
      </c>
      <c r="AZ149" s="828"/>
    </row>
    <row r="150" spans="45:62">
      <c r="AT150" s="1423"/>
    </row>
    <row r="151" spans="45:62">
      <c r="BB151" s="581" t="s">
        <v>1556</v>
      </c>
      <c r="BC151" s="500"/>
      <c r="BD151" s="500"/>
      <c r="BE151" s="501"/>
      <c r="BF151" s="501"/>
      <c r="BG151" s="501"/>
      <c r="BH151" s="501"/>
      <c r="BI151" s="501"/>
      <c r="BJ151" s="502"/>
    </row>
    <row r="152" spans="45:62" ht="17.25">
      <c r="BB152" s="77"/>
      <c r="BE152" s="767" t="str">
        <f>ES!J8</f>
        <v>Total</v>
      </c>
      <c r="BJ152" s="151"/>
    </row>
    <row r="153" spans="45:62">
      <c r="BB153" s="517" t="str">
        <f>ES!G9</f>
        <v>All-in Costs excluding capital reserve</v>
      </c>
      <c r="BC153" s="499"/>
      <c r="BD153" s="499"/>
      <c r="BE153" s="770">
        <f>ES!J9</f>
        <v>5701050</v>
      </c>
      <c r="BJ153" s="151"/>
    </row>
    <row r="154" spans="45:62">
      <c r="BB154" s="517" t="str">
        <f>ES!G10</f>
        <v>Total Debt</v>
      </c>
      <c r="BC154" s="499"/>
      <c r="BD154" s="499"/>
      <c r="BE154" s="772">
        <f>ES!J10</f>
        <v>2500000</v>
      </c>
      <c r="BJ154" s="151"/>
    </row>
    <row r="155" spans="45:62">
      <c r="BB155" s="517" t="str">
        <f>ES!G11</f>
        <v>Total Equity</v>
      </c>
      <c r="BC155" s="499"/>
      <c r="BD155" s="499"/>
      <c r="BE155" s="772">
        <f>ES!J11</f>
        <v>3216257.241372929</v>
      </c>
      <c r="BJ155" s="151"/>
    </row>
    <row r="156" spans="45:62">
      <c r="BB156" s="517"/>
      <c r="BC156" s="499"/>
      <c r="BD156" s="499"/>
      <c r="BE156" s="772">
        <f>ES!J12</f>
        <v>0</v>
      </c>
      <c r="BG156" s="776" t="str">
        <f>ES!L12</f>
        <v xml:space="preserve">PP </v>
      </c>
      <c r="BH156" s="776" t="str">
        <f>ES!M12</f>
        <v xml:space="preserve">PP </v>
      </c>
      <c r="BI156" s="49" t="str">
        <f>ES!N12</f>
        <v>All-In</v>
      </c>
      <c r="BJ156" s="52" t="str">
        <f>ES!O12</f>
        <v>All-In</v>
      </c>
    </row>
    <row r="157" spans="45:62" ht="17.25">
      <c r="BB157" s="542"/>
      <c r="BC157" s="258"/>
      <c r="BD157" s="258"/>
      <c r="BE157" s="777">
        <f>ES!J13</f>
        <v>0</v>
      </c>
      <c r="BG157" s="778" t="str">
        <f>ES!L13</f>
        <v>Cap Rate</v>
      </c>
      <c r="BH157" s="778" t="str">
        <f>ES!M13</f>
        <v>Multiple</v>
      </c>
      <c r="BI157" s="778" t="str">
        <f>ES!N13</f>
        <v>Cap Rate</v>
      </c>
      <c r="BJ157" s="779" t="str">
        <f>ES!O13</f>
        <v>Multiple</v>
      </c>
    </row>
    <row r="158" spans="45:62">
      <c r="BB158" s="517" t="str">
        <f>ES!G14</f>
        <v>In Place Income</v>
      </c>
      <c r="BC158" s="499"/>
      <c r="BD158" s="499"/>
      <c r="BE158" s="770">
        <f>ES!J14</f>
        <v>300000</v>
      </c>
      <c r="BG158" s="782">
        <f>ES!L14</f>
        <v>0.06</v>
      </c>
      <c r="BH158" s="783">
        <f>ES!M14</f>
        <v>16.666666666666668</v>
      </c>
      <c r="BI158" s="782">
        <f>ES!N14</f>
        <v>5.2621885442155396E-2</v>
      </c>
      <c r="BJ158" s="784">
        <f>ES!O14</f>
        <v>19.003499999999999</v>
      </c>
    </row>
    <row r="159" spans="45:62">
      <c r="BB159" s="532" t="str">
        <f>ES!G15</f>
        <v>In Place NOI</v>
      </c>
      <c r="BC159" s="533"/>
      <c r="BD159" s="533"/>
      <c r="BE159" s="786">
        <f>ES!J15</f>
        <v>274300</v>
      </c>
      <c r="BF159" s="17"/>
      <c r="BG159" s="787">
        <f>ES!L15</f>
        <v>5.4859999999999999E-2</v>
      </c>
      <c r="BH159" s="788">
        <f>ES!M15</f>
        <v>18.22821728034998</v>
      </c>
      <c r="BI159" s="787">
        <f>ES!N15</f>
        <v>4.8113943922610744E-2</v>
      </c>
      <c r="BJ159" s="789">
        <f>ES!O15</f>
        <v>20.783995625227853</v>
      </c>
    </row>
    <row r="160" spans="45:62">
      <c r="BB160" s="499"/>
      <c r="BC160" s="499"/>
      <c r="BD160" s="499"/>
      <c r="BE160" s="770"/>
      <c r="BG160" s="782"/>
      <c r="BH160" s="783"/>
      <c r="BI160" s="782"/>
      <c r="BJ160" s="783"/>
    </row>
    <row r="161" spans="54:62">
      <c r="BB161" s="581" t="s">
        <v>1557</v>
      </c>
      <c r="BC161" s="500"/>
      <c r="BD161" s="500"/>
      <c r="BE161" s="501"/>
      <c r="BF161" s="501"/>
      <c r="BG161" s="501"/>
      <c r="BH161" s="501"/>
      <c r="BI161" s="501"/>
      <c r="BJ161" s="502"/>
    </row>
    <row r="162" spans="54:62" ht="17.25">
      <c r="BB162" s="77"/>
      <c r="BE162" s="767" t="s">
        <v>152</v>
      </c>
      <c r="BJ162" s="151"/>
    </row>
    <row r="163" spans="54:62">
      <c r="BB163" s="517" t="s">
        <v>1476</v>
      </c>
      <c r="BC163" s="499"/>
      <c r="BD163" s="499"/>
      <c r="BE163" s="770"/>
      <c r="BJ163" s="151"/>
    </row>
    <row r="164" spans="54:62">
      <c r="BB164" s="517" t="s">
        <v>947</v>
      </c>
      <c r="BC164" s="499"/>
      <c r="BD164" s="499"/>
      <c r="BE164" s="772"/>
      <c r="BJ164" s="151"/>
    </row>
    <row r="165" spans="54:62">
      <c r="BB165" s="517" t="s">
        <v>948</v>
      </c>
      <c r="BC165" s="499"/>
      <c r="BD165" s="499"/>
      <c r="BE165" s="772"/>
      <c r="BJ165" s="151"/>
    </row>
    <row r="166" spans="54:62">
      <c r="BB166" s="517"/>
      <c r="BC166" s="499"/>
      <c r="BD166" s="499"/>
      <c r="BE166" s="772"/>
      <c r="BG166" s="776" t="s">
        <v>950</v>
      </c>
      <c r="BH166" s="776" t="s">
        <v>950</v>
      </c>
      <c r="BI166" s="49" t="s">
        <v>951</v>
      </c>
      <c r="BJ166" s="52" t="s">
        <v>951</v>
      </c>
    </row>
    <row r="167" spans="54:62" ht="17.25">
      <c r="BB167" s="542"/>
      <c r="BC167" s="258"/>
      <c r="BD167" s="258"/>
      <c r="BE167" s="777"/>
      <c r="BG167" s="778" t="s">
        <v>953</v>
      </c>
      <c r="BH167" s="778" t="s">
        <v>745</v>
      </c>
      <c r="BI167" s="778" t="s">
        <v>953</v>
      </c>
      <c r="BJ167" s="779" t="s">
        <v>745</v>
      </c>
    </row>
    <row r="168" spans="54:62">
      <c r="BB168" s="517" t="s">
        <v>949</v>
      </c>
      <c r="BC168" s="499"/>
      <c r="BD168" s="499"/>
      <c r="BE168" s="770"/>
      <c r="BG168" s="782"/>
      <c r="BH168" s="783"/>
      <c r="BI168" s="782"/>
      <c r="BJ168" s="784"/>
    </row>
    <row r="169" spans="54:62">
      <c r="BB169" s="532" t="s">
        <v>952</v>
      </c>
      <c r="BC169" s="533"/>
      <c r="BD169" s="533"/>
      <c r="BE169" s="786"/>
      <c r="BF169" s="17"/>
      <c r="BG169" s="787"/>
      <c r="BH169" s="788"/>
      <c r="BI169" s="787"/>
      <c r="BJ169" s="789"/>
    </row>
    <row r="170" spans="54:62">
      <c r="BB170" s="499"/>
      <c r="BC170" s="499"/>
      <c r="BD170" s="499"/>
      <c r="BE170" s="770"/>
      <c r="BG170" s="782"/>
      <c r="BH170" s="783"/>
      <c r="BI170" s="782"/>
      <c r="BJ170" s="783"/>
    </row>
    <row r="171" spans="54:62">
      <c r="BB171" s="581" t="s">
        <v>1548</v>
      </c>
      <c r="BC171" s="500"/>
      <c r="BD171" s="500"/>
      <c r="BE171" s="501"/>
      <c r="BF171" s="501"/>
      <c r="BG171" s="501"/>
      <c r="BH171" s="501"/>
      <c r="BI171" s="501"/>
      <c r="BJ171" s="502"/>
    </row>
    <row r="172" spans="54:62" ht="17.25">
      <c r="BB172" s="77"/>
      <c r="BE172" s="767" t="s">
        <v>152</v>
      </c>
      <c r="BJ172" s="151"/>
    </row>
    <row r="173" spans="54:62">
      <c r="BB173" s="517" t="s">
        <v>1476</v>
      </c>
      <c r="BC173" s="499"/>
      <c r="BD173" s="499"/>
      <c r="BE173" s="1590">
        <f>BE163-BE153</f>
        <v>-5701050</v>
      </c>
      <c r="BJ173" s="151"/>
    </row>
    <row r="174" spans="54:62">
      <c r="BB174" s="517" t="s">
        <v>947</v>
      </c>
      <c r="BC174" s="499"/>
      <c r="BD174" s="499"/>
      <c r="BE174" s="1590">
        <f t="shared" ref="BE174:BE175" si="30">BE164-BE154</f>
        <v>-2500000</v>
      </c>
      <c r="BJ174" s="151"/>
    </row>
    <row r="175" spans="54:62">
      <c r="BB175" s="517" t="s">
        <v>948</v>
      </c>
      <c r="BC175" s="499"/>
      <c r="BD175" s="499"/>
      <c r="BE175" s="1590">
        <f t="shared" si="30"/>
        <v>-3216257.241372929</v>
      </c>
      <c r="BJ175" s="151"/>
    </row>
    <row r="176" spans="54:62">
      <c r="BB176" s="517"/>
      <c r="BC176" s="499"/>
      <c r="BD176" s="499"/>
      <c r="BE176" s="772"/>
      <c r="BG176" s="776" t="s">
        <v>950</v>
      </c>
      <c r="BH176" s="776" t="s">
        <v>950</v>
      </c>
      <c r="BI176" s="49" t="s">
        <v>951</v>
      </c>
      <c r="BJ176" s="52" t="s">
        <v>951</v>
      </c>
    </row>
    <row r="177" spans="54:71" ht="17.25">
      <c r="BB177" s="542"/>
      <c r="BC177" s="258"/>
      <c r="BD177" s="258"/>
      <c r="BE177" s="777"/>
      <c r="BG177" s="778" t="s">
        <v>953</v>
      </c>
      <c r="BH177" s="778" t="s">
        <v>745</v>
      </c>
      <c r="BI177" s="778" t="s">
        <v>953</v>
      </c>
      <c r="BJ177" s="779" t="s">
        <v>745</v>
      </c>
    </row>
    <row r="178" spans="54:71">
      <c r="BB178" s="517" t="s">
        <v>949</v>
      </c>
      <c r="BC178" s="499"/>
      <c r="BD178" s="499"/>
      <c r="BE178" s="1590">
        <f t="shared" ref="BE178:BE179" si="31">BE168-BE158</f>
        <v>-300000</v>
      </c>
      <c r="BG178" s="782">
        <f t="shared" ref="BG178:BJ178" si="32">BG168-BG158</f>
        <v>-0.06</v>
      </c>
      <c r="BH178" s="1591">
        <f t="shared" si="32"/>
        <v>-16.666666666666668</v>
      </c>
      <c r="BI178" s="782">
        <f t="shared" si="32"/>
        <v>-5.2621885442155396E-2</v>
      </c>
      <c r="BJ178" s="1589">
        <f t="shared" si="32"/>
        <v>-19.003499999999999</v>
      </c>
    </row>
    <row r="179" spans="54:71">
      <c r="BB179" s="532" t="s">
        <v>952</v>
      </c>
      <c r="BC179" s="533"/>
      <c r="BD179" s="533"/>
      <c r="BE179" s="1592">
        <f t="shared" si="31"/>
        <v>-274300</v>
      </c>
      <c r="BF179" s="17"/>
      <c r="BG179" s="787">
        <f t="shared" ref="BG179:BJ179" si="33">BG169-BG159</f>
        <v>-5.4859999999999999E-2</v>
      </c>
      <c r="BH179" s="1593">
        <f t="shared" si="33"/>
        <v>-18.22821728034998</v>
      </c>
      <c r="BI179" s="787">
        <f t="shared" si="33"/>
        <v>-4.8113943922610744E-2</v>
      </c>
      <c r="BJ179" s="1594">
        <f t="shared" si="33"/>
        <v>-20.783995625227853</v>
      </c>
    </row>
    <row r="180" spans="54:71">
      <c r="BB180" s="499"/>
      <c r="BC180" s="499"/>
      <c r="BD180" s="499"/>
      <c r="BE180" s="770"/>
      <c r="BG180" s="782"/>
      <c r="BH180" s="783"/>
      <c r="BI180" s="782"/>
      <c r="BJ180" s="783"/>
    </row>
    <row r="181" spans="54:71">
      <c r="BG181" s="510"/>
    </row>
    <row r="182" spans="54:71">
      <c r="BL182" s="582" t="s">
        <v>1558</v>
      </c>
      <c r="BM182" s="503"/>
      <c r="BN182" s="503"/>
      <c r="BO182" s="504"/>
      <c r="BP182" s="504"/>
      <c r="BQ182" s="504"/>
      <c r="BR182" s="504"/>
      <c r="BS182" s="505"/>
    </row>
    <row r="183" spans="54:71" ht="17.25">
      <c r="BL183" s="793"/>
      <c r="BM183" s="510"/>
      <c r="BN183" s="510"/>
      <c r="BO183" s="767" t="str">
        <f>ES!J18</f>
        <v>Total</v>
      </c>
      <c r="BP183" s="767"/>
      <c r="BS183" s="151"/>
    </row>
    <row r="184" spans="54:71">
      <c r="BL184" s="517" t="s">
        <v>474</v>
      </c>
      <c r="BM184" s="499"/>
      <c r="BN184" s="499"/>
      <c r="BO184" s="772">
        <f>ES!J19</f>
        <v>3681609.018749997</v>
      </c>
      <c r="BP184" s="772"/>
      <c r="BS184" s="151"/>
    </row>
    <row r="185" spans="54:71" ht="17.25">
      <c r="BL185" s="542"/>
      <c r="BM185" s="258"/>
      <c r="BN185" s="258"/>
      <c r="BO185" s="777">
        <f>ES!J20</f>
        <v>0</v>
      </c>
      <c r="BP185" s="777"/>
      <c r="BR185" s="767" t="str">
        <f>ES!L20</f>
        <v>Cap Rate</v>
      </c>
      <c r="BS185" s="779" t="str">
        <f>ES!M20</f>
        <v>Multiple</v>
      </c>
    </row>
    <row r="186" spans="54:71">
      <c r="BL186" s="517" t="s">
        <v>956</v>
      </c>
      <c r="BM186" s="499"/>
      <c r="BN186" s="499"/>
      <c r="BO186" s="770">
        <f>ES!J21</f>
        <v>306800.75156249973</v>
      </c>
      <c r="BP186" s="770"/>
      <c r="BR186" s="782">
        <f>ES!L21</f>
        <v>8.3333333333333329E-2</v>
      </c>
      <c r="BS186" s="784">
        <f>ES!M21</f>
        <v>12</v>
      </c>
    </row>
    <row r="187" spans="54:71">
      <c r="BL187" s="532" t="s">
        <v>957</v>
      </c>
      <c r="BM187" s="533"/>
      <c r="BN187" s="533"/>
      <c r="BO187" s="796">
        <f>ES!J22</f>
        <v>280053.76096640597</v>
      </c>
      <c r="BP187" s="796"/>
      <c r="BQ187" s="17"/>
      <c r="BR187" s="787">
        <f>ES!L22</f>
        <v>7.606830587933848E-2</v>
      </c>
      <c r="BS187" s="789">
        <f>ES!M22</f>
        <v>13.146079545747028</v>
      </c>
    </row>
    <row r="188" spans="54:71">
      <c r="BS188" s="151"/>
    </row>
    <row r="189" spans="54:71">
      <c r="BL189" s="582" t="s">
        <v>1559</v>
      </c>
      <c r="BM189" s="503"/>
      <c r="BN189" s="503"/>
      <c r="BO189" s="504"/>
      <c r="BP189" s="504"/>
      <c r="BQ189" s="504"/>
      <c r="BR189" s="504"/>
      <c r="BS189" s="505"/>
    </row>
    <row r="190" spans="54:71" ht="17.25">
      <c r="BL190" s="793"/>
      <c r="BM190" s="510"/>
      <c r="BN190" s="510"/>
      <c r="BO190" s="767" t="s">
        <v>152</v>
      </c>
      <c r="BP190" s="767"/>
      <c r="BS190" s="151"/>
    </row>
    <row r="191" spans="54:71">
      <c r="BL191" s="517" t="s">
        <v>474</v>
      </c>
      <c r="BM191" s="499"/>
      <c r="BN191" s="499"/>
      <c r="BO191" s="772"/>
      <c r="BP191" s="772"/>
      <c r="BS191" s="151"/>
    </row>
    <row r="192" spans="54:71" ht="17.25">
      <c r="BL192" s="542"/>
      <c r="BM192" s="258"/>
      <c r="BN192" s="258"/>
      <c r="BO192" s="777"/>
      <c r="BP192" s="777"/>
      <c r="BR192" s="767" t="s">
        <v>953</v>
      </c>
      <c r="BS192" s="779" t="s">
        <v>745</v>
      </c>
    </row>
    <row r="193" spans="64:86">
      <c r="BL193" s="517" t="s">
        <v>956</v>
      </c>
      <c r="BM193" s="499"/>
      <c r="BN193" s="499"/>
      <c r="BO193" s="770"/>
      <c r="BP193" s="770"/>
      <c r="BR193" s="782"/>
      <c r="BS193" s="784"/>
    </row>
    <row r="194" spans="64:86">
      <c r="BL194" s="532" t="s">
        <v>957</v>
      </c>
      <c r="BM194" s="533"/>
      <c r="BN194" s="533"/>
      <c r="BO194" s="796"/>
      <c r="BP194" s="796"/>
      <c r="BQ194" s="17"/>
      <c r="BR194" s="787"/>
      <c r="BS194" s="789"/>
    </row>
    <row r="195" spans="64:86">
      <c r="BS195" s="151"/>
    </row>
    <row r="196" spans="64:86">
      <c r="BL196" s="582" t="s">
        <v>1549</v>
      </c>
      <c r="BM196" s="503"/>
      <c r="BN196" s="503"/>
      <c r="BO196" s="504"/>
      <c r="BP196" s="504"/>
      <c r="BQ196" s="504"/>
      <c r="BR196" s="504"/>
      <c r="BS196" s="505"/>
    </row>
    <row r="197" spans="64:86" ht="17.25">
      <c r="BL197" s="793"/>
      <c r="BM197" s="510"/>
      <c r="BN197" s="510"/>
      <c r="BO197" s="767" t="s">
        <v>152</v>
      </c>
      <c r="BP197" s="767"/>
      <c r="BS197" s="151"/>
    </row>
    <row r="198" spans="64:86">
      <c r="BL198" s="517" t="s">
        <v>474</v>
      </c>
      <c r="BM198" s="499"/>
      <c r="BN198" s="499"/>
      <c r="BO198" s="1590">
        <v>-31865771.004770517</v>
      </c>
      <c r="BP198" s="1590"/>
      <c r="BS198" s="151"/>
    </row>
    <row r="199" spans="64:86" ht="17.25">
      <c r="BL199" s="542"/>
      <c r="BM199" s="258"/>
      <c r="BN199" s="258"/>
      <c r="BO199" s="777"/>
      <c r="BP199" s="777"/>
      <c r="BR199" s="767" t="s">
        <v>953</v>
      </c>
      <c r="BS199" s="779" t="s">
        <v>745</v>
      </c>
    </row>
    <row r="200" spans="64:86">
      <c r="BL200" s="517" t="s">
        <v>956</v>
      </c>
      <c r="BM200" s="499"/>
      <c r="BN200" s="499"/>
      <c r="BO200" s="1590">
        <v>-1663931.2984171733</v>
      </c>
      <c r="BP200" s="1590"/>
      <c r="BR200" s="782">
        <v>4.1311777213628997E-6</v>
      </c>
      <c r="BS200" s="1595">
        <v>-1.5104339086953189E-3</v>
      </c>
    </row>
    <row r="201" spans="64:86">
      <c r="BL201" s="532" t="s">
        <v>957</v>
      </c>
      <c r="BM201" s="533"/>
      <c r="BN201" s="533"/>
      <c r="BO201" s="1592">
        <v>-746387.8715355508</v>
      </c>
      <c r="BP201" s="1592"/>
      <c r="BQ201" s="17"/>
      <c r="BR201" s="787">
        <v>1.2168125036771879E-3</v>
      </c>
      <c r="BS201" s="1594">
        <v>-0.54281694392356528</v>
      </c>
    </row>
    <row r="204" spans="64:86">
      <c r="BU204" s="581" t="s">
        <v>1560</v>
      </c>
      <c r="BV204" s="500"/>
      <c r="BW204" s="500"/>
      <c r="BX204" s="502"/>
      <c r="BZ204" s="581" t="s">
        <v>1561</v>
      </c>
      <c r="CA204" s="500"/>
      <c r="CB204" s="500"/>
      <c r="CC204" s="502"/>
      <c r="CE204" s="581" t="s">
        <v>1550</v>
      </c>
      <c r="CF204" s="500"/>
      <c r="CG204" s="500"/>
      <c r="CH204" s="502"/>
    </row>
    <row r="205" spans="64:86">
      <c r="BU205" s="800" t="s">
        <v>743</v>
      </c>
      <c r="BV205" s="801"/>
      <c r="BW205" s="801"/>
      <c r="BX205" s="449">
        <f>ES!J25</f>
        <v>4238576.0951175252</v>
      </c>
      <c r="BY205" s="258"/>
      <c r="BZ205" s="800" t="s">
        <v>743</v>
      </c>
      <c r="CA205" s="801"/>
      <c r="CB205" s="801"/>
      <c r="CC205" s="449"/>
      <c r="CE205" s="800" t="s">
        <v>743</v>
      </c>
      <c r="CF205" s="801"/>
      <c r="CG205" s="801"/>
      <c r="CH205" s="449">
        <f>CC205-BX205</f>
        <v>-4238576.0951175252</v>
      </c>
    </row>
    <row r="206" spans="64:86">
      <c r="BU206" s="806" t="s">
        <v>744</v>
      </c>
      <c r="BV206" s="807"/>
      <c r="BW206" s="807"/>
      <c r="BX206" s="451">
        <f>ES!J26</f>
        <v>-1415473.9048824757</v>
      </c>
      <c r="BY206" s="258"/>
      <c r="BZ206" s="806" t="s">
        <v>744</v>
      </c>
      <c r="CA206" s="807"/>
      <c r="CB206" s="807"/>
      <c r="CC206" s="451"/>
      <c r="CE206" s="806" t="s">
        <v>744</v>
      </c>
      <c r="CF206" s="807"/>
      <c r="CG206" s="807"/>
      <c r="CH206" s="451">
        <f t="shared" ref="CH206:CH210" si="34">CC206-BX206</f>
        <v>1415473.9048824757</v>
      </c>
    </row>
    <row r="207" spans="64:86">
      <c r="BU207" s="806" t="s">
        <v>745</v>
      </c>
      <c r="BV207" s="807"/>
      <c r="BW207" s="807"/>
      <c r="BX207" s="810">
        <f>ES!J27</f>
        <v>0.74965309735809282</v>
      </c>
      <c r="BY207" s="258"/>
      <c r="BZ207" s="806" t="s">
        <v>745</v>
      </c>
      <c r="CA207" s="807"/>
      <c r="CB207" s="807"/>
      <c r="CC207" s="810"/>
      <c r="CE207" s="806" t="s">
        <v>745</v>
      </c>
      <c r="CF207" s="807"/>
      <c r="CG207" s="807"/>
      <c r="CH207" s="810">
        <f t="shared" si="34"/>
        <v>-0.74965309735809282</v>
      </c>
    </row>
    <row r="208" spans="64:86">
      <c r="BU208" s="806" t="s">
        <v>746</v>
      </c>
      <c r="BV208" s="807"/>
      <c r="BW208" s="807"/>
      <c r="BX208" s="812">
        <f>ES!J28</f>
        <v>2.9802322387695314E-9</v>
      </c>
      <c r="BY208" s="258"/>
      <c r="BZ208" s="806" t="s">
        <v>746</v>
      </c>
      <c r="CA208" s="807"/>
      <c r="CB208" s="807"/>
      <c r="CC208" s="812"/>
      <c r="CE208" s="806" t="s">
        <v>746</v>
      </c>
      <c r="CF208" s="807"/>
      <c r="CG208" s="807"/>
      <c r="CH208" s="812">
        <f t="shared" si="34"/>
        <v>-2.9802322387695314E-9</v>
      </c>
    </row>
    <row r="209" spans="73:86">
      <c r="BU209" s="806" t="s">
        <v>747</v>
      </c>
      <c r="BV209" s="807"/>
      <c r="BW209" s="807"/>
      <c r="BX209" s="813">
        <f>ES!J29</f>
        <v>4.5791961888722268</v>
      </c>
      <c r="BY209" s="258"/>
      <c r="BZ209" s="806" t="s">
        <v>747</v>
      </c>
      <c r="CA209" s="807"/>
      <c r="CB209" s="807"/>
      <c r="CC209" s="813"/>
      <c r="CE209" s="806" t="s">
        <v>747</v>
      </c>
      <c r="CF209" s="807"/>
      <c r="CG209" s="807"/>
      <c r="CH209" s="813">
        <f t="shared" si="34"/>
        <v>-4.5791961888722268</v>
      </c>
    </row>
    <row r="210" spans="73:86">
      <c r="BU210" s="814" t="s">
        <v>748</v>
      </c>
      <c r="BV210" s="815"/>
      <c r="BW210" s="815"/>
      <c r="BX210" s="816">
        <f>ES!J30</f>
        <v>2.54688645933085</v>
      </c>
      <c r="BY210" s="258"/>
      <c r="BZ210" s="814" t="s">
        <v>748</v>
      </c>
      <c r="CA210" s="815"/>
      <c r="CB210" s="815"/>
      <c r="CC210" s="816"/>
      <c r="CE210" s="814" t="s">
        <v>748</v>
      </c>
      <c r="CF210" s="815"/>
      <c r="CG210" s="815"/>
      <c r="CH210" s="816">
        <f t="shared" si="34"/>
        <v>-2.54688645933085</v>
      </c>
    </row>
    <row r="212" spans="73:86">
      <c r="BU212" s="581" t="s">
        <v>1565</v>
      </c>
      <c r="BV212" s="500"/>
      <c r="BW212" s="500"/>
      <c r="BX212" s="502"/>
      <c r="BZ212" s="581" t="s">
        <v>1563</v>
      </c>
      <c r="CA212" s="500"/>
      <c r="CB212" s="500"/>
      <c r="CC212" s="502"/>
      <c r="CE212" s="581" t="s">
        <v>1551</v>
      </c>
      <c r="CF212" s="500"/>
      <c r="CG212" s="500"/>
      <c r="CH212" s="502"/>
    </row>
    <row r="213" spans="73:86">
      <c r="BU213" s="806" t="s">
        <v>56</v>
      </c>
      <c r="BV213" s="807"/>
      <c r="BW213" s="807"/>
      <c r="BX213" s="451">
        <f>ES!J33</f>
        <v>5000000</v>
      </c>
      <c r="BY213" s="258"/>
      <c r="BZ213" s="806" t="s">
        <v>56</v>
      </c>
      <c r="CA213" s="807"/>
      <c r="CB213" s="807"/>
      <c r="CC213" s="451"/>
      <c r="CE213" s="806" t="s">
        <v>56</v>
      </c>
      <c r="CF213" s="807"/>
      <c r="CG213" s="807"/>
      <c r="CH213" s="451">
        <f t="shared" ref="CH213:CH220" si="35">CC213-BX213</f>
        <v>-5000000</v>
      </c>
    </row>
    <row r="214" spans="73:86">
      <c r="BU214" s="806" t="s">
        <v>114</v>
      </c>
      <c r="BV214" s="807"/>
      <c r="BW214" s="807"/>
      <c r="BX214" s="451">
        <f>ES!J34</f>
        <v>250000</v>
      </c>
      <c r="BY214" s="258"/>
      <c r="BZ214" s="806" t="s">
        <v>114</v>
      </c>
      <c r="CA214" s="807"/>
      <c r="CB214" s="807"/>
      <c r="CC214" s="451"/>
      <c r="CE214" s="806" t="s">
        <v>114</v>
      </c>
      <c r="CF214" s="807"/>
      <c r="CG214" s="807"/>
      <c r="CH214" s="451">
        <f t="shared" si="35"/>
        <v>-250000</v>
      </c>
    </row>
    <row r="215" spans="73:86">
      <c r="BU215" s="806" t="s">
        <v>623</v>
      </c>
      <c r="BV215" s="807"/>
      <c r="BW215" s="807"/>
      <c r="BX215" s="451">
        <f>ES!J35</f>
        <v>404050</v>
      </c>
      <c r="BY215" s="258"/>
      <c r="BZ215" s="806" t="s">
        <v>623</v>
      </c>
      <c r="CA215" s="807"/>
      <c r="CB215" s="807"/>
      <c r="CC215" s="451"/>
      <c r="CE215" s="806" t="s">
        <v>623</v>
      </c>
      <c r="CF215" s="807"/>
      <c r="CG215" s="807"/>
      <c r="CH215" s="451">
        <f t="shared" si="35"/>
        <v>-404050</v>
      </c>
    </row>
    <row r="216" spans="73:86">
      <c r="BU216" s="804" t="s">
        <v>750</v>
      </c>
      <c r="BV216" s="807"/>
      <c r="BW216" s="807"/>
      <c r="BX216" s="451">
        <f>ES!J36</f>
        <v>0</v>
      </c>
      <c r="BY216" s="258"/>
      <c r="BZ216" s="804" t="s">
        <v>750</v>
      </c>
      <c r="CA216" s="807"/>
      <c r="CB216" s="807"/>
      <c r="CC216" s="451"/>
      <c r="CE216" s="804" t="s">
        <v>750</v>
      </c>
      <c r="CF216" s="807"/>
      <c r="CG216" s="807"/>
      <c r="CH216" s="451">
        <f t="shared" si="35"/>
        <v>0</v>
      </c>
    </row>
    <row r="217" spans="73:86">
      <c r="BU217" s="804" t="s">
        <v>760</v>
      </c>
      <c r="BX217" s="451">
        <f>ES!J37</f>
        <v>0</v>
      </c>
      <c r="BY217" s="258"/>
      <c r="BZ217" s="804" t="s">
        <v>760</v>
      </c>
      <c r="CC217" s="451"/>
      <c r="CE217" s="804" t="s">
        <v>760</v>
      </c>
      <c r="CH217" s="451">
        <f t="shared" si="35"/>
        <v>0</v>
      </c>
    </row>
    <row r="218" spans="73:86">
      <c r="BU218" s="804" t="s">
        <v>729</v>
      </c>
      <c r="BV218" s="807"/>
      <c r="BW218" s="807"/>
      <c r="BX218" s="451">
        <f>ES!J38</f>
        <v>0</v>
      </c>
      <c r="BY218" s="258"/>
      <c r="BZ218" s="804" t="s">
        <v>729</v>
      </c>
      <c r="CA218" s="807"/>
      <c r="CB218" s="807"/>
      <c r="CC218" s="451"/>
      <c r="CE218" s="804" t="s">
        <v>729</v>
      </c>
      <c r="CF218" s="807"/>
      <c r="CG218" s="807"/>
      <c r="CH218" s="451">
        <f t="shared" si="35"/>
        <v>0</v>
      </c>
    </row>
    <row r="219" spans="73:86">
      <c r="BU219" s="806" t="s">
        <v>767</v>
      </c>
      <c r="BV219" s="807"/>
      <c r="BW219" s="807"/>
      <c r="BX219" s="451">
        <f>ES!J39</f>
        <v>0</v>
      </c>
      <c r="BZ219" s="806" t="s">
        <v>767</v>
      </c>
      <c r="CA219" s="807"/>
      <c r="CB219" s="807"/>
      <c r="CC219" s="451"/>
      <c r="CE219" s="806" t="s">
        <v>767</v>
      </c>
      <c r="CF219" s="807"/>
      <c r="CG219" s="807"/>
      <c r="CH219" s="451">
        <f t="shared" si="35"/>
        <v>0</v>
      </c>
    </row>
    <row r="220" spans="73:86">
      <c r="BU220" s="820" t="s">
        <v>152</v>
      </c>
      <c r="BV220" s="821"/>
      <c r="BW220" s="821"/>
      <c r="BX220" s="822">
        <f>ES!J40</f>
        <v>5654050</v>
      </c>
      <c r="BZ220" s="820" t="s">
        <v>152</v>
      </c>
      <c r="CA220" s="821"/>
      <c r="CB220" s="821"/>
      <c r="CC220" s="822"/>
      <c r="CE220" s="820" t="s">
        <v>152</v>
      </c>
      <c r="CF220" s="821"/>
      <c r="CG220" s="821"/>
      <c r="CH220" s="822">
        <f t="shared" si="35"/>
        <v>-5654050</v>
      </c>
    </row>
    <row r="221" spans="73:86">
      <c r="BX221" s="258"/>
      <c r="BY221" s="258"/>
      <c r="CC221" s="258"/>
      <c r="CH221" s="258"/>
    </row>
    <row r="222" spans="73:86">
      <c r="BU222" s="581" t="s">
        <v>1566</v>
      </c>
      <c r="BV222" s="500"/>
      <c r="BW222" s="500"/>
      <c r="BX222" s="502"/>
      <c r="BY222" s="258"/>
      <c r="BZ222" s="581" t="s">
        <v>1564</v>
      </c>
      <c r="CA222" s="500"/>
      <c r="CB222" s="500"/>
      <c r="CC222" s="502"/>
      <c r="CE222" s="581" t="s">
        <v>1552</v>
      </c>
      <c r="CF222" s="500"/>
      <c r="CG222" s="500"/>
      <c r="CH222" s="502"/>
    </row>
    <row r="223" spans="73:86">
      <c r="BU223" s="806" t="s">
        <v>753</v>
      </c>
      <c r="BV223" s="807"/>
      <c r="BW223" s="825">
        <f>ES!I43</f>
        <v>1</v>
      </c>
      <c r="BX223" s="451">
        <f>ES!J43</f>
        <v>5654050</v>
      </c>
      <c r="BY223" s="258"/>
      <c r="BZ223" s="806" t="s">
        <v>753</v>
      </c>
      <c r="CA223" s="807"/>
      <c r="CB223" s="825"/>
      <c r="CC223" s="451"/>
      <c r="CE223" s="806" t="s">
        <v>753</v>
      </c>
      <c r="CF223" s="807"/>
      <c r="CG223" s="825">
        <f t="shared" ref="CG223:CH226" si="36">CB223-BW223</f>
        <v>-1</v>
      </c>
      <c r="CH223" s="451">
        <f t="shared" si="36"/>
        <v>-5654050</v>
      </c>
    </row>
    <row r="224" spans="73:86">
      <c r="BU224" s="806" t="s">
        <v>754</v>
      </c>
      <c r="BV224" s="807"/>
      <c r="BW224" s="825">
        <f>ES!I44</f>
        <v>0</v>
      </c>
      <c r="BX224" s="451">
        <f>ES!J44</f>
        <v>0</v>
      </c>
      <c r="BY224" s="258"/>
      <c r="BZ224" s="806" t="s">
        <v>754</v>
      </c>
      <c r="CA224" s="807"/>
      <c r="CB224" s="825"/>
      <c r="CC224" s="451"/>
      <c r="CE224" s="806" t="s">
        <v>754</v>
      </c>
      <c r="CF224" s="807"/>
      <c r="CG224" s="825">
        <f t="shared" si="36"/>
        <v>0</v>
      </c>
      <c r="CH224" s="451">
        <f t="shared" si="36"/>
        <v>0</v>
      </c>
    </row>
    <row r="225" spans="73:101">
      <c r="BU225" s="814" t="s">
        <v>698</v>
      </c>
      <c r="BV225" s="815"/>
      <c r="BW225" s="825">
        <f>ES!I45</f>
        <v>0</v>
      </c>
      <c r="BX225" s="827">
        <f>ES!J45</f>
        <v>0</v>
      </c>
      <c r="BY225" s="258"/>
      <c r="BZ225" s="814" t="s">
        <v>698</v>
      </c>
      <c r="CA225" s="815"/>
      <c r="CB225" s="825"/>
      <c r="CC225" s="827"/>
      <c r="CE225" s="814" t="s">
        <v>698</v>
      </c>
      <c r="CF225" s="815"/>
      <c r="CG225" s="825">
        <f t="shared" si="36"/>
        <v>0</v>
      </c>
      <c r="CH225" s="827">
        <f t="shared" si="36"/>
        <v>0</v>
      </c>
    </row>
    <row r="226" spans="73:101">
      <c r="BU226" s="820" t="s">
        <v>152</v>
      </c>
      <c r="BV226" s="821"/>
      <c r="BW226" s="829">
        <f>ES!I46</f>
        <v>1</v>
      </c>
      <c r="BX226" s="822">
        <f>ES!J46</f>
        <v>5654050</v>
      </c>
      <c r="BY226" s="258"/>
      <c r="BZ226" s="820" t="s">
        <v>152</v>
      </c>
      <c r="CA226" s="821"/>
      <c r="CB226" s="829"/>
      <c r="CC226" s="822"/>
      <c r="CE226" s="820" t="s">
        <v>152</v>
      </c>
      <c r="CF226" s="821"/>
      <c r="CG226" s="829">
        <f t="shared" si="36"/>
        <v>-1</v>
      </c>
      <c r="CH226" s="822">
        <f t="shared" si="36"/>
        <v>-5654050</v>
      </c>
    </row>
    <row r="228" spans="73:101">
      <c r="CJ228" s="581" t="s">
        <v>1562</v>
      </c>
      <c r="CK228" s="500"/>
      <c r="CL228" s="500"/>
      <c r="CM228" s="502"/>
      <c r="CO228" s="581" t="s">
        <v>1567</v>
      </c>
      <c r="CP228" s="500"/>
      <c r="CQ228" s="500"/>
      <c r="CR228" s="502"/>
      <c r="CT228" s="581" t="s">
        <v>1553</v>
      </c>
      <c r="CU228" s="500"/>
      <c r="CV228" s="500"/>
      <c r="CW228" s="502"/>
    </row>
    <row r="229" spans="73:101">
      <c r="CJ229" s="802" t="s">
        <v>743</v>
      </c>
      <c r="CK229" s="803"/>
      <c r="CL229" s="803"/>
      <c r="CM229" s="449">
        <f>ES!O25</f>
        <v>1614134.7666131514</v>
      </c>
      <c r="CO229" s="802" t="s">
        <v>743</v>
      </c>
      <c r="CP229" s="803"/>
      <c r="CQ229" s="803"/>
      <c r="CR229" s="449"/>
      <c r="CT229" s="800" t="s">
        <v>743</v>
      </c>
      <c r="CU229" s="801"/>
      <c r="CV229" s="801"/>
      <c r="CW229" s="449">
        <f>CR229-CM229</f>
        <v>-1614134.7666131514</v>
      </c>
    </row>
    <row r="230" spans="73:101">
      <c r="CJ230" s="804" t="s">
        <v>744</v>
      </c>
      <c r="CK230" s="808"/>
      <c r="CL230" s="808"/>
      <c r="CM230" s="451">
        <f>ES!O26</f>
        <v>-1602122.4747597778</v>
      </c>
      <c r="CO230" s="804" t="s">
        <v>744</v>
      </c>
      <c r="CP230" s="808"/>
      <c r="CQ230" s="808"/>
      <c r="CR230" s="451"/>
      <c r="CT230" s="806" t="s">
        <v>744</v>
      </c>
      <c r="CU230" s="807"/>
      <c r="CV230" s="807"/>
      <c r="CW230" s="451">
        <f t="shared" ref="CW230:CW234" si="37">CR230-CM230</f>
        <v>1602122.4747597778</v>
      </c>
    </row>
    <row r="231" spans="73:101">
      <c r="CJ231" s="804" t="s">
        <v>745</v>
      </c>
      <c r="CK231" s="808"/>
      <c r="CL231" s="808"/>
      <c r="CM231" s="810">
        <f>ES!O27</f>
        <v>0.50186743331641059</v>
      </c>
      <c r="CO231" s="804" t="s">
        <v>745</v>
      </c>
      <c r="CP231" s="808"/>
      <c r="CQ231" s="808"/>
      <c r="CR231" s="810"/>
      <c r="CT231" s="806" t="s">
        <v>745</v>
      </c>
      <c r="CU231" s="807"/>
      <c r="CV231" s="807"/>
      <c r="CW231" s="810">
        <f t="shared" si="37"/>
        <v>-0.50186743331641059</v>
      </c>
    </row>
    <row r="232" spans="73:101">
      <c r="CJ232" s="804" t="s">
        <v>746</v>
      </c>
      <c r="CK232" s="808"/>
      <c r="CL232" s="808"/>
      <c r="CM232" s="812">
        <f>ES!O28</f>
        <v>2.9802322387695314E-9</v>
      </c>
      <c r="CO232" s="804" t="s">
        <v>746</v>
      </c>
      <c r="CP232" s="808"/>
      <c r="CQ232" s="808"/>
      <c r="CR232" s="812"/>
      <c r="CT232" s="806" t="s">
        <v>746</v>
      </c>
      <c r="CU232" s="807"/>
      <c r="CV232" s="807"/>
      <c r="CW232" s="812">
        <f t="shared" si="37"/>
        <v>-2.9802322387695314E-9</v>
      </c>
    </row>
    <row r="233" spans="73:101">
      <c r="CJ233" s="804" t="s">
        <v>747</v>
      </c>
      <c r="CK233" s="808"/>
      <c r="CL233" s="808"/>
      <c r="CM233" s="813">
        <f>ES!O29</f>
        <v>1.3969162635392878</v>
      </c>
      <c r="CO233" s="804" t="s">
        <v>747</v>
      </c>
      <c r="CP233" s="808"/>
      <c r="CQ233" s="808"/>
      <c r="CR233" s="813"/>
      <c r="CT233" s="806" t="s">
        <v>747</v>
      </c>
      <c r="CU233" s="807"/>
      <c r="CV233" s="807"/>
      <c r="CW233" s="813">
        <f t="shared" si="37"/>
        <v>-1.3969162635392878</v>
      </c>
    </row>
    <row r="234" spans="73:101">
      <c r="CJ234" s="817" t="s">
        <v>748</v>
      </c>
      <c r="CK234" s="818"/>
      <c r="CL234" s="818"/>
      <c r="CM234" s="816">
        <f>ES!O30</f>
        <v>2.7834367619916445</v>
      </c>
      <c r="CO234" s="817" t="s">
        <v>748</v>
      </c>
      <c r="CP234" s="818"/>
      <c r="CQ234" s="818"/>
      <c r="CR234" s="816"/>
      <c r="CT234" s="814" t="s">
        <v>748</v>
      </c>
      <c r="CU234" s="815"/>
      <c r="CV234" s="815"/>
      <c r="CW234" s="816">
        <f t="shared" si="37"/>
        <v>-2.7834367619916445</v>
      </c>
    </row>
    <row r="235" spans="73:101">
      <c r="CO235" s="258"/>
      <c r="CP235" s="258"/>
      <c r="CQ235" s="258"/>
      <c r="CR235" s="258"/>
    </row>
    <row r="236" spans="73:101">
      <c r="CJ236" s="581" t="s">
        <v>1565</v>
      </c>
      <c r="CK236" s="500"/>
      <c r="CL236" s="500"/>
      <c r="CM236" s="502"/>
      <c r="CO236" s="581" t="s">
        <v>1563</v>
      </c>
      <c r="CP236" s="500"/>
      <c r="CQ236" s="500"/>
      <c r="CR236" s="502"/>
      <c r="CT236" s="581" t="s">
        <v>1551</v>
      </c>
      <c r="CU236" s="500"/>
      <c r="CV236" s="500"/>
      <c r="CW236" s="502"/>
    </row>
    <row r="237" spans="73:101">
      <c r="CJ237" s="806" t="s">
        <v>56</v>
      </c>
      <c r="CK237" s="807"/>
      <c r="CL237" s="807"/>
      <c r="CM237" s="451">
        <f>ES!O33</f>
        <v>5000000</v>
      </c>
      <c r="CN237" s="258"/>
      <c r="CO237" s="804" t="s">
        <v>56</v>
      </c>
      <c r="CP237" s="808"/>
      <c r="CQ237" s="808"/>
      <c r="CR237" s="451"/>
      <c r="CT237" s="806" t="s">
        <v>56</v>
      </c>
      <c r="CU237" s="807"/>
      <c r="CV237" s="807"/>
      <c r="CW237" s="451">
        <f t="shared" ref="CW237:CW244" si="38">CR237-CM237</f>
        <v>-5000000</v>
      </c>
    </row>
    <row r="238" spans="73:101">
      <c r="CJ238" s="806" t="s">
        <v>114</v>
      </c>
      <c r="CK238" s="807"/>
      <c r="CL238" s="807"/>
      <c r="CM238" s="451">
        <f>ES!O34</f>
        <v>250000</v>
      </c>
      <c r="CN238" s="258"/>
      <c r="CO238" s="804" t="s">
        <v>114</v>
      </c>
      <c r="CP238" s="808"/>
      <c r="CQ238" s="808"/>
      <c r="CR238" s="451"/>
      <c r="CT238" s="806" t="s">
        <v>114</v>
      </c>
      <c r="CU238" s="807"/>
      <c r="CV238" s="807"/>
      <c r="CW238" s="451">
        <f t="shared" si="38"/>
        <v>-250000</v>
      </c>
    </row>
    <row r="239" spans="73:101">
      <c r="CJ239" s="806" t="s">
        <v>623</v>
      </c>
      <c r="CK239" s="807"/>
      <c r="CL239" s="807"/>
      <c r="CM239" s="451">
        <f>ES!O35</f>
        <v>404050</v>
      </c>
      <c r="CN239" s="258"/>
      <c r="CO239" s="804" t="s">
        <v>623</v>
      </c>
      <c r="CP239" s="808"/>
      <c r="CQ239" s="808"/>
      <c r="CR239" s="451"/>
      <c r="CT239" s="806" t="s">
        <v>623</v>
      </c>
      <c r="CU239" s="807"/>
      <c r="CV239" s="807"/>
      <c r="CW239" s="451">
        <f t="shared" si="38"/>
        <v>-404050</v>
      </c>
    </row>
    <row r="240" spans="73:101">
      <c r="CJ240" s="804" t="s">
        <v>750</v>
      </c>
      <c r="CK240" s="807"/>
      <c r="CL240" s="807"/>
      <c r="CM240" s="451">
        <f>ES!O36</f>
        <v>0</v>
      </c>
      <c r="CN240" s="258"/>
      <c r="CO240" s="804" t="s">
        <v>750</v>
      </c>
      <c r="CP240" s="808"/>
      <c r="CQ240" s="808"/>
      <c r="CR240" s="451"/>
      <c r="CT240" s="804" t="s">
        <v>750</v>
      </c>
      <c r="CU240" s="807"/>
      <c r="CV240" s="807"/>
      <c r="CW240" s="451">
        <f t="shared" si="38"/>
        <v>0</v>
      </c>
    </row>
    <row r="241" spans="88:101">
      <c r="CJ241" s="804" t="s">
        <v>760</v>
      </c>
      <c r="CM241" s="451">
        <f>ES!O37</f>
        <v>0</v>
      </c>
      <c r="CN241" s="258"/>
      <c r="CO241" s="804" t="s">
        <v>760</v>
      </c>
      <c r="CR241" s="451"/>
      <c r="CT241" s="804" t="s">
        <v>760</v>
      </c>
      <c r="CW241" s="451">
        <f t="shared" si="38"/>
        <v>0</v>
      </c>
    </row>
    <row r="242" spans="88:101">
      <c r="CJ242" s="804" t="s">
        <v>729</v>
      </c>
      <c r="CK242" s="807"/>
      <c r="CL242" s="807"/>
      <c r="CM242" s="451">
        <f>ES!O38</f>
        <v>47000</v>
      </c>
      <c r="CN242" s="258"/>
      <c r="CO242" s="804" t="s">
        <v>729</v>
      </c>
      <c r="CP242" s="808"/>
      <c r="CQ242" s="808"/>
      <c r="CR242" s="451"/>
      <c r="CT242" s="804" t="s">
        <v>729</v>
      </c>
      <c r="CU242" s="807"/>
      <c r="CV242" s="807"/>
      <c r="CW242" s="451">
        <f t="shared" si="38"/>
        <v>-47000</v>
      </c>
    </row>
    <row r="243" spans="88:101">
      <c r="CJ243" s="806" t="s">
        <v>767</v>
      </c>
      <c r="CK243" s="807"/>
      <c r="CL243" s="807"/>
      <c r="CM243" s="451">
        <f>ES!O39</f>
        <v>811819.03207949619</v>
      </c>
      <c r="CO243" s="806" t="s">
        <v>767</v>
      </c>
      <c r="CP243" s="808"/>
      <c r="CQ243" s="808"/>
      <c r="CR243" s="451"/>
      <c r="CT243" s="806" t="s">
        <v>767</v>
      </c>
      <c r="CU243" s="807"/>
      <c r="CV243" s="807"/>
      <c r="CW243" s="451">
        <f t="shared" si="38"/>
        <v>-811819.03207949619</v>
      </c>
    </row>
    <row r="244" spans="88:101">
      <c r="CJ244" s="820" t="s">
        <v>152</v>
      </c>
      <c r="CK244" s="821"/>
      <c r="CL244" s="821"/>
      <c r="CM244" s="822">
        <f>ES!O40</f>
        <v>6512869.0320794964</v>
      </c>
      <c r="CO244" s="823" t="s">
        <v>152</v>
      </c>
      <c r="CP244" s="824"/>
      <c r="CQ244" s="824"/>
      <c r="CR244" s="822"/>
      <c r="CT244" s="820" t="s">
        <v>152</v>
      </c>
      <c r="CU244" s="821"/>
      <c r="CV244" s="821"/>
      <c r="CW244" s="822">
        <f t="shared" si="38"/>
        <v>-6512869.0320794964</v>
      </c>
    </row>
    <row r="245" spans="88:101">
      <c r="CM245" s="258"/>
      <c r="CN245" s="258"/>
      <c r="CO245" s="258"/>
      <c r="CP245" s="258"/>
      <c r="CQ245" s="258"/>
      <c r="CR245" s="258"/>
      <c r="CW245" s="258"/>
    </row>
    <row r="246" spans="88:101">
      <c r="CJ246" s="581" t="s">
        <v>1566</v>
      </c>
      <c r="CK246" s="500"/>
      <c r="CL246" s="500"/>
      <c r="CM246" s="502"/>
      <c r="CN246" s="258"/>
      <c r="CO246" s="581" t="s">
        <v>1564</v>
      </c>
      <c r="CP246" s="500"/>
      <c r="CQ246" s="500"/>
      <c r="CR246" s="502"/>
      <c r="CT246" s="581" t="s">
        <v>1552</v>
      </c>
      <c r="CU246" s="500"/>
      <c r="CV246" s="500"/>
      <c r="CW246" s="502"/>
    </row>
    <row r="247" spans="88:101">
      <c r="CJ247" s="806" t="s">
        <v>753</v>
      </c>
      <c r="CK247" s="807"/>
      <c r="CL247" s="825">
        <f>ES!I43</f>
        <v>1</v>
      </c>
      <c r="CM247" s="451">
        <f>ES!O43</f>
        <v>3216257.241372929</v>
      </c>
      <c r="CN247" s="258"/>
      <c r="CO247" s="804" t="s">
        <v>753</v>
      </c>
      <c r="CP247" s="808"/>
      <c r="CQ247" s="825"/>
      <c r="CR247" s="451"/>
      <c r="CT247" s="806" t="s">
        <v>753</v>
      </c>
      <c r="CU247" s="807"/>
      <c r="CV247" s="825">
        <f t="shared" ref="CV247:CV250" si="39">CQ247-CL247</f>
        <v>-1</v>
      </c>
      <c r="CW247" s="451">
        <f t="shared" ref="CW247:CW250" si="40">CR247-CM247</f>
        <v>-3216257.241372929</v>
      </c>
    </row>
    <row r="248" spans="88:101">
      <c r="CJ248" s="806" t="s">
        <v>754</v>
      </c>
      <c r="CK248" s="807"/>
      <c r="CL248" s="825">
        <f>ES!I44</f>
        <v>0</v>
      </c>
      <c r="CM248" s="451">
        <f>ES!O44</f>
        <v>2500000</v>
      </c>
      <c r="CN248" s="258"/>
      <c r="CO248" s="804" t="s">
        <v>754</v>
      </c>
      <c r="CP248" s="808"/>
      <c r="CQ248" s="825"/>
      <c r="CR248" s="451"/>
      <c r="CT248" s="806" t="s">
        <v>754</v>
      </c>
      <c r="CU248" s="807"/>
      <c r="CV248" s="825">
        <f t="shared" si="39"/>
        <v>0</v>
      </c>
      <c r="CW248" s="451">
        <f t="shared" si="40"/>
        <v>-2500000</v>
      </c>
    </row>
    <row r="249" spans="88:101">
      <c r="CJ249" s="814" t="s">
        <v>698</v>
      </c>
      <c r="CK249" s="815"/>
      <c r="CL249" s="825">
        <f>ES!I45</f>
        <v>0</v>
      </c>
      <c r="CM249" s="827">
        <f>ES!O45</f>
        <v>0</v>
      </c>
      <c r="CN249" s="258"/>
      <c r="CO249" s="817" t="s">
        <v>698</v>
      </c>
      <c r="CP249" s="818"/>
      <c r="CQ249" s="825"/>
      <c r="CR249" s="827"/>
      <c r="CT249" s="814" t="s">
        <v>698</v>
      </c>
      <c r="CU249" s="815"/>
      <c r="CV249" s="825">
        <f t="shared" si="39"/>
        <v>0</v>
      </c>
      <c r="CW249" s="827">
        <f t="shared" si="40"/>
        <v>0</v>
      </c>
    </row>
    <row r="250" spans="88:101">
      <c r="CJ250" s="820" t="s">
        <v>152</v>
      </c>
      <c r="CK250" s="821"/>
      <c r="CL250" s="829">
        <f>ES!I46</f>
        <v>1</v>
      </c>
      <c r="CM250" s="822">
        <f>ES!O46</f>
        <v>5716257.241372929</v>
      </c>
      <c r="CN250" s="258"/>
      <c r="CO250" s="823" t="s">
        <v>152</v>
      </c>
      <c r="CP250" s="824"/>
      <c r="CQ250" s="829"/>
      <c r="CR250" s="822"/>
      <c r="CT250" s="820" t="s">
        <v>152</v>
      </c>
      <c r="CU250" s="821"/>
      <c r="CV250" s="829">
        <f t="shared" si="39"/>
        <v>-1</v>
      </c>
      <c r="CW250" s="822">
        <f t="shared" si="40"/>
        <v>-5716257.241372929</v>
      </c>
    </row>
  </sheetData>
  <pageMargins left="0.7" right="0.7" top="0.75" bottom="0.75" header="0.3" footer="0.3"/>
  <ignoredErrors>
    <ignoredError sqref="L8:L107 BW205:BX226 CM229:CM250 CL247:CL250 BR186:BR187 AZ117:AZ147 BI158:BI159" evalError="1"/>
  </ignoredError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E3AC9-4B63-46D8-80E8-1607BB958D52}">
  <sheetPr codeName="Sheet37">
    <tabColor theme="1"/>
  </sheetPr>
  <dimension ref="B1:F8"/>
  <sheetViews>
    <sheetView workbookViewId="0"/>
  </sheetViews>
  <sheetFormatPr baseColWidth="10" defaultColWidth="8.7109375" defaultRowHeight="15"/>
  <sheetData>
    <row r="1" spans="2:6">
      <c r="C1" t="s">
        <v>1484</v>
      </c>
      <c r="D1" t="s">
        <v>1485</v>
      </c>
      <c r="E1" t="s">
        <v>1486</v>
      </c>
      <c r="F1" t="s">
        <v>1487</v>
      </c>
    </row>
    <row r="2" spans="2:6">
      <c r="C2">
        <v>0</v>
      </c>
    </row>
    <row r="3" spans="2:6">
      <c r="B3" t="s">
        <v>1483</v>
      </c>
      <c r="C3">
        <v>1500</v>
      </c>
      <c r="D3">
        <v>5000</v>
      </c>
      <c r="E3">
        <f>COUNTIFS(AA!$AP$13:$AP$15,"&lt;="&amp;C3,AA!$AP$13:$AP$15,"&gt;"&amp;C2)</f>
        <v>3</v>
      </c>
      <c r="F3">
        <f>D3*E3</f>
        <v>15000</v>
      </c>
    </row>
    <row r="4" spans="2:6">
      <c r="B4" t="s">
        <v>1483</v>
      </c>
      <c r="C4">
        <v>3000</v>
      </c>
      <c r="D4">
        <v>6500</v>
      </c>
      <c r="E4">
        <f>COUNTIFS(AA!$AP$13:$AP$15,"&lt;="&amp;C4,AA!$AP$13:$AP$15,"&gt;"&amp;C3)</f>
        <v>0</v>
      </c>
      <c r="F4">
        <f t="shared" ref="F4:F8" si="0">D4*E4</f>
        <v>0</v>
      </c>
    </row>
    <row r="5" spans="2:6">
      <c r="B5" t="s">
        <v>1483</v>
      </c>
      <c r="C5">
        <v>5000</v>
      </c>
      <c r="D5">
        <v>7500</v>
      </c>
      <c r="E5">
        <f>COUNTIFS(AA!$AP$13:$AP$15,"&lt;="&amp;C5,AA!$AP$13:$AP$15,"&gt;"&amp;C4)</f>
        <v>0</v>
      </c>
      <c r="F5">
        <f t="shared" si="0"/>
        <v>0</v>
      </c>
    </row>
    <row r="6" spans="2:6">
      <c r="B6" t="s">
        <v>1483</v>
      </c>
      <c r="C6">
        <v>10000</v>
      </c>
      <c r="D6">
        <v>9500</v>
      </c>
      <c r="E6">
        <f>COUNTIFS(AA!$AP$13:$AP$15,"&lt;="&amp;C6,AA!$AP$13:$AP$15,"&gt;"&amp;C5)</f>
        <v>0</v>
      </c>
      <c r="F6">
        <f t="shared" si="0"/>
        <v>0</v>
      </c>
    </row>
    <row r="7" spans="2:6">
      <c r="B7" t="s">
        <v>1483</v>
      </c>
      <c r="C7">
        <v>15000</v>
      </c>
      <c r="D7">
        <v>12000</v>
      </c>
      <c r="E7">
        <f>COUNTIFS(AA!$AP$13:$AP$15,"&lt;="&amp;C7,AA!$AP$13:$AP$15,"&gt;"&amp;C6)</f>
        <v>0</v>
      </c>
      <c r="F7">
        <f t="shared" si="0"/>
        <v>0</v>
      </c>
    </row>
    <row r="8" spans="2:6">
      <c r="B8" t="s">
        <v>1483</v>
      </c>
      <c r="C8">
        <v>20000</v>
      </c>
      <c r="D8">
        <v>14000</v>
      </c>
      <c r="E8">
        <f>COUNTIFS(AA!$AP$13:$AP$15,"&gt;"&amp;C7)</f>
        <v>0</v>
      </c>
      <c r="F8">
        <f t="shared" si="0"/>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B399C-3751-4AD6-8591-53F3932F88DD}">
  <sheetPr codeName="Sheet28">
    <tabColor theme="1"/>
  </sheetPr>
  <dimension ref="A5:D1752"/>
  <sheetViews>
    <sheetView workbookViewId="0"/>
  </sheetViews>
  <sheetFormatPr baseColWidth="10" defaultColWidth="8.7109375" defaultRowHeight="15"/>
  <cols>
    <col min="1" max="1" width="10.5703125" bestFit="1" customWidth="1"/>
    <col min="4" max="4" width="10.28515625" bestFit="1" customWidth="1"/>
  </cols>
  <sheetData>
    <row r="5" spans="1:4">
      <c r="A5" s="18">
        <v>33269</v>
      </c>
      <c r="B5" s="1174">
        <v>64</v>
      </c>
      <c r="D5" s="18"/>
    </row>
    <row r="6" spans="1:4">
      <c r="A6" s="18">
        <v>33297</v>
      </c>
      <c r="B6" s="1174">
        <v>64.3</v>
      </c>
      <c r="D6" s="18"/>
    </row>
    <row r="7" spans="1:4">
      <c r="A7" s="18">
        <v>33328</v>
      </c>
      <c r="B7" s="1174">
        <v>64.3</v>
      </c>
      <c r="D7" s="18"/>
    </row>
    <row r="8" spans="1:4">
      <c r="A8" s="18">
        <v>33358</v>
      </c>
      <c r="B8" s="1174">
        <v>64.5</v>
      </c>
      <c r="D8" s="18"/>
    </row>
    <row r="9" spans="1:4">
      <c r="A9" s="18">
        <v>33389</v>
      </c>
      <c r="B9" s="1174">
        <v>64.7</v>
      </c>
      <c r="D9" s="18"/>
    </row>
    <row r="10" spans="1:4">
      <c r="A10" s="18">
        <v>33419</v>
      </c>
      <c r="B10" s="1174">
        <v>65.099999999999994</v>
      </c>
      <c r="D10" s="18"/>
    </row>
    <row r="11" spans="1:4">
      <c r="A11" s="18">
        <v>33450</v>
      </c>
      <c r="B11" s="1174">
        <v>65.8</v>
      </c>
      <c r="D11" s="18"/>
    </row>
    <row r="12" spans="1:4">
      <c r="A12" s="18">
        <v>33481</v>
      </c>
      <c r="B12" s="1174">
        <v>65.8</v>
      </c>
      <c r="D12" s="18"/>
    </row>
    <row r="13" spans="1:4">
      <c r="A13" s="18">
        <v>33511</v>
      </c>
      <c r="B13" s="1174">
        <v>65.8</v>
      </c>
      <c r="D13" s="18"/>
    </row>
    <row r="14" spans="1:4">
      <c r="A14" s="18">
        <v>33542</v>
      </c>
      <c r="B14" s="1174">
        <v>66.900000000000006</v>
      </c>
      <c r="D14" s="18"/>
    </row>
    <row r="15" spans="1:4">
      <c r="A15" s="18">
        <v>33572</v>
      </c>
      <c r="B15" s="1174">
        <v>67.099999999999994</v>
      </c>
      <c r="D15" s="18"/>
    </row>
    <row r="16" spans="1:4">
      <c r="A16" s="18">
        <v>33603</v>
      </c>
      <c r="B16" s="1174">
        <v>67.2</v>
      </c>
      <c r="D16" s="18"/>
    </row>
    <row r="17" spans="1:4">
      <c r="A17" s="18">
        <v>33634</v>
      </c>
      <c r="B17" s="1174">
        <v>67.599999999999994</v>
      </c>
      <c r="D17" s="18"/>
    </row>
    <row r="18" spans="1:4">
      <c r="A18" s="18">
        <v>33663</v>
      </c>
      <c r="B18" s="1174">
        <v>68</v>
      </c>
      <c r="D18" s="18"/>
    </row>
    <row r="19" spans="1:4">
      <c r="A19" s="18">
        <v>33694</v>
      </c>
      <c r="B19" s="1174">
        <v>68.3</v>
      </c>
      <c r="D19" s="18"/>
    </row>
    <row r="20" spans="1:4">
      <c r="A20" s="18">
        <v>33724</v>
      </c>
      <c r="B20" s="1174">
        <v>68.5</v>
      </c>
      <c r="D20" s="18"/>
    </row>
    <row r="21" spans="1:4">
      <c r="A21" s="18">
        <v>33755</v>
      </c>
      <c r="B21" s="1174">
        <v>68.7</v>
      </c>
      <c r="D21" s="18"/>
    </row>
    <row r="22" spans="1:4">
      <c r="A22" s="18">
        <v>33785</v>
      </c>
      <c r="B22" s="1174">
        <v>68.900000000000006</v>
      </c>
      <c r="D22" s="18"/>
    </row>
    <row r="23" spans="1:4">
      <c r="A23" s="18">
        <v>33816</v>
      </c>
      <c r="B23" s="1174">
        <v>69.099999999999994</v>
      </c>
      <c r="D23" s="18"/>
    </row>
    <row r="24" spans="1:4">
      <c r="A24" s="18">
        <v>33847</v>
      </c>
      <c r="B24" s="1174">
        <v>69.099999999999994</v>
      </c>
      <c r="D24" s="18"/>
    </row>
    <row r="25" spans="1:4">
      <c r="A25" s="18">
        <v>33877</v>
      </c>
      <c r="B25" s="1174">
        <v>69.099999999999994</v>
      </c>
      <c r="D25" s="18"/>
    </row>
    <row r="26" spans="1:4">
      <c r="A26" s="18">
        <v>33908</v>
      </c>
      <c r="B26" s="1174">
        <v>69.099999999999994</v>
      </c>
      <c r="D26" s="18"/>
    </row>
    <row r="27" spans="1:4">
      <c r="A27" s="18">
        <v>33938</v>
      </c>
      <c r="B27" s="1174">
        <v>69.400000000000006</v>
      </c>
      <c r="D27" s="18"/>
    </row>
    <row r="28" spans="1:4">
      <c r="A28" s="18">
        <v>33969</v>
      </c>
      <c r="B28" s="1174">
        <v>69.5</v>
      </c>
      <c r="D28" s="18"/>
    </row>
    <row r="29" spans="1:4">
      <c r="A29" s="18">
        <v>34000</v>
      </c>
      <c r="B29" s="1174">
        <v>70.7</v>
      </c>
      <c r="D29" s="18"/>
    </row>
    <row r="30" spans="1:4">
      <c r="A30" s="18">
        <v>34028</v>
      </c>
      <c r="B30" s="1174">
        <v>71.2</v>
      </c>
      <c r="D30" s="18"/>
    </row>
    <row r="31" spans="1:4">
      <c r="A31" s="18">
        <v>34059</v>
      </c>
      <c r="B31" s="1174">
        <v>71.400000000000006</v>
      </c>
      <c r="D31" s="18"/>
    </row>
    <row r="32" spans="1:4">
      <c r="A32" s="18">
        <v>34089</v>
      </c>
      <c r="B32" s="1174">
        <v>71.599999999999994</v>
      </c>
      <c r="D32" s="18"/>
    </row>
    <row r="33" spans="1:4">
      <c r="A33" s="18">
        <v>34120</v>
      </c>
      <c r="B33" s="1174">
        <v>71.7</v>
      </c>
      <c r="D33" s="18"/>
    </row>
    <row r="34" spans="1:4">
      <c r="A34" s="18">
        <v>34150</v>
      </c>
      <c r="B34" s="1174">
        <v>71.900000000000006</v>
      </c>
      <c r="D34" s="18"/>
    </row>
    <row r="35" spans="1:4">
      <c r="A35" s="18">
        <v>34181</v>
      </c>
      <c r="B35" s="1174">
        <v>72.3</v>
      </c>
      <c r="D35" s="18"/>
    </row>
    <row r="36" spans="1:4">
      <c r="A36" s="18">
        <v>34212</v>
      </c>
      <c r="B36" s="1174">
        <v>72.3</v>
      </c>
      <c r="D36" s="18"/>
    </row>
    <row r="37" spans="1:4">
      <c r="A37" s="18">
        <v>34242</v>
      </c>
      <c r="B37" s="1174">
        <v>72.2</v>
      </c>
      <c r="D37" s="18"/>
    </row>
    <row r="38" spans="1:4">
      <c r="A38" s="18">
        <v>34273</v>
      </c>
      <c r="B38" s="1174">
        <v>72.2</v>
      </c>
      <c r="D38" s="18"/>
    </row>
    <row r="39" spans="1:4">
      <c r="A39" s="18">
        <v>34303</v>
      </c>
      <c r="B39" s="1174">
        <v>72.3</v>
      </c>
      <c r="D39" s="18"/>
    </row>
    <row r="40" spans="1:4">
      <c r="A40" s="18">
        <v>34334</v>
      </c>
      <c r="B40" s="1174">
        <v>72.5</v>
      </c>
      <c r="D40" s="18"/>
    </row>
    <row r="41" spans="1:4">
      <c r="A41" s="18">
        <v>34365</v>
      </c>
      <c r="B41" s="1174">
        <v>72.8</v>
      </c>
      <c r="D41" s="18"/>
    </row>
    <row r="42" spans="1:4">
      <c r="A42" s="18">
        <v>34393</v>
      </c>
      <c r="B42" s="1174">
        <v>73.400000000000006</v>
      </c>
      <c r="D42" s="18"/>
    </row>
    <row r="43" spans="1:4">
      <c r="A43" s="18">
        <v>34424</v>
      </c>
      <c r="B43" s="1174">
        <v>73.5</v>
      </c>
      <c r="D43" s="18"/>
    </row>
    <row r="44" spans="1:4">
      <c r="A44" s="18">
        <v>34454</v>
      </c>
      <c r="B44" s="1174">
        <v>73.599999999999994</v>
      </c>
      <c r="D44" s="18"/>
    </row>
    <row r="45" spans="1:4">
      <c r="A45" s="18">
        <v>34485</v>
      </c>
      <c r="B45" s="1174">
        <v>73.8</v>
      </c>
      <c r="D45" s="18"/>
    </row>
    <row r="46" spans="1:4">
      <c r="A46" s="18">
        <v>34515</v>
      </c>
      <c r="B46" s="1174">
        <v>73.900000000000006</v>
      </c>
      <c r="D46" s="18"/>
    </row>
    <row r="47" spans="1:4">
      <c r="A47" s="18">
        <v>34546</v>
      </c>
      <c r="B47" s="1174">
        <v>74</v>
      </c>
      <c r="D47" s="18"/>
    </row>
    <row r="48" spans="1:4">
      <c r="A48" s="18">
        <v>34577</v>
      </c>
      <c r="B48" s="1174">
        <v>74.2</v>
      </c>
      <c r="D48" s="18"/>
    </row>
    <row r="49" spans="1:4">
      <c r="A49" s="18">
        <v>34607</v>
      </c>
      <c r="B49" s="1174">
        <v>74</v>
      </c>
      <c r="D49" s="18"/>
    </row>
    <row r="50" spans="1:4">
      <c r="A50" s="18">
        <v>34638</v>
      </c>
      <c r="B50" s="1174">
        <v>73.900000000000006</v>
      </c>
      <c r="D50" s="18"/>
    </row>
    <row r="51" spans="1:4">
      <c r="A51" s="18">
        <v>34668</v>
      </c>
      <c r="B51" s="1174">
        <v>74</v>
      </c>
      <c r="D51" s="18"/>
    </row>
    <row r="52" spans="1:4">
      <c r="A52" s="18">
        <v>34699</v>
      </c>
      <c r="B52" s="1174">
        <v>74.2</v>
      </c>
      <c r="D52" s="18"/>
    </row>
    <row r="53" spans="1:4">
      <c r="A53" s="18">
        <v>34730</v>
      </c>
      <c r="B53" s="1174">
        <v>74.5</v>
      </c>
      <c r="D53" s="18"/>
    </row>
    <row r="54" spans="1:4">
      <c r="A54" s="18">
        <v>34758</v>
      </c>
      <c r="B54" s="1174">
        <v>74.900000000000006</v>
      </c>
      <c r="D54" s="18"/>
    </row>
    <row r="55" spans="1:4">
      <c r="A55" s="18">
        <v>34789</v>
      </c>
      <c r="B55" s="1174">
        <v>74.900000000000006</v>
      </c>
      <c r="D55" s="18"/>
    </row>
    <row r="56" spans="1:4">
      <c r="A56" s="18">
        <v>34819</v>
      </c>
      <c r="B56" s="1174">
        <v>75</v>
      </c>
      <c r="D56" s="18"/>
    </row>
    <row r="57" spans="1:4">
      <c r="A57" s="18">
        <v>34850</v>
      </c>
      <c r="B57" s="1174">
        <v>75</v>
      </c>
      <c r="D57" s="18"/>
    </row>
    <row r="58" spans="1:4">
      <c r="A58" s="18">
        <v>34880</v>
      </c>
      <c r="B58" s="1174">
        <v>75.099999999999994</v>
      </c>
      <c r="D58" s="18"/>
    </row>
    <row r="59" spans="1:4">
      <c r="A59" s="18">
        <v>34911</v>
      </c>
      <c r="B59" s="1174">
        <v>75.3</v>
      </c>
      <c r="D59" s="18"/>
    </row>
    <row r="60" spans="1:4">
      <c r="A60" s="18">
        <v>34942</v>
      </c>
      <c r="B60" s="1174">
        <v>75.3</v>
      </c>
      <c r="D60" s="18"/>
    </row>
    <row r="61" spans="1:4">
      <c r="A61" s="18">
        <v>34972</v>
      </c>
      <c r="B61" s="1174">
        <v>75.3</v>
      </c>
      <c r="D61" s="18"/>
    </row>
    <row r="62" spans="1:4">
      <c r="A62" s="18">
        <v>35003</v>
      </c>
      <c r="B62" s="1174">
        <v>75.099999999999994</v>
      </c>
      <c r="D62" s="18"/>
    </row>
    <row r="63" spans="1:4">
      <c r="A63" s="18">
        <v>35033</v>
      </c>
      <c r="B63" s="1174">
        <v>75.099999999999994</v>
      </c>
      <c r="D63" s="18"/>
    </row>
    <row r="64" spans="1:4">
      <c r="A64" s="18">
        <v>35064</v>
      </c>
      <c r="B64" s="1174">
        <v>75.3</v>
      </c>
      <c r="D64" s="18"/>
    </row>
    <row r="65" spans="1:4">
      <c r="A65" s="18">
        <v>35095</v>
      </c>
      <c r="B65" s="1174">
        <v>75.5</v>
      </c>
      <c r="D65" s="18"/>
    </row>
    <row r="66" spans="1:4">
      <c r="A66" s="18">
        <v>35124</v>
      </c>
      <c r="B66" s="1174">
        <v>76</v>
      </c>
      <c r="D66" s="18"/>
    </row>
    <row r="67" spans="1:4">
      <c r="A67" s="18">
        <v>35155</v>
      </c>
      <c r="B67" s="1174">
        <v>76</v>
      </c>
      <c r="D67" s="18"/>
    </row>
    <row r="68" spans="1:4">
      <c r="A68" s="18">
        <v>35185</v>
      </c>
      <c r="B68" s="1174">
        <v>76</v>
      </c>
      <c r="D68" s="18"/>
    </row>
    <row r="69" spans="1:4">
      <c r="A69" s="18">
        <v>35216</v>
      </c>
      <c r="B69" s="1174">
        <v>76.099999999999994</v>
      </c>
      <c r="D69" s="18"/>
    </row>
    <row r="70" spans="1:4">
      <c r="A70" s="18">
        <v>35246</v>
      </c>
      <c r="B70" s="1174">
        <v>76.2</v>
      </c>
      <c r="D70" s="18"/>
    </row>
    <row r="71" spans="1:4">
      <c r="A71" s="18">
        <v>35277</v>
      </c>
      <c r="B71" s="1174">
        <v>76.3</v>
      </c>
      <c r="D71" s="18"/>
    </row>
    <row r="72" spans="1:4">
      <c r="A72" s="18">
        <v>35308</v>
      </c>
      <c r="B72" s="1174">
        <v>76.3</v>
      </c>
      <c r="D72" s="18"/>
    </row>
    <row r="73" spans="1:4">
      <c r="A73" s="18">
        <v>35338</v>
      </c>
      <c r="B73" s="1174">
        <v>76.3</v>
      </c>
      <c r="D73" s="18"/>
    </row>
    <row r="74" spans="1:4">
      <c r="A74" s="18">
        <v>35369</v>
      </c>
      <c r="B74" s="1174">
        <v>76.3</v>
      </c>
      <c r="D74" s="18"/>
    </row>
    <row r="75" spans="1:4">
      <c r="A75" s="18">
        <v>35399</v>
      </c>
      <c r="B75" s="1174">
        <v>76.2</v>
      </c>
      <c r="D75" s="18"/>
    </row>
    <row r="76" spans="1:4">
      <c r="A76" s="18">
        <v>35430</v>
      </c>
      <c r="B76" s="1174">
        <v>76.5</v>
      </c>
      <c r="D76" s="18"/>
    </row>
    <row r="77" spans="1:4">
      <c r="A77" s="18">
        <v>35461</v>
      </c>
      <c r="B77" s="1174">
        <v>77.099999999999994</v>
      </c>
      <c r="D77" s="18"/>
    </row>
    <row r="78" spans="1:4">
      <c r="A78" s="18">
        <v>35489</v>
      </c>
      <c r="B78" s="1174">
        <v>77.2</v>
      </c>
      <c r="D78" s="18"/>
    </row>
    <row r="79" spans="1:4">
      <c r="A79" s="18">
        <v>35520</v>
      </c>
      <c r="B79" s="1174">
        <v>77.2</v>
      </c>
      <c r="D79" s="18"/>
    </row>
    <row r="80" spans="1:4">
      <c r="A80" s="18">
        <v>35550</v>
      </c>
      <c r="B80" s="1174">
        <v>77.099999999999994</v>
      </c>
      <c r="D80" s="18"/>
    </row>
    <row r="81" spans="1:4">
      <c r="A81" s="18">
        <v>35581</v>
      </c>
      <c r="B81" s="1174">
        <v>77.3</v>
      </c>
      <c r="D81" s="18"/>
    </row>
    <row r="82" spans="1:4">
      <c r="A82" s="18">
        <v>35611</v>
      </c>
      <c r="B82" s="1174">
        <v>77.400000000000006</v>
      </c>
      <c r="D82" s="18"/>
    </row>
    <row r="83" spans="1:4">
      <c r="A83" s="18">
        <v>35642</v>
      </c>
      <c r="B83" s="1174">
        <v>78.099999999999994</v>
      </c>
      <c r="D83" s="18"/>
    </row>
    <row r="84" spans="1:4">
      <c r="A84" s="18">
        <v>35673</v>
      </c>
      <c r="B84" s="1174">
        <v>78.099999999999994</v>
      </c>
      <c r="D84" s="18"/>
    </row>
    <row r="85" spans="1:4">
      <c r="A85" s="18">
        <v>35703</v>
      </c>
      <c r="B85" s="1174">
        <v>78</v>
      </c>
      <c r="D85" s="18"/>
    </row>
    <row r="86" spans="1:4">
      <c r="A86" s="18">
        <v>35734</v>
      </c>
      <c r="B86" s="1174">
        <v>77.900000000000006</v>
      </c>
      <c r="D86" s="18"/>
    </row>
    <row r="87" spans="1:4">
      <c r="A87" s="18">
        <v>35764</v>
      </c>
      <c r="B87" s="1174">
        <v>77.900000000000006</v>
      </c>
      <c r="D87" s="18"/>
    </row>
    <row r="88" spans="1:4">
      <c r="A88" s="18">
        <v>35795</v>
      </c>
      <c r="B88" s="1174">
        <v>78.099999999999994</v>
      </c>
      <c r="D88" s="18"/>
    </row>
    <row r="89" spans="1:4">
      <c r="A89" s="18">
        <v>35826</v>
      </c>
      <c r="B89" s="1174">
        <v>78.099999999999994</v>
      </c>
      <c r="D89" s="18"/>
    </row>
    <row r="90" spans="1:4">
      <c r="A90" s="18">
        <v>35854</v>
      </c>
      <c r="B90" s="1174">
        <v>78.2</v>
      </c>
      <c r="D90" s="18"/>
    </row>
    <row r="91" spans="1:4">
      <c r="A91" s="18">
        <v>35885</v>
      </c>
      <c r="B91" s="1174">
        <v>78.099999999999994</v>
      </c>
      <c r="D91" s="18"/>
    </row>
    <row r="92" spans="1:4">
      <c r="A92" s="18">
        <v>35915</v>
      </c>
      <c r="B92" s="1174">
        <v>78.2</v>
      </c>
      <c r="D92" s="18"/>
    </row>
    <row r="93" spans="1:4">
      <c r="A93" s="18">
        <v>35946</v>
      </c>
      <c r="B93" s="1174">
        <v>78.3</v>
      </c>
      <c r="D93" s="18"/>
    </row>
    <row r="94" spans="1:4">
      <c r="A94" s="18">
        <v>35976</v>
      </c>
      <c r="B94" s="1174">
        <v>78.400000000000006</v>
      </c>
      <c r="D94" s="18"/>
    </row>
    <row r="95" spans="1:4">
      <c r="A95" s="18">
        <v>36007</v>
      </c>
      <c r="B95" s="1174">
        <v>78.7</v>
      </c>
      <c r="D95" s="18"/>
    </row>
    <row r="96" spans="1:4">
      <c r="A96" s="18">
        <v>36038</v>
      </c>
      <c r="B96" s="1174">
        <v>78.5</v>
      </c>
      <c r="D96" s="18"/>
    </row>
    <row r="97" spans="1:4">
      <c r="A97" s="18">
        <v>36068</v>
      </c>
      <c r="B97" s="1174">
        <v>78.3</v>
      </c>
      <c r="D97" s="18"/>
    </row>
    <row r="98" spans="1:4">
      <c r="A98" s="18">
        <v>36099</v>
      </c>
      <c r="B98" s="1174">
        <v>78.2</v>
      </c>
      <c r="D98" s="18"/>
    </row>
    <row r="99" spans="1:4">
      <c r="A99" s="18">
        <v>36129</v>
      </c>
      <c r="B99" s="1174">
        <v>78.2</v>
      </c>
      <c r="D99" s="18"/>
    </row>
    <row r="100" spans="1:4">
      <c r="A100" s="18">
        <v>36160</v>
      </c>
      <c r="B100" s="1174">
        <v>78.3</v>
      </c>
      <c r="D100" s="18"/>
    </row>
    <row r="101" spans="1:4">
      <c r="A101" s="18">
        <v>36191</v>
      </c>
      <c r="B101" s="1174">
        <v>78.2</v>
      </c>
      <c r="D101" s="18"/>
    </row>
    <row r="102" spans="1:4">
      <c r="A102" s="18">
        <v>36219</v>
      </c>
      <c r="B102" s="1174">
        <v>78.3</v>
      </c>
      <c r="D102" s="18"/>
    </row>
    <row r="103" spans="1:4">
      <c r="A103" s="18">
        <v>36250</v>
      </c>
      <c r="B103" s="1174">
        <v>78.3</v>
      </c>
      <c r="D103" s="18"/>
    </row>
    <row r="104" spans="1:4">
      <c r="A104" s="18">
        <v>36280</v>
      </c>
      <c r="B104" s="1174">
        <v>78.7</v>
      </c>
      <c r="D104" s="18"/>
    </row>
    <row r="105" spans="1:4">
      <c r="A105" s="18">
        <v>36311</v>
      </c>
      <c r="B105" s="1174">
        <v>78.7</v>
      </c>
      <c r="D105" s="18"/>
    </row>
    <row r="106" spans="1:4">
      <c r="A106" s="18">
        <v>36341</v>
      </c>
      <c r="B106" s="1174">
        <v>78.8</v>
      </c>
      <c r="D106" s="18"/>
    </row>
    <row r="107" spans="1:4">
      <c r="A107" s="18">
        <v>36372</v>
      </c>
      <c r="B107" s="1174">
        <v>79.2</v>
      </c>
      <c r="D107" s="18"/>
    </row>
    <row r="108" spans="1:4">
      <c r="A108" s="18">
        <v>36403</v>
      </c>
      <c r="B108" s="1174">
        <v>79.099999999999994</v>
      </c>
      <c r="D108" s="18"/>
    </row>
    <row r="109" spans="1:4">
      <c r="A109" s="18">
        <v>36433</v>
      </c>
      <c r="B109" s="1174">
        <v>78.900000000000006</v>
      </c>
      <c r="D109" s="18"/>
    </row>
    <row r="110" spans="1:4">
      <c r="A110" s="18">
        <v>36464</v>
      </c>
      <c r="B110" s="1174">
        <v>78.8</v>
      </c>
      <c r="D110" s="18"/>
    </row>
    <row r="111" spans="1:4">
      <c r="A111" s="18">
        <v>36494</v>
      </c>
      <c r="B111" s="1174">
        <v>79</v>
      </c>
      <c r="D111" s="18"/>
    </row>
    <row r="112" spans="1:4">
      <c r="A112" s="18">
        <v>36525</v>
      </c>
      <c r="B112" s="1174">
        <v>79.3</v>
      </c>
      <c r="D112" s="18"/>
    </row>
    <row r="113" spans="1:4">
      <c r="A113" s="18">
        <v>36556</v>
      </c>
      <c r="B113" s="1174">
        <v>79.5</v>
      </c>
      <c r="D113" s="18"/>
    </row>
    <row r="114" spans="1:4">
      <c r="A114" s="18">
        <v>36585</v>
      </c>
      <c r="B114" s="1174">
        <v>79.5</v>
      </c>
      <c r="D114" s="18"/>
    </row>
    <row r="115" spans="1:4">
      <c r="A115" s="18">
        <v>36616</v>
      </c>
      <c r="B115" s="1174">
        <v>79.5</v>
      </c>
      <c r="D115" s="18"/>
    </row>
    <row r="116" spans="1:4">
      <c r="A116" s="18">
        <v>36646</v>
      </c>
      <c r="B116" s="1174">
        <v>79.5</v>
      </c>
      <c r="D116" s="18"/>
    </row>
    <row r="117" spans="1:4">
      <c r="A117" s="18">
        <v>36677</v>
      </c>
      <c r="B117" s="1174">
        <v>79.5</v>
      </c>
      <c r="D117" s="18"/>
    </row>
    <row r="118" spans="1:4">
      <c r="A118" s="18">
        <v>36707</v>
      </c>
      <c r="B118" s="1174">
        <v>79.8</v>
      </c>
      <c r="D118" s="18"/>
    </row>
    <row r="119" spans="1:4">
      <c r="A119" s="18">
        <v>36738</v>
      </c>
      <c r="B119" s="1174">
        <v>80.2</v>
      </c>
      <c r="D119" s="18"/>
    </row>
    <row r="120" spans="1:4">
      <c r="A120" s="18">
        <v>36769</v>
      </c>
      <c r="B120" s="1174">
        <v>80</v>
      </c>
      <c r="D120" s="18"/>
    </row>
    <row r="121" spans="1:4">
      <c r="A121" s="18">
        <v>36799</v>
      </c>
      <c r="B121" s="1174">
        <v>80.2</v>
      </c>
      <c r="D121" s="18"/>
    </row>
    <row r="122" spans="1:4">
      <c r="A122" s="18">
        <v>36830</v>
      </c>
      <c r="B122" s="1174">
        <v>80.099999999999994</v>
      </c>
      <c r="D122" s="18"/>
    </row>
    <row r="123" spans="1:4">
      <c r="A123" s="18">
        <v>36860</v>
      </c>
      <c r="B123" s="1174">
        <v>80.2</v>
      </c>
      <c r="D123" s="18"/>
    </row>
    <row r="124" spans="1:4">
      <c r="A124" s="18">
        <v>36891</v>
      </c>
      <c r="B124" s="1174">
        <v>80.8</v>
      </c>
      <c r="D124" s="18"/>
    </row>
    <row r="125" spans="1:4">
      <c r="A125" s="18">
        <v>36922</v>
      </c>
      <c r="B125" s="1174">
        <v>80.599999999999994</v>
      </c>
      <c r="D125" s="18"/>
    </row>
    <row r="126" spans="1:4">
      <c r="A126" s="18">
        <v>36950</v>
      </c>
      <c r="B126" s="1174">
        <v>81</v>
      </c>
      <c r="D126" s="18"/>
    </row>
    <row r="127" spans="1:4">
      <c r="A127" s="18">
        <v>36981</v>
      </c>
      <c r="B127" s="1174">
        <v>81</v>
      </c>
      <c r="D127" s="18"/>
    </row>
    <row r="128" spans="1:4">
      <c r="A128" s="18">
        <v>37011</v>
      </c>
      <c r="B128" s="1174">
        <v>81.400000000000006</v>
      </c>
      <c r="D128" s="18"/>
    </row>
    <row r="129" spans="1:4">
      <c r="A129" s="18">
        <v>37042</v>
      </c>
      <c r="B129" s="1174">
        <v>81.7</v>
      </c>
      <c r="D129" s="18"/>
    </row>
    <row r="130" spans="1:4">
      <c r="A130" s="18">
        <v>37072</v>
      </c>
      <c r="B130" s="1174">
        <v>81.8</v>
      </c>
      <c r="D130" s="18"/>
    </row>
    <row r="131" spans="1:4">
      <c r="A131" s="18">
        <v>37103</v>
      </c>
      <c r="B131" s="1174">
        <v>81.900000000000006</v>
      </c>
      <c r="D131" s="18"/>
    </row>
    <row r="132" spans="1:4">
      <c r="A132" s="18">
        <v>37134</v>
      </c>
      <c r="B132" s="1174">
        <v>81.7</v>
      </c>
      <c r="D132" s="18"/>
    </row>
    <row r="133" spans="1:4">
      <c r="A133" s="18">
        <v>37164</v>
      </c>
      <c r="B133" s="1174">
        <v>81.7</v>
      </c>
      <c r="D133" s="18"/>
    </row>
    <row r="134" spans="1:4">
      <c r="A134" s="18">
        <v>37195</v>
      </c>
      <c r="B134" s="1174">
        <v>81.599999999999994</v>
      </c>
      <c r="D134" s="18"/>
    </row>
    <row r="135" spans="1:4">
      <c r="A135" s="18">
        <v>37225</v>
      </c>
      <c r="B135" s="1174">
        <v>81.400000000000006</v>
      </c>
      <c r="D135" s="18"/>
    </row>
    <row r="136" spans="1:4">
      <c r="A136" s="18">
        <v>37256</v>
      </c>
      <c r="B136" s="1174">
        <v>82.2</v>
      </c>
      <c r="D136" s="18"/>
    </row>
    <row r="137" spans="1:4">
      <c r="A137" s="18">
        <v>37287</v>
      </c>
      <c r="B137" s="1174">
        <v>82.2</v>
      </c>
      <c r="D137" s="18"/>
    </row>
    <row r="138" spans="1:4">
      <c r="A138" s="18">
        <v>37315</v>
      </c>
      <c r="B138" s="1174">
        <v>82.5</v>
      </c>
      <c r="D138" s="18"/>
    </row>
    <row r="139" spans="1:4">
      <c r="A139" s="18">
        <v>37346</v>
      </c>
      <c r="B139" s="1174">
        <v>82.7</v>
      </c>
      <c r="D139" s="18"/>
    </row>
    <row r="140" spans="1:4">
      <c r="A140" s="18">
        <v>37376</v>
      </c>
      <c r="B140" s="1174">
        <v>82.6</v>
      </c>
      <c r="D140" s="18"/>
    </row>
    <row r="141" spans="1:4">
      <c r="A141" s="18">
        <v>37407</v>
      </c>
      <c r="B141" s="1174">
        <v>82.7</v>
      </c>
      <c r="D141" s="18"/>
    </row>
    <row r="142" spans="1:4">
      <c r="A142" s="18">
        <v>37437</v>
      </c>
      <c r="B142" s="1174">
        <v>82.7</v>
      </c>
      <c r="D142" s="18"/>
    </row>
    <row r="143" spans="1:4">
      <c r="A143" s="18">
        <v>37468</v>
      </c>
      <c r="B143" s="1174">
        <v>82.8</v>
      </c>
      <c r="D143" s="18"/>
    </row>
    <row r="144" spans="1:4">
      <c r="A144" s="18">
        <v>37499</v>
      </c>
      <c r="B144" s="1174">
        <v>82.7</v>
      </c>
      <c r="D144" s="18"/>
    </row>
    <row r="145" spans="1:4">
      <c r="A145" s="18">
        <v>37529</v>
      </c>
      <c r="B145" s="1174">
        <v>82.7</v>
      </c>
      <c r="D145" s="18"/>
    </row>
    <row r="146" spans="1:4">
      <c r="A146" s="18">
        <v>37560</v>
      </c>
      <c r="B146" s="1174">
        <v>82.6</v>
      </c>
      <c r="D146" s="18"/>
    </row>
    <row r="147" spans="1:4">
      <c r="A147" s="18">
        <v>37590</v>
      </c>
      <c r="B147" s="1174">
        <v>82.3</v>
      </c>
      <c r="D147" s="18"/>
    </row>
    <row r="148" spans="1:4">
      <c r="A148" s="18">
        <v>37621</v>
      </c>
      <c r="B148" s="1174">
        <v>83.1</v>
      </c>
      <c r="D148" s="18"/>
    </row>
    <row r="149" spans="1:4">
      <c r="A149" s="18">
        <v>37652</v>
      </c>
      <c r="B149" s="1174">
        <v>83.1</v>
      </c>
      <c r="D149" s="18"/>
    </row>
    <row r="150" spans="1:4">
      <c r="A150" s="18">
        <v>37680</v>
      </c>
      <c r="B150" s="1174">
        <v>83.6</v>
      </c>
      <c r="D150" s="18"/>
    </row>
    <row r="151" spans="1:4">
      <c r="A151" s="18">
        <v>37711</v>
      </c>
      <c r="B151" s="1174">
        <v>83.6</v>
      </c>
      <c r="D151" s="18"/>
    </row>
    <row r="152" spans="1:4">
      <c r="A152" s="18">
        <v>37741</v>
      </c>
      <c r="B152" s="1174">
        <v>83.4</v>
      </c>
      <c r="D152" s="18"/>
    </row>
    <row r="153" spans="1:4">
      <c r="A153" s="18">
        <v>37772</v>
      </c>
      <c r="B153" s="1174">
        <v>83.2</v>
      </c>
      <c r="D153" s="18"/>
    </row>
    <row r="154" spans="1:4">
      <c r="A154" s="18">
        <v>37802</v>
      </c>
      <c r="B154" s="1174">
        <v>83.5</v>
      </c>
      <c r="D154" s="18"/>
    </row>
    <row r="155" spans="1:4">
      <c r="A155" s="18">
        <v>37833</v>
      </c>
      <c r="B155" s="1174">
        <v>83.6</v>
      </c>
      <c r="D155" s="18"/>
    </row>
    <row r="156" spans="1:4">
      <c r="A156" s="18">
        <v>37864</v>
      </c>
      <c r="B156" s="1174">
        <v>83.6</v>
      </c>
      <c r="D156" s="18"/>
    </row>
    <row r="157" spans="1:4">
      <c r="A157" s="18">
        <v>37894</v>
      </c>
      <c r="B157" s="1174">
        <v>83.6</v>
      </c>
      <c r="D157" s="18"/>
    </row>
    <row r="158" spans="1:4">
      <c r="A158" s="18">
        <v>37925</v>
      </c>
      <c r="B158" s="1174">
        <v>83.6</v>
      </c>
      <c r="D158" s="18"/>
    </row>
    <row r="159" spans="1:4">
      <c r="A159" s="18">
        <v>37955</v>
      </c>
      <c r="B159" s="1174">
        <v>83.4</v>
      </c>
      <c r="D159" s="18"/>
    </row>
    <row r="160" spans="1:4">
      <c r="A160" s="18">
        <v>37986</v>
      </c>
      <c r="B160" s="1174">
        <v>84</v>
      </c>
      <c r="D160" s="18"/>
    </row>
    <row r="161" spans="1:4">
      <c r="A161" s="18">
        <v>38017</v>
      </c>
      <c r="B161" s="1174">
        <v>84</v>
      </c>
      <c r="D161" s="18"/>
    </row>
    <row r="162" spans="1:4">
      <c r="A162" s="18">
        <v>38046</v>
      </c>
      <c r="B162" s="1174">
        <v>84.2</v>
      </c>
      <c r="D162" s="18"/>
    </row>
    <row r="163" spans="1:4">
      <c r="A163" s="18">
        <v>38077</v>
      </c>
      <c r="B163" s="1174">
        <v>84.5</v>
      </c>
      <c r="D163" s="18"/>
    </row>
    <row r="164" spans="1:4">
      <c r="A164" s="18">
        <v>38107</v>
      </c>
      <c r="B164" s="1174">
        <v>84.8</v>
      </c>
      <c r="D164" s="18"/>
    </row>
    <row r="165" spans="1:4">
      <c r="A165" s="18">
        <v>38138</v>
      </c>
      <c r="B165" s="1174">
        <v>85</v>
      </c>
      <c r="D165" s="18"/>
    </row>
    <row r="166" spans="1:4">
      <c r="A166" s="18">
        <v>38168</v>
      </c>
      <c r="B166" s="1174">
        <v>85</v>
      </c>
      <c r="D166" s="18"/>
    </row>
    <row r="167" spans="1:4">
      <c r="A167" s="18">
        <v>38199</v>
      </c>
      <c r="B167" s="1174">
        <v>85.1</v>
      </c>
      <c r="D167" s="18"/>
    </row>
    <row r="168" spans="1:4">
      <c r="A168" s="18">
        <v>38230</v>
      </c>
      <c r="B168" s="1174">
        <v>85.2</v>
      </c>
      <c r="D168" s="18"/>
    </row>
    <row r="169" spans="1:4">
      <c r="A169" s="18">
        <v>38260</v>
      </c>
      <c r="B169" s="1174">
        <v>85</v>
      </c>
      <c r="D169" s="18"/>
    </row>
    <row r="170" spans="1:4">
      <c r="A170" s="18">
        <v>38291</v>
      </c>
      <c r="B170" s="1174">
        <v>85.1</v>
      </c>
      <c r="D170" s="18"/>
    </row>
    <row r="171" spans="1:4">
      <c r="A171" s="18">
        <v>38321</v>
      </c>
      <c r="B171" s="1174">
        <v>85</v>
      </c>
      <c r="D171" s="18"/>
    </row>
    <row r="172" spans="1:4">
      <c r="A172" s="18">
        <v>38352</v>
      </c>
      <c r="B172" s="1174">
        <v>85.9</v>
      </c>
      <c r="D172" s="18"/>
    </row>
    <row r="173" spans="1:4">
      <c r="A173" s="18">
        <v>38383</v>
      </c>
      <c r="B173" s="1174">
        <v>85.3</v>
      </c>
      <c r="D173" s="18"/>
    </row>
    <row r="174" spans="1:4">
      <c r="A174" s="18">
        <v>38411</v>
      </c>
      <c r="B174" s="1174">
        <v>85.6</v>
      </c>
      <c r="D174" s="18"/>
    </row>
    <row r="175" spans="1:4">
      <c r="A175" s="18">
        <v>38442</v>
      </c>
      <c r="B175" s="1174">
        <v>86</v>
      </c>
      <c r="D175" s="18"/>
    </row>
    <row r="176" spans="1:4">
      <c r="A176" s="18">
        <v>38472</v>
      </c>
      <c r="B176" s="1174">
        <v>85.8</v>
      </c>
      <c r="D176" s="18"/>
    </row>
    <row r="177" spans="1:4">
      <c r="A177" s="18">
        <v>38503</v>
      </c>
      <c r="B177" s="1174">
        <v>85.9</v>
      </c>
      <c r="D177" s="18"/>
    </row>
    <row r="178" spans="1:4">
      <c r="A178" s="18">
        <v>38533</v>
      </c>
      <c r="B178" s="1174">
        <v>86.1</v>
      </c>
      <c r="D178" s="18"/>
    </row>
    <row r="179" spans="1:4">
      <c r="A179" s="18">
        <v>38564</v>
      </c>
      <c r="B179" s="1174">
        <v>86.4</v>
      </c>
      <c r="D179" s="18"/>
    </row>
    <row r="180" spans="1:4">
      <c r="A180" s="18">
        <v>38595</v>
      </c>
      <c r="B180" s="1174">
        <v>86.5</v>
      </c>
      <c r="D180" s="18"/>
    </row>
    <row r="181" spans="1:4">
      <c r="A181" s="18">
        <v>38625</v>
      </c>
      <c r="B181" s="1174">
        <v>86.6</v>
      </c>
      <c r="D181" s="18"/>
    </row>
    <row r="182" spans="1:4">
      <c r="A182" s="18">
        <v>38656</v>
      </c>
      <c r="B182" s="1174">
        <v>86.7</v>
      </c>
      <c r="D182" s="18"/>
    </row>
    <row r="183" spans="1:4">
      <c r="A183" s="18">
        <v>38686</v>
      </c>
      <c r="B183" s="1174">
        <v>86.4</v>
      </c>
      <c r="D183" s="18"/>
    </row>
    <row r="184" spans="1:4">
      <c r="A184" s="18">
        <v>38717</v>
      </c>
      <c r="B184" s="1174">
        <v>87.1</v>
      </c>
      <c r="D184" s="18"/>
    </row>
    <row r="185" spans="1:4">
      <c r="A185" s="18">
        <v>38748</v>
      </c>
      <c r="B185" s="1174">
        <v>86.8</v>
      </c>
      <c r="D185" s="18"/>
    </row>
    <row r="186" spans="1:4">
      <c r="A186" s="18">
        <v>38776</v>
      </c>
      <c r="B186" s="1174">
        <v>87.2</v>
      </c>
      <c r="D186" s="18"/>
    </row>
    <row r="187" spans="1:4">
      <c r="A187" s="18">
        <v>38807</v>
      </c>
      <c r="B187" s="1174">
        <v>87.2</v>
      </c>
      <c r="D187" s="18"/>
    </row>
    <row r="188" spans="1:4">
      <c r="A188" s="18">
        <v>38837</v>
      </c>
      <c r="B188" s="1174">
        <v>87.5</v>
      </c>
      <c r="D188" s="18"/>
    </row>
    <row r="189" spans="1:4">
      <c r="A189" s="18">
        <v>38868</v>
      </c>
      <c r="B189" s="1174">
        <v>87.5</v>
      </c>
      <c r="D189" s="18"/>
    </row>
    <row r="190" spans="1:4">
      <c r="A190" s="18">
        <v>38898</v>
      </c>
      <c r="B190" s="1174">
        <v>87.7</v>
      </c>
      <c r="D190" s="18"/>
    </row>
    <row r="191" spans="1:4">
      <c r="A191" s="18">
        <v>38929</v>
      </c>
      <c r="B191" s="1174">
        <v>88</v>
      </c>
      <c r="D191" s="18"/>
    </row>
    <row r="192" spans="1:4">
      <c r="A192" s="18">
        <v>38960</v>
      </c>
      <c r="B192" s="1174">
        <v>87.9</v>
      </c>
      <c r="D192" s="18"/>
    </row>
    <row r="193" spans="1:4">
      <c r="A193" s="18">
        <v>38990</v>
      </c>
      <c r="B193" s="1174">
        <v>87.6</v>
      </c>
      <c r="D193" s="18"/>
    </row>
    <row r="194" spans="1:4">
      <c r="A194" s="18">
        <v>39021</v>
      </c>
      <c r="B194" s="1174">
        <v>87.6</v>
      </c>
      <c r="D194" s="18"/>
    </row>
    <row r="195" spans="1:4">
      <c r="A195" s="18">
        <v>39051</v>
      </c>
      <c r="B195" s="1174">
        <v>87.6</v>
      </c>
      <c r="D195" s="18"/>
    </row>
    <row r="196" spans="1:4">
      <c r="A196" s="18">
        <v>39082</v>
      </c>
      <c r="B196" s="1174">
        <v>88.3</v>
      </c>
      <c r="D196" s="18"/>
    </row>
    <row r="197" spans="1:4">
      <c r="A197" s="18">
        <v>39113</v>
      </c>
      <c r="B197" s="1174">
        <v>88.3</v>
      </c>
      <c r="D197" s="18"/>
    </row>
    <row r="198" spans="1:4">
      <c r="A198" s="18">
        <v>39141</v>
      </c>
      <c r="B198" s="1174">
        <v>88.7</v>
      </c>
      <c r="D198" s="18"/>
    </row>
    <row r="199" spans="1:4">
      <c r="A199" s="18">
        <v>39172</v>
      </c>
      <c r="B199" s="1174">
        <v>88.9</v>
      </c>
      <c r="D199" s="18"/>
    </row>
    <row r="200" spans="1:4">
      <c r="A200" s="18">
        <v>39202</v>
      </c>
      <c r="B200" s="1174">
        <v>89.3</v>
      </c>
      <c r="D200" s="18"/>
    </row>
    <row r="201" spans="1:4">
      <c r="A201" s="18">
        <v>39233</v>
      </c>
      <c r="B201" s="1174">
        <v>89.3</v>
      </c>
      <c r="D201" s="18"/>
    </row>
    <row r="202" spans="1:4">
      <c r="A202" s="18">
        <v>39263</v>
      </c>
      <c r="B202" s="1174">
        <v>89.4</v>
      </c>
      <c r="D202" s="18"/>
    </row>
    <row r="203" spans="1:4">
      <c r="A203" s="18">
        <v>39294</v>
      </c>
      <c r="B203" s="1174">
        <v>89.8</v>
      </c>
      <c r="D203" s="18"/>
    </row>
    <row r="204" spans="1:4">
      <c r="A204" s="18">
        <v>39325</v>
      </c>
      <c r="B204" s="1174">
        <v>89.7</v>
      </c>
      <c r="D204" s="18"/>
    </row>
    <row r="205" spans="1:4">
      <c r="A205" s="18">
        <v>39355</v>
      </c>
      <c r="B205" s="1174">
        <v>89.9</v>
      </c>
      <c r="D205" s="18"/>
    </row>
    <row r="206" spans="1:4">
      <c r="A206" s="18">
        <v>39386</v>
      </c>
      <c r="B206" s="1174">
        <v>90.1</v>
      </c>
      <c r="D206" s="18"/>
    </row>
    <row r="207" spans="1:4">
      <c r="A207" s="18">
        <v>39416</v>
      </c>
      <c r="B207" s="1174">
        <v>90.6</v>
      </c>
      <c r="D207" s="18"/>
    </row>
    <row r="208" spans="1:4">
      <c r="A208" s="18">
        <v>39447</v>
      </c>
      <c r="B208" s="1174">
        <v>91.1</v>
      </c>
      <c r="D208" s="18"/>
    </row>
    <row r="209" spans="1:4">
      <c r="A209" s="18">
        <v>39478</v>
      </c>
      <c r="B209" s="1174">
        <v>90.8</v>
      </c>
      <c r="D209" s="18"/>
    </row>
    <row r="210" spans="1:4">
      <c r="A210" s="18">
        <v>39507</v>
      </c>
      <c r="B210" s="1174">
        <v>91.2</v>
      </c>
      <c r="D210" s="18"/>
    </row>
    <row r="211" spans="1:4">
      <c r="A211" s="18">
        <v>39538</v>
      </c>
      <c r="B211" s="1174">
        <v>91.7</v>
      </c>
      <c r="D211" s="18"/>
    </row>
    <row r="212" spans="1:4">
      <c r="A212" s="18">
        <v>39568</v>
      </c>
      <c r="B212" s="1174">
        <v>91.5</v>
      </c>
      <c r="D212" s="18"/>
    </row>
    <row r="213" spans="1:4">
      <c r="A213" s="18">
        <v>39599</v>
      </c>
      <c r="B213" s="1174">
        <v>92</v>
      </c>
      <c r="D213" s="18"/>
    </row>
    <row r="214" spans="1:4">
      <c r="A214" s="18">
        <v>39629</v>
      </c>
      <c r="B214" s="1174">
        <v>92.3</v>
      </c>
      <c r="D214" s="18"/>
    </row>
    <row r="215" spans="1:4">
      <c r="A215" s="18">
        <v>39660</v>
      </c>
      <c r="B215" s="1174">
        <v>92.8</v>
      </c>
      <c r="D215" s="18"/>
    </row>
    <row r="216" spans="1:4">
      <c r="A216" s="18">
        <v>39691</v>
      </c>
      <c r="B216" s="1174">
        <v>92.5</v>
      </c>
      <c r="D216" s="18"/>
    </row>
    <row r="217" spans="1:4">
      <c r="A217" s="18">
        <v>39721</v>
      </c>
      <c r="B217" s="1174">
        <v>92.4</v>
      </c>
      <c r="D217" s="18"/>
    </row>
    <row r="218" spans="1:4">
      <c r="A218" s="18">
        <v>39752</v>
      </c>
      <c r="B218" s="1174">
        <v>92.2</v>
      </c>
      <c r="D218" s="18"/>
    </row>
    <row r="219" spans="1:4">
      <c r="A219" s="18">
        <v>39782</v>
      </c>
      <c r="B219" s="1174">
        <v>91.8</v>
      </c>
      <c r="D219" s="18"/>
    </row>
    <row r="220" spans="1:4">
      <c r="A220" s="18">
        <v>39813</v>
      </c>
      <c r="B220" s="1174">
        <v>92.1</v>
      </c>
      <c r="D220" s="18"/>
    </row>
    <row r="221" spans="1:4">
      <c r="A221" s="18">
        <v>39844</v>
      </c>
      <c r="B221" s="1174">
        <v>91.7</v>
      </c>
      <c r="D221" s="18"/>
    </row>
    <row r="222" spans="1:4">
      <c r="A222" s="18">
        <v>39872</v>
      </c>
      <c r="B222" s="1174">
        <v>92.2</v>
      </c>
      <c r="D222" s="18"/>
    </row>
    <row r="223" spans="1:4">
      <c r="A223" s="18">
        <v>39903</v>
      </c>
      <c r="B223" s="1174">
        <v>92</v>
      </c>
      <c r="D223" s="18"/>
    </row>
    <row r="224" spans="1:4">
      <c r="A224" s="18">
        <v>39933</v>
      </c>
      <c r="B224" s="1174">
        <v>92.1</v>
      </c>
      <c r="D224" s="18"/>
    </row>
    <row r="225" spans="1:4">
      <c r="A225" s="18">
        <v>39964</v>
      </c>
      <c r="B225" s="1174">
        <v>92</v>
      </c>
      <c r="D225" s="18"/>
    </row>
    <row r="226" spans="1:4">
      <c r="A226" s="18">
        <v>39994</v>
      </c>
      <c r="B226" s="1174">
        <v>92.3</v>
      </c>
      <c r="D226" s="18"/>
    </row>
    <row r="227" spans="1:4">
      <c r="A227" s="18">
        <v>40025</v>
      </c>
      <c r="B227" s="1174">
        <v>92.3</v>
      </c>
      <c r="D227" s="18"/>
    </row>
    <row r="228" spans="1:4">
      <c r="A228" s="18">
        <v>40056</v>
      </c>
      <c r="B228" s="1174">
        <v>92.5</v>
      </c>
      <c r="D228" s="18"/>
    </row>
    <row r="229" spans="1:4">
      <c r="A229" s="18">
        <v>40086</v>
      </c>
      <c r="B229" s="1174">
        <v>92.2</v>
      </c>
      <c r="D229" s="18"/>
    </row>
    <row r="230" spans="1:4">
      <c r="A230" s="18">
        <v>40117</v>
      </c>
      <c r="B230" s="1174">
        <v>92.3</v>
      </c>
      <c r="D230" s="18"/>
    </row>
    <row r="231" spans="1:4">
      <c r="A231" s="18">
        <v>40147</v>
      </c>
      <c r="B231" s="1174">
        <v>92.1</v>
      </c>
      <c r="D231" s="18"/>
    </row>
    <row r="232" spans="1:4">
      <c r="A232" s="18">
        <v>40178</v>
      </c>
      <c r="B232" s="1174">
        <v>92.9</v>
      </c>
      <c r="D232" s="18"/>
    </row>
    <row r="233" spans="1:4">
      <c r="A233" s="18">
        <v>40209</v>
      </c>
      <c r="B233" s="1174">
        <v>92.3</v>
      </c>
      <c r="D233" s="18"/>
    </row>
    <row r="234" spans="1:4">
      <c r="A234" s="18">
        <v>40237</v>
      </c>
      <c r="B234" s="1174">
        <v>92.7</v>
      </c>
      <c r="D234" s="18"/>
    </row>
    <row r="235" spans="1:4">
      <c r="A235" s="18">
        <v>40268</v>
      </c>
      <c r="B235" s="1174">
        <v>93.2</v>
      </c>
      <c r="D235" s="18"/>
    </row>
    <row r="236" spans="1:4">
      <c r="A236" s="18">
        <v>40298</v>
      </c>
      <c r="B236" s="1174">
        <v>93.2</v>
      </c>
      <c r="D236" s="18"/>
    </row>
    <row r="237" spans="1:4">
      <c r="A237" s="18">
        <v>40329</v>
      </c>
      <c r="B237" s="1174">
        <v>93.2</v>
      </c>
      <c r="D237" s="18"/>
    </row>
    <row r="238" spans="1:4">
      <c r="A238" s="18">
        <v>40359</v>
      </c>
      <c r="B238" s="1174">
        <v>93.2</v>
      </c>
      <c r="D238" s="18"/>
    </row>
    <row r="239" spans="1:4">
      <c r="A239" s="18">
        <v>40390</v>
      </c>
      <c r="B239" s="1174">
        <v>93.3</v>
      </c>
      <c r="D239" s="18"/>
    </row>
    <row r="240" spans="1:4">
      <c r="A240" s="18">
        <v>40421</v>
      </c>
      <c r="B240" s="1174">
        <v>93.4</v>
      </c>
      <c r="D240" s="18"/>
    </row>
    <row r="241" spans="1:4">
      <c r="A241" s="18">
        <v>40451</v>
      </c>
      <c r="B241" s="1174">
        <v>93.3</v>
      </c>
      <c r="D241" s="18"/>
    </row>
    <row r="242" spans="1:4">
      <c r="A242" s="18">
        <v>40482</v>
      </c>
      <c r="B242" s="1174">
        <v>93.4</v>
      </c>
      <c r="D242" s="18"/>
    </row>
    <row r="243" spans="1:4">
      <c r="A243" s="18">
        <v>40512</v>
      </c>
      <c r="B243" s="1174">
        <v>93.6</v>
      </c>
      <c r="D243" s="18"/>
    </row>
    <row r="244" spans="1:4">
      <c r="A244" s="18">
        <v>40543</v>
      </c>
      <c r="B244" s="1174">
        <v>94.1</v>
      </c>
      <c r="D244" s="18"/>
    </row>
    <row r="245" spans="1:4">
      <c r="A245" s="18">
        <v>40574</v>
      </c>
      <c r="B245" s="1174">
        <v>93.9</v>
      </c>
      <c r="D245" s="18"/>
    </row>
    <row r="246" spans="1:4">
      <c r="A246" s="18">
        <v>40602</v>
      </c>
      <c r="B246" s="1174">
        <v>94.5</v>
      </c>
      <c r="D246" s="18"/>
    </row>
    <row r="247" spans="1:4">
      <c r="A247" s="18">
        <v>40633</v>
      </c>
      <c r="B247" s="1174">
        <v>95</v>
      </c>
      <c r="D247" s="18"/>
    </row>
    <row r="248" spans="1:4">
      <c r="A248" s="18">
        <v>40663</v>
      </c>
      <c r="B248" s="1174">
        <v>95.1</v>
      </c>
      <c r="D248" s="18"/>
    </row>
    <row r="249" spans="1:4">
      <c r="A249" s="18">
        <v>40694</v>
      </c>
      <c r="B249" s="1174">
        <v>95</v>
      </c>
      <c r="D249" s="18"/>
    </row>
    <row r="250" spans="1:4">
      <c r="A250" s="18">
        <v>40724</v>
      </c>
      <c r="B250" s="1174">
        <v>95.1</v>
      </c>
      <c r="D250" s="18"/>
    </row>
    <row r="251" spans="1:4">
      <c r="A251" s="18">
        <v>40755</v>
      </c>
      <c r="B251" s="1174">
        <v>95.3</v>
      </c>
      <c r="D251" s="18"/>
    </row>
    <row r="252" spans="1:4">
      <c r="A252" s="18">
        <v>40786</v>
      </c>
      <c r="B252" s="1174">
        <v>95.4</v>
      </c>
      <c r="D252" s="18"/>
    </row>
    <row r="253" spans="1:4">
      <c r="A253" s="18">
        <v>40816</v>
      </c>
      <c r="B253" s="1174">
        <v>95.6</v>
      </c>
      <c r="D253" s="18"/>
    </row>
    <row r="254" spans="1:4">
      <c r="A254" s="18">
        <v>40847</v>
      </c>
      <c r="B254" s="1174">
        <v>95.6</v>
      </c>
      <c r="D254" s="18"/>
    </row>
    <row r="255" spans="1:4">
      <c r="A255" s="18">
        <v>40877</v>
      </c>
      <c r="B255" s="1174">
        <v>95.7</v>
      </c>
      <c r="D255" s="18"/>
    </row>
    <row r="256" spans="1:4">
      <c r="A256" s="18">
        <v>40908</v>
      </c>
      <c r="B256" s="1174">
        <v>96</v>
      </c>
      <c r="D256" s="18"/>
    </row>
    <row r="257" spans="1:4">
      <c r="A257" s="18">
        <v>40939</v>
      </c>
      <c r="B257" s="1174">
        <v>95.8</v>
      </c>
      <c r="D257" s="18"/>
    </row>
    <row r="258" spans="1:4">
      <c r="A258" s="18">
        <v>40968</v>
      </c>
      <c r="B258" s="1174">
        <v>96.5</v>
      </c>
      <c r="D258" s="18"/>
    </row>
    <row r="259" spans="1:4">
      <c r="A259" s="18">
        <v>40999</v>
      </c>
      <c r="B259" s="1174">
        <v>97.1</v>
      </c>
      <c r="D259" s="18"/>
    </row>
    <row r="260" spans="1:4">
      <c r="A260" s="18">
        <v>41029</v>
      </c>
      <c r="B260" s="1174">
        <v>96.9</v>
      </c>
      <c r="D260" s="18"/>
    </row>
    <row r="261" spans="1:4">
      <c r="A261" s="18">
        <v>41060</v>
      </c>
      <c r="B261" s="1174">
        <v>96.8</v>
      </c>
      <c r="D261" s="18"/>
    </row>
    <row r="262" spans="1:4">
      <c r="A262" s="18">
        <v>41090</v>
      </c>
      <c r="B262" s="1174">
        <v>96.7</v>
      </c>
      <c r="D262" s="18"/>
    </row>
    <row r="263" spans="1:4">
      <c r="A263" s="18">
        <v>41121</v>
      </c>
      <c r="B263" s="1174">
        <v>97.1</v>
      </c>
      <c r="D263" s="18"/>
    </row>
    <row r="264" spans="1:4">
      <c r="A264" s="18">
        <v>41152</v>
      </c>
      <c r="B264" s="1174">
        <v>97.4</v>
      </c>
      <c r="D264" s="18"/>
    </row>
    <row r="265" spans="1:4">
      <c r="A265" s="18">
        <v>41182</v>
      </c>
      <c r="B265" s="1174">
        <v>97.5</v>
      </c>
      <c r="D265" s="18"/>
    </row>
    <row r="266" spans="1:4">
      <c r="A266" s="18">
        <v>41213</v>
      </c>
      <c r="B266" s="1174">
        <v>97.5</v>
      </c>
      <c r="D266" s="18"/>
    </row>
    <row r="267" spans="1:4">
      <c r="A267" s="18">
        <v>41243</v>
      </c>
      <c r="B267" s="1174">
        <v>97.6</v>
      </c>
      <c r="D267" s="18"/>
    </row>
    <row r="268" spans="1:4">
      <c r="A268" s="18">
        <v>41274</v>
      </c>
      <c r="B268" s="1174">
        <v>97.9</v>
      </c>
      <c r="D268" s="18"/>
    </row>
    <row r="269" spans="1:4">
      <c r="A269" s="18">
        <v>41305</v>
      </c>
      <c r="B269" s="1174">
        <v>97.4</v>
      </c>
      <c r="D269" s="18"/>
    </row>
    <row r="270" spans="1:4">
      <c r="A270" s="18">
        <v>41333</v>
      </c>
      <c r="B270" s="1174">
        <v>98</v>
      </c>
      <c r="D270" s="18"/>
    </row>
    <row r="271" spans="1:4">
      <c r="A271" s="18">
        <v>41364</v>
      </c>
      <c r="B271" s="1174">
        <v>98.4</v>
      </c>
      <c r="D271" s="18"/>
    </row>
    <row r="272" spans="1:4">
      <c r="A272" s="18">
        <v>41394</v>
      </c>
      <c r="B272" s="1174">
        <v>98</v>
      </c>
      <c r="D272" s="18"/>
    </row>
    <row r="273" spans="1:4">
      <c r="A273" s="18">
        <v>41425</v>
      </c>
      <c r="B273" s="1174">
        <v>98.4</v>
      </c>
      <c r="D273" s="18"/>
    </row>
    <row r="274" spans="1:4">
      <c r="A274" s="18">
        <v>41455</v>
      </c>
      <c r="B274" s="1174">
        <v>98.5</v>
      </c>
      <c r="D274" s="18"/>
    </row>
    <row r="275" spans="1:4">
      <c r="A275" s="18">
        <v>41486</v>
      </c>
      <c r="B275" s="1174">
        <v>98.9</v>
      </c>
      <c r="D275" s="18"/>
    </row>
    <row r="276" spans="1:4">
      <c r="A276" s="18">
        <v>41517</v>
      </c>
      <c r="B276" s="1174">
        <v>98.9</v>
      </c>
      <c r="D276" s="18"/>
    </row>
    <row r="277" spans="1:4">
      <c r="A277" s="18">
        <v>41547</v>
      </c>
      <c r="B277" s="1174">
        <v>98.9</v>
      </c>
      <c r="D277" s="18"/>
    </row>
    <row r="278" spans="1:4">
      <c r="A278" s="18">
        <v>41578</v>
      </c>
      <c r="B278" s="1174">
        <v>98.7</v>
      </c>
      <c r="D278" s="18"/>
    </row>
    <row r="279" spans="1:4">
      <c r="A279" s="18">
        <v>41608</v>
      </c>
      <c r="B279" s="1174">
        <v>98.9</v>
      </c>
      <c r="D279" s="18"/>
    </row>
    <row r="280" spans="1:4">
      <c r="A280" s="18">
        <v>41639</v>
      </c>
      <c r="B280" s="1174">
        <v>99.3</v>
      </c>
      <c r="D280" s="18"/>
    </row>
    <row r="281" spans="1:4">
      <c r="A281" s="18">
        <v>41670</v>
      </c>
      <c r="B281" s="1174">
        <v>98.8</v>
      </c>
      <c r="D281" s="18"/>
    </row>
    <row r="282" spans="1:4">
      <c r="A282" s="18">
        <v>41698</v>
      </c>
      <c r="B282" s="1174">
        <v>99.2</v>
      </c>
      <c r="D282" s="18"/>
    </row>
    <row r="283" spans="1:4">
      <c r="A283" s="18">
        <v>41729</v>
      </c>
      <c r="B283" s="1174">
        <v>99.5</v>
      </c>
      <c r="D283" s="18"/>
    </row>
    <row r="284" spans="1:4">
      <c r="A284" s="18">
        <v>41759</v>
      </c>
      <c r="B284" s="1174">
        <v>99.4</v>
      </c>
      <c r="D284" s="18"/>
    </row>
    <row r="285" spans="1:4">
      <c r="A285" s="18">
        <v>41790</v>
      </c>
      <c r="B285" s="1174">
        <v>99.2</v>
      </c>
      <c r="D285" s="18"/>
    </row>
    <row r="286" spans="1:4">
      <c r="A286" s="18">
        <v>41820</v>
      </c>
      <c r="B286" s="1174">
        <v>99.5</v>
      </c>
      <c r="D286" s="18"/>
    </row>
    <row r="287" spans="1:4">
      <c r="A287" s="18">
        <v>41851</v>
      </c>
      <c r="B287" s="1174">
        <v>99.7</v>
      </c>
      <c r="D287" s="18"/>
    </row>
    <row r="288" spans="1:4">
      <c r="A288" s="18">
        <v>41882</v>
      </c>
      <c r="B288" s="1174">
        <v>99.8</v>
      </c>
      <c r="D288" s="18"/>
    </row>
    <row r="289" spans="1:4">
      <c r="A289" s="18">
        <v>41912</v>
      </c>
      <c r="B289" s="1174">
        <v>99.8</v>
      </c>
      <c r="D289" s="18"/>
    </row>
    <row r="290" spans="1:4">
      <c r="A290" s="18">
        <v>41943</v>
      </c>
      <c r="B290" s="1174">
        <v>99.5</v>
      </c>
      <c r="D290" s="18"/>
    </row>
    <row r="291" spans="1:4">
      <c r="A291" s="18">
        <v>41973</v>
      </c>
      <c r="B291" s="1174">
        <v>99.5</v>
      </c>
      <c r="D291" s="18"/>
    </row>
    <row r="292" spans="1:4">
      <c r="A292" s="18">
        <v>42004</v>
      </c>
      <c r="B292" s="1174">
        <v>99.5</v>
      </c>
      <c r="D292" s="18"/>
    </row>
    <row r="293" spans="1:4">
      <c r="A293" s="18">
        <v>42035</v>
      </c>
      <c r="B293" s="1174">
        <v>98.5</v>
      </c>
      <c r="D293" s="18"/>
    </row>
    <row r="294" spans="1:4">
      <c r="A294" s="18">
        <v>42063</v>
      </c>
      <c r="B294" s="1174">
        <v>99.2</v>
      </c>
      <c r="D294" s="18"/>
    </row>
    <row r="295" spans="1:4">
      <c r="A295" s="18">
        <v>42094</v>
      </c>
      <c r="B295" s="1174">
        <v>99.7</v>
      </c>
      <c r="D295" s="18"/>
    </row>
    <row r="296" spans="1:4">
      <c r="A296" s="18">
        <v>42124</v>
      </c>
      <c r="B296" s="1174">
        <v>100.2</v>
      </c>
      <c r="D296" s="18"/>
    </row>
    <row r="297" spans="1:4">
      <c r="A297" s="18">
        <v>42155</v>
      </c>
      <c r="B297" s="1174">
        <v>100.4</v>
      </c>
      <c r="D297" s="18"/>
    </row>
    <row r="298" spans="1:4">
      <c r="A298" s="18">
        <v>42185</v>
      </c>
      <c r="B298" s="1174">
        <v>100.4</v>
      </c>
      <c r="D298" s="18"/>
    </row>
    <row r="299" spans="1:4">
      <c r="A299" s="18">
        <v>42216</v>
      </c>
      <c r="B299" s="1174">
        <v>100.6</v>
      </c>
      <c r="D299" s="18"/>
    </row>
    <row r="300" spans="1:4">
      <c r="A300" s="18">
        <v>42247</v>
      </c>
      <c r="B300" s="1174">
        <v>100.6</v>
      </c>
      <c r="D300" s="18"/>
    </row>
    <row r="301" spans="1:4">
      <c r="A301" s="18">
        <v>42277</v>
      </c>
      <c r="B301" s="1174">
        <v>100.4</v>
      </c>
      <c r="D301" s="18"/>
    </row>
    <row r="302" spans="1:4">
      <c r="A302" s="18">
        <v>42308</v>
      </c>
      <c r="B302" s="1174">
        <v>100.4</v>
      </c>
      <c r="D302" s="18"/>
    </row>
    <row r="303" spans="1:4">
      <c r="A303" s="18">
        <v>42338</v>
      </c>
      <c r="B303" s="1174">
        <v>99.7</v>
      </c>
      <c r="D303" s="18"/>
    </row>
    <row r="304" spans="1:4">
      <c r="A304" s="18">
        <v>42369</v>
      </c>
      <c r="B304" s="1174">
        <v>99.7</v>
      </c>
      <c r="D304" s="18"/>
    </row>
    <row r="305" spans="1:4">
      <c r="A305" s="18">
        <v>42400</v>
      </c>
      <c r="B305" s="1174">
        <v>99</v>
      </c>
      <c r="D305" s="18"/>
    </row>
    <row r="306" spans="1:4">
      <c r="A306" s="18">
        <v>42429</v>
      </c>
      <c r="B306" s="1174">
        <v>99.3</v>
      </c>
      <c r="D306" s="18"/>
    </row>
    <row r="307" spans="1:4">
      <c r="A307" s="18">
        <v>42460</v>
      </c>
      <c r="B307" s="1174">
        <v>100</v>
      </c>
      <c r="D307" s="18"/>
    </row>
    <row r="308" spans="1:4">
      <c r="A308" s="18">
        <v>42490</v>
      </c>
      <c r="B308" s="1174">
        <v>100.1</v>
      </c>
      <c r="D308" s="18"/>
    </row>
    <row r="309" spans="1:4">
      <c r="A309" s="18">
        <v>42521</v>
      </c>
      <c r="B309" s="1174">
        <v>100.6</v>
      </c>
      <c r="D309" s="18"/>
    </row>
    <row r="310" spans="1:4">
      <c r="A310" s="18">
        <v>42551</v>
      </c>
      <c r="B310" s="1174">
        <v>100.7</v>
      </c>
      <c r="D310" s="18"/>
    </row>
    <row r="311" spans="1:4">
      <c r="A311" s="18">
        <v>42582</v>
      </c>
      <c r="B311" s="1174">
        <v>101.1</v>
      </c>
      <c r="D311" s="18"/>
    </row>
    <row r="312" spans="1:4">
      <c r="A312" s="18">
        <v>42613</v>
      </c>
      <c r="B312" s="1174">
        <v>101</v>
      </c>
      <c r="D312" s="18"/>
    </row>
    <row r="313" spans="1:4">
      <c r="A313" s="18">
        <v>42643</v>
      </c>
      <c r="B313" s="1174">
        <v>101</v>
      </c>
      <c r="D313" s="18"/>
    </row>
    <row r="314" spans="1:4">
      <c r="A314" s="18">
        <v>42674</v>
      </c>
      <c r="B314" s="1174">
        <v>101.2</v>
      </c>
      <c r="D314" s="18"/>
    </row>
    <row r="315" spans="1:4">
      <c r="A315" s="18">
        <v>42704</v>
      </c>
      <c r="B315" s="1174">
        <v>100.5</v>
      </c>
      <c r="D315" s="18"/>
    </row>
    <row r="316" spans="1:4">
      <c r="A316" s="18">
        <v>42735</v>
      </c>
      <c r="B316" s="1174">
        <v>101.2</v>
      </c>
      <c r="D316" s="18"/>
    </row>
    <row r="317" spans="1:4">
      <c r="A317" s="18">
        <v>42766</v>
      </c>
      <c r="B317" s="1174">
        <v>100.6</v>
      </c>
      <c r="D317" s="18"/>
    </row>
    <row r="318" spans="1:4">
      <c r="A318" s="18">
        <v>42794</v>
      </c>
      <c r="B318" s="1174">
        <v>101.2</v>
      </c>
      <c r="D318" s="18"/>
    </row>
    <row r="319" spans="1:4">
      <c r="A319" s="18">
        <v>42825</v>
      </c>
      <c r="B319" s="1174">
        <v>101.4</v>
      </c>
      <c r="D319" s="18"/>
    </row>
    <row r="320" spans="1:4">
      <c r="A320" s="18">
        <v>42855</v>
      </c>
      <c r="B320" s="1174">
        <v>101.8</v>
      </c>
      <c r="D320" s="18"/>
    </row>
    <row r="321" spans="1:4">
      <c r="A321" s="18">
        <v>42886</v>
      </c>
      <c r="B321" s="1174">
        <v>101.8</v>
      </c>
      <c r="D321" s="18"/>
    </row>
    <row r="322" spans="1:4">
      <c r="A322" s="18">
        <v>42916</v>
      </c>
      <c r="B322" s="1174">
        <v>102.1</v>
      </c>
      <c r="D322" s="18"/>
    </row>
    <row r="323" spans="1:4">
      <c r="A323" s="18">
        <v>42947</v>
      </c>
      <c r="B323" s="1174">
        <v>102.5</v>
      </c>
      <c r="D323" s="18"/>
    </row>
    <row r="324" spans="1:4">
      <c r="A324" s="18">
        <v>42978</v>
      </c>
      <c r="B324" s="1174">
        <v>102.6</v>
      </c>
      <c r="D324" s="18"/>
    </row>
    <row r="325" spans="1:4">
      <c r="A325" s="18">
        <v>43008</v>
      </c>
      <c r="B325" s="1174">
        <v>102.7</v>
      </c>
      <c r="D325" s="18"/>
    </row>
    <row r="326" spans="1:4">
      <c r="A326" s="18">
        <v>43039</v>
      </c>
      <c r="B326" s="1174">
        <v>102.5</v>
      </c>
      <c r="D326" s="18"/>
    </row>
    <row r="327" spans="1:4">
      <c r="A327" s="18">
        <v>43069</v>
      </c>
      <c r="B327" s="1174">
        <v>102.1</v>
      </c>
      <c r="D327" s="18"/>
    </row>
    <row r="328" spans="1:4">
      <c r="A328" s="18">
        <v>43100</v>
      </c>
      <c r="B328" s="1174">
        <v>102.6</v>
      </c>
      <c r="D328" s="18"/>
    </row>
    <row r="329" spans="1:4">
      <c r="A329" s="18">
        <v>43131</v>
      </c>
      <c r="B329" s="1174">
        <v>102</v>
      </c>
      <c r="D329" s="18"/>
    </row>
    <row r="330" spans="1:4">
      <c r="A330" s="18">
        <v>43159</v>
      </c>
      <c r="B330" s="1174">
        <v>102.3</v>
      </c>
      <c r="D330" s="18"/>
    </row>
    <row r="331" spans="1:4">
      <c r="A331" s="18">
        <v>43190</v>
      </c>
      <c r="B331" s="1174">
        <v>102.9</v>
      </c>
      <c r="D331" s="155"/>
    </row>
    <row r="332" spans="1:4">
      <c r="A332" s="18">
        <v>43220</v>
      </c>
      <c r="B332" s="1174">
        <v>103.1</v>
      </c>
      <c r="D332" s="18"/>
    </row>
    <row r="333" spans="1:4">
      <c r="A333" s="18">
        <v>43251</v>
      </c>
      <c r="B333" s="1174">
        <v>103.9</v>
      </c>
      <c r="D333" s="18"/>
    </row>
    <row r="334" spans="1:4">
      <c r="A334" s="18">
        <v>43281</v>
      </c>
      <c r="B334" s="1174">
        <v>104</v>
      </c>
      <c r="D334" s="18"/>
    </row>
    <row r="335" spans="1:4">
      <c r="A335" s="18">
        <v>43312</v>
      </c>
      <c r="B335" s="1174">
        <v>104.4</v>
      </c>
      <c r="D335" s="18"/>
    </row>
    <row r="336" spans="1:4">
      <c r="A336" s="18">
        <v>43343</v>
      </c>
      <c r="B336" s="1174">
        <v>104.5</v>
      </c>
      <c r="D336" s="18"/>
    </row>
    <row r="337" spans="1:4">
      <c r="A337" s="18">
        <v>43373</v>
      </c>
      <c r="B337" s="1174">
        <v>104.7</v>
      </c>
      <c r="D337" s="18"/>
    </row>
    <row r="338" spans="1:4">
      <c r="A338" s="18">
        <v>43404</v>
      </c>
      <c r="B338" s="1174">
        <v>104.9</v>
      </c>
      <c r="D338" s="18"/>
    </row>
    <row r="339" spans="1:4">
      <c r="A339" s="18">
        <v>43434</v>
      </c>
      <c r="B339" s="1174">
        <v>104.2</v>
      </c>
      <c r="D339" s="18"/>
    </row>
    <row r="340" spans="1:4">
      <c r="A340" s="18">
        <v>43465</v>
      </c>
      <c r="B340" s="1174">
        <v>104.2</v>
      </c>
      <c r="D340" s="18"/>
    </row>
    <row r="341" spans="1:4">
      <c r="A341" s="18">
        <v>43496</v>
      </c>
      <c r="B341" s="1174">
        <v>103.4</v>
      </c>
      <c r="D341" s="18"/>
    </row>
    <row r="342" spans="1:4">
      <c r="A342" s="18">
        <v>43524</v>
      </c>
      <c r="B342" s="1174">
        <v>103.8</v>
      </c>
      <c r="D342" s="18"/>
    </row>
    <row r="343" spans="1:4">
      <c r="A343" s="18">
        <v>43555</v>
      </c>
      <c r="B343" s="1174">
        <v>104.2</v>
      </c>
      <c r="D343" s="18"/>
    </row>
    <row r="344" spans="1:4">
      <c r="A344" s="18">
        <v>43585</v>
      </c>
      <c r="B344" s="1174">
        <v>105.2</v>
      </c>
      <c r="D344" s="18"/>
    </row>
    <row r="345" spans="1:4">
      <c r="A345" s="18">
        <v>43616</v>
      </c>
      <c r="B345" s="1174">
        <v>105.4</v>
      </c>
      <c r="D345" s="18"/>
    </row>
    <row r="346" spans="1:4">
      <c r="A346" s="18">
        <v>43646</v>
      </c>
      <c r="B346" s="1174">
        <v>105.7</v>
      </c>
      <c r="D346" s="18"/>
    </row>
    <row r="347" spans="1:4">
      <c r="A347" s="18">
        <v>43677</v>
      </c>
      <c r="B347" s="1174">
        <v>106.2</v>
      </c>
      <c r="D347" s="18"/>
    </row>
    <row r="348" spans="1:4">
      <c r="A348" s="18">
        <v>43708</v>
      </c>
      <c r="B348" s="1175">
        <v>106</v>
      </c>
      <c r="D348" s="18"/>
    </row>
    <row r="349" spans="1:4">
      <c r="A349" s="18">
        <v>43738</v>
      </c>
      <c r="B349" s="1175">
        <v>106</v>
      </c>
      <c r="D349" s="18"/>
    </row>
    <row r="350" spans="1:4">
      <c r="A350" s="18">
        <v>43769</v>
      </c>
      <c r="B350" s="1175">
        <v>106.1</v>
      </c>
      <c r="D350" s="18"/>
    </row>
    <row r="351" spans="1:4">
      <c r="A351" s="18">
        <v>43799</v>
      </c>
      <c r="B351" s="1175">
        <v>105.3</v>
      </c>
      <c r="D351" s="18"/>
    </row>
    <row r="352" spans="1:4">
      <c r="A352" s="18">
        <v>43830</v>
      </c>
      <c r="B352" s="1175">
        <v>105.8</v>
      </c>
      <c r="D352" s="18"/>
    </row>
    <row r="353" spans="1:4">
      <c r="A353" s="18">
        <v>43861</v>
      </c>
      <c r="B353" s="1175">
        <v>105.2</v>
      </c>
      <c r="D353" s="18"/>
    </row>
    <row r="354" spans="1:4">
      <c r="A354" s="18">
        <v>43890</v>
      </c>
      <c r="B354" s="1175">
        <v>105.6</v>
      </c>
      <c r="D354" s="18"/>
    </row>
    <row r="355" spans="1:4">
      <c r="A355" s="18">
        <v>43921</v>
      </c>
      <c r="B355" s="1175">
        <v>105.7</v>
      </c>
      <c r="D355" s="18"/>
    </row>
    <row r="356" spans="1:4">
      <c r="A356" s="18">
        <v>43951</v>
      </c>
      <c r="B356" s="1175">
        <v>106.1</v>
      </c>
      <c r="D356" s="18"/>
    </row>
    <row r="357" spans="1:4">
      <c r="A357" s="18">
        <v>43982</v>
      </c>
      <c r="B357" s="1175">
        <v>106</v>
      </c>
      <c r="D357" s="18"/>
    </row>
    <row r="358" spans="1:4">
      <c r="A358" s="18">
        <v>44012</v>
      </c>
      <c r="B358" s="1175">
        <v>106.6</v>
      </c>
      <c r="D358" s="18"/>
    </row>
    <row r="359" spans="1:4">
      <c r="A359" s="18">
        <v>44043</v>
      </c>
      <c r="B359" s="1175">
        <v>106.1</v>
      </c>
      <c r="D359" s="18"/>
    </row>
    <row r="360" spans="1:4">
      <c r="A360" s="18">
        <v>44074</v>
      </c>
      <c r="B360" s="1175">
        <v>106</v>
      </c>
      <c r="D360" s="18"/>
    </row>
    <row r="361" spans="1:4">
      <c r="A361" s="18">
        <v>44104</v>
      </c>
      <c r="B361" s="1175">
        <v>105.8</v>
      </c>
      <c r="D361" s="18"/>
    </row>
    <row r="362" spans="1:4">
      <c r="A362" s="18">
        <v>44135</v>
      </c>
      <c r="B362" s="1175">
        <v>105.9</v>
      </c>
      <c r="D362" s="18"/>
    </row>
    <row r="363" spans="1:4">
      <c r="A363" s="18">
        <v>44165</v>
      </c>
      <c r="B363" s="1566">
        <v>105</v>
      </c>
      <c r="D363" s="18"/>
    </row>
    <row r="364" spans="1:4">
      <c r="A364" s="18">
        <v>44196</v>
      </c>
      <c r="B364" s="1175">
        <f>B363*(1+(1+GA!$G$145)^(1/12)-1)</f>
        <v>105.06540048911828</v>
      </c>
      <c r="D364" s="18"/>
    </row>
    <row r="365" spans="1:4">
      <c r="A365" s="18">
        <v>44227</v>
      </c>
      <c r="B365" s="1175">
        <f>B364*(1+(1+GA!$G$145)^(1/12)-1)</f>
        <v>105.13084171370299</v>
      </c>
      <c r="D365" s="18"/>
    </row>
    <row r="366" spans="1:4">
      <c r="A366" s="18">
        <v>44255</v>
      </c>
      <c r="B366" s="1175">
        <f>B365*(1+(1+GA!$G$145)^(1/12)-1)</f>
        <v>105.19632369912672</v>
      </c>
      <c r="D366" s="18"/>
    </row>
    <row r="367" spans="1:4">
      <c r="A367" s="18">
        <v>44286</v>
      </c>
      <c r="B367" s="1175">
        <f>B366*(1+(1+GA!$G$145)^(1/12)-1)</f>
        <v>105.26184647077783</v>
      </c>
      <c r="D367" s="18"/>
    </row>
    <row r="368" spans="1:4">
      <c r="A368" s="18">
        <v>44316</v>
      </c>
      <c r="B368" s="1175">
        <f>B367*(1+(1+GA!$G$145)^(1/12)-1)</f>
        <v>105.32741005406051</v>
      </c>
      <c r="D368" s="18"/>
    </row>
    <row r="369" spans="1:4">
      <c r="A369" s="18">
        <v>44347</v>
      </c>
      <c r="B369" s="1175">
        <f>B368*(1+(1+GA!$G$145)^(1/12)-1)</f>
        <v>105.39301447439476</v>
      </c>
      <c r="D369" s="18"/>
    </row>
    <row r="370" spans="1:4">
      <c r="A370" s="18">
        <v>44377</v>
      </c>
      <c r="B370" s="1175">
        <f>B369*(1+(1+GA!$G$145)^(1/12)-1)</f>
        <v>105.45865975721642</v>
      </c>
      <c r="D370" s="18"/>
    </row>
    <row r="371" spans="1:4">
      <c r="A371" s="18">
        <v>44408</v>
      </c>
      <c r="B371" s="1175">
        <f>B370*(1+(1+GA!$G$145)^(1/12)-1)</f>
        <v>105.52434592797718</v>
      </c>
      <c r="D371" s="18"/>
    </row>
    <row r="372" spans="1:4">
      <c r="A372" s="18">
        <v>44439</v>
      </c>
      <c r="B372" s="1175">
        <f>B371*(1+(1+GA!$G$145)^(1/12)-1)</f>
        <v>105.59007301214456</v>
      </c>
      <c r="D372" s="18"/>
    </row>
    <row r="373" spans="1:4">
      <c r="A373" s="18">
        <v>44469</v>
      </c>
      <c r="B373" s="1175">
        <f>B372*(1+(1+GA!$G$145)^(1/12)-1)</f>
        <v>105.65584103520196</v>
      </c>
      <c r="D373" s="18"/>
    </row>
    <row r="374" spans="1:4">
      <c r="A374" s="18">
        <v>44500</v>
      </c>
      <c r="B374" s="1175">
        <f>B373*(1+(1+GA!$G$145)^(1/12)-1)</f>
        <v>105.72165002264866</v>
      </c>
      <c r="D374" s="18"/>
    </row>
    <row r="375" spans="1:4">
      <c r="A375" s="18">
        <v>44530</v>
      </c>
      <c r="B375" s="1175">
        <f>B374*(1+(1+GA!$G$145)^(1/12)-1)</f>
        <v>105.78749999999982</v>
      </c>
      <c r="D375" s="18"/>
    </row>
    <row r="376" spans="1:4">
      <c r="A376" s="18">
        <v>44561</v>
      </c>
      <c r="B376" s="1175">
        <f>B375*(1+(1+GA!$G$145)^(1/12)-1)</f>
        <v>105.85339099278647</v>
      </c>
      <c r="D376" s="18"/>
    </row>
    <row r="377" spans="1:4">
      <c r="A377" s="18">
        <v>44592</v>
      </c>
      <c r="B377" s="1175">
        <f>B376*(1+(1+GA!$G$145)^(1/12)-1)</f>
        <v>105.91932302655557</v>
      </c>
      <c r="D377" s="18"/>
    </row>
    <row r="378" spans="1:4">
      <c r="A378" s="18">
        <v>44620</v>
      </c>
      <c r="B378" s="1175">
        <f>B377*(1+(1+GA!$G$145)^(1/12)-1)</f>
        <v>105.98529612686998</v>
      </c>
      <c r="D378" s="18"/>
    </row>
    <row r="379" spans="1:4">
      <c r="A379" s="18">
        <v>44651</v>
      </c>
      <c r="B379" s="1175">
        <f>B378*(1+(1+GA!$G$145)^(1/12)-1)</f>
        <v>106.05131031930847</v>
      </c>
      <c r="D379" s="18"/>
    </row>
    <row r="380" spans="1:4">
      <c r="A380" s="18">
        <v>44681</v>
      </c>
      <c r="B380" s="1175">
        <f>B379*(1+(1+GA!$G$145)^(1/12)-1)</f>
        <v>106.11736562946577</v>
      </c>
      <c r="D380" s="18"/>
    </row>
    <row r="381" spans="1:4">
      <c r="A381" s="18">
        <v>44712</v>
      </c>
      <c r="B381" s="1175">
        <f>B380*(1+(1+GA!$G$145)^(1/12)-1)</f>
        <v>106.18346208295252</v>
      </c>
      <c r="D381" s="18"/>
    </row>
    <row r="382" spans="1:4">
      <c r="A382" s="18">
        <v>44742</v>
      </c>
      <c r="B382" s="1175">
        <f>B381*(1+(1+GA!$G$145)^(1/12)-1)</f>
        <v>106.24959970539534</v>
      </c>
      <c r="D382" s="18"/>
    </row>
    <row r="383" spans="1:4">
      <c r="A383" s="18">
        <v>44773</v>
      </c>
      <c r="B383" s="1175">
        <f>B382*(1+(1+GA!$G$145)^(1/12)-1)</f>
        <v>106.3157785224368</v>
      </c>
      <c r="D383" s="18"/>
    </row>
    <row r="384" spans="1:4">
      <c r="A384" s="18">
        <v>44804</v>
      </c>
      <c r="B384" s="1175">
        <f>B383*(1+(1+GA!$G$145)^(1/12)-1)</f>
        <v>106.38199855973544</v>
      </c>
      <c r="D384" s="18"/>
    </row>
    <row r="385" spans="1:4">
      <c r="A385" s="18">
        <v>44834</v>
      </c>
      <c r="B385" s="1175">
        <f>B384*(1+(1+GA!$G$145)^(1/12)-1)</f>
        <v>106.44825984296577</v>
      </c>
      <c r="D385" s="18"/>
    </row>
    <row r="386" spans="1:4">
      <c r="A386" s="18">
        <v>44865</v>
      </c>
      <c r="B386" s="1175">
        <f>B385*(1+(1+GA!$G$145)^(1/12)-1)</f>
        <v>106.51456239781832</v>
      </c>
      <c r="D386" s="18"/>
    </row>
    <row r="387" spans="1:4">
      <c r="A387" s="18">
        <v>44895</v>
      </c>
      <c r="B387" s="1175">
        <f>B386*(1+(1+GA!$G$145)^(1/12)-1)</f>
        <v>106.58090624999961</v>
      </c>
      <c r="D387" s="18"/>
    </row>
    <row r="388" spans="1:4">
      <c r="A388" s="18">
        <v>44926</v>
      </c>
      <c r="B388" s="1175">
        <f>B387*(1+(1+GA!$G$145)^(1/12)-1)</f>
        <v>106.64729142523217</v>
      </c>
      <c r="D388" s="18"/>
    </row>
    <row r="389" spans="1:4">
      <c r="A389" s="18">
        <v>44957</v>
      </c>
      <c r="B389" s="1175">
        <f>B388*(1+(1+GA!$G$145)^(1/12)-1)</f>
        <v>106.71371794925453</v>
      </c>
      <c r="D389" s="18"/>
    </row>
    <row r="390" spans="1:4">
      <c r="A390" s="18">
        <v>44985</v>
      </c>
      <c r="B390" s="1175">
        <f>B389*(1+(1+GA!$G$145)^(1/12)-1)</f>
        <v>106.78018584782129</v>
      </c>
      <c r="D390" s="18"/>
    </row>
    <row r="391" spans="1:4">
      <c r="A391" s="18">
        <v>45016</v>
      </c>
      <c r="B391" s="1175">
        <f>B390*(1+(1+GA!$G$145)^(1/12)-1)</f>
        <v>106.84669514670307</v>
      </c>
      <c r="D391" s="18"/>
    </row>
    <row r="392" spans="1:4">
      <c r="A392" s="18">
        <v>45046</v>
      </c>
      <c r="B392" s="1175">
        <f>B391*(1+(1+GA!$G$145)^(1/12)-1)</f>
        <v>106.91324587168654</v>
      </c>
      <c r="D392" s="18"/>
    </row>
    <row r="393" spans="1:4">
      <c r="A393" s="18">
        <v>45077</v>
      </c>
      <c r="B393" s="1175">
        <f>B392*(1+(1+GA!$G$145)^(1/12)-1)</f>
        <v>106.97983804857445</v>
      </c>
      <c r="D393" s="18"/>
    </row>
    <row r="394" spans="1:4">
      <c r="A394" s="18">
        <v>45107</v>
      </c>
      <c r="B394" s="1175">
        <f>B393*(1+(1+GA!$G$145)^(1/12)-1)</f>
        <v>107.04647170318559</v>
      </c>
      <c r="D394" s="18"/>
    </row>
    <row r="395" spans="1:4">
      <c r="A395" s="18">
        <v>45138</v>
      </c>
      <c r="B395" s="1175">
        <f>B394*(1+(1+GA!$G$145)^(1/12)-1)</f>
        <v>107.11314686135486</v>
      </c>
      <c r="D395" s="18"/>
    </row>
    <row r="396" spans="1:4">
      <c r="A396" s="18">
        <v>45169</v>
      </c>
      <c r="B396" s="1175">
        <f>B395*(1+(1+GA!$G$145)^(1/12)-1)</f>
        <v>107.17986354893324</v>
      </c>
      <c r="D396" s="18"/>
    </row>
    <row r="397" spans="1:4">
      <c r="A397" s="18">
        <v>45199</v>
      </c>
      <c r="B397" s="1175">
        <f>B396*(1+(1+GA!$G$145)^(1/12)-1)</f>
        <v>107.2466217917878</v>
      </c>
      <c r="D397" s="18"/>
    </row>
    <row r="398" spans="1:4">
      <c r="A398" s="18">
        <v>45230</v>
      </c>
      <c r="B398" s="1175">
        <f>B397*(1+(1+GA!$G$145)^(1/12)-1)</f>
        <v>107.31342161580176</v>
      </c>
      <c r="D398" s="18"/>
    </row>
    <row r="399" spans="1:4">
      <c r="A399" s="18">
        <v>45260</v>
      </c>
      <c r="B399" s="1175">
        <f>B398*(1+(1+GA!$G$145)^(1/12)-1)</f>
        <v>107.3802630468744</v>
      </c>
      <c r="D399" s="18"/>
    </row>
    <row r="400" spans="1:4">
      <c r="A400" s="18">
        <v>45291</v>
      </c>
      <c r="B400" s="1175">
        <f>B399*(1+(1+GA!$G$145)^(1/12)-1)</f>
        <v>107.4471461109212</v>
      </c>
      <c r="D400" s="18"/>
    </row>
    <row r="401" spans="1:4">
      <c r="A401" s="18">
        <v>45322</v>
      </c>
      <c r="B401" s="1175">
        <f>B400*(1+(1+GA!$G$145)^(1/12)-1)</f>
        <v>107.51407083387373</v>
      </c>
      <c r="D401" s="18"/>
    </row>
    <row r="402" spans="1:4">
      <c r="A402" s="18">
        <v>45351</v>
      </c>
      <c r="B402" s="1175">
        <f>B401*(1+(1+GA!$G$145)^(1/12)-1)</f>
        <v>107.58103724167975</v>
      </c>
      <c r="D402" s="18"/>
    </row>
    <row r="403" spans="1:4">
      <c r="A403" s="18">
        <v>45382</v>
      </c>
      <c r="B403" s="1175">
        <f>B402*(1+(1+GA!$G$145)^(1/12)-1)</f>
        <v>107.64804536030314</v>
      </c>
      <c r="D403" s="18"/>
    </row>
    <row r="404" spans="1:4">
      <c r="A404" s="18">
        <v>45412</v>
      </c>
      <c r="B404" s="1175">
        <f>B403*(1+(1+GA!$G$145)^(1/12)-1)</f>
        <v>107.71509521572399</v>
      </c>
      <c r="D404" s="18"/>
    </row>
    <row r="405" spans="1:4">
      <c r="A405" s="18">
        <v>45443</v>
      </c>
      <c r="B405" s="1175">
        <f>B404*(1+(1+GA!$G$145)^(1/12)-1)</f>
        <v>107.78218683393855</v>
      </c>
      <c r="D405" s="18"/>
    </row>
    <row r="406" spans="1:4">
      <c r="A406" s="18">
        <v>45473</v>
      </c>
      <c r="B406" s="1175">
        <f>B405*(1+(1+GA!$G$145)^(1/12)-1)</f>
        <v>107.84932024095927</v>
      </c>
      <c r="D406" s="18"/>
    </row>
    <row r="407" spans="1:4">
      <c r="A407" s="18">
        <v>45504</v>
      </c>
      <c r="B407" s="1175">
        <f>B406*(1+(1+GA!$G$145)^(1/12)-1)</f>
        <v>107.91649546281481</v>
      </c>
      <c r="D407" s="18"/>
    </row>
    <row r="408" spans="1:4">
      <c r="A408" s="18">
        <v>45535</v>
      </c>
      <c r="B408" s="1175">
        <f>B407*(1+(1+GA!$G$145)^(1/12)-1)</f>
        <v>107.98371252555002</v>
      </c>
      <c r="D408" s="18"/>
    </row>
    <row r="409" spans="1:4">
      <c r="A409" s="18">
        <v>45565</v>
      </c>
      <c r="B409" s="1175">
        <f>B408*(1+(1+GA!$G$145)^(1/12)-1)</f>
        <v>108.05097145522599</v>
      </c>
      <c r="D409" s="18"/>
    </row>
    <row r="410" spans="1:4">
      <c r="A410" s="18">
        <v>45596</v>
      </c>
      <c r="B410" s="1175">
        <f>B409*(1+(1+GA!$G$145)^(1/12)-1)</f>
        <v>108.11827227792004</v>
      </c>
      <c r="D410" s="18"/>
    </row>
    <row r="411" spans="1:4">
      <c r="A411" s="18">
        <v>45626</v>
      </c>
      <c r="B411" s="1175">
        <f>B410*(1+(1+GA!$G$145)^(1/12)-1)</f>
        <v>108.18561501972573</v>
      </c>
      <c r="D411" s="18"/>
    </row>
    <row r="412" spans="1:4">
      <c r="A412" s="18">
        <v>45657</v>
      </c>
      <c r="B412" s="1175">
        <f>B411*(1+(1+GA!$G$145)^(1/12)-1)</f>
        <v>108.25299970675287</v>
      </c>
      <c r="D412" s="18"/>
    </row>
    <row r="413" spans="1:4">
      <c r="A413" s="18">
        <v>45688</v>
      </c>
      <c r="B413" s="1175">
        <f>B412*(1+(1+GA!$G$145)^(1/12)-1)</f>
        <v>108.32042636512756</v>
      </c>
      <c r="D413" s="18"/>
    </row>
    <row r="414" spans="1:4">
      <c r="A414" s="18">
        <v>45716</v>
      </c>
      <c r="B414" s="1175">
        <f>B413*(1+(1+GA!$G$145)^(1/12)-1)</f>
        <v>108.38789502099212</v>
      </c>
      <c r="D414" s="18"/>
    </row>
    <row r="415" spans="1:4">
      <c r="A415" s="18">
        <v>45747</v>
      </c>
      <c r="B415" s="1175">
        <f>B414*(1+(1+GA!$G$145)^(1/12)-1)</f>
        <v>108.45540570050518</v>
      </c>
      <c r="D415" s="18"/>
    </row>
    <row r="416" spans="1:4">
      <c r="A416" s="18">
        <v>45777</v>
      </c>
      <c r="B416" s="1175">
        <f>B415*(1+(1+GA!$G$145)^(1/12)-1)</f>
        <v>108.52295842984169</v>
      </c>
      <c r="D416" s="18"/>
    </row>
    <row r="417" spans="1:4">
      <c r="A417" s="18">
        <v>45808</v>
      </c>
      <c r="B417" s="1175">
        <f>B416*(1+(1+GA!$G$145)^(1/12)-1)</f>
        <v>108.59055323519287</v>
      </c>
      <c r="D417" s="18"/>
    </row>
    <row r="418" spans="1:4">
      <c r="A418" s="18">
        <v>45838</v>
      </c>
      <c r="B418" s="1175">
        <f>B417*(1+(1+GA!$G$145)^(1/12)-1)</f>
        <v>108.65819014276626</v>
      </c>
      <c r="D418" s="18"/>
    </row>
    <row r="419" spans="1:4">
      <c r="A419" s="18">
        <v>45869</v>
      </c>
      <c r="B419" s="1175">
        <f>B418*(1+(1+GA!$G$145)^(1/12)-1)</f>
        <v>108.72586917878571</v>
      </c>
      <c r="D419" s="18"/>
    </row>
    <row r="420" spans="1:4">
      <c r="A420" s="18">
        <v>45900</v>
      </c>
      <c r="B420" s="1175">
        <f>B419*(1+(1+GA!$G$145)^(1/12)-1)</f>
        <v>108.79359036949144</v>
      </c>
      <c r="D420" s="18"/>
    </row>
    <row r="421" spans="1:4">
      <c r="A421" s="18">
        <v>45930</v>
      </c>
      <c r="B421" s="1175">
        <f>B420*(1+(1+GA!$G$145)^(1/12)-1)</f>
        <v>108.86135374113998</v>
      </c>
      <c r="D421" s="18"/>
    </row>
    <row r="422" spans="1:4">
      <c r="A422" s="18">
        <v>45961</v>
      </c>
      <c r="B422" s="1175">
        <f>B421*(1+(1+GA!$G$145)^(1/12)-1)</f>
        <v>108.92915932000425</v>
      </c>
      <c r="D422" s="18"/>
    </row>
    <row r="423" spans="1:4">
      <c r="A423" s="18">
        <v>45991</v>
      </c>
      <c r="B423" s="1175">
        <f>B422*(1+(1+GA!$G$145)^(1/12)-1)</f>
        <v>108.99700713237348</v>
      </c>
      <c r="D423" s="18"/>
    </row>
    <row r="424" spans="1:4">
      <c r="A424" s="18">
        <v>46022</v>
      </c>
      <c r="B424" s="1175">
        <f>B423*(1+(1+GA!$G$145)^(1/12)-1)</f>
        <v>109.06489720455333</v>
      </c>
      <c r="D424" s="18"/>
    </row>
    <row r="425" spans="1:4">
      <c r="A425" s="18">
        <v>46053</v>
      </c>
      <c r="B425" s="1175">
        <f>B424*(1+(1+GA!$G$145)^(1/12)-1)</f>
        <v>109.13282956286582</v>
      </c>
      <c r="D425" s="18"/>
    </row>
    <row r="426" spans="1:4">
      <c r="A426" s="18">
        <v>46081</v>
      </c>
      <c r="B426" s="1175">
        <f>B425*(1+(1+GA!$G$145)^(1/12)-1)</f>
        <v>109.20080423364936</v>
      </c>
      <c r="D426" s="18"/>
    </row>
    <row r="427" spans="1:4">
      <c r="A427" s="18">
        <v>46112</v>
      </c>
      <c r="B427" s="1175">
        <f>B426*(1+(1+GA!$G$145)^(1/12)-1)</f>
        <v>109.26882124325878</v>
      </c>
      <c r="D427" s="18"/>
    </row>
    <row r="428" spans="1:4">
      <c r="A428" s="18">
        <v>46142</v>
      </c>
      <c r="B428" s="1175">
        <f>B427*(1+(1+GA!$G$145)^(1/12)-1)</f>
        <v>109.33688061806532</v>
      </c>
      <c r="D428" s="18"/>
    </row>
    <row r="429" spans="1:4">
      <c r="A429" s="18">
        <v>46173</v>
      </c>
      <c r="B429" s="1175">
        <f>B428*(1+(1+GA!$G$145)^(1/12)-1)</f>
        <v>109.40498238445663</v>
      </c>
      <c r="D429" s="18"/>
    </row>
    <row r="430" spans="1:4">
      <c r="A430" s="18">
        <v>46203</v>
      </c>
      <c r="B430" s="1175">
        <f>B429*(1+(1+GA!$G$145)^(1/12)-1)</f>
        <v>109.4731265688368</v>
      </c>
      <c r="D430" s="18"/>
    </row>
    <row r="431" spans="1:4">
      <c r="A431" s="18">
        <v>46234</v>
      </c>
      <c r="B431" s="1175">
        <f>B430*(1+(1+GA!$G$145)^(1/12)-1)</f>
        <v>109.54131319762641</v>
      </c>
      <c r="D431" s="18"/>
    </row>
    <row r="432" spans="1:4">
      <c r="A432" s="18">
        <v>46265</v>
      </c>
      <c r="B432" s="1175">
        <f>B431*(1+(1+GA!$G$145)^(1/12)-1)</f>
        <v>109.60954229726242</v>
      </c>
      <c r="D432" s="18"/>
    </row>
    <row r="433" spans="1:4">
      <c r="A433" s="18">
        <v>46295</v>
      </c>
      <c r="B433" s="1175">
        <f>B432*(1+(1+GA!$G$145)^(1/12)-1)</f>
        <v>109.67781389419834</v>
      </c>
      <c r="D433" s="18"/>
    </row>
    <row r="434" spans="1:4">
      <c r="A434" s="18">
        <v>46326</v>
      </c>
      <c r="B434" s="1175">
        <f>B433*(1+(1+GA!$G$145)^(1/12)-1)</f>
        <v>109.74612801490407</v>
      </c>
      <c r="D434" s="18"/>
    </row>
    <row r="435" spans="1:4">
      <c r="A435" s="18">
        <v>46356</v>
      </c>
      <c r="B435" s="1175">
        <f>B434*(1+(1+GA!$G$145)^(1/12)-1)</f>
        <v>109.81448468586608</v>
      </c>
      <c r="D435" s="18"/>
    </row>
    <row r="436" spans="1:4">
      <c r="A436" s="18">
        <v>46387</v>
      </c>
      <c r="B436" s="1175">
        <f>B435*(1+(1+GA!$G$145)^(1/12)-1)</f>
        <v>109.88288393358728</v>
      </c>
      <c r="D436" s="18"/>
    </row>
    <row r="437" spans="1:4">
      <c r="A437" s="18">
        <v>46418</v>
      </c>
      <c r="B437" s="1175">
        <f>B436*(1+(1+GA!$G$145)^(1/12)-1)</f>
        <v>109.95132578458711</v>
      </c>
      <c r="D437" s="18"/>
    </row>
    <row r="438" spans="1:4">
      <c r="A438" s="18">
        <v>46446</v>
      </c>
      <c r="B438" s="1175">
        <f>B437*(1+(1+GA!$G$145)^(1/12)-1)</f>
        <v>110.01981026540153</v>
      </c>
      <c r="D438" s="18"/>
    </row>
    <row r="439" spans="1:4">
      <c r="A439" s="18">
        <v>46477</v>
      </c>
      <c r="B439" s="1175">
        <f>B438*(1+(1+GA!$G$145)^(1/12)-1)</f>
        <v>110.08833740258302</v>
      </c>
      <c r="D439" s="18"/>
    </row>
    <row r="440" spans="1:4">
      <c r="A440" s="18">
        <v>46507</v>
      </c>
      <c r="B440" s="1175">
        <f>B439*(1+(1+GA!$G$145)^(1/12)-1)</f>
        <v>110.1569072227006</v>
      </c>
      <c r="D440" s="18"/>
    </row>
    <row r="441" spans="1:4">
      <c r="A441" s="18">
        <v>46538</v>
      </c>
      <c r="B441" s="1175">
        <f>B440*(1+(1+GA!$G$145)^(1/12)-1)</f>
        <v>110.22551975233984</v>
      </c>
      <c r="D441" s="18"/>
    </row>
    <row r="442" spans="1:4">
      <c r="A442" s="18">
        <v>46568</v>
      </c>
      <c r="B442" s="1175">
        <f>B441*(1+(1+GA!$G$145)^(1/12)-1)</f>
        <v>110.29417501810286</v>
      </c>
      <c r="D442" s="18"/>
    </row>
    <row r="443" spans="1:4">
      <c r="A443" s="18">
        <v>46599</v>
      </c>
      <c r="B443" s="1175">
        <f>B442*(1+(1+GA!$G$145)^(1/12)-1)</f>
        <v>110.36287304660839</v>
      </c>
      <c r="D443" s="18"/>
    </row>
    <row r="444" spans="1:4">
      <c r="A444" s="18">
        <v>46630</v>
      </c>
      <c r="B444" s="1175">
        <f>B443*(1+(1+GA!$G$145)^(1/12)-1)</f>
        <v>110.43161386449168</v>
      </c>
      <c r="D444" s="18"/>
    </row>
    <row r="445" spans="1:4">
      <c r="A445" s="18">
        <v>46660</v>
      </c>
      <c r="B445" s="1175">
        <f>B444*(1+(1+GA!$G$145)^(1/12)-1)</f>
        <v>110.50039749840461</v>
      </c>
      <c r="D445" s="18"/>
    </row>
    <row r="446" spans="1:4">
      <c r="A446" s="18">
        <v>46691</v>
      </c>
      <c r="B446" s="1175">
        <f>B445*(1+(1+GA!$G$145)^(1/12)-1)</f>
        <v>110.56922397501565</v>
      </c>
      <c r="D446" s="18"/>
    </row>
    <row r="447" spans="1:4">
      <c r="A447" s="18">
        <v>46721</v>
      </c>
      <c r="B447" s="1175">
        <f>B446*(1+(1+GA!$G$145)^(1/12)-1)</f>
        <v>110.63809332100986</v>
      </c>
      <c r="D447" s="18"/>
    </row>
    <row r="448" spans="1:4">
      <c r="A448" s="18">
        <v>46752</v>
      </c>
      <c r="B448" s="1175">
        <f>B447*(1+(1+GA!$G$145)^(1/12)-1)</f>
        <v>110.70700556308897</v>
      </c>
      <c r="D448" s="18"/>
    </row>
    <row r="449" spans="1:4">
      <c r="A449" s="18">
        <v>46783</v>
      </c>
      <c r="B449" s="1175">
        <f>B448*(1+(1+GA!$G$145)^(1/12)-1)</f>
        <v>110.7759607279713</v>
      </c>
      <c r="D449" s="18"/>
    </row>
    <row r="450" spans="1:4">
      <c r="A450" s="18">
        <v>46812</v>
      </c>
      <c r="B450" s="1175">
        <f>B449*(1+(1+GA!$G$145)^(1/12)-1)</f>
        <v>110.84495884239182</v>
      </c>
      <c r="D450" s="18"/>
    </row>
    <row r="451" spans="1:4">
      <c r="A451" s="18">
        <v>46843</v>
      </c>
      <c r="B451" s="1175">
        <f>B450*(1+(1+GA!$G$145)^(1/12)-1)</f>
        <v>110.91399993310216</v>
      </c>
      <c r="D451" s="18"/>
    </row>
    <row r="452" spans="1:4">
      <c r="A452" s="18">
        <v>46873</v>
      </c>
      <c r="B452" s="1175">
        <f>B451*(1+(1+GA!$G$145)^(1/12)-1)</f>
        <v>110.98308402687063</v>
      </c>
      <c r="D452" s="18"/>
    </row>
    <row r="453" spans="1:4">
      <c r="A453" s="18">
        <v>46904</v>
      </c>
      <c r="B453" s="1175">
        <f>B452*(1+(1+GA!$G$145)^(1/12)-1)</f>
        <v>111.05221115048217</v>
      </c>
      <c r="D453" s="18"/>
    </row>
    <row r="454" spans="1:4">
      <c r="A454" s="18">
        <v>46934</v>
      </c>
      <c r="B454" s="1175">
        <f>B453*(1+(1+GA!$G$145)^(1/12)-1)</f>
        <v>111.12138133073842</v>
      </c>
      <c r="D454" s="18"/>
    </row>
    <row r="455" spans="1:4">
      <c r="A455" s="18">
        <v>46965</v>
      </c>
      <c r="B455" s="1175">
        <f>B454*(1+(1+GA!$G$145)^(1/12)-1)</f>
        <v>111.19059459445774</v>
      </c>
      <c r="D455" s="18"/>
    </row>
    <row r="456" spans="1:4">
      <c r="A456" s="18">
        <v>46996</v>
      </c>
      <c r="B456" s="1175">
        <f>B455*(1+(1+GA!$G$145)^(1/12)-1)</f>
        <v>111.25985096847515</v>
      </c>
      <c r="D456" s="18"/>
    </row>
    <row r="457" spans="1:4">
      <c r="A457" s="18">
        <v>47026</v>
      </c>
      <c r="B457" s="1175">
        <f>B456*(1+(1+GA!$G$145)^(1/12)-1)</f>
        <v>111.32915047964242</v>
      </c>
      <c r="D457" s="18"/>
    </row>
    <row r="458" spans="1:4">
      <c r="A458" s="18">
        <v>47057</v>
      </c>
      <c r="B458" s="1175">
        <f>B457*(1+(1+GA!$G$145)^(1/12)-1)</f>
        <v>111.39849315482805</v>
      </c>
      <c r="D458" s="18"/>
    </row>
    <row r="459" spans="1:4">
      <c r="A459" s="18">
        <v>47087</v>
      </c>
      <c r="B459" s="1175">
        <f>B458*(1+(1+GA!$G$145)^(1/12)-1)</f>
        <v>111.46787902091722</v>
      </c>
      <c r="D459" s="18"/>
    </row>
    <row r="460" spans="1:4">
      <c r="A460" s="18">
        <v>47118</v>
      </c>
      <c r="B460" s="1175">
        <f>B459*(1+(1+GA!$G$145)^(1/12)-1)</f>
        <v>111.53730810481193</v>
      </c>
      <c r="D460" s="18"/>
    </row>
    <row r="461" spans="1:4">
      <c r="A461" s="18">
        <v>47149</v>
      </c>
      <c r="B461" s="1175">
        <f>B460*(1+(1+GA!$G$145)^(1/12)-1)</f>
        <v>111.60678043343087</v>
      </c>
      <c r="D461" s="18"/>
    </row>
    <row r="462" spans="1:4">
      <c r="A462" s="18">
        <v>47177</v>
      </c>
      <c r="B462" s="1175">
        <f>B461*(1+(1+GA!$G$145)^(1/12)-1)</f>
        <v>111.67629603370955</v>
      </c>
      <c r="D462" s="18"/>
    </row>
    <row r="463" spans="1:4">
      <c r="A463" s="18">
        <v>47208</v>
      </c>
      <c r="B463" s="1175">
        <f>B462*(1+(1+GA!$G$145)^(1/12)-1)</f>
        <v>111.74585493260022</v>
      </c>
      <c r="D463" s="18"/>
    </row>
    <row r="464" spans="1:4">
      <c r="A464" s="18">
        <v>47238</v>
      </c>
      <c r="B464" s="1175">
        <f>B463*(1+(1+GA!$G$145)^(1/12)-1)</f>
        <v>111.81545715707195</v>
      </c>
      <c r="D464" s="18"/>
    </row>
    <row r="465" spans="1:4">
      <c r="A465" s="18">
        <v>47269</v>
      </c>
      <c r="B465" s="1175">
        <f>B464*(1+(1+GA!$G$145)^(1/12)-1)</f>
        <v>111.88510273411057</v>
      </c>
      <c r="D465" s="18"/>
    </row>
    <row r="466" spans="1:4">
      <c r="A466" s="18">
        <v>47299</v>
      </c>
      <c r="B466" s="1175">
        <f>B465*(1+(1+GA!$G$145)^(1/12)-1)</f>
        <v>111.95479169071875</v>
      </c>
      <c r="D466" s="18"/>
    </row>
    <row r="467" spans="1:4">
      <c r="A467" s="18">
        <v>47330</v>
      </c>
      <c r="B467" s="1175">
        <f>B466*(1+(1+GA!$G$145)^(1/12)-1)</f>
        <v>112.02452405391595</v>
      </c>
      <c r="D467" s="18"/>
    </row>
    <row r="468" spans="1:4">
      <c r="A468" s="18">
        <v>47361</v>
      </c>
      <c r="B468" s="1175">
        <f>B467*(1+(1+GA!$G$145)^(1/12)-1)</f>
        <v>112.09429985073849</v>
      </c>
      <c r="D468" s="18"/>
    </row>
    <row r="469" spans="1:4">
      <c r="A469" s="18">
        <v>47391</v>
      </c>
      <c r="B469" s="1175">
        <f>B468*(1+(1+GA!$G$145)^(1/12)-1)</f>
        <v>112.16411910823952</v>
      </c>
      <c r="D469" s="18"/>
    </row>
    <row r="470" spans="1:4">
      <c r="A470" s="18">
        <v>47422</v>
      </c>
      <c r="B470" s="1175">
        <f>B469*(1+(1+GA!$G$145)^(1/12)-1)</f>
        <v>112.23398185348903</v>
      </c>
      <c r="D470" s="18"/>
    </row>
    <row r="471" spans="1:4">
      <c r="A471" s="18">
        <v>47452</v>
      </c>
      <c r="B471" s="1175">
        <f>B470*(1+(1+GA!$G$145)^(1/12)-1)</f>
        <v>112.30388811357388</v>
      </c>
      <c r="D471" s="18"/>
    </row>
    <row r="472" spans="1:4">
      <c r="A472" s="18">
        <v>47483</v>
      </c>
      <c r="B472" s="1175">
        <f>B471*(1+(1+GA!$G$145)^(1/12)-1)</f>
        <v>112.37383791559779</v>
      </c>
      <c r="D472" s="18"/>
    </row>
    <row r="473" spans="1:4">
      <c r="A473" s="18">
        <v>47514</v>
      </c>
      <c r="B473" s="1175">
        <f>B472*(1+(1+GA!$G$145)^(1/12)-1)</f>
        <v>112.44383128668139</v>
      </c>
      <c r="D473" s="18"/>
    </row>
    <row r="474" spans="1:4">
      <c r="A474" s="18">
        <v>47542</v>
      </c>
      <c r="B474" s="1175">
        <f>B473*(1+(1+GA!$G$145)^(1/12)-1)</f>
        <v>112.51386825396216</v>
      </c>
      <c r="D474" s="18"/>
    </row>
    <row r="475" spans="1:4">
      <c r="A475" s="18">
        <v>47573</v>
      </c>
      <c r="B475" s="1175">
        <f>B474*(1+(1+GA!$G$145)^(1/12)-1)</f>
        <v>112.58394884459452</v>
      </c>
      <c r="D475" s="18"/>
    </row>
    <row r="476" spans="1:4">
      <c r="A476" s="18">
        <v>47603</v>
      </c>
      <c r="B476" s="1175">
        <f>B475*(1+(1+GA!$G$145)^(1/12)-1)</f>
        <v>112.65407308574977</v>
      </c>
      <c r="D476" s="18"/>
    </row>
    <row r="477" spans="1:4">
      <c r="A477" s="18">
        <v>47634</v>
      </c>
      <c r="B477" s="1175">
        <f>B476*(1+(1+GA!$G$145)^(1/12)-1)</f>
        <v>112.72424100461619</v>
      </c>
      <c r="D477" s="18"/>
    </row>
    <row r="478" spans="1:4">
      <c r="A478" s="18">
        <v>47664</v>
      </c>
      <c r="B478" s="1175">
        <f>B477*(1+(1+GA!$G$145)^(1/12)-1)</f>
        <v>112.79445262839893</v>
      </c>
      <c r="D478" s="18"/>
    </row>
    <row r="479" spans="1:4">
      <c r="A479" s="18">
        <v>47695</v>
      </c>
      <c r="B479" s="1175">
        <f>B478*(1+(1+GA!$G$145)^(1/12)-1)</f>
        <v>112.86470798432012</v>
      </c>
      <c r="D479" s="18"/>
    </row>
    <row r="480" spans="1:4">
      <c r="A480" s="18">
        <v>47726</v>
      </c>
      <c r="B480" s="1175">
        <f>B479*(1+(1+GA!$G$145)^(1/12)-1)</f>
        <v>112.93500709961883</v>
      </c>
      <c r="D480" s="18"/>
    </row>
    <row r="481" spans="1:4">
      <c r="A481" s="18">
        <v>47756</v>
      </c>
      <c r="B481" s="1175">
        <f>B480*(1+(1+GA!$G$145)^(1/12)-1)</f>
        <v>113.00535000155112</v>
      </c>
      <c r="D481" s="18"/>
    </row>
    <row r="482" spans="1:4">
      <c r="A482" s="18">
        <v>47787</v>
      </c>
      <c r="B482" s="1175">
        <f>B481*(1+(1+GA!$G$145)^(1/12)-1)</f>
        <v>113.07573671739</v>
      </c>
      <c r="D482" s="18"/>
    </row>
    <row r="483" spans="1:4">
      <c r="A483" s="18">
        <v>47817</v>
      </c>
      <c r="B483" s="1175">
        <f>B482*(1+(1+GA!$G$145)^(1/12)-1)</f>
        <v>113.14616727442548</v>
      </c>
      <c r="D483" s="18"/>
    </row>
    <row r="484" spans="1:4">
      <c r="A484" s="18">
        <v>47848</v>
      </c>
      <c r="B484" s="1175">
        <f>B483*(1+(1+GA!$G$145)^(1/12)-1)</f>
        <v>113.21664169996457</v>
      </c>
      <c r="D484" s="18"/>
    </row>
    <row r="485" spans="1:4">
      <c r="A485" s="18">
        <v>47879</v>
      </c>
      <c r="B485" s="1175">
        <f>B484*(1+(1+GA!$G$145)^(1/12)-1)</f>
        <v>113.28716002133129</v>
      </c>
      <c r="D485" s="18"/>
    </row>
    <row r="486" spans="1:4">
      <c r="A486" s="18">
        <v>47907</v>
      </c>
      <c r="B486" s="1175">
        <f>B485*(1+(1+GA!$G$145)^(1/12)-1)</f>
        <v>113.35772226586667</v>
      </c>
      <c r="D486" s="18"/>
    </row>
    <row r="487" spans="1:4">
      <c r="A487" s="18">
        <v>47938</v>
      </c>
      <c r="B487" s="1175">
        <f>B486*(1+(1+GA!$G$145)^(1/12)-1)</f>
        <v>113.42832846092877</v>
      </c>
      <c r="D487" s="18"/>
    </row>
    <row r="488" spans="1:4">
      <c r="A488" s="18">
        <v>47968</v>
      </c>
      <c r="B488" s="1175">
        <f>B487*(1+(1+GA!$G$145)^(1/12)-1)</f>
        <v>113.49897863389269</v>
      </c>
      <c r="D488" s="18"/>
    </row>
    <row r="489" spans="1:4">
      <c r="A489" s="18">
        <v>47999</v>
      </c>
      <c r="B489" s="1175">
        <f>B488*(1+(1+GA!$G$145)^(1/12)-1)</f>
        <v>113.5696728121506</v>
      </c>
      <c r="D489" s="18"/>
    </row>
    <row r="490" spans="1:4">
      <c r="A490" s="18">
        <v>48029</v>
      </c>
      <c r="B490" s="1175">
        <f>B489*(1+(1+GA!$G$145)^(1/12)-1)</f>
        <v>113.64041102311171</v>
      </c>
      <c r="D490" s="18"/>
    </row>
    <row r="491" spans="1:4">
      <c r="A491" s="18">
        <v>48060</v>
      </c>
      <c r="B491" s="1175">
        <f>B490*(1+(1+GA!$G$145)^(1/12)-1)</f>
        <v>113.7111932942023</v>
      </c>
      <c r="D491" s="18"/>
    </row>
    <row r="492" spans="1:4">
      <c r="A492" s="18">
        <v>48091</v>
      </c>
      <c r="B492" s="1175">
        <f>B491*(1+(1+GA!$G$145)^(1/12)-1)</f>
        <v>113.78201965286576</v>
      </c>
      <c r="D492" s="18"/>
    </row>
    <row r="493" spans="1:4">
      <c r="A493" s="18">
        <v>48121</v>
      </c>
      <c r="B493" s="1175">
        <f>B492*(1+(1+GA!$G$145)^(1/12)-1)</f>
        <v>113.85289012656254</v>
      </c>
      <c r="D493" s="18"/>
    </row>
    <row r="494" spans="1:4">
      <c r="A494" s="18">
        <v>48152</v>
      </c>
      <c r="B494" s="1175">
        <f>B493*(1+(1+GA!$G$145)^(1/12)-1)</f>
        <v>113.92380474277022</v>
      </c>
      <c r="D494" s="18"/>
    </row>
    <row r="495" spans="1:4">
      <c r="A495" s="18">
        <v>48182</v>
      </c>
      <c r="B495" s="1175">
        <f>B494*(1+(1+GA!$G$145)^(1/12)-1)</f>
        <v>113.99476352898347</v>
      </c>
      <c r="D495" s="18"/>
    </row>
    <row r="496" spans="1:4">
      <c r="A496" s="18">
        <v>48213</v>
      </c>
      <c r="B496" s="1175">
        <f>B495*(1+(1+GA!$G$145)^(1/12)-1)</f>
        <v>114.06576651271411</v>
      </c>
      <c r="D496" s="18"/>
    </row>
    <row r="497" spans="1:4">
      <c r="A497" s="18">
        <v>48244</v>
      </c>
      <c r="B497" s="1175">
        <f>B496*(1+(1+GA!$G$145)^(1/12)-1)</f>
        <v>114.13681372149108</v>
      </c>
      <c r="D497" s="18"/>
    </row>
    <row r="498" spans="1:4">
      <c r="A498" s="18">
        <v>48273</v>
      </c>
      <c r="B498" s="1175">
        <f>B497*(1+(1+GA!$G$145)^(1/12)-1)</f>
        <v>114.20790518286047</v>
      </c>
      <c r="D498" s="18"/>
    </row>
    <row r="499" spans="1:4">
      <c r="A499" s="18">
        <v>48304</v>
      </c>
      <c r="B499" s="1175">
        <f>B498*(1+(1+GA!$G$145)^(1/12)-1)</f>
        <v>114.27904092438554</v>
      </c>
      <c r="D499" s="18"/>
    </row>
    <row r="500" spans="1:4">
      <c r="A500" s="18">
        <v>48334</v>
      </c>
      <c r="B500" s="1175">
        <f>B499*(1+(1+GA!$G$145)^(1/12)-1)</f>
        <v>114.3502209736467</v>
      </c>
      <c r="D500" s="18"/>
    </row>
    <row r="501" spans="1:4">
      <c r="A501" s="18">
        <v>48365</v>
      </c>
      <c r="B501" s="1175">
        <f>B500*(1+(1+GA!$G$145)^(1/12)-1)</f>
        <v>114.42144535824154</v>
      </c>
      <c r="D501" s="18"/>
    </row>
    <row r="502" spans="1:4">
      <c r="A502" s="18">
        <v>48395</v>
      </c>
      <c r="B502" s="1175">
        <f>B501*(1+(1+GA!$G$145)^(1/12)-1)</f>
        <v>114.49271410578486</v>
      </c>
      <c r="D502" s="18"/>
    </row>
    <row r="503" spans="1:4">
      <c r="A503" s="18">
        <v>48426</v>
      </c>
      <c r="B503" s="1175">
        <f>B502*(1+(1+GA!$G$145)^(1/12)-1)</f>
        <v>114.56402724390863</v>
      </c>
      <c r="D503" s="18"/>
    </row>
    <row r="504" spans="1:4">
      <c r="A504" s="18">
        <v>48457</v>
      </c>
      <c r="B504" s="1175">
        <f>B503*(1+(1+GA!$G$145)^(1/12)-1)</f>
        <v>114.63538480026206</v>
      </c>
      <c r="D504" s="18"/>
    </row>
    <row r="505" spans="1:4">
      <c r="A505" s="18">
        <v>48487</v>
      </c>
      <c r="B505" s="1175">
        <f>B504*(1+(1+GA!$G$145)^(1/12)-1)</f>
        <v>114.70678680251156</v>
      </c>
      <c r="D505" s="18"/>
    </row>
    <row r="506" spans="1:4">
      <c r="A506" s="18">
        <v>48518</v>
      </c>
      <c r="B506" s="1175">
        <f>B505*(1+(1+GA!$G$145)^(1/12)-1)</f>
        <v>114.77823327834079</v>
      </c>
      <c r="D506" s="18"/>
    </row>
    <row r="507" spans="1:4">
      <c r="A507" s="18">
        <v>48548</v>
      </c>
      <c r="B507" s="1175">
        <f>B506*(1+(1+GA!$G$145)^(1/12)-1)</f>
        <v>114.84972425545064</v>
      </c>
      <c r="D507" s="18"/>
    </row>
    <row r="508" spans="1:4">
      <c r="A508" s="18">
        <v>48579</v>
      </c>
      <c r="B508" s="1175">
        <f>B507*(1+(1+GA!$G$145)^(1/12)-1)</f>
        <v>114.92125976155926</v>
      </c>
      <c r="D508" s="18"/>
    </row>
    <row r="509" spans="1:4">
      <c r="A509" s="18">
        <v>48610</v>
      </c>
      <c r="B509" s="1175">
        <f>B508*(1+(1+GA!$G$145)^(1/12)-1)</f>
        <v>114.99283982440205</v>
      </c>
      <c r="D509" s="18"/>
    </row>
    <row r="510" spans="1:4">
      <c r="A510" s="18">
        <v>48638</v>
      </c>
      <c r="B510" s="1175">
        <f>B509*(1+(1+GA!$G$145)^(1/12)-1)</f>
        <v>115.06446447173171</v>
      </c>
      <c r="D510" s="18"/>
    </row>
    <row r="511" spans="1:4">
      <c r="A511" s="18">
        <v>48669</v>
      </c>
      <c r="B511" s="1175">
        <f>B510*(1+(1+GA!$G$145)^(1/12)-1)</f>
        <v>115.13613373131821</v>
      </c>
      <c r="D511" s="18"/>
    </row>
    <row r="512" spans="1:4">
      <c r="A512" s="18">
        <v>48699</v>
      </c>
      <c r="B512" s="1175">
        <f>B511*(1+(1+GA!$G$145)^(1/12)-1)</f>
        <v>115.20784763094882</v>
      </c>
      <c r="D512" s="18"/>
    </row>
    <row r="513" spans="1:4">
      <c r="A513" s="18">
        <v>48730</v>
      </c>
      <c r="B513" s="1175">
        <f>B512*(1+(1+GA!$G$145)^(1/12)-1)</f>
        <v>115.27960619842813</v>
      </c>
      <c r="D513" s="18"/>
    </row>
    <row r="514" spans="1:4">
      <c r="A514" s="18">
        <v>48760</v>
      </c>
      <c r="B514" s="1175">
        <f>B513*(1+(1+GA!$G$145)^(1/12)-1)</f>
        <v>115.35140946157802</v>
      </c>
      <c r="D514" s="18"/>
    </row>
    <row r="515" spans="1:4">
      <c r="A515" s="18">
        <v>48791</v>
      </c>
      <c r="B515" s="1175">
        <f>B514*(1+(1+GA!$G$145)^(1/12)-1)</f>
        <v>115.42325744823772</v>
      </c>
      <c r="D515" s="18"/>
    </row>
    <row r="516" spans="1:4">
      <c r="A516" s="18">
        <v>48822</v>
      </c>
      <c r="B516" s="1175">
        <f>B515*(1+(1+GA!$G$145)^(1/12)-1)</f>
        <v>115.4951501862638</v>
      </c>
      <c r="D516" s="18"/>
    </row>
    <row r="517" spans="1:4">
      <c r="A517" s="18">
        <v>48852</v>
      </c>
      <c r="B517" s="1175">
        <f>B516*(1+(1+GA!$G$145)^(1/12)-1)</f>
        <v>115.56708770353018</v>
      </c>
      <c r="D517" s="18"/>
    </row>
    <row r="518" spans="1:4">
      <c r="A518" s="18">
        <v>48883</v>
      </c>
      <c r="B518" s="1175">
        <f>B517*(1+(1+GA!$G$145)^(1/12)-1)</f>
        <v>115.63907002792813</v>
      </c>
      <c r="D518" s="18"/>
    </row>
    <row r="519" spans="1:4">
      <c r="A519" s="18">
        <v>48913</v>
      </c>
      <c r="B519" s="1175">
        <f>B518*(1+(1+GA!$G$145)^(1/12)-1)</f>
        <v>115.71109718736631</v>
      </c>
      <c r="D519" s="18"/>
    </row>
    <row r="520" spans="1:4">
      <c r="A520" s="18">
        <v>48944</v>
      </c>
      <c r="B520" s="1175">
        <f>B519*(1+(1+GA!$G$145)^(1/12)-1)</f>
        <v>115.78316920977073</v>
      </c>
      <c r="D520" s="18"/>
    </row>
    <row r="521" spans="1:4">
      <c r="A521" s="18">
        <v>48975</v>
      </c>
      <c r="B521" s="1175">
        <f>B520*(1+(1+GA!$G$145)^(1/12)-1)</f>
        <v>115.85528612308485</v>
      </c>
      <c r="D521" s="18"/>
    </row>
    <row r="522" spans="1:4">
      <c r="A522" s="18">
        <v>49003</v>
      </c>
      <c r="B522" s="1175">
        <f>B521*(1+(1+GA!$G$145)^(1/12)-1)</f>
        <v>115.92744795526949</v>
      </c>
      <c r="D522" s="18"/>
    </row>
    <row r="523" spans="1:4">
      <c r="A523" s="18">
        <v>49034</v>
      </c>
      <c r="B523" s="1175">
        <f>B522*(1+(1+GA!$G$145)^(1/12)-1)</f>
        <v>115.99965473430289</v>
      </c>
      <c r="D523" s="18"/>
    </row>
    <row r="524" spans="1:4">
      <c r="A524" s="18">
        <v>49064</v>
      </c>
      <c r="B524" s="1175">
        <f>B523*(1+(1+GA!$G$145)^(1/12)-1)</f>
        <v>116.07190648818074</v>
      </c>
      <c r="D524" s="18"/>
    </row>
    <row r="525" spans="1:4">
      <c r="A525" s="18">
        <v>49095</v>
      </c>
      <c r="B525" s="1175">
        <f>B524*(1+(1+GA!$G$145)^(1/12)-1)</f>
        <v>116.14420324491614</v>
      </c>
      <c r="D525" s="18"/>
    </row>
    <row r="526" spans="1:4">
      <c r="A526" s="18">
        <v>49125</v>
      </c>
      <c r="B526" s="1175">
        <f>B525*(1+(1+GA!$G$145)^(1/12)-1)</f>
        <v>116.21654503253966</v>
      </c>
      <c r="D526" s="18"/>
    </row>
    <row r="527" spans="1:4">
      <c r="A527" s="18">
        <v>49156</v>
      </c>
      <c r="B527" s="1175">
        <f>B526*(1+(1+GA!$G$145)^(1/12)-1)</f>
        <v>116.28893187909931</v>
      </c>
      <c r="D527" s="18"/>
    </row>
    <row r="528" spans="1:4">
      <c r="A528" s="18">
        <v>49187</v>
      </c>
      <c r="B528" s="1175">
        <f>B527*(1+(1+GA!$G$145)^(1/12)-1)</f>
        <v>116.36136381266058</v>
      </c>
      <c r="D528" s="18"/>
    </row>
    <row r="529" spans="1:4">
      <c r="A529" s="18">
        <v>49217</v>
      </c>
      <c r="B529" s="1175">
        <f>B528*(1+(1+GA!$G$145)^(1/12)-1)</f>
        <v>116.43384086130646</v>
      </c>
      <c r="D529" s="18"/>
    </row>
    <row r="530" spans="1:4">
      <c r="A530" s="18">
        <v>49248</v>
      </c>
      <c r="B530" s="1175">
        <f>B529*(1+(1+GA!$G$145)^(1/12)-1)</f>
        <v>116.50636305313739</v>
      </c>
      <c r="D530" s="18"/>
    </row>
    <row r="531" spans="1:4">
      <c r="A531" s="18">
        <v>49278</v>
      </c>
      <c r="B531" s="1175">
        <f>B530*(1+(1+GA!$G$145)^(1/12)-1)</f>
        <v>116.57893041627135</v>
      </c>
      <c r="D531" s="18"/>
    </row>
    <row r="532" spans="1:4">
      <c r="A532" s="18">
        <v>49309</v>
      </c>
      <c r="B532" s="1175">
        <f>B531*(1+(1+GA!$G$145)^(1/12)-1)</f>
        <v>116.65154297884381</v>
      </c>
      <c r="D532" s="18"/>
    </row>
    <row r="533" spans="1:4">
      <c r="A533" s="18">
        <v>49340</v>
      </c>
      <c r="B533" s="1175">
        <f>B532*(1+(1+GA!$G$145)^(1/12)-1)</f>
        <v>116.72420076900778</v>
      </c>
      <c r="D533" s="18"/>
    </row>
    <row r="534" spans="1:4">
      <c r="A534" s="18">
        <v>49368</v>
      </c>
      <c r="B534" s="1175">
        <f>B533*(1+(1+GA!$G$145)^(1/12)-1)</f>
        <v>116.7969038149338</v>
      </c>
      <c r="D534" s="18"/>
    </row>
    <row r="535" spans="1:4">
      <c r="A535" s="18">
        <v>49399</v>
      </c>
      <c r="B535" s="1175">
        <f>B534*(1+(1+GA!$G$145)^(1/12)-1)</f>
        <v>116.86965214480995</v>
      </c>
      <c r="D535" s="18"/>
    </row>
    <row r="536" spans="1:4">
      <c r="A536" s="18">
        <v>49429</v>
      </c>
      <c r="B536" s="1175">
        <f>B535*(1+(1+GA!$G$145)^(1/12)-1)</f>
        <v>116.94244578684187</v>
      </c>
      <c r="D536" s="18"/>
    </row>
    <row r="537" spans="1:4">
      <c r="A537" s="18">
        <v>49460</v>
      </c>
      <c r="B537" s="1175">
        <f>B536*(1+(1+GA!$G$145)^(1/12)-1)</f>
        <v>117.01528476925279</v>
      </c>
      <c r="D537" s="18"/>
    </row>
    <row r="538" spans="1:4">
      <c r="A538" s="18">
        <v>49490</v>
      </c>
      <c r="B538" s="1175">
        <f>B537*(1+(1+GA!$G$145)^(1/12)-1)</f>
        <v>117.08816912028348</v>
      </c>
      <c r="D538" s="18"/>
    </row>
    <row r="539" spans="1:4">
      <c r="A539" s="18">
        <v>49521</v>
      </c>
      <c r="B539" s="1175">
        <f>B538*(1+(1+GA!$G$145)^(1/12)-1)</f>
        <v>117.16109886819233</v>
      </c>
      <c r="D539" s="18"/>
    </row>
    <row r="540" spans="1:4">
      <c r="A540" s="18">
        <v>49552</v>
      </c>
      <c r="B540" s="1175">
        <f>B539*(1+(1+GA!$G$145)^(1/12)-1)</f>
        <v>117.23407404125531</v>
      </c>
      <c r="D540" s="18"/>
    </row>
    <row r="541" spans="1:4">
      <c r="A541" s="18">
        <v>49582</v>
      </c>
      <c r="B541" s="1175">
        <f>B540*(1+(1+GA!$G$145)^(1/12)-1)</f>
        <v>117.30709466776602</v>
      </c>
      <c r="D541" s="18"/>
    </row>
    <row r="542" spans="1:4">
      <c r="A542" s="18">
        <v>49613</v>
      </c>
      <c r="B542" s="1175">
        <f>B541*(1+(1+GA!$G$145)^(1/12)-1)</f>
        <v>117.38016077603569</v>
      </c>
      <c r="D542" s="18"/>
    </row>
    <row r="543" spans="1:4">
      <c r="A543" s="18">
        <v>49643</v>
      </c>
      <c r="B543" s="1175">
        <f>B542*(1+(1+GA!$G$145)^(1/12)-1)</f>
        <v>117.45327239439315</v>
      </c>
      <c r="D543" s="18"/>
    </row>
    <row r="544" spans="1:4">
      <c r="A544" s="18">
        <v>49674</v>
      </c>
      <c r="B544" s="1175">
        <f>B543*(1+(1+GA!$G$145)^(1/12)-1)</f>
        <v>117.5264295511849</v>
      </c>
      <c r="D544" s="18"/>
    </row>
    <row r="545" spans="1:4">
      <c r="A545" s="18">
        <v>49705</v>
      </c>
      <c r="B545" s="1175">
        <f>B544*(1+(1+GA!$G$145)^(1/12)-1)</f>
        <v>117.5996322747751</v>
      </c>
      <c r="D545" s="18"/>
    </row>
    <row r="546" spans="1:4">
      <c r="A546" s="18">
        <v>49734</v>
      </c>
      <c r="B546" s="1175">
        <f>B545*(1+(1+GA!$G$145)^(1/12)-1)</f>
        <v>117.67288059354557</v>
      </c>
      <c r="D546" s="18"/>
    </row>
    <row r="547" spans="1:4">
      <c r="A547" s="18">
        <v>49765</v>
      </c>
      <c r="B547" s="1175">
        <f>B546*(1+(1+GA!$G$145)^(1/12)-1)</f>
        <v>117.74617453589579</v>
      </c>
      <c r="D547" s="18"/>
    </row>
    <row r="548" spans="1:4">
      <c r="A548" s="18">
        <v>49795</v>
      </c>
      <c r="B548" s="1175">
        <f>B547*(1+(1+GA!$G$145)^(1/12)-1)</f>
        <v>117.81951413024295</v>
      </c>
      <c r="D548" s="18"/>
    </row>
    <row r="549" spans="1:4">
      <c r="A549" s="18">
        <v>49826</v>
      </c>
      <c r="B549" s="1175">
        <f>B548*(1+(1+GA!$G$145)^(1/12)-1)</f>
        <v>117.89289940502195</v>
      </c>
      <c r="D549" s="18"/>
    </row>
    <row r="550" spans="1:4">
      <c r="A550" s="18">
        <v>49856</v>
      </c>
      <c r="B550" s="1175">
        <f>B549*(1+(1+GA!$G$145)^(1/12)-1)</f>
        <v>117.96633038868536</v>
      </c>
      <c r="D550" s="18"/>
    </row>
    <row r="551" spans="1:4">
      <c r="A551" s="18">
        <v>49887</v>
      </c>
      <c r="B551" s="1175">
        <f>B550*(1+(1+GA!$G$145)^(1/12)-1)</f>
        <v>118.03980710970353</v>
      </c>
      <c r="D551" s="18"/>
    </row>
    <row r="552" spans="1:4">
      <c r="A552" s="18">
        <v>49918</v>
      </c>
      <c r="B552" s="1175">
        <f>B551*(1+(1+GA!$G$145)^(1/12)-1)</f>
        <v>118.11332959656448</v>
      </c>
      <c r="D552" s="18"/>
    </row>
    <row r="553" spans="1:4">
      <c r="A553" s="18">
        <v>49948</v>
      </c>
      <c r="B553" s="1175">
        <f>B552*(1+(1+GA!$G$145)^(1/12)-1)</f>
        <v>118.18689787777403</v>
      </c>
      <c r="D553" s="18"/>
    </row>
    <row r="554" spans="1:4">
      <c r="A554" s="18">
        <v>49979</v>
      </c>
      <c r="B554" s="1175">
        <f>B553*(1+(1+GA!$G$145)^(1/12)-1)</f>
        <v>118.26051198185571</v>
      </c>
      <c r="D554" s="18"/>
    </row>
    <row r="555" spans="1:4">
      <c r="A555" s="18">
        <v>50009</v>
      </c>
      <c r="B555" s="1175">
        <f>B554*(1+(1+GA!$G$145)^(1/12)-1)</f>
        <v>118.33417193735086</v>
      </c>
      <c r="D555" s="18"/>
    </row>
    <row r="556" spans="1:4">
      <c r="A556" s="18">
        <v>50040</v>
      </c>
      <c r="B556" s="1175">
        <f>B555*(1+(1+GA!$G$145)^(1/12)-1)</f>
        <v>118.40787777281855</v>
      </c>
      <c r="D556" s="18"/>
    </row>
    <row r="557" spans="1:4">
      <c r="A557" s="18">
        <v>50071</v>
      </c>
      <c r="B557" s="1175">
        <f>B556*(1+(1+GA!$G$145)^(1/12)-1)</f>
        <v>118.48162951683568</v>
      </c>
      <c r="D557" s="18"/>
    </row>
    <row r="558" spans="1:4">
      <c r="A558" s="18">
        <v>50099</v>
      </c>
      <c r="B558" s="1175">
        <f>B557*(1+(1+GA!$G$145)^(1/12)-1)</f>
        <v>118.55542719799692</v>
      </c>
      <c r="D558" s="18"/>
    </row>
    <row r="559" spans="1:4">
      <c r="A559" s="18">
        <v>50130</v>
      </c>
      <c r="B559" s="1175">
        <f>B558*(1+(1+GA!$G$145)^(1/12)-1)</f>
        <v>118.62927084491477</v>
      </c>
      <c r="D559" s="18"/>
    </row>
    <row r="560" spans="1:4">
      <c r="A560" s="18">
        <v>50160</v>
      </c>
      <c r="B560" s="1175">
        <f>B559*(1+(1+GA!$G$145)^(1/12)-1)</f>
        <v>118.70316048621955</v>
      </c>
      <c r="D560" s="18"/>
    </row>
    <row r="561" spans="1:4">
      <c r="A561" s="18">
        <v>50191</v>
      </c>
      <c r="B561" s="1175">
        <f>B560*(1+(1+GA!$G$145)^(1/12)-1)</f>
        <v>118.77709615055939</v>
      </c>
      <c r="D561" s="18"/>
    </row>
    <row r="562" spans="1:4">
      <c r="A562" s="18">
        <v>50221</v>
      </c>
      <c r="B562" s="1175">
        <f>B561*(1+(1+GA!$G$145)^(1/12)-1)</f>
        <v>118.85107786660028</v>
      </c>
      <c r="D562" s="18"/>
    </row>
    <row r="563" spans="1:4">
      <c r="A563" s="18">
        <v>50252</v>
      </c>
      <c r="B563" s="1175">
        <f>B562*(1+(1+GA!$G$145)^(1/12)-1)</f>
        <v>118.92510566302607</v>
      </c>
      <c r="D563" s="18"/>
    </row>
    <row r="564" spans="1:4">
      <c r="A564" s="18">
        <v>50283</v>
      </c>
      <c r="B564" s="1175">
        <f>B563*(1+(1+GA!$G$145)^(1/12)-1)</f>
        <v>118.99917956853849</v>
      </c>
      <c r="D564" s="18"/>
    </row>
    <row r="565" spans="1:4">
      <c r="A565" s="18">
        <v>50313</v>
      </c>
      <c r="B565" s="1175">
        <f>B564*(1+(1+GA!$G$145)^(1/12)-1)</f>
        <v>119.07329961185711</v>
      </c>
      <c r="D565" s="18"/>
    </row>
    <row r="566" spans="1:4">
      <c r="A566" s="18">
        <v>50344</v>
      </c>
      <c r="B566" s="1175">
        <f>B565*(1+(1+GA!$G$145)^(1/12)-1)</f>
        <v>119.14746582171941</v>
      </c>
      <c r="D566" s="18"/>
    </row>
    <row r="567" spans="1:4">
      <c r="A567" s="18">
        <v>50374</v>
      </c>
      <c r="B567" s="1175">
        <f>B566*(1+(1+GA!$G$145)^(1/12)-1)</f>
        <v>119.22167822688077</v>
      </c>
      <c r="D567" s="18"/>
    </row>
    <row r="568" spans="1:4">
      <c r="A568" s="18">
        <v>50405</v>
      </c>
      <c r="B568" s="1175">
        <f>B567*(1+(1+GA!$G$145)^(1/12)-1)</f>
        <v>119.29593685611447</v>
      </c>
      <c r="D568" s="18"/>
    </row>
    <row r="569" spans="1:4">
      <c r="A569" s="18">
        <v>50436</v>
      </c>
      <c r="B569" s="1175">
        <f>B568*(1+(1+GA!$G$145)^(1/12)-1)</f>
        <v>119.37024173821172</v>
      </c>
      <c r="D569" s="18"/>
    </row>
    <row r="570" spans="1:4">
      <c r="A570" s="18">
        <v>50464</v>
      </c>
      <c r="B570" s="1175">
        <f>B569*(1+(1+GA!$G$145)^(1/12)-1)</f>
        <v>119.44459290198166</v>
      </c>
      <c r="D570" s="18"/>
    </row>
    <row r="571" spans="1:4">
      <c r="A571" s="18">
        <v>50495</v>
      </c>
      <c r="B571" s="1175">
        <f>B570*(1+(1+GA!$G$145)^(1/12)-1)</f>
        <v>119.51899037625139</v>
      </c>
      <c r="D571" s="18"/>
    </row>
    <row r="572" spans="1:4">
      <c r="A572" s="18">
        <v>50525</v>
      </c>
      <c r="B572" s="1175">
        <f>B571*(1+(1+GA!$G$145)^(1/12)-1)</f>
        <v>119.59343418986595</v>
      </c>
      <c r="D572" s="18"/>
    </row>
    <row r="573" spans="1:4">
      <c r="A573" s="18">
        <v>50556</v>
      </c>
      <c r="B573" s="1175">
        <f>B572*(1+(1+GA!$G$145)^(1/12)-1)</f>
        <v>119.66792437168833</v>
      </c>
      <c r="D573" s="18"/>
    </row>
    <row r="574" spans="1:4">
      <c r="A574" s="18">
        <v>50586</v>
      </c>
      <c r="B574" s="1175">
        <f>B573*(1+(1+GA!$G$145)^(1/12)-1)</f>
        <v>119.74246095059954</v>
      </c>
      <c r="D574" s="18"/>
    </row>
    <row r="575" spans="1:4">
      <c r="A575" s="18">
        <v>50617</v>
      </c>
      <c r="B575" s="1175">
        <f>B574*(1+(1+GA!$G$145)^(1/12)-1)</f>
        <v>119.81704395549853</v>
      </c>
      <c r="D575" s="18"/>
    </row>
    <row r="576" spans="1:4">
      <c r="A576" s="18">
        <v>50648</v>
      </c>
      <c r="B576" s="1175">
        <f>B575*(1+(1+GA!$G$145)^(1/12)-1)</f>
        <v>119.89167341530229</v>
      </c>
      <c r="D576" s="18"/>
    </row>
    <row r="577" spans="1:4">
      <c r="A577" s="18">
        <v>50678</v>
      </c>
      <c r="B577" s="1175">
        <f>B576*(1+(1+GA!$G$145)^(1/12)-1)</f>
        <v>119.96634935894581</v>
      </c>
      <c r="D577" s="18"/>
    </row>
    <row r="578" spans="1:4">
      <c r="A578" s="18">
        <v>50709</v>
      </c>
      <c r="B578" s="1175">
        <f>B577*(1+(1+GA!$G$145)^(1/12)-1)</f>
        <v>120.04107181538207</v>
      </c>
      <c r="D578" s="18"/>
    </row>
    <row r="579" spans="1:4">
      <c r="A579" s="18">
        <v>50739</v>
      </c>
      <c r="B579" s="1175">
        <f>B578*(1+(1+GA!$G$145)^(1/12)-1)</f>
        <v>120.11584081358214</v>
      </c>
      <c r="D579" s="18"/>
    </row>
    <row r="580" spans="1:4">
      <c r="A580" s="18">
        <v>50770</v>
      </c>
      <c r="B580" s="1175">
        <f>B579*(1+(1+GA!$G$145)^(1/12)-1)</f>
        <v>120.1906563825351</v>
      </c>
      <c r="D580" s="18"/>
    </row>
    <row r="581" spans="1:4">
      <c r="A581" s="18">
        <v>50801</v>
      </c>
      <c r="B581" s="1175">
        <f>B580*(1+(1+GA!$G$145)^(1/12)-1)</f>
        <v>120.26551855124808</v>
      </c>
      <c r="D581" s="18"/>
    </row>
    <row r="582" spans="1:4">
      <c r="A582" s="18">
        <v>50829</v>
      </c>
      <c r="B582" s="1175">
        <f>B581*(1+(1+GA!$G$145)^(1/12)-1)</f>
        <v>120.3404273487463</v>
      </c>
      <c r="D582" s="18"/>
    </row>
    <row r="583" spans="1:4">
      <c r="A583" s="18">
        <v>50860</v>
      </c>
      <c r="B583" s="1175">
        <f>B582*(1+(1+GA!$G$145)^(1/12)-1)</f>
        <v>120.41538280407306</v>
      </c>
      <c r="D583" s="18"/>
    </row>
    <row r="584" spans="1:4">
      <c r="A584" s="18">
        <v>50890</v>
      </c>
      <c r="B584" s="1175">
        <f>B583*(1+(1+GA!$G$145)^(1/12)-1)</f>
        <v>120.49038494628972</v>
      </c>
      <c r="D584" s="18"/>
    </row>
    <row r="585" spans="1:4">
      <c r="A585" s="18">
        <v>50921</v>
      </c>
      <c r="B585" s="1175">
        <f>B584*(1+(1+GA!$G$145)^(1/12)-1)</f>
        <v>120.56543380447577</v>
      </c>
      <c r="D585" s="18"/>
    </row>
    <row r="586" spans="1:4">
      <c r="A586" s="18">
        <v>50951</v>
      </c>
      <c r="B586" s="1175">
        <f>B585*(1+(1+GA!$G$145)^(1/12)-1)</f>
        <v>120.64052940772881</v>
      </c>
      <c r="D586" s="18"/>
    </row>
    <row r="587" spans="1:4">
      <c r="A587" s="18">
        <v>50982</v>
      </c>
      <c r="B587" s="1175">
        <f>B586*(1+(1+GA!$G$145)^(1/12)-1)</f>
        <v>120.71567178516455</v>
      </c>
      <c r="D587" s="18"/>
    </row>
    <row r="588" spans="1:4">
      <c r="A588" s="18">
        <v>51013</v>
      </c>
      <c r="B588" s="1175">
        <f>B587*(1+(1+GA!$G$145)^(1/12)-1)</f>
        <v>120.79086096591683</v>
      </c>
      <c r="D588" s="18"/>
    </row>
    <row r="589" spans="1:4">
      <c r="A589" s="18">
        <v>51043</v>
      </c>
      <c r="B589" s="1175">
        <f>B588*(1+(1+GA!$G$145)^(1/12)-1)</f>
        <v>120.86609697913767</v>
      </c>
      <c r="D589" s="18"/>
    </row>
    <row r="590" spans="1:4">
      <c r="A590" s="18">
        <v>51074</v>
      </c>
      <c r="B590" s="1175">
        <f>B589*(1+(1+GA!$G$145)^(1/12)-1)</f>
        <v>120.9413798539972</v>
      </c>
      <c r="D590" s="18"/>
    </row>
    <row r="591" spans="1:4">
      <c r="A591" s="18">
        <v>51104</v>
      </c>
      <c r="B591" s="1175">
        <f>B590*(1+(1+GA!$G$145)^(1/12)-1)</f>
        <v>121.01670961968377</v>
      </c>
      <c r="D591" s="18"/>
    </row>
    <row r="592" spans="1:4">
      <c r="A592" s="18">
        <v>51135</v>
      </c>
      <c r="B592" s="1175">
        <f>B591*(1+(1+GA!$G$145)^(1/12)-1)</f>
        <v>121.09208630540387</v>
      </c>
      <c r="D592" s="18"/>
    </row>
    <row r="593" spans="1:4">
      <c r="A593" s="18">
        <v>51166</v>
      </c>
      <c r="B593" s="1175">
        <f>B592*(1+(1+GA!$G$145)^(1/12)-1)</f>
        <v>121.1675099403822</v>
      </c>
      <c r="D593" s="18"/>
    </row>
    <row r="594" spans="1:4">
      <c r="A594" s="18">
        <v>51195</v>
      </c>
      <c r="B594" s="1175">
        <f>B593*(1+(1+GA!$G$145)^(1/12)-1)</f>
        <v>121.24298055386167</v>
      </c>
      <c r="D594" s="18"/>
    </row>
    <row r="595" spans="1:4">
      <c r="A595" s="18">
        <v>51226</v>
      </c>
      <c r="B595" s="1175">
        <f>B594*(1+(1+GA!$G$145)^(1/12)-1)</f>
        <v>121.31849817510337</v>
      </c>
      <c r="D595" s="18"/>
    </row>
    <row r="596" spans="1:4">
      <c r="A596" s="18">
        <v>51256</v>
      </c>
      <c r="B596" s="1175">
        <f>B595*(1+(1+GA!$G$145)^(1/12)-1)</f>
        <v>121.39406283338666</v>
      </c>
      <c r="D596" s="18"/>
    </row>
    <row r="597" spans="1:4">
      <c r="A597" s="18">
        <v>51287</v>
      </c>
      <c r="B597" s="1175">
        <f>B596*(1+(1+GA!$G$145)^(1/12)-1)</f>
        <v>121.4696745580091</v>
      </c>
      <c r="D597" s="18"/>
    </row>
    <row r="598" spans="1:4">
      <c r="A598" s="18">
        <v>51317</v>
      </c>
      <c r="B598" s="1175">
        <f>B597*(1+(1+GA!$G$145)^(1/12)-1)</f>
        <v>121.54533337828654</v>
      </c>
      <c r="D598" s="18"/>
    </row>
    <row r="599" spans="1:4">
      <c r="A599" s="18">
        <v>51348</v>
      </c>
      <c r="B599" s="1175">
        <f>B598*(1+(1+GA!$G$145)^(1/12)-1)</f>
        <v>121.62103932355305</v>
      </c>
      <c r="D599" s="18"/>
    </row>
    <row r="600" spans="1:4">
      <c r="A600" s="18">
        <v>51379</v>
      </c>
      <c r="B600" s="1175">
        <f>B599*(1+(1+GA!$G$145)^(1/12)-1)</f>
        <v>121.69679242316097</v>
      </c>
      <c r="D600" s="18"/>
    </row>
    <row r="601" spans="1:4">
      <c r="A601" s="18">
        <v>51409</v>
      </c>
      <c r="B601" s="1175">
        <f>B600*(1+(1+GA!$G$145)^(1/12)-1)</f>
        <v>121.77259270648096</v>
      </c>
      <c r="D601" s="18"/>
    </row>
    <row r="602" spans="1:4">
      <c r="A602" s="18">
        <v>51440</v>
      </c>
      <c r="B602" s="1175">
        <f>B601*(1+(1+GA!$G$145)^(1/12)-1)</f>
        <v>121.84844020290195</v>
      </c>
      <c r="D602" s="18"/>
    </row>
    <row r="603" spans="1:4">
      <c r="A603" s="18">
        <v>51470</v>
      </c>
      <c r="B603" s="1175">
        <f>B602*(1+(1+GA!$G$145)^(1/12)-1)</f>
        <v>121.92433494183118</v>
      </c>
      <c r="D603" s="18"/>
    </row>
    <row r="604" spans="1:4">
      <c r="A604" s="18">
        <v>51501</v>
      </c>
      <c r="B604" s="1175">
        <f>B603*(1+(1+GA!$G$145)^(1/12)-1)</f>
        <v>122.00027695269418</v>
      </c>
      <c r="D604" s="18"/>
    </row>
    <row r="605" spans="1:4">
      <c r="A605" s="18">
        <v>51532</v>
      </c>
      <c r="B605" s="1175">
        <f>B604*(1+(1+GA!$G$145)^(1/12)-1)</f>
        <v>122.07626626493484</v>
      </c>
      <c r="D605" s="18"/>
    </row>
    <row r="606" spans="1:4">
      <c r="A606" s="18">
        <v>51560</v>
      </c>
      <c r="B606" s="1175">
        <f>B605*(1+(1+GA!$G$145)^(1/12)-1)</f>
        <v>122.1523029080154</v>
      </c>
      <c r="D606" s="18"/>
    </row>
    <row r="607" spans="1:4">
      <c r="A607" s="18">
        <v>51591</v>
      </c>
      <c r="B607" s="1175">
        <f>B606*(1+(1+GA!$G$145)^(1/12)-1)</f>
        <v>122.22838691141642</v>
      </c>
      <c r="D607" s="18"/>
    </row>
    <row r="608" spans="1:4">
      <c r="A608" s="18">
        <v>51621</v>
      </c>
      <c r="B608" s="1175">
        <f>B607*(1+(1+GA!$G$145)^(1/12)-1)</f>
        <v>122.30451830463684</v>
      </c>
      <c r="D608" s="18"/>
    </row>
    <row r="609" spans="1:4">
      <c r="A609" s="18">
        <v>51652</v>
      </c>
      <c r="B609" s="1175">
        <f>B608*(1+(1+GA!$G$145)^(1/12)-1)</f>
        <v>122.38069711719396</v>
      </c>
      <c r="D609" s="18"/>
    </row>
    <row r="610" spans="1:4">
      <c r="A610" s="18">
        <v>51682</v>
      </c>
      <c r="B610" s="1175">
        <f>B609*(1+(1+GA!$G$145)^(1/12)-1)</f>
        <v>122.45692337862347</v>
      </c>
      <c r="D610" s="18"/>
    </row>
    <row r="611" spans="1:4">
      <c r="A611" s="18">
        <v>51713</v>
      </c>
      <c r="B611" s="1175">
        <f>B610*(1+(1+GA!$G$145)^(1/12)-1)</f>
        <v>122.53319711847948</v>
      </c>
      <c r="D611" s="18"/>
    </row>
    <row r="612" spans="1:4">
      <c r="A612" s="18">
        <v>51744</v>
      </c>
      <c r="B612" s="1175">
        <f>B611*(1+(1+GA!$G$145)^(1/12)-1)</f>
        <v>122.60951836633447</v>
      </c>
      <c r="D612" s="18"/>
    </row>
    <row r="613" spans="1:4">
      <c r="A613" s="18">
        <v>51774</v>
      </c>
      <c r="B613" s="1175">
        <f>B612*(1+(1+GA!$G$145)^(1/12)-1)</f>
        <v>122.68588715177935</v>
      </c>
      <c r="D613" s="18"/>
    </row>
    <row r="614" spans="1:4">
      <c r="A614" s="18">
        <v>51805</v>
      </c>
      <c r="B614" s="1175">
        <f>B613*(1+(1+GA!$G$145)^(1/12)-1)</f>
        <v>122.7623035044235</v>
      </c>
      <c r="D614" s="18"/>
    </row>
    <row r="615" spans="1:4">
      <c r="A615" s="18">
        <v>51835</v>
      </c>
      <c r="B615" s="1175">
        <f>B614*(1+(1+GA!$G$145)^(1/12)-1)</f>
        <v>122.83876745389469</v>
      </c>
      <c r="D615" s="18"/>
    </row>
    <row r="616" spans="1:4">
      <c r="A616" s="18">
        <v>51866</v>
      </c>
      <c r="B616" s="1175">
        <f>B615*(1+(1+GA!$G$145)^(1/12)-1)</f>
        <v>122.91527902983917</v>
      </c>
      <c r="D616" s="18"/>
    </row>
    <row r="617" spans="1:4">
      <c r="A617" s="18">
        <v>51897</v>
      </c>
      <c r="B617" s="1175">
        <f>B616*(1+(1+GA!$G$145)^(1/12)-1)</f>
        <v>122.99183826192164</v>
      </c>
      <c r="D617" s="18"/>
    </row>
    <row r="618" spans="1:4">
      <c r="A618" s="18">
        <v>51925</v>
      </c>
      <c r="B618" s="1175">
        <f>B617*(1+(1+GA!$G$145)^(1/12)-1)</f>
        <v>123.0684451798253</v>
      </c>
      <c r="D618" s="18"/>
    </row>
    <row r="619" spans="1:4">
      <c r="A619" s="18">
        <v>51956</v>
      </c>
      <c r="B619" s="1175">
        <f>B618*(1+(1+GA!$G$145)^(1/12)-1)</f>
        <v>123.14509981325183</v>
      </c>
      <c r="D619" s="18"/>
    </row>
    <row r="620" spans="1:4">
      <c r="A620" s="18">
        <v>51986</v>
      </c>
      <c r="B620" s="1175">
        <f>B619*(1+(1+GA!$G$145)^(1/12)-1)</f>
        <v>123.2218021919214</v>
      </c>
      <c r="D620" s="18"/>
    </row>
    <row r="621" spans="1:4">
      <c r="A621" s="18">
        <v>52017</v>
      </c>
      <c r="B621" s="1175">
        <f>B620*(1+(1+GA!$G$145)^(1/12)-1)</f>
        <v>123.29855234557269</v>
      </c>
      <c r="D621" s="18"/>
    </row>
    <row r="622" spans="1:4">
      <c r="A622" s="18">
        <v>52047</v>
      </c>
      <c r="B622" s="1175">
        <f>B621*(1+(1+GA!$G$145)^(1/12)-1)</f>
        <v>123.37535030396292</v>
      </c>
      <c r="D622" s="18"/>
    </row>
    <row r="623" spans="1:4">
      <c r="A623" s="18">
        <v>52078</v>
      </c>
      <c r="B623" s="1175">
        <f>B622*(1+(1+GA!$G$145)^(1/12)-1)</f>
        <v>123.45219609686784</v>
      </c>
      <c r="D623" s="18"/>
    </row>
    <row r="624" spans="1:4">
      <c r="A624" s="18">
        <v>52109</v>
      </c>
      <c r="B624" s="1175">
        <f>B623*(1+(1+GA!$G$145)^(1/12)-1)</f>
        <v>123.52908975408174</v>
      </c>
      <c r="D624" s="18"/>
    </row>
    <row r="625" spans="1:4">
      <c r="A625" s="18">
        <v>52139</v>
      </c>
      <c r="B625" s="1175">
        <f>B624*(1+(1+GA!$G$145)^(1/12)-1)</f>
        <v>123.60603130541746</v>
      </c>
      <c r="D625" s="18"/>
    </row>
    <row r="626" spans="1:4">
      <c r="A626" s="18">
        <v>52170</v>
      </c>
      <c r="B626" s="1175">
        <f>B625*(1+(1+GA!$G$145)^(1/12)-1)</f>
        <v>123.68302078070643</v>
      </c>
      <c r="D626" s="18"/>
    </row>
    <row r="627" spans="1:4">
      <c r="A627" s="18">
        <v>52200</v>
      </c>
      <c r="B627" s="1175">
        <f>B626*(1+(1+GA!$G$145)^(1/12)-1)</f>
        <v>123.76005820979864</v>
      </c>
      <c r="D627" s="18"/>
    </row>
    <row r="628" spans="1:4">
      <c r="A628" s="18">
        <v>52231</v>
      </c>
      <c r="B628" s="1175">
        <f>B627*(1+(1+GA!$G$145)^(1/12)-1)</f>
        <v>123.83714362256271</v>
      </c>
      <c r="D628" s="18"/>
    </row>
    <row r="629" spans="1:4">
      <c r="A629" s="18">
        <v>52262</v>
      </c>
      <c r="B629" s="1175">
        <f>B628*(1+(1+GA!$G$145)^(1/12)-1)</f>
        <v>123.91427704888579</v>
      </c>
      <c r="D629" s="18"/>
    </row>
    <row r="630" spans="1:4">
      <c r="A630" s="18">
        <v>52290</v>
      </c>
      <c r="B630" s="1175">
        <f>B629*(1+(1+GA!$G$145)^(1/12)-1)</f>
        <v>123.99145851867374</v>
      </c>
      <c r="D630" s="18"/>
    </row>
    <row r="631" spans="1:4">
      <c r="A631" s="18">
        <v>52321</v>
      </c>
      <c r="B631" s="1175">
        <f>B630*(1+(1+GA!$G$145)^(1/12)-1)</f>
        <v>124.06868806185096</v>
      </c>
      <c r="D631" s="18"/>
    </row>
    <row r="632" spans="1:4">
      <c r="A632" s="18">
        <v>52351</v>
      </c>
      <c r="B632" s="1175">
        <f>B631*(1+(1+GA!$G$145)^(1/12)-1)</f>
        <v>124.14596570836055</v>
      </c>
      <c r="D632" s="18"/>
    </row>
    <row r="633" spans="1:4">
      <c r="A633" s="18">
        <v>52382</v>
      </c>
      <c r="B633" s="1175">
        <f>B632*(1+(1+GA!$G$145)^(1/12)-1)</f>
        <v>124.22329148816424</v>
      </c>
      <c r="D633" s="18"/>
    </row>
    <row r="634" spans="1:4">
      <c r="A634" s="18">
        <v>52412</v>
      </c>
      <c r="B634" s="1175">
        <f>B633*(1+(1+GA!$G$145)^(1/12)-1)</f>
        <v>124.30066543124239</v>
      </c>
      <c r="D634" s="18"/>
    </row>
    <row r="635" spans="1:4">
      <c r="A635" s="18">
        <v>52443</v>
      </c>
      <c r="B635" s="1175">
        <f>B634*(1+(1+GA!$G$145)^(1/12)-1)</f>
        <v>124.37808756759411</v>
      </c>
      <c r="D635" s="18"/>
    </row>
    <row r="636" spans="1:4">
      <c r="A636" s="18">
        <v>52474</v>
      </c>
      <c r="B636" s="1175">
        <f>B635*(1+(1+GA!$G$145)^(1/12)-1)</f>
        <v>124.45555792723711</v>
      </c>
      <c r="D636" s="18"/>
    </row>
    <row r="637" spans="1:4">
      <c r="A637" s="18">
        <v>52504</v>
      </c>
      <c r="B637" s="1175">
        <f>B636*(1+(1+GA!$G$145)^(1/12)-1)</f>
        <v>124.53307654020786</v>
      </c>
      <c r="D637" s="18"/>
    </row>
    <row r="638" spans="1:4">
      <c r="A638" s="18">
        <v>52535</v>
      </c>
      <c r="B638" s="1175">
        <f>B637*(1+(1+GA!$G$145)^(1/12)-1)</f>
        <v>124.6106434365615</v>
      </c>
      <c r="D638" s="18"/>
    </row>
    <row r="639" spans="1:4">
      <c r="A639" s="18">
        <v>52565</v>
      </c>
      <c r="B639" s="1175">
        <f>B638*(1+(1+GA!$G$145)^(1/12)-1)</f>
        <v>124.68825864637192</v>
      </c>
      <c r="D639" s="18"/>
    </row>
    <row r="640" spans="1:4">
      <c r="A640" s="18">
        <v>52596</v>
      </c>
      <c r="B640" s="1175">
        <f>B639*(1+(1+GA!$G$145)^(1/12)-1)</f>
        <v>124.7659221997317</v>
      </c>
      <c r="D640" s="18"/>
    </row>
    <row r="641" spans="1:4">
      <c r="A641" s="18">
        <v>52627</v>
      </c>
      <c r="B641" s="1175">
        <f>B640*(1+(1+GA!$G$145)^(1/12)-1)</f>
        <v>124.84363412675222</v>
      </c>
      <c r="D641" s="18"/>
    </row>
    <row r="642" spans="1:4">
      <c r="A642" s="18">
        <v>52656</v>
      </c>
      <c r="B642" s="1175">
        <f>B641*(1+(1+GA!$G$145)^(1/12)-1)</f>
        <v>124.92139445756357</v>
      </c>
      <c r="D642" s="18"/>
    </row>
    <row r="643" spans="1:4">
      <c r="A643" s="18">
        <v>52687</v>
      </c>
      <c r="B643" s="1175">
        <f>B642*(1+(1+GA!$G$145)^(1/12)-1)</f>
        <v>124.99920322231462</v>
      </c>
      <c r="D643" s="18"/>
    </row>
    <row r="644" spans="1:4">
      <c r="A644" s="18">
        <v>52717</v>
      </c>
      <c r="B644" s="1175">
        <f>B643*(1+(1+GA!$G$145)^(1/12)-1)</f>
        <v>125.07706045117303</v>
      </c>
      <c r="D644" s="18"/>
    </row>
    <row r="645" spans="1:4">
      <c r="A645" s="18">
        <v>52748</v>
      </c>
      <c r="B645" s="1175">
        <f>B644*(1+(1+GA!$G$145)^(1/12)-1)</f>
        <v>125.15496617432524</v>
      </c>
      <c r="D645" s="18"/>
    </row>
    <row r="646" spans="1:4">
      <c r="A646" s="18">
        <v>52778</v>
      </c>
      <c r="B646" s="1175">
        <f>B645*(1+(1+GA!$G$145)^(1/12)-1)</f>
        <v>125.23292042197649</v>
      </c>
      <c r="D646" s="18"/>
    </row>
    <row r="647" spans="1:4">
      <c r="A647" s="18">
        <v>52809</v>
      </c>
      <c r="B647" s="1175">
        <f>B646*(1+(1+GA!$G$145)^(1/12)-1)</f>
        <v>125.31092322435083</v>
      </c>
      <c r="D647" s="18"/>
    </row>
    <row r="648" spans="1:4">
      <c r="A648" s="18">
        <v>52840</v>
      </c>
      <c r="B648" s="1175">
        <f>B647*(1+(1+GA!$G$145)^(1/12)-1)</f>
        <v>125.38897461169115</v>
      </c>
      <c r="D648" s="18"/>
    </row>
    <row r="649" spans="1:4">
      <c r="A649" s="18">
        <v>52870</v>
      </c>
      <c r="B649" s="1175">
        <f>B648*(1+(1+GA!$G$145)^(1/12)-1)</f>
        <v>125.46707461425918</v>
      </c>
      <c r="D649" s="18"/>
    </row>
    <row r="650" spans="1:4">
      <c r="A650" s="18">
        <v>52901</v>
      </c>
      <c r="B650" s="1175">
        <f>B649*(1+(1+GA!$G$145)^(1/12)-1)</f>
        <v>125.54522326233547</v>
      </c>
      <c r="D650" s="18"/>
    </row>
    <row r="651" spans="1:4">
      <c r="A651" s="18">
        <v>52931</v>
      </c>
      <c r="B651" s="1175">
        <f>B650*(1+(1+GA!$G$145)^(1/12)-1)</f>
        <v>125.62342058621945</v>
      </c>
      <c r="D651" s="18"/>
    </row>
    <row r="652" spans="1:4">
      <c r="A652" s="18">
        <v>52962</v>
      </c>
      <c r="B652" s="1175">
        <f>B651*(1+(1+GA!$G$145)^(1/12)-1)</f>
        <v>125.70166661622945</v>
      </c>
      <c r="D652" s="18"/>
    </row>
    <row r="653" spans="1:4">
      <c r="A653" s="18">
        <v>52993</v>
      </c>
      <c r="B653" s="1175">
        <f>B652*(1+(1+GA!$G$145)^(1/12)-1)</f>
        <v>125.77996138270261</v>
      </c>
      <c r="D653" s="18"/>
    </row>
    <row r="654" spans="1:4">
      <c r="A654" s="18">
        <v>53021</v>
      </c>
      <c r="B654" s="1175">
        <f>B653*(1+(1+GA!$G$145)^(1/12)-1)</f>
        <v>125.85830491599505</v>
      </c>
      <c r="D654" s="18"/>
    </row>
    <row r="655" spans="1:4">
      <c r="A655" s="18">
        <v>53052</v>
      </c>
      <c r="B655" s="1175">
        <f>B654*(1+(1+GA!$G$145)^(1/12)-1)</f>
        <v>125.93669724648174</v>
      </c>
      <c r="D655" s="18"/>
    </row>
    <row r="656" spans="1:4">
      <c r="A656" s="18">
        <v>53082</v>
      </c>
      <c r="B656" s="1175">
        <f>B655*(1+(1+GA!$G$145)^(1/12)-1)</f>
        <v>126.01513840455659</v>
      </c>
      <c r="D656" s="18"/>
    </row>
    <row r="657" spans="1:4">
      <c r="A657" s="18">
        <v>53113</v>
      </c>
      <c r="B657" s="1175">
        <f>B656*(1+(1+GA!$G$145)^(1/12)-1)</f>
        <v>126.09362842063244</v>
      </c>
      <c r="D657" s="18"/>
    </row>
    <row r="658" spans="1:4">
      <c r="A658" s="18">
        <v>53143</v>
      </c>
      <c r="B658" s="1175">
        <f>B657*(1+(1+GA!$G$145)^(1/12)-1)</f>
        <v>126.17216732514107</v>
      </c>
      <c r="D658" s="18"/>
    </row>
    <row r="659" spans="1:4">
      <c r="A659" s="18">
        <v>53174</v>
      </c>
      <c r="B659" s="1175">
        <f>B658*(1+(1+GA!$G$145)^(1/12)-1)</f>
        <v>126.25075514853323</v>
      </c>
      <c r="D659" s="18"/>
    </row>
    <row r="660" spans="1:4">
      <c r="A660" s="18">
        <v>53205</v>
      </c>
      <c r="B660" s="1175">
        <f>B659*(1+(1+GA!$G$145)^(1/12)-1)</f>
        <v>126.32939192127861</v>
      </c>
      <c r="D660" s="18"/>
    </row>
    <row r="661" spans="1:4">
      <c r="A661" s="18">
        <v>53235</v>
      </c>
      <c r="B661" s="1175">
        <f>B660*(1+(1+GA!$G$145)^(1/12)-1)</f>
        <v>126.4080776738659</v>
      </c>
      <c r="D661" s="18"/>
    </row>
    <row r="662" spans="1:4">
      <c r="A662" s="18">
        <v>53266</v>
      </c>
      <c r="B662" s="1175">
        <f>B661*(1+(1+GA!$G$145)^(1/12)-1)</f>
        <v>126.48681243680277</v>
      </c>
      <c r="D662" s="18"/>
    </row>
    <row r="663" spans="1:4">
      <c r="A663" s="18">
        <v>53296</v>
      </c>
      <c r="B663" s="1175">
        <f>B662*(1+(1+GA!$G$145)^(1/12)-1)</f>
        <v>126.56559624061589</v>
      </c>
      <c r="D663" s="18"/>
    </row>
    <row r="664" spans="1:4">
      <c r="A664" s="18">
        <v>53327</v>
      </c>
      <c r="B664" s="1175">
        <f>B663*(1+(1+GA!$G$145)^(1/12)-1)</f>
        <v>126.64442911585095</v>
      </c>
      <c r="D664" s="18"/>
    </row>
    <row r="665" spans="1:4">
      <c r="A665" s="18">
        <v>53358</v>
      </c>
      <c r="B665" s="1175">
        <f>B664*(1+(1+GA!$G$145)^(1/12)-1)</f>
        <v>126.72331109307267</v>
      </c>
      <c r="D665" s="18"/>
    </row>
    <row r="666" spans="1:4">
      <c r="A666" s="18">
        <v>53386</v>
      </c>
      <c r="B666" s="1175">
        <f>B665*(1+(1+GA!$G$145)^(1/12)-1)</f>
        <v>126.80224220286479</v>
      </c>
      <c r="D666" s="18"/>
    </row>
    <row r="667" spans="1:4">
      <c r="A667" s="18">
        <v>53417</v>
      </c>
      <c r="B667" s="1175">
        <f>B666*(1+(1+GA!$G$145)^(1/12)-1)</f>
        <v>126.88122247583013</v>
      </c>
      <c r="D667" s="18"/>
    </row>
    <row r="668" spans="1:4">
      <c r="A668" s="18">
        <v>53447</v>
      </c>
      <c r="B668" s="1175">
        <f>B667*(1+(1+GA!$G$145)^(1/12)-1)</f>
        <v>126.96025194259055</v>
      </c>
      <c r="D668" s="18"/>
    </row>
    <row r="669" spans="1:4">
      <c r="A669" s="18">
        <v>53478</v>
      </c>
      <c r="B669" s="1175">
        <f>B668*(1+(1+GA!$G$145)^(1/12)-1)</f>
        <v>127.03933063378696</v>
      </c>
      <c r="D669" s="18"/>
    </row>
    <row r="670" spans="1:4">
      <c r="A670" s="18">
        <v>53508</v>
      </c>
      <c r="B670" s="1175">
        <f>B669*(1+(1+GA!$G$145)^(1/12)-1)</f>
        <v>127.11845858007941</v>
      </c>
      <c r="D670" s="18"/>
    </row>
    <row r="671" spans="1:4">
      <c r="A671" s="18">
        <v>53539</v>
      </c>
      <c r="B671" s="1175">
        <f>B670*(1+(1+GA!$G$145)^(1/12)-1)</f>
        <v>127.197635812147</v>
      </c>
      <c r="D671" s="18"/>
    </row>
    <row r="672" spans="1:4">
      <c r="A672" s="18">
        <v>53570</v>
      </c>
      <c r="B672" s="1175">
        <f>B671*(1+(1+GA!$G$145)^(1/12)-1)</f>
        <v>127.27686236068797</v>
      </c>
      <c r="D672" s="18"/>
    </row>
    <row r="673" spans="1:4">
      <c r="A673" s="18">
        <v>53600</v>
      </c>
      <c r="B673" s="1175">
        <f>B672*(1+(1+GA!$G$145)^(1/12)-1)</f>
        <v>127.35613825641965</v>
      </c>
      <c r="D673" s="18"/>
    </row>
    <row r="674" spans="1:4">
      <c r="A674" s="18">
        <v>53631</v>
      </c>
      <c r="B674" s="1175">
        <f>B673*(1+(1+GA!$G$145)^(1/12)-1)</f>
        <v>127.43546353007855</v>
      </c>
      <c r="D674" s="18"/>
    </row>
    <row r="675" spans="1:4">
      <c r="A675" s="18">
        <v>53661</v>
      </c>
      <c r="B675" s="1175">
        <f>B674*(1+(1+GA!$G$145)^(1/12)-1)</f>
        <v>127.51483821242027</v>
      </c>
      <c r="D675" s="18"/>
    </row>
    <row r="676" spans="1:4">
      <c r="A676" s="18">
        <v>53692</v>
      </c>
      <c r="B676" s="1175">
        <f>B675*(1+(1+GA!$G$145)^(1/12)-1)</f>
        <v>127.59426233421959</v>
      </c>
      <c r="D676" s="18"/>
    </row>
    <row r="677" spans="1:4">
      <c r="A677" s="18">
        <v>53723</v>
      </c>
      <c r="B677" s="1175">
        <f>B676*(1+(1+GA!$G$145)^(1/12)-1)</f>
        <v>127.67373592627048</v>
      </c>
      <c r="D677" s="18"/>
    </row>
    <row r="678" spans="1:4">
      <c r="A678" s="18">
        <v>53751</v>
      </c>
      <c r="B678" s="1175">
        <f>B677*(1+(1+GA!$G$145)^(1/12)-1)</f>
        <v>127.75325901938605</v>
      </c>
      <c r="D678" s="18"/>
    </row>
    <row r="679" spans="1:4">
      <c r="A679" s="18">
        <v>53782</v>
      </c>
      <c r="B679" s="1175">
        <f>B678*(1+(1+GA!$G$145)^(1/12)-1)</f>
        <v>127.83283164439862</v>
      </c>
      <c r="D679" s="18"/>
    </row>
    <row r="680" spans="1:4">
      <c r="A680" s="18">
        <v>53812</v>
      </c>
      <c r="B680" s="1175">
        <f>B679*(1+(1+GA!$G$145)^(1/12)-1)</f>
        <v>127.91245383215974</v>
      </c>
      <c r="D680" s="18"/>
    </row>
    <row r="681" spans="1:4">
      <c r="A681" s="18">
        <v>53843</v>
      </c>
      <c r="B681" s="1175">
        <f>B680*(1+(1+GA!$G$145)^(1/12)-1)</f>
        <v>127.99212561354014</v>
      </c>
      <c r="D681" s="18"/>
    </row>
    <row r="682" spans="1:4">
      <c r="A682" s="18">
        <v>53873</v>
      </c>
      <c r="B682" s="1175">
        <f>B681*(1+(1+GA!$G$145)^(1/12)-1)</f>
        <v>128.07184701942978</v>
      </c>
      <c r="D682" s="18"/>
    </row>
    <row r="683" spans="1:4">
      <c r="A683" s="18">
        <v>53904</v>
      </c>
      <c r="B683" s="1175">
        <f>B682*(1+(1+GA!$G$145)^(1/12)-1)</f>
        <v>128.15161808073788</v>
      </c>
      <c r="D683" s="18"/>
    </row>
    <row r="684" spans="1:4">
      <c r="A684" s="18">
        <v>53935</v>
      </c>
      <c r="B684" s="1175">
        <f>B683*(1+(1+GA!$G$145)^(1/12)-1)</f>
        <v>128.2314388283929</v>
      </c>
      <c r="D684" s="18"/>
    </row>
    <row r="685" spans="1:4">
      <c r="A685" s="18">
        <v>53965</v>
      </c>
      <c r="B685" s="1175">
        <f>B684*(1+(1+GA!$G$145)^(1/12)-1)</f>
        <v>128.31130929334256</v>
      </c>
      <c r="D685" s="18"/>
    </row>
    <row r="686" spans="1:4">
      <c r="A686" s="18">
        <v>53996</v>
      </c>
      <c r="B686" s="1175">
        <f>B685*(1+(1+GA!$G$145)^(1/12)-1)</f>
        <v>128.39122950655388</v>
      </c>
      <c r="D686" s="18"/>
    </row>
    <row r="687" spans="1:4">
      <c r="A687" s="18">
        <v>54026</v>
      </c>
      <c r="B687" s="1175">
        <f>B686*(1+(1+GA!$G$145)^(1/12)-1)</f>
        <v>128.47119949901315</v>
      </c>
      <c r="D687" s="18"/>
    </row>
    <row r="688" spans="1:4">
      <c r="A688" s="18">
        <v>54057</v>
      </c>
      <c r="B688" s="1175">
        <f>B687*(1+(1+GA!$G$145)^(1/12)-1)</f>
        <v>128.55121930172598</v>
      </c>
      <c r="D688" s="18"/>
    </row>
    <row r="689" spans="1:4">
      <c r="A689" s="18">
        <v>54088</v>
      </c>
      <c r="B689" s="1175">
        <f>B688*(1+(1+GA!$G$145)^(1/12)-1)</f>
        <v>128.63128894571724</v>
      </c>
      <c r="D689" s="18"/>
    </row>
    <row r="690" spans="1:4">
      <c r="A690" s="18">
        <v>54117</v>
      </c>
      <c r="B690" s="1175">
        <f>B689*(1+(1+GA!$G$145)^(1/12)-1)</f>
        <v>128.71140846203119</v>
      </c>
      <c r="D690" s="18"/>
    </row>
    <row r="691" spans="1:4">
      <c r="A691" s="18">
        <v>54148</v>
      </c>
      <c r="B691" s="1175">
        <f>B690*(1+(1+GA!$G$145)^(1/12)-1)</f>
        <v>128.79157788173137</v>
      </c>
      <c r="D691" s="18"/>
    </row>
    <row r="692" spans="1:4">
      <c r="A692" s="18">
        <v>54178</v>
      </c>
      <c r="B692" s="1175">
        <f>B691*(1+(1+GA!$G$145)^(1/12)-1)</f>
        <v>128.87179723590069</v>
      </c>
      <c r="D692" s="18"/>
    </row>
    <row r="693" spans="1:4">
      <c r="A693" s="18">
        <v>54209</v>
      </c>
      <c r="B693" s="1175">
        <f>B692*(1+(1+GA!$G$145)^(1/12)-1)</f>
        <v>128.95206655564144</v>
      </c>
      <c r="D693" s="18"/>
    </row>
    <row r="694" spans="1:4">
      <c r="A694" s="18">
        <v>54239</v>
      </c>
      <c r="B694" s="1175">
        <f>B693*(1+(1+GA!$G$145)^(1/12)-1)</f>
        <v>129.03238587207525</v>
      </c>
      <c r="D694" s="18"/>
    </row>
    <row r="695" spans="1:4">
      <c r="A695" s="18">
        <v>54270</v>
      </c>
      <c r="B695" s="1175">
        <f>B694*(1+(1+GA!$G$145)^(1/12)-1)</f>
        <v>129.11275521634317</v>
      </c>
      <c r="D695" s="18"/>
    </row>
    <row r="696" spans="1:4">
      <c r="A696" s="18">
        <v>54301</v>
      </c>
      <c r="B696" s="1175">
        <f>B695*(1+(1+GA!$G$145)^(1/12)-1)</f>
        <v>129.1931746196056</v>
      </c>
      <c r="D696" s="18"/>
    </row>
    <row r="697" spans="1:4">
      <c r="A697" s="18">
        <v>54331</v>
      </c>
      <c r="B697" s="1175">
        <f>B696*(1+(1+GA!$G$145)^(1/12)-1)</f>
        <v>129.27364411304239</v>
      </c>
      <c r="D697" s="18"/>
    </row>
    <row r="698" spans="1:4">
      <c r="A698" s="18">
        <v>54362</v>
      </c>
      <c r="B698" s="1175">
        <f>B697*(1+(1+GA!$G$145)^(1/12)-1)</f>
        <v>129.35416372785281</v>
      </c>
      <c r="D698" s="18"/>
    </row>
    <row r="699" spans="1:4">
      <c r="A699" s="18">
        <v>54392</v>
      </c>
      <c r="B699" s="1175">
        <f>B698*(1+(1+GA!$G$145)^(1/12)-1)</f>
        <v>129.43473349525553</v>
      </c>
      <c r="D699" s="18"/>
    </row>
    <row r="700" spans="1:4">
      <c r="A700" s="18">
        <v>54423</v>
      </c>
      <c r="B700" s="1175">
        <f>B699*(1+(1+GA!$G$145)^(1/12)-1)</f>
        <v>129.51535344648869</v>
      </c>
      <c r="D700" s="18"/>
    </row>
    <row r="701" spans="1:4">
      <c r="A701" s="18">
        <v>54454</v>
      </c>
      <c r="B701" s="1175">
        <f>B700*(1+(1+GA!$G$145)^(1/12)-1)</f>
        <v>129.59602361280989</v>
      </c>
      <c r="D701" s="18"/>
    </row>
    <row r="702" spans="1:4">
      <c r="A702" s="18">
        <v>54482</v>
      </c>
      <c r="B702" s="1175">
        <f>B701*(1+(1+GA!$G$145)^(1/12)-1)</f>
        <v>129.67674402549616</v>
      </c>
      <c r="D702" s="18"/>
    </row>
    <row r="703" spans="1:4">
      <c r="A703" s="18">
        <v>54513</v>
      </c>
      <c r="B703" s="1175">
        <f>B702*(1+(1+GA!$G$145)^(1/12)-1)</f>
        <v>129.75751471584408</v>
      </c>
      <c r="D703" s="18"/>
    </row>
    <row r="704" spans="1:4">
      <c r="A704" s="18">
        <v>54543</v>
      </c>
      <c r="B704" s="1175">
        <f>B703*(1+(1+GA!$G$145)^(1/12)-1)</f>
        <v>129.83833571516968</v>
      </c>
      <c r="D704" s="18"/>
    </row>
    <row r="705" spans="1:4">
      <c r="A705" s="18">
        <v>54574</v>
      </c>
      <c r="B705" s="1175">
        <f>B704*(1+(1+GA!$G$145)^(1/12)-1)</f>
        <v>129.91920705480848</v>
      </c>
      <c r="D705" s="18"/>
    </row>
    <row r="706" spans="1:4">
      <c r="A706" s="18">
        <v>54604</v>
      </c>
      <c r="B706" s="1175">
        <f>B705*(1+(1+GA!$G$145)^(1/12)-1)</f>
        <v>130.00012876611555</v>
      </c>
      <c r="D706" s="18"/>
    </row>
    <row r="707" spans="1:4">
      <c r="A707" s="18">
        <v>54635</v>
      </c>
      <c r="B707" s="1175">
        <f>B706*(1+(1+GA!$G$145)^(1/12)-1)</f>
        <v>130.08110088046547</v>
      </c>
      <c r="D707" s="18"/>
    </row>
    <row r="708" spans="1:4">
      <c r="A708" s="18">
        <v>54666</v>
      </c>
      <c r="B708" s="1175">
        <f>B707*(1+(1+GA!$G$145)^(1/12)-1)</f>
        <v>130.16212342925238</v>
      </c>
      <c r="D708" s="18"/>
    </row>
    <row r="709" spans="1:4">
      <c r="A709" s="18">
        <v>54696</v>
      </c>
      <c r="B709" s="1175">
        <f>B708*(1+(1+GA!$G$145)^(1/12)-1)</f>
        <v>130.24319644388996</v>
      </c>
      <c r="D709" s="18"/>
    </row>
    <row r="710" spans="1:4">
      <c r="A710" s="18">
        <v>54727</v>
      </c>
      <c r="B710" s="1175">
        <f>B709*(1+(1+GA!$G$145)^(1/12)-1)</f>
        <v>130.32431995581146</v>
      </c>
      <c r="D710" s="18"/>
    </row>
    <row r="711" spans="1:4">
      <c r="A711" s="18">
        <v>54757</v>
      </c>
      <c r="B711" s="1175">
        <f>B710*(1+(1+GA!$G$145)^(1/12)-1)</f>
        <v>130.40549399646972</v>
      </c>
      <c r="D711" s="18"/>
    </row>
    <row r="712" spans="1:4">
      <c r="A712" s="18">
        <v>54788</v>
      </c>
      <c r="B712" s="1175">
        <f>B711*(1+(1+GA!$G$145)^(1/12)-1)</f>
        <v>130.48671859733713</v>
      </c>
      <c r="D712" s="18"/>
    </row>
    <row r="713" spans="1:4">
      <c r="A713" s="18">
        <v>54819</v>
      </c>
      <c r="B713" s="1175">
        <f>B712*(1+(1+GA!$G$145)^(1/12)-1)</f>
        <v>130.56799378990573</v>
      </c>
      <c r="D713" s="18"/>
    </row>
    <row r="714" spans="1:4">
      <c r="A714" s="18">
        <v>54847</v>
      </c>
      <c r="B714" s="1175">
        <f>B713*(1+(1+GA!$G$145)^(1/12)-1)</f>
        <v>130.64931960568717</v>
      </c>
    </row>
    <row r="715" spans="1:4">
      <c r="A715" s="18">
        <v>54878</v>
      </c>
      <c r="B715" s="1175">
        <f>B714*(1+(1+GA!$G$145)^(1/12)-1)</f>
        <v>130.73069607621269</v>
      </c>
    </row>
    <row r="716" spans="1:4">
      <c r="A716" s="18">
        <v>54908</v>
      </c>
      <c r="B716" s="1175">
        <f>B715*(1+(1+GA!$G$145)^(1/12)-1)</f>
        <v>130.81212323303322</v>
      </c>
    </row>
    <row r="717" spans="1:4">
      <c r="A717" s="18">
        <v>54939</v>
      </c>
      <c r="B717" s="1175">
        <f>B716*(1+(1+GA!$G$145)^(1/12)-1)</f>
        <v>130.89360110771932</v>
      </c>
    </row>
    <row r="718" spans="1:4">
      <c r="A718" s="18">
        <v>54969</v>
      </c>
      <c r="B718" s="1175">
        <f>B717*(1+(1+GA!$G$145)^(1/12)-1)</f>
        <v>130.97512973186119</v>
      </c>
    </row>
    <row r="719" spans="1:4">
      <c r="A719" s="18">
        <v>55000</v>
      </c>
      <c r="B719" s="1175">
        <f>B718*(1+(1+GA!$G$145)^(1/12)-1)</f>
        <v>131.05670913706874</v>
      </c>
    </row>
    <row r="720" spans="1:4">
      <c r="A720" s="18">
        <v>55031</v>
      </c>
      <c r="B720" s="1175">
        <f>B719*(1+(1+GA!$G$145)^(1/12)-1)</f>
        <v>131.13833935497155</v>
      </c>
    </row>
    <row r="721" spans="1:2">
      <c r="A721" s="18">
        <v>55061</v>
      </c>
      <c r="B721" s="1175">
        <f>B720*(1+(1+GA!$G$145)^(1/12)-1)</f>
        <v>131.2200204172189</v>
      </c>
    </row>
    <row r="722" spans="1:2">
      <c r="A722" s="18">
        <v>55092</v>
      </c>
      <c r="B722" s="1175">
        <f>B721*(1+(1+GA!$G$145)^(1/12)-1)</f>
        <v>131.30175235547981</v>
      </c>
    </row>
    <row r="723" spans="1:2">
      <c r="A723" s="18">
        <v>55122</v>
      </c>
      <c r="B723" s="1175">
        <f>B722*(1+(1+GA!$G$145)^(1/12)-1)</f>
        <v>131.38353520144298</v>
      </c>
    </row>
    <row r="724" spans="1:2">
      <c r="A724" s="18">
        <v>55153</v>
      </c>
      <c r="B724" s="1175">
        <f>B723*(1+(1+GA!$G$145)^(1/12)-1)</f>
        <v>131.46536898681691</v>
      </c>
    </row>
    <row r="725" spans="1:2">
      <c r="A725" s="18">
        <v>55184</v>
      </c>
      <c r="B725" s="1175">
        <f>B724*(1+(1+GA!$G$145)^(1/12)-1)</f>
        <v>131.54725374332978</v>
      </c>
    </row>
    <row r="726" spans="1:2">
      <c r="A726" s="18">
        <v>55212</v>
      </c>
      <c r="B726" s="1175">
        <f>B725*(1+(1+GA!$G$145)^(1/12)-1)</f>
        <v>131.62918950272956</v>
      </c>
    </row>
    <row r="727" spans="1:2">
      <c r="A727" s="18">
        <v>55243</v>
      </c>
      <c r="B727" s="1175">
        <f>B726*(1+(1+GA!$G$145)^(1/12)-1)</f>
        <v>131.71117629678403</v>
      </c>
    </row>
    <row r="728" spans="1:2">
      <c r="A728" s="18">
        <v>55273</v>
      </c>
      <c r="B728" s="1175">
        <f>B727*(1+(1+GA!$G$145)^(1/12)-1)</f>
        <v>131.79321415728072</v>
      </c>
    </row>
    <row r="729" spans="1:2">
      <c r="A729" s="18">
        <v>55304</v>
      </c>
      <c r="B729" s="1175">
        <f>B728*(1+(1+GA!$G$145)^(1/12)-1)</f>
        <v>131.87530311602694</v>
      </c>
    </row>
    <row r="730" spans="1:2">
      <c r="A730" s="18">
        <v>55334</v>
      </c>
      <c r="B730" s="1175">
        <f>B729*(1+(1+GA!$G$145)^(1/12)-1)</f>
        <v>131.95744320484988</v>
      </c>
    </row>
    <row r="731" spans="1:2">
      <c r="A731" s="18">
        <v>55365</v>
      </c>
      <c r="B731" s="1175">
        <f>B730*(1+(1+GA!$G$145)^(1/12)-1)</f>
        <v>132.03963445559648</v>
      </c>
    </row>
    <row r="732" spans="1:2">
      <c r="A732" s="18">
        <v>55396</v>
      </c>
      <c r="B732" s="1175">
        <f>B731*(1+(1+GA!$G$145)^(1/12)-1)</f>
        <v>132.12187690013357</v>
      </c>
    </row>
    <row r="733" spans="1:2">
      <c r="A733" s="18">
        <v>55426</v>
      </c>
      <c r="B733" s="1175">
        <f>B732*(1+(1+GA!$G$145)^(1/12)-1)</f>
        <v>132.20417057034777</v>
      </c>
    </row>
    <row r="734" spans="1:2">
      <c r="A734" s="18">
        <v>55457</v>
      </c>
      <c r="B734" s="1175">
        <f>B733*(1+(1+GA!$G$145)^(1/12)-1)</f>
        <v>132.28651549814563</v>
      </c>
    </row>
    <row r="735" spans="1:2">
      <c r="A735" s="18">
        <v>55487</v>
      </c>
      <c r="B735" s="1175">
        <f>B734*(1+(1+GA!$G$145)^(1/12)-1)</f>
        <v>132.36891171545355</v>
      </c>
    </row>
    <row r="736" spans="1:2">
      <c r="A736" s="18">
        <v>55518</v>
      </c>
      <c r="B736" s="1175">
        <f>B735*(1+(1+GA!$G$145)^(1/12)-1)</f>
        <v>132.45135925421778</v>
      </c>
    </row>
    <row r="737" spans="1:2">
      <c r="A737" s="18">
        <v>55549</v>
      </c>
      <c r="B737" s="1175">
        <f>B736*(1+(1+GA!$G$145)^(1/12)-1)</f>
        <v>132.5338581464045</v>
      </c>
    </row>
    <row r="738" spans="1:2">
      <c r="A738" s="18">
        <v>55578</v>
      </c>
      <c r="B738" s="1175">
        <f>B737*(1+(1+GA!$G$145)^(1/12)-1)</f>
        <v>132.61640842399979</v>
      </c>
    </row>
    <row r="739" spans="1:2">
      <c r="A739" s="18">
        <v>55609</v>
      </c>
      <c r="B739" s="1175">
        <f>B738*(1+(1+GA!$G$145)^(1/12)-1)</f>
        <v>132.69901011900967</v>
      </c>
    </row>
    <row r="740" spans="1:2">
      <c r="A740" s="18">
        <v>55639</v>
      </c>
      <c r="B740" s="1175">
        <f>B739*(1+(1+GA!$G$145)^(1/12)-1)</f>
        <v>132.78166326346008</v>
      </c>
    </row>
    <row r="741" spans="1:2">
      <c r="A741" s="18">
        <v>55670</v>
      </c>
      <c r="B741" s="1175">
        <f>B740*(1+(1+GA!$G$145)^(1/12)-1)</f>
        <v>132.8643678893969</v>
      </c>
    </row>
    <row r="742" spans="1:2">
      <c r="A742" s="18">
        <v>55700</v>
      </c>
      <c r="B742" s="1175">
        <f>B741*(1+(1+GA!$G$145)^(1/12)-1)</f>
        <v>132.94712402888601</v>
      </c>
    </row>
    <row r="743" spans="1:2">
      <c r="A743" s="18">
        <v>55731</v>
      </c>
      <c r="B743" s="1175">
        <f>B742*(1+(1+GA!$G$145)^(1/12)-1)</f>
        <v>133.0299317140132</v>
      </c>
    </row>
    <row r="744" spans="1:2">
      <c r="A744" s="18">
        <v>55762</v>
      </c>
      <c r="B744" s="1175">
        <f>B743*(1+(1+GA!$G$145)^(1/12)-1)</f>
        <v>133.1127909768843</v>
      </c>
    </row>
    <row r="745" spans="1:2">
      <c r="A745" s="18">
        <v>55792</v>
      </c>
      <c r="B745" s="1175">
        <f>B744*(1+(1+GA!$G$145)^(1/12)-1)</f>
        <v>133.19570184962512</v>
      </c>
    </row>
    <row r="746" spans="1:2">
      <c r="A746" s="18">
        <v>55823</v>
      </c>
      <c r="B746" s="1175">
        <f>B745*(1+(1+GA!$G$145)^(1/12)-1)</f>
        <v>133.27866436438148</v>
      </c>
    </row>
    <row r="747" spans="1:2">
      <c r="A747" s="18">
        <v>55853</v>
      </c>
      <c r="B747" s="1175">
        <f>B746*(1+(1+GA!$G$145)^(1/12)-1)</f>
        <v>133.36167855331919</v>
      </c>
    </row>
    <row r="748" spans="1:2">
      <c r="A748" s="18">
        <v>55884</v>
      </c>
      <c r="B748" s="1175">
        <f>B747*(1+(1+GA!$G$145)^(1/12)-1)</f>
        <v>133.44474444862416</v>
      </c>
    </row>
    <row r="749" spans="1:2">
      <c r="A749" s="18">
        <v>55915</v>
      </c>
      <c r="B749" s="1175">
        <f>B748*(1+(1+GA!$G$145)^(1/12)-1)</f>
        <v>133.52786208250228</v>
      </c>
    </row>
    <row r="750" spans="1:2">
      <c r="A750" s="18">
        <v>55943</v>
      </c>
      <c r="B750" s="1175">
        <f>B749*(1+(1+GA!$G$145)^(1/12)-1)</f>
        <v>133.61103148717953</v>
      </c>
    </row>
    <row r="751" spans="1:2">
      <c r="A751" s="18">
        <v>55974</v>
      </c>
      <c r="B751" s="1175">
        <f>B750*(1+(1+GA!$G$145)^(1/12)-1)</f>
        <v>133.69425269490199</v>
      </c>
    </row>
    <row r="752" spans="1:2">
      <c r="A752" s="18">
        <v>56004</v>
      </c>
      <c r="B752" s="1175">
        <f>B751*(1+(1+GA!$G$145)^(1/12)-1)</f>
        <v>133.77752573793578</v>
      </c>
    </row>
    <row r="753" spans="1:2">
      <c r="A753" s="18">
        <v>56035</v>
      </c>
      <c r="B753" s="1175">
        <f>B752*(1+(1+GA!$G$145)^(1/12)-1)</f>
        <v>133.86085064856712</v>
      </c>
    </row>
    <row r="754" spans="1:2">
      <c r="A754" s="18">
        <v>56065</v>
      </c>
      <c r="B754" s="1175">
        <f>B753*(1+(1+GA!$G$145)^(1/12)-1)</f>
        <v>133.94422745910239</v>
      </c>
    </row>
    <row r="755" spans="1:2">
      <c r="A755" s="18">
        <v>56096</v>
      </c>
      <c r="B755" s="1175">
        <f>B754*(1+(1+GA!$G$145)^(1/12)-1)</f>
        <v>134.02765620186804</v>
      </c>
    </row>
    <row r="756" spans="1:2">
      <c r="A756" s="18">
        <v>56127</v>
      </c>
      <c r="B756" s="1175">
        <f>B755*(1+(1+GA!$G$145)^(1/12)-1)</f>
        <v>134.11113690921067</v>
      </c>
    </row>
    <row r="757" spans="1:2">
      <c r="A757" s="18">
        <v>56157</v>
      </c>
      <c r="B757" s="1175">
        <f>B756*(1+(1+GA!$G$145)^(1/12)-1)</f>
        <v>134.19466961349704</v>
      </c>
    </row>
    <row r="758" spans="1:2">
      <c r="A758" s="18">
        <v>56188</v>
      </c>
      <c r="B758" s="1175">
        <f>B757*(1+(1+GA!$G$145)^(1/12)-1)</f>
        <v>134.27825434711406</v>
      </c>
    </row>
    <row r="759" spans="1:2">
      <c r="A759" s="18">
        <v>56218</v>
      </c>
      <c r="B759" s="1175">
        <f>B758*(1+(1+GA!$G$145)^(1/12)-1)</f>
        <v>134.36189114246881</v>
      </c>
    </row>
    <row r="760" spans="1:2">
      <c r="A760" s="18">
        <v>56249</v>
      </c>
      <c r="B760" s="1175">
        <f>B759*(1+(1+GA!$G$145)^(1/12)-1)</f>
        <v>134.44558003198856</v>
      </c>
    </row>
    <row r="761" spans="1:2">
      <c r="A761" s="18">
        <v>56280</v>
      </c>
      <c r="B761" s="1175">
        <f>B760*(1+(1+GA!$G$145)^(1/12)-1)</f>
        <v>134.52932104812075</v>
      </c>
    </row>
    <row r="762" spans="1:2">
      <c r="A762" s="18">
        <v>56308</v>
      </c>
      <c r="B762" s="1175">
        <f>B761*(1+(1+GA!$G$145)^(1/12)-1)</f>
        <v>134.6131142233331</v>
      </c>
    </row>
    <row r="763" spans="1:2">
      <c r="A763" s="18">
        <v>56339</v>
      </c>
      <c r="B763" s="1175">
        <f>B762*(1+(1+GA!$G$145)^(1/12)-1)</f>
        <v>134.69695959011347</v>
      </c>
    </row>
    <row r="764" spans="1:2">
      <c r="A764" s="18">
        <v>56369</v>
      </c>
      <c r="B764" s="1175">
        <f>B763*(1+(1+GA!$G$145)^(1/12)-1)</f>
        <v>134.78085718097</v>
      </c>
    </row>
    <row r="765" spans="1:2">
      <c r="A765" s="18">
        <v>56400</v>
      </c>
      <c r="B765" s="1175">
        <f>B764*(1+(1+GA!$G$145)^(1/12)-1)</f>
        <v>134.8648070284311</v>
      </c>
    </row>
    <row r="766" spans="1:2">
      <c r="A766" s="18">
        <v>56430</v>
      </c>
      <c r="B766" s="1175">
        <f>B765*(1+(1+GA!$G$145)^(1/12)-1)</f>
        <v>134.94880916504539</v>
      </c>
    </row>
    <row r="767" spans="1:2">
      <c r="A767" s="18">
        <v>56461</v>
      </c>
      <c r="B767" s="1175">
        <f>B766*(1+(1+GA!$G$145)^(1/12)-1)</f>
        <v>135.03286362338179</v>
      </c>
    </row>
    <row r="768" spans="1:2">
      <c r="A768" s="18">
        <v>56492</v>
      </c>
      <c r="B768" s="1175">
        <f>B767*(1+(1+GA!$G$145)^(1/12)-1)</f>
        <v>135.1169704360295</v>
      </c>
    </row>
    <row r="769" spans="1:2">
      <c r="A769" s="18">
        <v>56522</v>
      </c>
      <c r="B769" s="1175">
        <f>B768*(1+(1+GA!$G$145)^(1/12)-1)</f>
        <v>135.20112963559802</v>
      </c>
    </row>
    <row r="770" spans="1:2">
      <c r="A770" s="18">
        <v>56553</v>
      </c>
      <c r="B770" s="1175">
        <f>B769*(1+(1+GA!$G$145)^(1/12)-1)</f>
        <v>135.28534125471717</v>
      </c>
    </row>
    <row r="771" spans="1:2">
      <c r="A771" s="18">
        <v>56583</v>
      </c>
      <c r="B771" s="1175">
        <f>B770*(1+(1+GA!$G$145)^(1/12)-1)</f>
        <v>135.36960532603709</v>
      </c>
    </row>
    <row r="772" spans="1:2">
      <c r="A772" s="18">
        <v>56614</v>
      </c>
      <c r="B772" s="1175">
        <f>B771*(1+(1+GA!$G$145)^(1/12)-1)</f>
        <v>135.45392188222823</v>
      </c>
    </row>
    <row r="773" spans="1:2">
      <c r="A773" s="18">
        <v>56645</v>
      </c>
      <c r="B773" s="1175">
        <f>B772*(1+(1+GA!$G$145)^(1/12)-1)</f>
        <v>135.53829095598141</v>
      </c>
    </row>
    <row r="774" spans="1:2">
      <c r="A774" s="18">
        <v>56673</v>
      </c>
      <c r="B774" s="1175">
        <f>B773*(1+(1+GA!$G$145)^(1/12)-1)</f>
        <v>135.62271258000783</v>
      </c>
    </row>
    <row r="775" spans="1:2">
      <c r="A775" s="18">
        <v>56704</v>
      </c>
      <c r="B775" s="1175">
        <f>B774*(1+(1+GA!$G$145)^(1/12)-1)</f>
        <v>135.70718678703906</v>
      </c>
    </row>
    <row r="776" spans="1:2">
      <c r="A776" s="18">
        <v>56734</v>
      </c>
      <c r="B776" s="1175">
        <f>B775*(1+(1+GA!$G$145)^(1/12)-1)</f>
        <v>135.79171360982704</v>
      </c>
    </row>
    <row r="777" spans="1:2">
      <c r="A777" s="18">
        <v>56765</v>
      </c>
      <c r="B777" s="1175">
        <f>B776*(1+(1+GA!$G$145)^(1/12)-1)</f>
        <v>135.8762930811441</v>
      </c>
    </row>
    <row r="778" spans="1:2">
      <c r="A778" s="18">
        <v>56795</v>
      </c>
      <c r="B778" s="1175">
        <f>B777*(1+(1+GA!$G$145)^(1/12)-1)</f>
        <v>135.960925233783</v>
      </c>
    </row>
    <row r="779" spans="1:2">
      <c r="A779" s="18">
        <v>56826</v>
      </c>
      <c r="B779" s="1175">
        <f>B778*(1+(1+GA!$G$145)^(1/12)-1)</f>
        <v>136.04561010055693</v>
      </c>
    </row>
    <row r="780" spans="1:2">
      <c r="A780" s="18">
        <v>56857</v>
      </c>
      <c r="B780" s="1175">
        <f>B779*(1+(1+GA!$G$145)^(1/12)-1)</f>
        <v>136.13034771429949</v>
      </c>
    </row>
    <row r="781" spans="1:2">
      <c r="A781" s="18">
        <v>56887</v>
      </c>
      <c r="B781" s="1175">
        <f>B780*(1+(1+GA!$G$145)^(1/12)-1)</f>
        <v>136.21513810786479</v>
      </c>
    </row>
    <row r="782" spans="1:2">
      <c r="A782" s="18">
        <v>56918</v>
      </c>
      <c r="B782" s="1175">
        <f>B781*(1+(1+GA!$G$145)^(1/12)-1)</f>
        <v>136.29998131412734</v>
      </c>
    </row>
    <row r="783" spans="1:2">
      <c r="A783" s="18">
        <v>56948</v>
      </c>
      <c r="B783" s="1175">
        <f>B782*(1+(1+GA!$G$145)^(1/12)-1)</f>
        <v>136.38487736598213</v>
      </c>
    </row>
    <row r="784" spans="1:2">
      <c r="A784" s="18">
        <v>56979</v>
      </c>
      <c r="B784" s="1175">
        <f>B783*(1+(1+GA!$G$145)^(1/12)-1)</f>
        <v>136.46982629634471</v>
      </c>
    </row>
    <row r="785" spans="1:2">
      <c r="A785" s="18">
        <v>57010</v>
      </c>
      <c r="B785" s="1175">
        <f>B784*(1+(1+GA!$G$145)^(1/12)-1)</f>
        <v>136.55482813815104</v>
      </c>
    </row>
    <row r="786" spans="1:2">
      <c r="A786" s="18">
        <v>57039</v>
      </c>
      <c r="B786" s="1175">
        <f>B785*(1+(1+GA!$G$145)^(1/12)-1)</f>
        <v>136.63988292435766</v>
      </c>
    </row>
    <row r="787" spans="1:2">
      <c r="A787" s="18">
        <v>57070</v>
      </c>
      <c r="B787" s="1175">
        <f>B786*(1+(1+GA!$G$145)^(1/12)-1)</f>
        <v>136.72499068794161</v>
      </c>
    </row>
    <row r="788" spans="1:2">
      <c r="A788" s="18">
        <v>57100</v>
      </c>
      <c r="B788" s="1175">
        <f>B787*(1+(1+GA!$G$145)^(1/12)-1)</f>
        <v>136.81015146190049</v>
      </c>
    </row>
    <row r="789" spans="1:2">
      <c r="A789" s="18">
        <v>57131</v>
      </c>
      <c r="B789" s="1175">
        <f>B788*(1+(1+GA!$G$145)^(1/12)-1)</f>
        <v>136.89536527925242</v>
      </c>
    </row>
    <row r="790" spans="1:2">
      <c r="A790" s="18">
        <v>57161</v>
      </c>
      <c r="B790" s="1175">
        <f>B789*(1+(1+GA!$G$145)^(1/12)-1)</f>
        <v>136.9806321730361</v>
      </c>
    </row>
    <row r="791" spans="1:2">
      <c r="A791" s="18">
        <v>57192</v>
      </c>
      <c r="B791" s="1175">
        <f>B790*(1+(1+GA!$G$145)^(1/12)-1)</f>
        <v>137.06595217631082</v>
      </c>
    </row>
    <row r="792" spans="1:2">
      <c r="A792" s="18">
        <v>57223</v>
      </c>
      <c r="B792" s="1175">
        <f>B791*(1+(1+GA!$G$145)^(1/12)-1)</f>
        <v>137.15132532215645</v>
      </c>
    </row>
    <row r="793" spans="1:2">
      <c r="A793" s="18">
        <v>57253</v>
      </c>
      <c r="B793" s="1175">
        <f>B792*(1+(1+GA!$G$145)^(1/12)-1)</f>
        <v>137.23675164367347</v>
      </c>
    </row>
    <row r="794" spans="1:2">
      <c r="A794" s="18">
        <v>57284</v>
      </c>
      <c r="B794" s="1175">
        <f>B793*(1+(1+GA!$G$145)^(1/12)-1)</f>
        <v>137.32223117398297</v>
      </c>
    </row>
    <row r="795" spans="1:2">
      <c r="A795" s="18">
        <v>57314</v>
      </c>
      <c r="B795" s="1175">
        <f>B794*(1+(1+GA!$G$145)^(1/12)-1)</f>
        <v>137.40776394622668</v>
      </c>
    </row>
    <row r="796" spans="1:2">
      <c r="A796" s="18">
        <v>57345</v>
      </c>
      <c r="B796" s="1175">
        <f>B795*(1+(1+GA!$G$145)^(1/12)-1)</f>
        <v>137.49334999356697</v>
      </c>
    </row>
    <row r="797" spans="1:2">
      <c r="A797" s="18">
        <v>57376</v>
      </c>
      <c r="B797" s="1175">
        <f>B796*(1+(1+GA!$G$145)^(1/12)-1)</f>
        <v>137.57898934918686</v>
      </c>
    </row>
    <row r="798" spans="1:2">
      <c r="A798" s="18">
        <v>57404</v>
      </c>
      <c r="B798" s="1175">
        <f>B797*(1+(1+GA!$G$145)^(1/12)-1)</f>
        <v>137.66468204629004</v>
      </c>
    </row>
    <row r="799" spans="1:2">
      <c r="A799" s="18">
        <v>57435</v>
      </c>
      <c r="B799" s="1175">
        <f>B798*(1+(1+GA!$G$145)^(1/12)-1)</f>
        <v>137.75042811810087</v>
      </c>
    </row>
    <row r="800" spans="1:2">
      <c r="A800" s="18">
        <v>57465</v>
      </c>
      <c r="B800" s="1175">
        <f>B799*(1+(1+GA!$G$145)^(1/12)-1)</f>
        <v>137.83622759786445</v>
      </c>
    </row>
    <row r="801" spans="1:2">
      <c r="A801" s="18">
        <v>57496</v>
      </c>
      <c r="B801" s="1175">
        <f>B800*(1+(1+GA!$G$145)^(1/12)-1)</f>
        <v>137.92208051884651</v>
      </c>
    </row>
    <row r="802" spans="1:2">
      <c r="A802" s="18">
        <v>57526</v>
      </c>
      <c r="B802" s="1175">
        <f>B801*(1+(1+GA!$G$145)^(1/12)-1)</f>
        <v>138.00798691433357</v>
      </c>
    </row>
    <row r="803" spans="1:2">
      <c r="A803" s="18">
        <v>57557</v>
      </c>
      <c r="B803" s="1175">
        <f>B802*(1+(1+GA!$G$145)^(1/12)-1)</f>
        <v>138.09394681763285</v>
      </c>
    </row>
    <row r="804" spans="1:2">
      <c r="A804" s="18">
        <v>57588</v>
      </c>
      <c r="B804" s="1175">
        <f>B803*(1+(1+GA!$G$145)^(1/12)-1)</f>
        <v>138.17996026207234</v>
      </c>
    </row>
    <row r="805" spans="1:2">
      <c r="A805" s="18">
        <v>57618</v>
      </c>
      <c r="B805" s="1175">
        <f>B804*(1+(1+GA!$G$145)^(1/12)-1)</f>
        <v>138.26602728100073</v>
      </c>
    </row>
    <row r="806" spans="1:2">
      <c r="A806" s="18">
        <v>57649</v>
      </c>
      <c r="B806" s="1175">
        <f>B805*(1+(1+GA!$G$145)^(1/12)-1)</f>
        <v>138.35214790778755</v>
      </c>
    </row>
    <row r="807" spans="1:2">
      <c r="A807" s="18">
        <v>57679</v>
      </c>
      <c r="B807" s="1175">
        <f>B806*(1+(1+GA!$G$145)^(1/12)-1)</f>
        <v>138.43832217582309</v>
      </c>
    </row>
    <row r="808" spans="1:2">
      <c r="A808" s="18">
        <v>57710</v>
      </c>
      <c r="B808" s="1175">
        <f>B807*(1+(1+GA!$G$145)^(1/12)-1)</f>
        <v>138.52455011851842</v>
      </c>
    </row>
    <row r="809" spans="1:2">
      <c r="A809" s="18">
        <v>57741</v>
      </c>
      <c r="B809" s="1175">
        <f>B808*(1+(1+GA!$G$145)^(1/12)-1)</f>
        <v>138.61083176930546</v>
      </c>
    </row>
    <row r="810" spans="1:2">
      <c r="A810" s="18">
        <v>57769</v>
      </c>
      <c r="B810" s="1175">
        <f>B809*(1+(1+GA!$G$145)^(1/12)-1)</f>
        <v>138.69716716163691</v>
      </c>
    </row>
    <row r="811" spans="1:2">
      <c r="A811" s="18">
        <v>57800</v>
      </c>
      <c r="B811" s="1175">
        <f>B810*(1+(1+GA!$G$145)^(1/12)-1)</f>
        <v>138.78355632898632</v>
      </c>
    </row>
    <row r="812" spans="1:2">
      <c r="A812" s="18">
        <v>57830</v>
      </c>
      <c r="B812" s="1175">
        <f>B811*(1+(1+GA!$G$145)^(1/12)-1)</f>
        <v>138.86999930484811</v>
      </c>
    </row>
    <row r="813" spans="1:2">
      <c r="A813" s="18">
        <v>57861</v>
      </c>
      <c r="B813" s="1175">
        <f>B812*(1+(1+GA!$G$145)^(1/12)-1)</f>
        <v>138.95649612273755</v>
      </c>
    </row>
    <row r="814" spans="1:2">
      <c r="A814" s="18">
        <v>57891</v>
      </c>
      <c r="B814" s="1175">
        <f>B813*(1+(1+GA!$G$145)^(1/12)-1)</f>
        <v>139.04304681619075</v>
      </c>
    </row>
    <row r="815" spans="1:2">
      <c r="A815" s="18">
        <v>57922</v>
      </c>
      <c r="B815" s="1175">
        <f>B814*(1+(1+GA!$G$145)^(1/12)-1)</f>
        <v>139.12965141876478</v>
      </c>
    </row>
    <row r="816" spans="1:2">
      <c r="A816" s="18">
        <v>57953</v>
      </c>
      <c r="B816" s="1175">
        <f>B815*(1+(1+GA!$G$145)^(1/12)-1)</f>
        <v>139.21630996403755</v>
      </c>
    </row>
    <row r="817" spans="1:2">
      <c r="A817" s="18">
        <v>57983</v>
      </c>
      <c r="B817" s="1175">
        <f>B816*(1+(1+GA!$G$145)^(1/12)-1)</f>
        <v>139.30302248560793</v>
      </c>
    </row>
    <row r="818" spans="1:2">
      <c r="A818" s="18">
        <v>58014</v>
      </c>
      <c r="B818" s="1175">
        <f>B817*(1+(1+GA!$G$145)^(1/12)-1)</f>
        <v>139.38978901709567</v>
      </c>
    </row>
    <row r="819" spans="1:2">
      <c r="A819" s="18">
        <v>58044</v>
      </c>
      <c r="B819" s="1175">
        <f>B818*(1+(1+GA!$G$145)^(1/12)-1)</f>
        <v>139.47660959214147</v>
      </c>
    </row>
    <row r="820" spans="1:2">
      <c r="A820" s="18">
        <v>58075</v>
      </c>
      <c r="B820" s="1175">
        <f>B819*(1+(1+GA!$G$145)^(1/12)-1)</f>
        <v>139.56348424440702</v>
      </c>
    </row>
    <row r="821" spans="1:2">
      <c r="A821" s="18">
        <v>58106</v>
      </c>
      <c r="B821" s="1175">
        <f>B820*(1+(1+GA!$G$145)^(1/12)-1)</f>
        <v>139.65041300757497</v>
      </c>
    </row>
    <row r="822" spans="1:2">
      <c r="A822" s="18">
        <v>58134</v>
      </c>
      <c r="B822" s="1175">
        <f>B821*(1+(1+GA!$G$145)^(1/12)-1)</f>
        <v>139.73739591534891</v>
      </c>
    </row>
    <row r="823" spans="1:2">
      <c r="A823" s="18">
        <v>58165</v>
      </c>
      <c r="B823" s="1175">
        <f>B822*(1+(1+GA!$G$145)^(1/12)-1)</f>
        <v>139.82443300145346</v>
      </c>
    </row>
    <row r="824" spans="1:2">
      <c r="A824" s="18">
        <v>58195</v>
      </c>
      <c r="B824" s="1175">
        <f>B823*(1+(1+GA!$G$145)^(1/12)-1)</f>
        <v>139.91152429963421</v>
      </c>
    </row>
    <row r="825" spans="1:2">
      <c r="A825" s="18">
        <v>58226</v>
      </c>
      <c r="B825" s="1175">
        <f>B824*(1+(1+GA!$G$145)^(1/12)-1)</f>
        <v>139.99866984365781</v>
      </c>
    </row>
    <row r="826" spans="1:2">
      <c r="A826" s="18">
        <v>58256</v>
      </c>
      <c r="B826" s="1175">
        <f>B825*(1+(1+GA!$G$145)^(1/12)-1)</f>
        <v>140.08586966731193</v>
      </c>
    </row>
    <row r="827" spans="1:2">
      <c r="A827" s="18">
        <v>58287</v>
      </c>
      <c r="B827" s="1175">
        <f>B826*(1+(1+GA!$G$145)^(1/12)-1)</f>
        <v>140.17312380440526</v>
      </c>
    </row>
    <row r="828" spans="1:2">
      <c r="A828" s="18">
        <v>58318</v>
      </c>
      <c r="B828" s="1175">
        <f>B827*(1+(1+GA!$G$145)^(1/12)-1)</f>
        <v>140.26043228876759</v>
      </c>
    </row>
    <row r="829" spans="1:2">
      <c r="A829" s="18">
        <v>58348</v>
      </c>
      <c r="B829" s="1175">
        <f>B828*(1+(1+GA!$G$145)^(1/12)-1)</f>
        <v>140.34779515424972</v>
      </c>
    </row>
    <row r="830" spans="1:2">
      <c r="A830" s="18">
        <v>58379</v>
      </c>
      <c r="B830" s="1175">
        <f>B829*(1+(1+GA!$G$145)^(1/12)-1)</f>
        <v>140.43521243472361</v>
      </c>
    </row>
    <row r="831" spans="1:2">
      <c r="A831" s="18">
        <v>58409</v>
      </c>
      <c r="B831" s="1175">
        <f>B830*(1+(1+GA!$G$145)^(1/12)-1)</f>
        <v>140.52268416408228</v>
      </c>
    </row>
    <row r="832" spans="1:2">
      <c r="A832" s="18">
        <v>58440</v>
      </c>
      <c r="B832" s="1175">
        <f>B831*(1+(1+GA!$G$145)^(1/12)-1)</f>
        <v>140.61021037623982</v>
      </c>
    </row>
    <row r="833" spans="1:2">
      <c r="A833" s="18">
        <v>58471</v>
      </c>
      <c r="B833" s="1175">
        <f>B832*(1+(1+GA!$G$145)^(1/12)-1)</f>
        <v>140.69779110513153</v>
      </c>
    </row>
    <row r="834" spans="1:2">
      <c r="A834" s="18">
        <v>58500</v>
      </c>
      <c r="B834" s="1175">
        <f>B833*(1+(1+GA!$G$145)^(1/12)-1)</f>
        <v>140.78542638471376</v>
      </c>
    </row>
    <row r="835" spans="1:2">
      <c r="A835" s="18">
        <v>58531</v>
      </c>
      <c r="B835" s="1175">
        <f>B834*(1+(1+GA!$G$145)^(1/12)-1)</f>
        <v>140.8731162489641</v>
      </c>
    </row>
    <row r="836" spans="1:2">
      <c r="A836" s="18">
        <v>58561</v>
      </c>
      <c r="B836" s="1175">
        <f>B835*(1+(1+GA!$G$145)^(1/12)-1)</f>
        <v>140.96086073188121</v>
      </c>
    </row>
    <row r="837" spans="1:2">
      <c r="A837" s="18">
        <v>58592</v>
      </c>
      <c r="B837" s="1175">
        <f>B836*(1+(1+GA!$G$145)^(1/12)-1)</f>
        <v>141.04865986748499</v>
      </c>
    </row>
    <row r="838" spans="1:2">
      <c r="A838" s="18">
        <v>58622</v>
      </c>
      <c r="B838" s="1175">
        <f>B837*(1+(1+GA!$G$145)^(1/12)-1)</f>
        <v>141.1365136898165</v>
      </c>
    </row>
    <row r="839" spans="1:2">
      <c r="A839" s="18">
        <v>58653</v>
      </c>
      <c r="B839" s="1175">
        <f>B838*(1+(1+GA!$G$145)^(1/12)-1)</f>
        <v>141.22442223293802</v>
      </c>
    </row>
    <row r="840" spans="1:2">
      <c r="A840" s="18">
        <v>58684</v>
      </c>
      <c r="B840" s="1175">
        <f>B839*(1+(1+GA!$G$145)^(1/12)-1)</f>
        <v>141.31238553093306</v>
      </c>
    </row>
    <row r="841" spans="1:2">
      <c r="A841" s="18">
        <v>58714</v>
      </c>
      <c r="B841" s="1175">
        <f>B840*(1+(1+GA!$G$145)^(1/12)-1)</f>
        <v>141.40040361790631</v>
      </c>
    </row>
    <row r="842" spans="1:2">
      <c r="A842" s="18">
        <v>58745</v>
      </c>
      <c r="B842" s="1175">
        <f>B841*(1+(1+GA!$G$145)^(1/12)-1)</f>
        <v>141.48847652798375</v>
      </c>
    </row>
    <row r="843" spans="1:2">
      <c r="A843" s="18">
        <v>58775</v>
      </c>
      <c r="B843" s="1175">
        <f>B842*(1+(1+GA!$G$145)^(1/12)-1)</f>
        <v>141.57660429531259</v>
      </c>
    </row>
    <row r="844" spans="1:2">
      <c r="A844" s="18">
        <v>58806</v>
      </c>
      <c r="B844" s="1175">
        <f>B843*(1+(1+GA!$G$145)^(1/12)-1)</f>
        <v>141.66478695406133</v>
      </c>
    </row>
    <row r="845" spans="1:2">
      <c r="A845" s="18">
        <v>58837</v>
      </c>
      <c r="B845" s="1175">
        <f>B844*(1+(1+GA!$G$145)^(1/12)-1)</f>
        <v>141.75302453841971</v>
      </c>
    </row>
    <row r="846" spans="1:2">
      <c r="A846" s="18">
        <v>58865</v>
      </c>
      <c r="B846" s="1175">
        <f>B845*(1+(1+GA!$G$145)^(1/12)-1)</f>
        <v>141.84131708259881</v>
      </c>
    </row>
    <row r="847" spans="1:2">
      <c r="A847" s="18">
        <v>58896</v>
      </c>
      <c r="B847" s="1175">
        <f>B846*(1+(1+GA!$G$145)^(1/12)-1)</f>
        <v>141.92966462083101</v>
      </c>
    </row>
    <row r="848" spans="1:2">
      <c r="A848" s="18">
        <v>58926</v>
      </c>
      <c r="B848" s="1175">
        <f>B847*(1+(1+GA!$G$145)^(1/12)-1)</f>
        <v>142.01806718737001</v>
      </c>
    </row>
    <row r="849" spans="1:2">
      <c r="A849" s="18">
        <v>58957</v>
      </c>
      <c r="B849" s="1175">
        <f>B848*(1+(1+GA!$G$145)^(1/12)-1)</f>
        <v>142.1065248164908</v>
      </c>
    </row>
    <row r="850" spans="1:2">
      <c r="A850" s="18">
        <v>58987</v>
      </c>
      <c r="B850" s="1175">
        <f>B849*(1+(1+GA!$G$145)^(1/12)-1)</f>
        <v>142.19503754248981</v>
      </c>
    </row>
    <row r="851" spans="1:2">
      <c r="A851" s="18">
        <v>59018</v>
      </c>
      <c r="B851" s="1175">
        <f>B850*(1+(1+GA!$G$145)^(1/12)-1)</f>
        <v>142.28360539968477</v>
      </c>
    </row>
    <row r="852" spans="1:2">
      <c r="A852" s="18">
        <v>59049</v>
      </c>
      <c r="B852" s="1175">
        <f>B851*(1+(1+GA!$G$145)^(1/12)-1)</f>
        <v>142.37222842241476</v>
      </c>
    </row>
    <row r="853" spans="1:2">
      <c r="A853" s="18">
        <v>59079</v>
      </c>
      <c r="B853" s="1175">
        <f>B852*(1+(1+GA!$G$145)^(1/12)-1)</f>
        <v>142.46090664504032</v>
      </c>
    </row>
    <row r="854" spans="1:2">
      <c r="A854" s="18">
        <v>59110</v>
      </c>
      <c r="B854" s="1175">
        <f>B853*(1+(1+GA!$G$145)^(1/12)-1)</f>
        <v>142.54964010194334</v>
      </c>
    </row>
    <row r="855" spans="1:2">
      <c r="A855" s="18">
        <v>59140</v>
      </c>
      <c r="B855" s="1175">
        <f>B854*(1+(1+GA!$G$145)^(1/12)-1)</f>
        <v>142.63842882752715</v>
      </c>
    </row>
    <row r="856" spans="1:2">
      <c r="A856" s="18">
        <v>59171</v>
      </c>
      <c r="B856" s="1175">
        <f>B855*(1+(1+GA!$G$145)^(1/12)-1)</f>
        <v>142.7272728562165</v>
      </c>
    </row>
    <row r="857" spans="1:2">
      <c r="A857" s="18">
        <v>59202</v>
      </c>
      <c r="B857" s="1175">
        <f>B856*(1+(1+GA!$G$145)^(1/12)-1)</f>
        <v>142.81617222245757</v>
      </c>
    </row>
    <row r="858" spans="1:2">
      <c r="A858" s="18">
        <v>59230</v>
      </c>
      <c r="B858" s="1175">
        <f>B857*(1+(1+GA!$G$145)^(1/12)-1)</f>
        <v>142.90512696071801</v>
      </c>
    </row>
    <row r="859" spans="1:2">
      <c r="A859" s="18">
        <v>59261</v>
      </c>
      <c r="B859" s="1175">
        <f>B858*(1+(1+GA!$G$145)^(1/12)-1)</f>
        <v>142.99413710548694</v>
      </c>
    </row>
    <row r="860" spans="1:2">
      <c r="A860" s="18">
        <v>59291</v>
      </c>
      <c r="B860" s="1175">
        <f>B859*(1+(1+GA!$G$145)^(1/12)-1)</f>
        <v>143.08320269127498</v>
      </c>
    </row>
    <row r="861" spans="1:2">
      <c r="A861" s="18">
        <v>59322</v>
      </c>
      <c r="B861" s="1175">
        <f>B860*(1+(1+GA!$G$145)^(1/12)-1)</f>
        <v>143.1723237526142</v>
      </c>
    </row>
    <row r="862" spans="1:2">
      <c r="A862" s="18">
        <v>59352</v>
      </c>
      <c r="B862" s="1175">
        <f>B861*(1+(1+GA!$G$145)^(1/12)-1)</f>
        <v>143.2615003240582</v>
      </c>
    </row>
    <row r="863" spans="1:2">
      <c r="A863" s="18">
        <v>59383</v>
      </c>
      <c r="B863" s="1175">
        <f>B862*(1+(1+GA!$G$145)^(1/12)-1)</f>
        <v>143.3507324401821</v>
      </c>
    </row>
    <row r="864" spans="1:2">
      <c r="A864" s="18">
        <v>59414</v>
      </c>
      <c r="B864" s="1175">
        <f>B863*(1+(1+GA!$G$145)^(1/12)-1)</f>
        <v>143.44002013558259</v>
      </c>
    </row>
    <row r="865" spans="1:2">
      <c r="A865" s="18">
        <v>59444</v>
      </c>
      <c r="B865" s="1175">
        <f>B864*(1+(1+GA!$G$145)^(1/12)-1)</f>
        <v>143.52936344487784</v>
      </c>
    </row>
    <row r="866" spans="1:2">
      <c r="A866" s="18">
        <v>59475</v>
      </c>
      <c r="B866" s="1175">
        <f>B865*(1+(1+GA!$G$145)^(1/12)-1)</f>
        <v>143.61876240270763</v>
      </c>
    </row>
    <row r="867" spans="1:2">
      <c r="A867" s="18">
        <v>59505</v>
      </c>
      <c r="B867" s="1175">
        <f>B866*(1+(1+GA!$G$145)^(1/12)-1)</f>
        <v>143.70821704373333</v>
      </c>
    </row>
    <row r="868" spans="1:2">
      <c r="A868" s="18">
        <v>59536</v>
      </c>
      <c r="B868" s="1175">
        <f>B867*(1+(1+GA!$G$145)^(1/12)-1)</f>
        <v>143.79772740263783</v>
      </c>
    </row>
    <row r="869" spans="1:2">
      <c r="A869" s="18">
        <v>59567</v>
      </c>
      <c r="B869" s="1175">
        <f>B868*(1+(1+GA!$G$145)^(1/12)-1)</f>
        <v>143.88729351412573</v>
      </c>
    </row>
    <row r="870" spans="1:2">
      <c r="A870" s="18">
        <v>59595</v>
      </c>
      <c r="B870" s="1175">
        <f>B869*(1+(1+GA!$G$145)^(1/12)-1)</f>
        <v>143.97691541292315</v>
      </c>
    </row>
    <row r="871" spans="1:2">
      <c r="A871" s="18">
        <v>59626</v>
      </c>
      <c r="B871" s="1175">
        <f>B870*(1+(1+GA!$G$145)^(1/12)-1)</f>
        <v>144.06659313377787</v>
      </c>
    </row>
    <row r="872" spans="1:2">
      <c r="A872" s="18">
        <v>59656</v>
      </c>
      <c r="B872" s="1175">
        <f>B871*(1+(1+GA!$G$145)^(1/12)-1)</f>
        <v>144.15632671145931</v>
      </c>
    </row>
    <row r="873" spans="1:2">
      <c r="A873" s="18">
        <v>59687</v>
      </c>
      <c r="B873" s="1175">
        <f>B872*(1+(1+GA!$G$145)^(1/12)-1)</f>
        <v>144.24611618075858</v>
      </c>
    </row>
    <row r="874" spans="1:2">
      <c r="A874" s="18">
        <v>59717</v>
      </c>
      <c r="B874" s="1175">
        <f>B873*(1+(1+GA!$G$145)^(1/12)-1)</f>
        <v>144.33596157648842</v>
      </c>
    </row>
    <row r="875" spans="1:2">
      <c r="A875" s="18">
        <v>59748</v>
      </c>
      <c r="B875" s="1175">
        <f>B874*(1+(1+GA!$G$145)^(1/12)-1)</f>
        <v>144.42586293348324</v>
      </c>
    </row>
    <row r="876" spans="1:2">
      <c r="A876" s="18">
        <v>59779</v>
      </c>
      <c r="B876" s="1175">
        <f>B875*(1+(1+GA!$G$145)^(1/12)-1)</f>
        <v>144.51582028659922</v>
      </c>
    </row>
    <row r="877" spans="1:2">
      <c r="A877" s="18">
        <v>59809</v>
      </c>
      <c r="B877" s="1175">
        <f>B876*(1+(1+GA!$G$145)^(1/12)-1)</f>
        <v>144.60583367071419</v>
      </c>
    </row>
    <row r="878" spans="1:2">
      <c r="A878" s="18">
        <v>59840</v>
      </c>
      <c r="B878" s="1175">
        <f>B877*(1+(1+GA!$G$145)^(1/12)-1)</f>
        <v>144.69590312072771</v>
      </c>
    </row>
    <row r="879" spans="1:2">
      <c r="A879" s="18">
        <v>59870</v>
      </c>
      <c r="B879" s="1175">
        <f>B878*(1+(1+GA!$G$145)^(1/12)-1)</f>
        <v>144.7860286715611</v>
      </c>
    </row>
    <row r="880" spans="1:2">
      <c r="A880" s="18">
        <v>59901</v>
      </c>
      <c r="B880" s="1175">
        <f>B879*(1+(1+GA!$G$145)^(1/12)-1)</f>
        <v>144.87621035815741</v>
      </c>
    </row>
    <row r="881" spans="1:2">
      <c r="A881" s="18">
        <v>59932</v>
      </c>
      <c r="B881" s="1175">
        <f>B880*(1+(1+GA!$G$145)^(1/12)-1)</f>
        <v>144.96644821548145</v>
      </c>
    </row>
    <row r="882" spans="1:2">
      <c r="A882" s="18">
        <v>59961</v>
      </c>
      <c r="B882" s="1175">
        <f>B881*(1+(1+GA!$G$145)^(1/12)-1)</f>
        <v>145.05674227851983</v>
      </c>
    </row>
    <row r="883" spans="1:2">
      <c r="A883" s="18">
        <v>59992</v>
      </c>
      <c r="B883" s="1175">
        <f>B882*(1+(1+GA!$G$145)^(1/12)-1)</f>
        <v>145.14709258228095</v>
      </c>
    </row>
    <row r="884" spans="1:2">
      <c r="A884" s="18">
        <v>60022</v>
      </c>
      <c r="B884" s="1175">
        <f>B883*(1+(1+GA!$G$145)^(1/12)-1)</f>
        <v>145.237499161795</v>
      </c>
    </row>
    <row r="885" spans="1:2">
      <c r="A885" s="18">
        <v>60053</v>
      </c>
      <c r="B885" s="1175">
        <f>B884*(1+(1+GA!$G$145)^(1/12)-1)</f>
        <v>145.327962052114</v>
      </c>
    </row>
    <row r="886" spans="1:2">
      <c r="A886" s="18">
        <v>60083</v>
      </c>
      <c r="B886" s="1175">
        <f>B885*(1+(1+GA!$G$145)^(1/12)-1)</f>
        <v>145.4184812883118</v>
      </c>
    </row>
    <row r="887" spans="1:2">
      <c r="A887" s="18">
        <v>60114</v>
      </c>
      <c r="B887" s="1175">
        <f>B886*(1+(1+GA!$G$145)^(1/12)-1)</f>
        <v>145.5090569054841</v>
      </c>
    </row>
    <row r="888" spans="1:2">
      <c r="A888" s="18">
        <v>60145</v>
      </c>
      <c r="B888" s="1175">
        <f>B887*(1+(1+GA!$G$145)^(1/12)-1)</f>
        <v>145.59968893874844</v>
      </c>
    </row>
    <row r="889" spans="1:2">
      <c r="A889" s="18">
        <v>60175</v>
      </c>
      <c r="B889" s="1175">
        <f>B888*(1+(1+GA!$G$145)^(1/12)-1)</f>
        <v>145.69037742324426</v>
      </c>
    </row>
    <row r="890" spans="1:2">
      <c r="A890" s="18">
        <v>60206</v>
      </c>
      <c r="B890" s="1175">
        <f>B889*(1+(1+GA!$G$145)^(1/12)-1)</f>
        <v>145.78112239413286</v>
      </c>
    </row>
    <row r="891" spans="1:2">
      <c r="A891" s="18">
        <v>60236</v>
      </c>
      <c r="B891" s="1175">
        <f>B890*(1+(1+GA!$G$145)^(1/12)-1)</f>
        <v>145.8719238865975</v>
      </c>
    </row>
    <row r="892" spans="1:2">
      <c r="A892" s="18">
        <v>60267</v>
      </c>
      <c r="B892" s="1175">
        <f>B891*(1+(1+GA!$G$145)^(1/12)-1)</f>
        <v>145.96278193584328</v>
      </c>
    </row>
    <row r="893" spans="1:2">
      <c r="A893" s="18">
        <v>60298</v>
      </c>
      <c r="B893" s="1175">
        <f>B892*(1+(1+GA!$G$145)^(1/12)-1)</f>
        <v>146.05369657709724</v>
      </c>
    </row>
    <row r="894" spans="1:2">
      <c r="A894" s="18">
        <v>60326</v>
      </c>
      <c r="B894" s="1175">
        <f>B893*(1+(1+GA!$G$145)^(1/12)-1)</f>
        <v>146.14466784560841</v>
      </c>
    </row>
    <row r="895" spans="1:2">
      <c r="A895" s="18">
        <v>60357</v>
      </c>
      <c r="B895" s="1175">
        <f>B894*(1+(1+GA!$G$145)^(1/12)-1)</f>
        <v>146.23569577664773</v>
      </c>
    </row>
    <row r="896" spans="1:2">
      <c r="A896" s="18">
        <v>60387</v>
      </c>
      <c r="B896" s="1175">
        <f>B895*(1+(1+GA!$G$145)^(1/12)-1)</f>
        <v>146.32678040550815</v>
      </c>
    </row>
    <row r="897" spans="1:2">
      <c r="A897" s="18">
        <v>60418</v>
      </c>
      <c r="B897" s="1175">
        <f>B896*(1+(1+GA!$G$145)^(1/12)-1)</f>
        <v>146.41792176750454</v>
      </c>
    </row>
    <row r="898" spans="1:2">
      <c r="A898" s="18">
        <v>60448</v>
      </c>
      <c r="B898" s="1175">
        <f>B897*(1+(1+GA!$G$145)^(1/12)-1)</f>
        <v>146.50911989797382</v>
      </c>
    </row>
    <row r="899" spans="1:2">
      <c r="A899" s="18">
        <v>60479</v>
      </c>
      <c r="B899" s="1175">
        <f>B898*(1+(1+GA!$G$145)^(1/12)-1)</f>
        <v>146.60037483227489</v>
      </c>
    </row>
    <row r="900" spans="1:2">
      <c r="A900" s="18">
        <v>60510</v>
      </c>
      <c r="B900" s="1175">
        <f>B899*(1+(1+GA!$G$145)^(1/12)-1)</f>
        <v>146.69168660578873</v>
      </c>
    </row>
    <row r="901" spans="1:2">
      <c r="A901" s="18">
        <v>60540</v>
      </c>
      <c r="B901" s="1175">
        <f>B900*(1+(1+GA!$G$145)^(1/12)-1)</f>
        <v>146.78305525391826</v>
      </c>
    </row>
    <row r="902" spans="1:2">
      <c r="A902" s="18">
        <v>60571</v>
      </c>
      <c r="B902" s="1175">
        <f>B901*(1+(1+GA!$G$145)^(1/12)-1)</f>
        <v>146.87448081208854</v>
      </c>
    </row>
    <row r="903" spans="1:2">
      <c r="A903" s="18">
        <v>60601</v>
      </c>
      <c r="B903" s="1175">
        <f>B902*(1+(1+GA!$G$145)^(1/12)-1)</f>
        <v>146.96596331574665</v>
      </c>
    </row>
    <row r="904" spans="1:2">
      <c r="A904" s="18">
        <v>60632</v>
      </c>
      <c r="B904" s="1175">
        <f>B903*(1+(1+GA!$G$145)^(1/12)-1)</f>
        <v>147.05750280036176</v>
      </c>
    </row>
    <row r="905" spans="1:2">
      <c r="A905" s="18">
        <v>60663</v>
      </c>
      <c r="B905" s="1175">
        <f>B904*(1+(1+GA!$G$145)^(1/12)-1)</f>
        <v>147.14909930142514</v>
      </c>
    </row>
    <row r="906" spans="1:2">
      <c r="A906" s="18">
        <v>60691</v>
      </c>
      <c r="B906" s="1175">
        <f>B905*(1+(1+GA!$G$145)^(1/12)-1)</f>
        <v>147.24075285445014</v>
      </c>
    </row>
    <row r="907" spans="1:2">
      <c r="A907" s="18">
        <v>60722</v>
      </c>
      <c r="B907" s="1175">
        <f>B906*(1+(1+GA!$G$145)^(1/12)-1)</f>
        <v>147.33246349497227</v>
      </c>
    </row>
    <row r="908" spans="1:2">
      <c r="A908" s="18">
        <v>60752</v>
      </c>
      <c r="B908" s="1175">
        <f>B907*(1+(1+GA!$G$145)^(1/12)-1)</f>
        <v>147.42423125854913</v>
      </c>
    </row>
    <row r="909" spans="1:2">
      <c r="A909" s="18">
        <v>60783</v>
      </c>
      <c r="B909" s="1175">
        <f>B908*(1+(1+GA!$G$145)^(1/12)-1)</f>
        <v>147.5160561807605</v>
      </c>
    </row>
    <row r="910" spans="1:2">
      <c r="A910" s="18">
        <v>60813</v>
      </c>
      <c r="B910" s="1175">
        <f>B909*(1+(1+GA!$G$145)^(1/12)-1)</f>
        <v>147.60793829720831</v>
      </c>
    </row>
    <row r="911" spans="1:2">
      <c r="A911" s="18">
        <v>60844</v>
      </c>
      <c r="B911" s="1175">
        <f>B910*(1+(1+GA!$G$145)^(1/12)-1)</f>
        <v>147.69987764351666</v>
      </c>
    </row>
    <row r="912" spans="1:2">
      <c r="A912" s="18">
        <v>60875</v>
      </c>
      <c r="B912" s="1175">
        <f>B911*(1+(1+GA!$G$145)^(1/12)-1)</f>
        <v>147.79187425533183</v>
      </c>
    </row>
    <row r="913" spans="1:2">
      <c r="A913" s="18">
        <v>60905</v>
      </c>
      <c r="B913" s="1175">
        <f>B912*(1+(1+GA!$G$145)^(1/12)-1)</f>
        <v>147.88392816832234</v>
      </c>
    </row>
    <row r="914" spans="1:2">
      <c r="A914" s="18">
        <v>60936</v>
      </c>
      <c r="B914" s="1175">
        <f>B913*(1+(1+GA!$G$145)^(1/12)-1)</f>
        <v>147.97603941817891</v>
      </c>
    </row>
    <row r="915" spans="1:2">
      <c r="A915" s="18">
        <v>60966</v>
      </c>
      <c r="B915" s="1175">
        <f>B914*(1+(1+GA!$G$145)^(1/12)-1)</f>
        <v>148.06820804061448</v>
      </c>
    </row>
    <row r="916" spans="1:2">
      <c r="A916" s="18">
        <v>60997</v>
      </c>
      <c r="B916" s="1175">
        <f>B915*(1+(1+GA!$G$145)^(1/12)-1)</f>
        <v>148.16043407136422</v>
      </c>
    </row>
    <row r="917" spans="1:2">
      <c r="A917" s="18">
        <v>61028</v>
      </c>
      <c r="B917" s="1175">
        <f>B916*(1+(1+GA!$G$145)^(1/12)-1)</f>
        <v>148.25271754618558</v>
      </c>
    </row>
    <row r="918" spans="1:2">
      <c r="A918" s="18">
        <v>61056</v>
      </c>
      <c r="B918" s="1175">
        <f>B917*(1+(1+GA!$G$145)^(1/12)-1)</f>
        <v>148.34505850085827</v>
      </c>
    </row>
    <row r="919" spans="1:2">
      <c r="A919" s="18">
        <v>61087</v>
      </c>
      <c r="B919" s="1175">
        <f>B918*(1+(1+GA!$G$145)^(1/12)-1)</f>
        <v>148.4374569711843</v>
      </c>
    </row>
    <row r="920" spans="1:2">
      <c r="A920" s="18">
        <v>61117</v>
      </c>
      <c r="B920" s="1175">
        <f>B919*(1+(1+GA!$G$145)^(1/12)-1)</f>
        <v>148.52991299298799</v>
      </c>
    </row>
    <row r="921" spans="1:2">
      <c r="A921" s="18">
        <v>61148</v>
      </c>
      <c r="B921" s="1175">
        <f>B920*(1+(1+GA!$G$145)^(1/12)-1)</f>
        <v>148.62242660211595</v>
      </c>
    </row>
    <row r="922" spans="1:2">
      <c r="A922" s="18">
        <v>61178</v>
      </c>
      <c r="B922" s="1175">
        <f>B921*(1+(1+GA!$G$145)^(1/12)-1)</f>
        <v>148.71499783443713</v>
      </c>
    </row>
    <row r="923" spans="1:2">
      <c r="A923" s="18">
        <v>61209</v>
      </c>
      <c r="B923" s="1175">
        <f>B922*(1+(1+GA!$G$145)^(1/12)-1)</f>
        <v>148.80762672584279</v>
      </c>
    </row>
    <row r="924" spans="1:2">
      <c r="A924" s="18">
        <v>61240</v>
      </c>
      <c r="B924" s="1175">
        <f>B923*(1+(1+GA!$G$145)^(1/12)-1)</f>
        <v>148.9003133122466</v>
      </c>
    </row>
    <row r="925" spans="1:2">
      <c r="A925" s="18">
        <v>61270</v>
      </c>
      <c r="B925" s="1175">
        <f>B924*(1+(1+GA!$G$145)^(1/12)-1)</f>
        <v>148.99305762958454</v>
      </c>
    </row>
    <row r="926" spans="1:2">
      <c r="A926" s="18">
        <v>61301</v>
      </c>
      <c r="B926" s="1175">
        <f>B925*(1+(1+GA!$G$145)^(1/12)-1)</f>
        <v>149.08585971381504</v>
      </c>
    </row>
    <row r="927" spans="1:2">
      <c r="A927" s="18">
        <v>61331</v>
      </c>
      <c r="B927" s="1175">
        <f>B926*(1+(1+GA!$G$145)^(1/12)-1)</f>
        <v>149.17871960091887</v>
      </c>
    </row>
    <row r="928" spans="1:2">
      <c r="A928" s="18">
        <v>61362</v>
      </c>
      <c r="B928" s="1175">
        <f>B927*(1+(1+GA!$G$145)^(1/12)-1)</f>
        <v>149.27163732689922</v>
      </c>
    </row>
    <row r="929" spans="1:2">
      <c r="A929" s="18">
        <v>61393</v>
      </c>
      <c r="B929" s="1175">
        <f>B928*(1+(1+GA!$G$145)^(1/12)-1)</f>
        <v>149.36461292778174</v>
      </c>
    </row>
    <row r="930" spans="1:2">
      <c r="A930" s="18">
        <v>61422</v>
      </c>
      <c r="B930" s="1175">
        <f>B929*(1+(1+GA!$G$145)^(1/12)-1)</f>
        <v>149.45764643961448</v>
      </c>
    </row>
    <row r="931" spans="1:2">
      <c r="A931" s="18">
        <v>61453</v>
      </c>
      <c r="B931" s="1175">
        <f>B930*(1+(1+GA!$G$145)^(1/12)-1)</f>
        <v>149.55073789846796</v>
      </c>
    </row>
    <row r="932" spans="1:2">
      <c r="A932" s="18">
        <v>61483</v>
      </c>
      <c r="B932" s="1175">
        <f>B931*(1+(1+GA!$G$145)^(1/12)-1)</f>
        <v>149.64388734043519</v>
      </c>
    </row>
    <row r="933" spans="1:2">
      <c r="A933" s="18">
        <v>61514</v>
      </c>
      <c r="B933" s="1175">
        <f>B932*(1+(1+GA!$G$145)^(1/12)-1)</f>
        <v>149.7370948016316</v>
      </c>
    </row>
    <row r="934" spans="1:2">
      <c r="A934" s="18">
        <v>61544</v>
      </c>
      <c r="B934" s="1175">
        <f>B933*(1+(1+GA!$G$145)^(1/12)-1)</f>
        <v>149.83036031819518</v>
      </c>
    </row>
    <row r="935" spans="1:2">
      <c r="A935" s="18">
        <v>61575</v>
      </c>
      <c r="B935" s="1175">
        <f>B934*(1+(1+GA!$G$145)^(1/12)-1)</f>
        <v>149.92368392628637</v>
      </c>
    </row>
    <row r="936" spans="1:2">
      <c r="A936" s="18">
        <v>61606</v>
      </c>
      <c r="B936" s="1175">
        <f>B935*(1+(1+GA!$G$145)^(1/12)-1)</f>
        <v>150.01706566208819</v>
      </c>
    </row>
    <row r="937" spans="1:2">
      <c r="A937" s="18">
        <v>61636</v>
      </c>
      <c r="B937" s="1175">
        <f>B936*(1+(1+GA!$G$145)^(1/12)-1)</f>
        <v>150.11050556180618</v>
      </c>
    </row>
    <row r="938" spans="1:2">
      <c r="A938" s="18">
        <v>61667</v>
      </c>
      <c r="B938" s="1175">
        <f>B937*(1+(1+GA!$G$145)^(1/12)-1)</f>
        <v>150.20400366166839</v>
      </c>
    </row>
    <row r="939" spans="1:2">
      <c r="A939" s="18">
        <v>61697</v>
      </c>
      <c r="B939" s="1175">
        <f>B938*(1+(1+GA!$G$145)^(1/12)-1)</f>
        <v>150.2975599979255</v>
      </c>
    </row>
    <row r="940" spans="1:2">
      <c r="A940" s="18">
        <v>61728</v>
      </c>
      <c r="B940" s="1175">
        <f>B939*(1+(1+GA!$G$145)^(1/12)-1)</f>
        <v>150.39117460685071</v>
      </c>
    </row>
    <row r="941" spans="1:2">
      <c r="A941" s="18">
        <v>61759</v>
      </c>
      <c r="B941" s="1175">
        <f>B940*(1+(1+GA!$G$145)^(1/12)-1)</f>
        <v>150.48484752473985</v>
      </c>
    </row>
    <row r="942" spans="1:2">
      <c r="A942" s="18">
        <v>61787</v>
      </c>
      <c r="B942" s="1175">
        <f>B941*(1+(1+GA!$G$145)^(1/12)-1)</f>
        <v>150.57857878791134</v>
      </c>
    </row>
    <row r="943" spans="1:2">
      <c r="A943" s="18">
        <v>61818</v>
      </c>
      <c r="B943" s="1175">
        <f>B942*(1+(1+GA!$G$145)^(1/12)-1)</f>
        <v>150.67236843270624</v>
      </c>
    </row>
    <row r="944" spans="1:2">
      <c r="A944" s="18">
        <v>61848</v>
      </c>
      <c r="B944" s="1175">
        <f>B943*(1+(1+GA!$G$145)^(1/12)-1)</f>
        <v>150.76621649548821</v>
      </c>
    </row>
    <row r="945" spans="1:2">
      <c r="A945" s="18">
        <v>61879</v>
      </c>
      <c r="B945" s="1175">
        <f>B944*(1+(1+GA!$G$145)^(1/12)-1)</f>
        <v>150.86012301264358</v>
      </c>
    </row>
    <row r="946" spans="1:2">
      <c r="A946" s="18">
        <v>61909</v>
      </c>
      <c r="B946" s="1175">
        <f>B945*(1+(1+GA!$G$145)^(1/12)-1)</f>
        <v>150.95408802058139</v>
      </c>
    </row>
    <row r="947" spans="1:2">
      <c r="A947" s="18">
        <v>61940</v>
      </c>
      <c r="B947" s="1175">
        <f>B946*(1+(1+GA!$G$145)^(1/12)-1)</f>
        <v>151.04811155573327</v>
      </c>
    </row>
    <row r="948" spans="1:2">
      <c r="A948" s="18">
        <v>61971</v>
      </c>
      <c r="B948" s="1175">
        <f>B947*(1+(1+GA!$G$145)^(1/12)-1)</f>
        <v>151.14219365455361</v>
      </c>
    </row>
    <row r="949" spans="1:2">
      <c r="A949" s="18">
        <v>62001</v>
      </c>
      <c r="B949" s="1175">
        <f>B948*(1+(1+GA!$G$145)^(1/12)-1)</f>
        <v>151.23633435351948</v>
      </c>
    </row>
    <row r="950" spans="1:2">
      <c r="A950" s="18">
        <v>62032</v>
      </c>
      <c r="B950" s="1175">
        <f>B949*(1+(1+GA!$G$145)^(1/12)-1)</f>
        <v>151.33053368913068</v>
      </c>
    </row>
    <row r="951" spans="1:2">
      <c r="A951" s="18">
        <v>62062</v>
      </c>
      <c r="B951" s="1175">
        <f>B950*(1+(1+GA!$G$145)^(1/12)-1)</f>
        <v>151.42479169790971</v>
      </c>
    </row>
    <row r="952" spans="1:2">
      <c r="A952" s="18">
        <v>62093</v>
      </c>
      <c r="B952" s="1175">
        <f>B951*(1+(1+GA!$G$145)^(1/12)-1)</f>
        <v>151.51910841640185</v>
      </c>
    </row>
    <row r="953" spans="1:2">
      <c r="A953" s="18">
        <v>62124</v>
      </c>
      <c r="B953" s="1175">
        <f>B952*(1+(1+GA!$G$145)^(1/12)-1)</f>
        <v>151.61348388117514</v>
      </c>
    </row>
    <row r="954" spans="1:2">
      <c r="A954" s="18">
        <v>62152</v>
      </c>
      <c r="B954" s="1175">
        <f>B953*(1+(1+GA!$G$145)^(1/12)-1)</f>
        <v>151.70791812882041</v>
      </c>
    </row>
    <row r="955" spans="1:2">
      <c r="A955" s="18">
        <v>62183</v>
      </c>
      <c r="B955" s="1175">
        <f>B954*(1+(1+GA!$G$145)^(1/12)-1)</f>
        <v>151.80241119595127</v>
      </c>
    </row>
    <row r="956" spans="1:2">
      <c r="A956" s="18">
        <v>62213</v>
      </c>
      <c r="B956" s="1175">
        <f>B955*(1+(1+GA!$G$145)^(1/12)-1)</f>
        <v>151.89696311920409</v>
      </c>
    </row>
    <row r="957" spans="1:2">
      <c r="A957" s="18">
        <v>62244</v>
      </c>
      <c r="B957" s="1175">
        <f>B956*(1+(1+GA!$G$145)^(1/12)-1)</f>
        <v>151.99157393523814</v>
      </c>
    </row>
    <row r="958" spans="1:2">
      <c r="A958" s="18">
        <v>62274</v>
      </c>
      <c r="B958" s="1175">
        <f>B957*(1+(1+GA!$G$145)^(1/12)-1)</f>
        <v>152.08624368073546</v>
      </c>
    </row>
    <row r="959" spans="1:2">
      <c r="A959" s="18">
        <v>62305</v>
      </c>
      <c r="B959" s="1175">
        <f>B958*(1+(1+GA!$G$145)^(1/12)-1)</f>
        <v>152.180972392401</v>
      </c>
    </row>
    <row r="960" spans="1:2">
      <c r="A960" s="18">
        <v>62336</v>
      </c>
      <c r="B960" s="1175">
        <f>B959*(1+(1+GA!$G$145)^(1/12)-1)</f>
        <v>152.27576010696251</v>
      </c>
    </row>
    <row r="961" spans="1:2">
      <c r="A961" s="18">
        <v>62366</v>
      </c>
      <c r="B961" s="1175">
        <f>B960*(1+(1+GA!$G$145)^(1/12)-1)</f>
        <v>152.37060686117061</v>
      </c>
    </row>
    <row r="962" spans="1:2">
      <c r="A962" s="18">
        <v>62397</v>
      </c>
      <c r="B962" s="1175">
        <f>B961*(1+(1+GA!$G$145)^(1/12)-1)</f>
        <v>152.46551269179889</v>
      </c>
    </row>
    <row r="963" spans="1:2">
      <c r="A963" s="18">
        <v>62427</v>
      </c>
      <c r="B963" s="1175">
        <f>B962*(1+(1+GA!$G$145)^(1/12)-1)</f>
        <v>152.56047763564376</v>
      </c>
    </row>
    <row r="964" spans="1:2">
      <c r="A964" s="18">
        <v>62458</v>
      </c>
      <c r="B964" s="1175">
        <f>B963*(1+(1+GA!$G$145)^(1/12)-1)</f>
        <v>152.65550172952459</v>
      </c>
    </row>
    <row r="965" spans="1:2">
      <c r="A965" s="18">
        <v>62489</v>
      </c>
      <c r="B965" s="1175">
        <f>B964*(1+(1+GA!$G$145)^(1/12)-1)</f>
        <v>152.75058501028369</v>
      </c>
    </row>
    <row r="966" spans="1:2">
      <c r="A966" s="18">
        <v>62517</v>
      </c>
      <c r="B966" s="1175">
        <f>B965*(1+(1+GA!$G$145)^(1/12)-1)</f>
        <v>152.84572751478629</v>
      </c>
    </row>
    <row r="967" spans="1:2">
      <c r="A967" s="18">
        <v>62548</v>
      </c>
      <c r="B967" s="1175">
        <f>B966*(1+(1+GA!$G$145)^(1/12)-1)</f>
        <v>152.94092927992062</v>
      </c>
    </row>
    <row r="968" spans="1:2">
      <c r="A968" s="18">
        <v>62578</v>
      </c>
      <c r="B968" s="1175">
        <f>B967*(1+(1+GA!$G$145)^(1/12)-1)</f>
        <v>153.03619034259785</v>
      </c>
    </row>
    <row r="969" spans="1:2">
      <c r="A969" s="18">
        <v>62609</v>
      </c>
      <c r="B969" s="1175">
        <f>B968*(1+(1+GA!$G$145)^(1/12)-1)</f>
        <v>153.13151073975214</v>
      </c>
    </row>
    <row r="970" spans="1:2">
      <c r="A970" s="18">
        <v>62639</v>
      </c>
      <c r="B970" s="1175">
        <f>B969*(1+(1+GA!$G$145)^(1/12)-1)</f>
        <v>153.22689050834072</v>
      </c>
    </row>
    <row r="971" spans="1:2">
      <c r="A971" s="18">
        <v>62670</v>
      </c>
      <c r="B971" s="1175">
        <f>B970*(1+(1+GA!$G$145)^(1/12)-1)</f>
        <v>153.32232968534373</v>
      </c>
    </row>
    <row r="972" spans="1:2">
      <c r="A972" s="18">
        <v>62701</v>
      </c>
      <c r="B972" s="1175">
        <f>B971*(1+(1+GA!$G$145)^(1/12)-1)</f>
        <v>153.41782830776444</v>
      </c>
    </row>
    <row r="973" spans="1:2">
      <c r="A973" s="18">
        <v>62731</v>
      </c>
      <c r="B973" s="1175">
        <f>B972*(1+(1+GA!$G$145)^(1/12)-1)</f>
        <v>153.5133864126291</v>
      </c>
    </row>
    <row r="974" spans="1:2">
      <c r="A974" s="18">
        <v>62762</v>
      </c>
      <c r="B974" s="1175">
        <f>B973*(1+(1+GA!$G$145)^(1/12)-1)</f>
        <v>153.60900403698707</v>
      </c>
    </row>
    <row r="975" spans="1:2">
      <c r="A975" s="18">
        <v>62792</v>
      </c>
      <c r="B975" s="1175">
        <f>B974*(1+(1+GA!$G$145)^(1/12)-1)</f>
        <v>153.70468121791077</v>
      </c>
    </row>
    <row r="976" spans="1:2">
      <c r="A976" s="18">
        <v>62823</v>
      </c>
      <c r="B976" s="1175">
        <f>B975*(1+(1+GA!$G$145)^(1/12)-1)</f>
        <v>153.80041799249571</v>
      </c>
    </row>
    <row r="977" spans="1:2">
      <c r="A977" s="18">
        <v>62854</v>
      </c>
      <c r="B977" s="1175">
        <f>B976*(1+(1+GA!$G$145)^(1/12)-1)</f>
        <v>153.89621439786049</v>
      </c>
    </row>
    <row r="978" spans="1:2">
      <c r="A978" s="18">
        <v>62883</v>
      </c>
      <c r="B978" s="1175">
        <f>B977*(1+(1+GA!$G$145)^(1/12)-1)</f>
        <v>153.99207047114686</v>
      </c>
    </row>
    <row r="979" spans="1:2">
      <c r="A979" s="18">
        <v>62914</v>
      </c>
      <c r="B979" s="1175">
        <f>B978*(1+(1+GA!$G$145)^(1/12)-1)</f>
        <v>154.0879862495197</v>
      </c>
    </row>
    <row r="980" spans="1:2">
      <c r="A980" s="18">
        <v>62944</v>
      </c>
      <c r="B980" s="1175">
        <f>B979*(1+(1+GA!$G$145)^(1/12)-1)</f>
        <v>154.183961770167</v>
      </c>
    </row>
    <row r="981" spans="1:2">
      <c r="A981" s="18">
        <v>62975</v>
      </c>
      <c r="B981" s="1175">
        <f>B980*(1+(1+GA!$G$145)^(1/12)-1)</f>
        <v>154.27999707029997</v>
      </c>
    </row>
    <row r="982" spans="1:2">
      <c r="A982" s="18">
        <v>63005</v>
      </c>
      <c r="B982" s="1175">
        <f>B981*(1+(1+GA!$G$145)^(1/12)-1)</f>
        <v>154.37609218715295</v>
      </c>
    </row>
    <row r="983" spans="1:2">
      <c r="A983" s="18">
        <v>63036</v>
      </c>
      <c r="B983" s="1175">
        <f>B982*(1+(1+GA!$G$145)^(1/12)-1)</f>
        <v>154.47224715798347</v>
      </c>
    </row>
    <row r="984" spans="1:2">
      <c r="A984" s="18">
        <v>63067</v>
      </c>
      <c r="B984" s="1175">
        <f>B983*(1+(1+GA!$G$145)^(1/12)-1)</f>
        <v>154.56846202007233</v>
      </c>
    </row>
    <row r="985" spans="1:2">
      <c r="A985" s="18">
        <v>63097</v>
      </c>
      <c r="B985" s="1175">
        <f>B984*(1+(1+GA!$G$145)^(1/12)-1)</f>
        <v>154.6647368107235</v>
      </c>
    </row>
    <row r="986" spans="1:2">
      <c r="A986" s="18">
        <v>63128</v>
      </c>
      <c r="B986" s="1175">
        <f>B985*(1+(1+GA!$G$145)^(1/12)-1)</f>
        <v>154.76107156726417</v>
      </c>
    </row>
    <row r="987" spans="1:2">
      <c r="A987" s="18">
        <v>63158</v>
      </c>
      <c r="B987" s="1175">
        <f>B986*(1+(1+GA!$G$145)^(1/12)-1)</f>
        <v>154.85746632704479</v>
      </c>
    </row>
    <row r="988" spans="1:2">
      <c r="A988" s="18">
        <v>63189</v>
      </c>
      <c r="B988" s="1175">
        <f>B987*(1+(1+GA!$G$145)^(1/12)-1)</f>
        <v>154.95392112743912</v>
      </c>
    </row>
    <row r="989" spans="1:2">
      <c r="A989" s="18">
        <v>63220</v>
      </c>
      <c r="B989" s="1175">
        <f>B988*(1+(1+GA!$G$145)^(1/12)-1)</f>
        <v>155.05043600584415</v>
      </c>
    </row>
    <row r="990" spans="1:2">
      <c r="A990" s="18">
        <v>63248</v>
      </c>
      <c r="B990" s="1175">
        <f>B989*(1+(1+GA!$G$145)^(1/12)-1)</f>
        <v>155.14701099968016</v>
      </c>
    </row>
    <row r="991" spans="1:2">
      <c r="A991" s="18">
        <v>63279</v>
      </c>
      <c r="B991" s="1175">
        <f>B990*(1+(1+GA!$G$145)^(1/12)-1)</f>
        <v>155.2436461463908</v>
      </c>
    </row>
    <row r="992" spans="1:2">
      <c r="A992" s="18">
        <v>63309</v>
      </c>
      <c r="B992" s="1175">
        <f>B991*(1+(1+GA!$G$145)^(1/12)-1)</f>
        <v>155.34034148344296</v>
      </c>
    </row>
    <row r="993" spans="1:2">
      <c r="A993" s="18">
        <v>63340</v>
      </c>
      <c r="B993" s="1175">
        <f>B992*(1+(1+GA!$G$145)^(1/12)-1)</f>
        <v>155.4370970483269</v>
      </c>
    </row>
    <row r="994" spans="1:2">
      <c r="A994" s="18">
        <v>63370</v>
      </c>
      <c r="B994" s="1175">
        <f>B993*(1+(1+GA!$G$145)^(1/12)-1)</f>
        <v>155.53391287855627</v>
      </c>
    </row>
    <row r="995" spans="1:2">
      <c r="A995" s="18">
        <v>63401</v>
      </c>
      <c r="B995" s="1175">
        <f>B994*(1+(1+GA!$G$145)^(1/12)-1)</f>
        <v>155.63078901166804</v>
      </c>
    </row>
    <row r="996" spans="1:2">
      <c r="A996" s="18">
        <v>63432</v>
      </c>
      <c r="B996" s="1175">
        <f>B995*(1+(1+GA!$G$145)^(1/12)-1)</f>
        <v>155.72772548522258</v>
      </c>
    </row>
    <row r="997" spans="1:2">
      <c r="A997" s="18">
        <v>63462</v>
      </c>
      <c r="B997" s="1175">
        <f>B996*(1+(1+GA!$G$145)^(1/12)-1)</f>
        <v>155.8247223368036</v>
      </c>
    </row>
    <row r="998" spans="1:2">
      <c r="A998" s="18">
        <v>63493</v>
      </c>
      <c r="B998" s="1175">
        <f>B997*(1+(1+GA!$G$145)^(1/12)-1)</f>
        <v>155.92177960401833</v>
      </c>
    </row>
    <row r="999" spans="1:2">
      <c r="A999" s="18">
        <v>63523</v>
      </c>
      <c r="B999" s="1175">
        <f>B998*(1+(1+GA!$G$145)^(1/12)-1)</f>
        <v>156.01889732449732</v>
      </c>
    </row>
    <row r="1000" spans="1:2">
      <c r="A1000" s="18">
        <v>63554</v>
      </c>
      <c r="B1000" s="1175">
        <f>B999*(1+(1+GA!$G$145)^(1/12)-1)</f>
        <v>156.11607553589459</v>
      </c>
    </row>
    <row r="1001" spans="1:2">
      <c r="A1001" s="18">
        <v>63585</v>
      </c>
      <c r="B1001" s="1175">
        <f>B1000*(1+(1+GA!$G$145)^(1/12)-1)</f>
        <v>156.21331427588765</v>
      </c>
    </row>
    <row r="1002" spans="1:2">
      <c r="A1002" s="18">
        <v>63613</v>
      </c>
      <c r="B1002" s="1175">
        <f>B1001*(1+(1+GA!$G$145)^(1/12)-1)</f>
        <v>156.31061358217744</v>
      </c>
    </row>
    <row r="1003" spans="1:2">
      <c r="A1003" s="18">
        <v>63644</v>
      </c>
      <c r="B1003" s="1175">
        <f>B1002*(1+(1+GA!$G$145)^(1/12)-1)</f>
        <v>156.4079734924884</v>
      </c>
    </row>
    <row r="1004" spans="1:2">
      <c r="A1004" s="18">
        <v>63674</v>
      </c>
      <c r="B1004" s="1175">
        <f>B1003*(1+(1+GA!$G$145)^(1/12)-1)</f>
        <v>156.50539404456845</v>
      </c>
    </row>
    <row r="1005" spans="1:2">
      <c r="A1005" s="18">
        <v>63705</v>
      </c>
      <c r="B1005" s="1175">
        <f>B1004*(1+(1+GA!$G$145)^(1/12)-1)</f>
        <v>156.60287527618902</v>
      </c>
    </row>
    <row r="1006" spans="1:2">
      <c r="A1006" s="18">
        <v>63735</v>
      </c>
      <c r="B1006" s="1175">
        <f>B1005*(1+(1+GA!$G$145)^(1/12)-1)</f>
        <v>156.70041722514512</v>
      </c>
    </row>
    <row r="1007" spans="1:2">
      <c r="A1007" s="18">
        <v>63766</v>
      </c>
      <c r="B1007" s="1175">
        <f>B1006*(1+(1+GA!$G$145)^(1/12)-1)</f>
        <v>156.79801992925522</v>
      </c>
    </row>
    <row r="1008" spans="1:2">
      <c r="A1008" s="18">
        <v>63797</v>
      </c>
      <c r="B1008" s="1175">
        <f>B1007*(1+(1+GA!$G$145)^(1/12)-1)</f>
        <v>156.89568342636142</v>
      </c>
    </row>
    <row r="1009" spans="1:2">
      <c r="A1009" s="18">
        <v>63827</v>
      </c>
      <c r="B1009" s="1175">
        <f>B1008*(1+(1+GA!$G$145)^(1/12)-1)</f>
        <v>156.9934077543293</v>
      </c>
    </row>
    <row r="1010" spans="1:2">
      <c r="A1010" s="18">
        <v>63858</v>
      </c>
      <c r="B1010" s="1175">
        <f>B1009*(1+(1+GA!$G$145)^(1/12)-1)</f>
        <v>157.09119295104813</v>
      </c>
    </row>
    <row r="1011" spans="1:2">
      <c r="A1011" s="18">
        <v>63888</v>
      </c>
      <c r="B1011" s="1175">
        <f>B1010*(1+(1+GA!$G$145)^(1/12)-1)</f>
        <v>157.18903905443071</v>
      </c>
    </row>
    <row r="1012" spans="1:2">
      <c r="A1012" s="18">
        <v>63919</v>
      </c>
      <c r="B1012" s="1175">
        <f>B1011*(1+(1+GA!$G$145)^(1/12)-1)</f>
        <v>157.28694610241348</v>
      </c>
    </row>
    <row r="1013" spans="1:2">
      <c r="A1013" s="18">
        <v>63950</v>
      </c>
      <c r="B1013" s="1175">
        <f>B1012*(1+(1+GA!$G$145)^(1/12)-1)</f>
        <v>157.38491413295648</v>
      </c>
    </row>
    <row r="1014" spans="1:2">
      <c r="A1014" s="18">
        <v>63978</v>
      </c>
      <c r="B1014" s="1175">
        <f>B1013*(1+(1+GA!$G$145)^(1/12)-1)</f>
        <v>157.48294318404345</v>
      </c>
    </row>
    <row r="1015" spans="1:2">
      <c r="A1015" s="18">
        <v>64009</v>
      </c>
      <c r="B1015" s="1175">
        <f>B1014*(1+(1+GA!$G$145)^(1/12)-1)</f>
        <v>157.58103329368174</v>
      </c>
    </row>
    <row r="1016" spans="1:2">
      <c r="A1016" s="18">
        <v>64039</v>
      </c>
      <c r="B1016" s="1175">
        <f>B1015*(1+(1+GA!$G$145)^(1/12)-1)</f>
        <v>157.67918449990239</v>
      </c>
    </row>
    <row r="1017" spans="1:2">
      <c r="A1017" s="18">
        <v>64070</v>
      </c>
      <c r="B1017" s="1175">
        <f>B1016*(1+(1+GA!$G$145)^(1/12)-1)</f>
        <v>157.77739684076013</v>
      </c>
    </row>
    <row r="1018" spans="1:2">
      <c r="A1018" s="18">
        <v>64100</v>
      </c>
      <c r="B1018" s="1175">
        <f>B1017*(1+(1+GA!$G$145)^(1/12)-1)</f>
        <v>157.87567035433341</v>
      </c>
    </row>
    <row r="1019" spans="1:2">
      <c r="A1019" s="18">
        <v>64131</v>
      </c>
      <c r="B1019" s="1175">
        <f>B1018*(1+(1+GA!$G$145)^(1/12)-1)</f>
        <v>157.97400507872433</v>
      </c>
    </row>
    <row r="1020" spans="1:2">
      <c r="A1020" s="18">
        <v>64162</v>
      </c>
      <c r="B1020" s="1175">
        <f>B1019*(1+(1+GA!$G$145)^(1/12)-1)</f>
        <v>158.07240105205881</v>
      </c>
    </row>
    <row r="1021" spans="1:2">
      <c r="A1021" s="18">
        <v>64192</v>
      </c>
      <c r="B1021" s="1175">
        <f>B1020*(1+(1+GA!$G$145)^(1/12)-1)</f>
        <v>158.17085831248647</v>
      </c>
    </row>
    <row r="1022" spans="1:2">
      <c r="A1022" s="18">
        <v>64223</v>
      </c>
      <c r="B1022" s="1175">
        <f>B1021*(1+(1+GA!$G$145)^(1/12)-1)</f>
        <v>158.2693768981807</v>
      </c>
    </row>
    <row r="1023" spans="1:2">
      <c r="A1023" s="18">
        <v>64253</v>
      </c>
      <c r="B1023" s="1175">
        <f>B1022*(1+(1+GA!$G$145)^(1/12)-1)</f>
        <v>158.36795684733863</v>
      </c>
    </row>
    <row r="1024" spans="1:2">
      <c r="A1024" s="18">
        <v>64284</v>
      </c>
      <c r="B1024" s="1175">
        <f>B1023*(1+(1+GA!$G$145)^(1/12)-1)</f>
        <v>158.46659819818126</v>
      </c>
    </row>
    <row r="1025" spans="1:2">
      <c r="A1025" s="18">
        <v>64315</v>
      </c>
      <c r="B1025" s="1175">
        <f>B1024*(1+(1+GA!$G$145)^(1/12)-1)</f>
        <v>158.56530098895334</v>
      </c>
    </row>
    <row r="1026" spans="1:2">
      <c r="A1026" s="18">
        <v>64344</v>
      </c>
      <c r="B1026" s="1175">
        <f>B1025*(1+(1+GA!$G$145)^(1/12)-1)</f>
        <v>158.66406525792345</v>
      </c>
    </row>
    <row r="1027" spans="1:2">
      <c r="A1027" s="18">
        <v>64375</v>
      </c>
      <c r="B1027" s="1175">
        <f>B1026*(1+(1+GA!$G$145)^(1/12)-1)</f>
        <v>158.76289104338403</v>
      </c>
    </row>
    <row r="1028" spans="1:2">
      <c r="A1028" s="18">
        <v>64405</v>
      </c>
      <c r="B1028" s="1175">
        <f>B1027*(1+(1+GA!$G$145)^(1/12)-1)</f>
        <v>158.86177838365134</v>
      </c>
    </row>
    <row r="1029" spans="1:2">
      <c r="A1029" s="18">
        <v>64436</v>
      </c>
      <c r="B1029" s="1175">
        <f>B1028*(1+(1+GA!$G$145)^(1/12)-1)</f>
        <v>158.96072731706553</v>
      </c>
    </row>
    <row r="1030" spans="1:2">
      <c r="A1030" s="18">
        <v>64466</v>
      </c>
      <c r="B1030" s="1175">
        <f>B1029*(1+(1+GA!$G$145)^(1/12)-1)</f>
        <v>159.0597378819906</v>
      </c>
    </row>
    <row r="1031" spans="1:2">
      <c r="A1031" s="18">
        <v>64497</v>
      </c>
      <c r="B1031" s="1175">
        <f>B1030*(1+(1+GA!$G$145)^(1/12)-1)</f>
        <v>159.15881011681446</v>
      </c>
    </row>
    <row r="1032" spans="1:2">
      <c r="A1032" s="18">
        <v>64528</v>
      </c>
      <c r="B1032" s="1175">
        <f>B1031*(1+(1+GA!$G$145)^(1/12)-1)</f>
        <v>159.25794405994895</v>
      </c>
    </row>
    <row r="1033" spans="1:2">
      <c r="A1033" s="18">
        <v>64558</v>
      </c>
      <c r="B1033" s="1175">
        <f>B1032*(1+(1+GA!$G$145)^(1/12)-1)</f>
        <v>159.35713974982983</v>
      </c>
    </row>
    <row r="1034" spans="1:2">
      <c r="A1034" s="18">
        <v>64589</v>
      </c>
      <c r="B1034" s="1175">
        <f>B1033*(1+(1+GA!$G$145)^(1/12)-1)</f>
        <v>159.45639722491674</v>
      </c>
    </row>
    <row r="1035" spans="1:2">
      <c r="A1035" s="18">
        <v>64619</v>
      </c>
      <c r="B1035" s="1175">
        <f>B1034*(1+(1+GA!$G$145)^(1/12)-1)</f>
        <v>159.55571652369338</v>
      </c>
    </row>
    <row r="1036" spans="1:2">
      <c r="A1036" s="18">
        <v>64650</v>
      </c>
      <c r="B1036" s="1175">
        <f>B1035*(1+(1+GA!$G$145)^(1/12)-1)</f>
        <v>159.65509768466734</v>
      </c>
    </row>
    <row r="1037" spans="1:2">
      <c r="A1037" s="18">
        <v>64681</v>
      </c>
      <c r="B1037" s="1175">
        <f>B1036*(1+(1+GA!$G$145)^(1/12)-1)</f>
        <v>159.75454074637022</v>
      </c>
    </row>
    <row r="1038" spans="1:2">
      <c r="A1038" s="18">
        <v>64709</v>
      </c>
      <c r="B1038" s="1175">
        <f>B1037*(1+(1+GA!$G$145)^(1/12)-1)</f>
        <v>159.85404574735762</v>
      </c>
    </row>
    <row r="1039" spans="1:2">
      <c r="A1039" s="18">
        <v>64740</v>
      </c>
      <c r="B1039" s="1175">
        <f>B1038*(1+(1+GA!$G$145)^(1/12)-1)</f>
        <v>159.95361272620914</v>
      </c>
    </row>
    <row r="1040" spans="1:2">
      <c r="A1040" s="18">
        <v>64770</v>
      </c>
      <c r="B1040" s="1175">
        <f>B1039*(1+(1+GA!$G$145)^(1/12)-1)</f>
        <v>160.05324172152845</v>
      </c>
    </row>
    <row r="1041" spans="1:2">
      <c r="A1041" s="18">
        <v>64801</v>
      </c>
      <c r="B1041" s="1175">
        <f>B1040*(1+(1+GA!$G$145)^(1/12)-1)</f>
        <v>160.15293277194323</v>
      </c>
    </row>
    <row r="1042" spans="1:2">
      <c r="A1042" s="18">
        <v>64831</v>
      </c>
      <c r="B1042" s="1175">
        <f>B1041*(1+(1+GA!$G$145)^(1/12)-1)</f>
        <v>160.25268591610524</v>
      </c>
    </row>
    <row r="1043" spans="1:2">
      <c r="A1043" s="18">
        <v>64862</v>
      </c>
      <c r="B1043" s="1175">
        <f>B1042*(1+(1+GA!$G$145)^(1/12)-1)</f>
        <v>160.35250119269028</v>
      </c>
    </row>
    <row r="1044" spans="1:2">
      <c r="A1044" s="18">
        <v>64893</v>
      </c>
      <c r="B1044" s="1175">
        <f>B1043*(1+(1+GA!$G$145)^(1/12)-1)</f>
        <v>160.45237864039828</v>
      </c>
    </row>
    <row r="1045" spans="1:2">
      <c r="A1045" s="18">
        <v>64923</v>
      </c>
      <c r="B1045" s="1175">
        <f>B1044*(1+(1+GA!$G$145)^(1/12)-1)</f>
        <v>160.55231829795324</v>
      </c>
    </row>
    <row r="1046" spans="1:2">
      <c r="A1046" s="18">
        <v>64954</v>
      </c>
      <c r="B1046" s="1175">
        <f>B1045*(1+(1+GA!$G$145)^(1/12)-1)</f>
        <v>160.65232020410332</v>
      </c>
    </row>
    <row r="1047" spans="1:2">
      <c r="A1047" s="18">
        <v>64984</v>
      </c>
      <c r="B1047" s="1175">
        <f>B1046*(1+(1+GA!$G$145)^(1/12)-1)</f>
        <v>160.75238439762077</v>
      </c>
    </row>
    <row r="1048" spans="1:2">
      <c r="A1048" s="18">
        <v>65015</v>
      </c>
      <c r="B1048" s="1175">
        <f>B1047*(1+(1+GA!$G$145)^(1/12)-1)</f>
        <v>160.85251091730203</v>
      </c>
    </row>
    <row r="1049" spans="1:2">
      <c r="A1049" s="18">
        <v>65046</v>
      </c>
      <c r="B1049" s="1175">
        <f>B1048*(1+(1+GA!$G$145)^(1/12)-1)</f>
        <v>160.95269980196767</v>
      </c>
    </row>
    <row r="1050" spans="1:2">
      <c r="A1050" s="18">
        <v>65074</v>
      </c>
      <c r="B1050" s="1175">
        <f>B1049*(1+(1+GA!$G$145)^(1/12)-1)</f>
        <v>161.05295109046247</v>
      </c>
    </row>
    <row r="1051" spans="1:2">
      <c r="A1051" s="18">
        <v>65105</v>
      </c>
      <c r="B1051" s="1175">
        <f>B1050*(1+(1+GA!$G$145)^(1/12)-1)</f>
        <v>161.1532648216554</v>
      </c>
    </row>
    <row r="1052" spans="1:2">
      <c r="A1052" s="18">
        <v>65135</v>
      </c>
      <c r="B1052" s="1175">
        <f>B1051*(1+(1+GA!$G$145)^(1/12)-1)</f>
        <v>161.2536410344396</v>
      </c>
    </row>
    <row r="1053" spans="1:2">
      <c r="A1053" s="18">
        <v>65166</v>
      </c>
      <c r="B1053" s="1175">
        <f>B1052*(1+(1+GA!$G$145)^(1/12)-1)</f>
        <v>161.35407976773249</v>
      </c>
    </row>
    <row r="1054" spans="1:2">
      <c r="A1054" s="18">
        <v>65196</v>
      </c>
      <c r="B1054" s="1175">
        <f>B1053*(1+(1+GA!$G$145)^(1/12)-1)</f>
        <v>161.4545810604757</v>
      </c>
    </row>
    <row r="1055" spans="1:2">
      <c r="A1055" s="18">
        <v>65227</v>
      </c>
      <c r="B1055" s="1175">
        <f>B1054*(1+(1+GA!$G$145)^(1/12)-1)</f>
        <v>161.55514495163513</v>
      </c>
    </row>
    <row r="1056" spans="1:2">
      <c r="A1056" s="18">
        <v>65258</v>
      </c>
      <c r="B1056" s="1175">
        <f>B1055*(1+(1+GA!$G$145)^(1/12)-1)</f>
        <v>161.65577148020094</v>
      </c>
    </row>
    <row r="1057" spans="1:2">
      <c r="A1057" s="18">
        <v>65288</v>
      </c>
      <c r="B1057" s="1175">
        <f>B1056*(1+(1+GA!$G$145)^(1/12)-1)</f>
        <v>161.75646068518756</v>
      </c>
    </row>
    <row r="1058" spans="1:2">
      <c r="A1058" s="18">
        <v>65319</v>
      </c>
      <c r="B1058" s="1175">
        <f>B1057*(1+(1+GA!$G$145)^(1/12)-1)</f>
        <v>161.85721260563378</v>
      </c>
    </row>
    <row r="1059" spans="1:2">
      <c r="A1059" s="18">
        <v>65349</v>
      </c>
      <c r="B1059" s="1175">
        <f>B1058*(1+(1+GA!$G$145)^(1/12)-1)</f>
        <v>161.95802728060261</v>
      </c>
    </row>
    <row r="1060" spans="1:2">
      <c r="A1060" s="18">
        <v>65380</v>
      </c>
      <c r="B1060" s="1175">
        <f>B1059*(1+(1+GA!$G$145)^(1/12)-1)</f>
        <v>162.05890474918147</v>
      </c>
    </row>
    <row r="1061" spans="1:2">
      <c r="A1061" s="18">
        <v>65411</v>
      </c>
      <c r="B1061" s="1175">
        <f>B1060*(1+(1+GA!$G$145)^(1/12)-1)</f>
        <v>162.15984505048212</v>
      </c>
    </row>
    <row r="1062" spans="1:2">
      <c r="A1062" s="18">
        <v>65439</v>
      </c>
      <c r="B1062" s="1175">
        <f>B1061*(1+(1+GA!$G$145)^(1/12)-1)</f>
        <v>162.26084822364064</v>
      </c>
    </row>
    <row r="1063" spans="1:2">
      <c r="A1063" s="18">
        <v>65470</v>
      </c>
      <c r="B1063" s="1175">
        <f>B1062*(1+(1+GA!$G$145)^(1/12)-1)</f>
        <v>162.3619143078175</v>
      </c>
    </row>
    <row r="1064" spans="1:2">
      <c r="A1064" s="18">
        <v>65500</v>
      </c>
      <c r="B1064" s="1175">
        <f>B1063*(1+(1+GA!$G$145)^(1/12)-1)</f>
        <v>162.46304334219758</v>
      </c>
    </row>
    <row r="1065" spans="1:2">
      <c r="A1065" s="18">
        <v>65531</v>
      </c>
      <c r="B1065" s="1175">
        <f>B1064*(1+(1+GA!$G$145)^(1/12)-1)</f>
        <v>162.56423536599016</v>
      </c>
    </row>
    <row r="1066" spans="1:2">
      <c r="A1066" s="18">
        <v>65561</v>
      </c>
      <c r="B1066" s="1175">
        <f>B1065*(1+(1+GA!$G$145)^(1/12)-1)</f>
        <v>162.66549041842896</v>
      </c>
    </row>
    <row r="1067" spans="1:2">
      <c r="A1067" s="18">
        <v>65592</v>
      </c>
      <c r="B1067" s="1175">
        <f>B1066*(1+(1+GA!$G$145)^(1/12)-1)</f>
        <v>162.7668085387721</v>
      </c>
    </row>
    <row r="1068" spans="1:2">
      <c r="A1068" s="18">
        <v>65623</v>
      </c>
      <c r="B1068" s="1175">
        <f>B1067*(1+(1+GA!$G$145)^(1/12)-1)</f>
        <v>162.86818976630215</v>
      </c>
    </row>
    <row r="1069" spans="1:2">
      <c r="A1069" s="18">
        <v>65653</v>
      </c>
      <c r="B1069" s="1175">
        <f>B1068*(1+(1+GA!$G$145)^(1/12)-1)</f>
        <v>162.96963414032618</v>
      </c>
    </row>
    <row r="1070" spans="1:2">
      <c r="A1070" s="18">
        <v>65684</v>
      </c>
      <c r="B1070" s="1175">
        <f>B1069*(1+(1+GA!$G$145)^(1/12)-1)</f>
        <v>163.07114170017573</v>
      </c>
    </row>
    <row r="1071" spans="1:2">
      <c r="A1071" s="18">
        <v>65714</v>
      </c>
      <c r="B1071" s="1175">
        <f>B1070*(1+(1+GA!$G$145)^(1/12)-1)</f>
        <v>163.17271248520683</v>
      </c>
    </row>
    <row r="1072" spans="1:2">
      <c r="A1072" s="18">
        <v>65745</v>
      </c>
      <c r="B1072" s="1175">
        <f>B1071*(1+(1+GA!$G$145)^(1/12)-1)</f>
        <v>163.27434653480003</v>
      </c>
    </row>
    <row r="1073" spans="1:2">
      <c r="A1073" s="18">
        <v>65776</v>
      </c>
      <c r="B1073" s="1175">
        <f>B1072*(1+(1+GA!$G$145)^(1/12)-1)</f>
        <v>163.37604388836041</v>
      </c>
    </row>
    <row r="1074" spans="1:2">
      <c r="A1074" s="18">
        <v>65805</v>
      </c>
      <c r="B1074" s="1175">
        <f>B1073*(1+(1+GA!$G$145)^(1/12)-1)</f>
        <v>163.47780458531761</v>
      </c>
    </row>
    <row r="1075" spans="1:2">
      <c r="A1075" s="18">
        <v>65836</v>
      </c>
      <c r="B1075" s="1175">
        <f>B1074*(1+(1+GA!$G$145)^(1/12)-1)</f>
        <v>163.5796286651258</v>
      </c>
    </row>
    <row r="1076" spans="1:2">
      <c r="A1076" s="18">
        <v>65866</v>
      </c>
      <c r="B1076" s="1175">
        <f>B1075*(1+(1+GA!$G$145)^(1/12)-1)</f>
        <v>163.68151616726374</v>
      </c>
    </row>
    <row r="1077" spans="1:2">
      <c r="A1077" s="18">
        <v>65897</v>
      </c>
      <c r="B1077" s="1175">
        <f>B1076*(1+(1+GA!$G$145)^(1/12)-1)</f>
        <v>163.78346713123477</v>
      </c>
    </row>
    <row r="1078" spans="1:2">
      <c r="A1078" s="18">
        <v>65927</v>
      </c>
      <c r="B1078" s="1175">
        <f>B1077*(1+(1+GA!$G$145)^(1/12)-1)</f>
        <v>163.88548159656685</v>
      </c>
    </row>
    <row r="1079" spans="1:2">
      <c r="A1079" s="18">
        <v>65958</v>
      </c>
      <c r="B1079" s="1175">
        <f>B1078*(1+(1+GA!$G$145)^(1/12)-1)</f>
        <v>163.98755960281255</v>
      </c>
    </row>
    <row r="1080" spans="1:2">
      <c r="A1080" s="18">
        <v>65989</v>
      </c>
      <c r="B1080" s="1175">
        <f>B1079*(1+(1+GA!$G$145)^(1/12)-1)</f>
        <v>164.08970118954909</v>
      </c>
    </row>
    <row r="1081" spans="1:2">
      <c r="A1081" s="18">
        <v>66019</v>
      </c>
      <c r="B1081" s="1175">
        <f>B1080*(1+(1+GA!$G$145)^(1/12)-1)</f>
        <v>164.1919063963783</v>
      </c>
    </row>
    <row r="1082" spans="1:2">
      <c r="A1082" s="18">
        <v>66050</v>
      </c>
      <c r="B1082" s="1175">
        <f>B1081*(1+(1+GA!$G$145)^(1/12)-1)</f>
        <v>164.29417526292673</v>
      </c>
    </row>
    <row r="1083" spans="1:2">
      <c r="A1083" s="18">
        <v>66080</v>
      </c>
      <c r="B1083" s="1175">
        <f>B1082*(1+(1+GA!$G$145)^(1/12)-1)</f>
        <v>164.39650782884556</v>
      </c>
    </row>
    <row r="1084" spans="1:2">
      <c r="A1084" s="18">
        <v>66111</v>
      </c>
      <c r="B1084" s="1175">
        <f>B1083*(1+(1+GA!$G$145)^(1/12)-1)</f>
        <v>164.49890413381073</v>
      </c>
    </row>
    <row r="1085" spans="1:2">
      <c r="A1085" s="18">
        <v>66142</v>
      </c>
      <c r="B1085" s="1175">
        <f>B1084*(1+(1+GA!$G$145)^(1/12)-1)</f>
        <v>164.60136421752281</v>
      </c>
    </row>
    <row r="1086" spans="1:2">
      <c r="A1086" s="18">
        <v>66170</v>
      </c>
      <c r="B1086" s="1175">
        <f>B1085*(1+(1+GA!$G$145)^(1/12)-1)</f>
        <v>164.70388811970719</v>
      </c>
    </row>
    <row r="1087" spans="1:2">
      <c r="A1087" s="18">
        <v>66201</v>
      </c>
      <c r="B1087" s="1175">
        <f>B1086*(1+(1+GA!$G$145)^(1/12)-1)</f>
        <v>164.80647588011394</v>
      </c>
    </row>
    <row r="1088" spans="1:2">
      <c r="A1088" s="18">
        <v>66231</v>
      </c>
      <c r="B1088" s="1175">
        <f>B1087*(1+(1+GA!$G$145)^(1/12)-1)</f>
        <v>164.90912753851791</v>
      </c>
    </row>
    <row r="1089" spans="1:2">
      <c r="A1089" s="18">
        <v>66262</v>
      </c>
      <c r="B1089" s="1175">
        <f>B1088*(1+(1+GA!$G$145)^(1/12)-1)</f>
        <v>165.01184313471873</v>
      </c>
    </row>
    <row r="1090" spans="1:2">
      <c r="A1090" s="18">
        <v>66292</v>
      </c>
      <c r="B1090" s="1175">
        <f>B1089*(1+(1+GA!$G$145)^(1/12)-1)</f>
        <v>165.11462270854079</v>
      </c>
    </row>
    <row r="1091" spans="1:2">
      <c r="A1091" s="18">
        <v>66323</v>
      </c>
      <c r="B1091" s="1175">
        <f>B1090*(1+(1+GA!$G$145)^(1/12)-1)</f>
        <v>165.21746629983335</v>
      </c>
    </row>
    <row r="1092" spans="1:2">
      <c r="A1092" s="18">
        <v>66354</v>
      </c>
      <c r="B1092" s="1175">
        <f>B1091*(1+(1+GA!$G$145)^(1/12)-1)</f>
        <v>165.3203739484704</v>
      </c>
    </row>
    <row r="1093" spans="1:2">
      <c r="A1093" s="18">
        <v>66384</v>
      </c>
      <c r="B1093" s="1175">
        <f>B1092*(1+(1+GA!$G$145)^(1/12)-1)</f>
        <v>165.42334569435084</v>
      </c>
    </row>
    <row r="1094" spans="1:2">
      <c r="A1094" s="18">
        <v>66415</v>
      </c>
      <c r="B1094" s="1175">
        <f>B1093*(1+(1+GA!$G$145)^(1/12)-1)</f>
        <v>165.52638157739838</v>
      </c>
    </row>
    <row r="1095" spans="1:2">
      <c r="A1095" s="18">
        <v>66445</v>
      </c>
      <c r="B1095" s="1175">
        <f>B1094*(1+(1+GA!$G$145)^(1/12)-1)</f>
        <v>165.62948163756161</v>
      </c>
    </row>
    <row r="1096" spans="1:2">
      <c r="A1096" s="18">
        <v>66476</v>
      </c>
      <c r="B1096" s="1175">
        <f>B1095*(1+(1+GA!$G$145)^(1/12)-1)</f>
        <v>165.73264591481401</v>
      </c>
    </row>
    <row r="1097" spans="1:2">
      <c r="A1097" s="18">
        <v>66507</v>
      </c>
      <c r="B1097" s="1175">
        <f>B1096*(1+(1+GA!$G$145)^(1/12)-1)</f>
        <v>165.83587444915395</v>
      </c>
    </row>
    <row r="1098" spans="1:2">
      <c r="A1098" s="18">
        <v>66535</v>
      </c>
      <c r="B1098" s="1175">
        <f>B1097*(1+(1+GA!$G$145)^(1/12)-1)</f>
        <v>165.93916728060472</v>
      </c>
    </row>
    <row r="1099" spans="1:2">
      <c r="A1099" s="18">
        <v>66566</v>
      </c>
      <c r="B1099" s="1175">
        <f>B1098*(1+(1+GA!$G$145)^(1/12)-1)</f>
        <v>166.04252444921454</v>
      </c>
    </row>
    <row r="1100" spans="1:2">
      <c r="A1100" s="18">
        <v>66596</v>
      </c>
      <c r="B1100" s="1175">
        <f>B1099*(1+(1+GA!$G$145)^(1/12)-1)</f>
        <v>166.14594599505654</v>
      </c>
    </row>
    <row r="1101" spans="1:2">
      <c r="A1101" s="18">
        <v>66627</v>
      </c>
      <c r="B1101" s="1175">
        <f>B1100*(1+(1+GA!$G$145)^(1/12)-1)</f>
        <v>166.24943195822885</v>
      </c>
    </row>
    <row r="1102" spans="1:2">
      <c r="A1102" s="18">
        <v>66657</v>
      </c>
      <c r="B1102" s="1175">
        <f>B1101*(1+(1+GA!$G$145)^(1/12)-1)</f>
        <v>166.35298237885459</v>
      </c>
    </row>
    <row r="1103" spans="1:2">
      <c r="A1103" s="18">
        <v>66688</v>
      </c>
      <c r="B1103" s="1175">
        <f>B1102*(1+(1+GA!$G$145)^(1/12)-1)</f>
        <v>166.45659729708183</v>
      </c>
    </row>
    <row r="1104" spans="1:2">
      <c r="A1104" s="18">
        <v>66719</v>
      </c>
      <c r="B1104" s="1175">
        <f>B1103*(1+(1+GA!$G$145)^(1/12)-1)</f>
        <v>166.56027675308366</v>
      </c>
    </row>
    <row r="1105" spans="1:2">
      <c r="A1105" s="18">
        <v>66749</v>
      </c>
      <c r="B1105" s="1175">
        <f>B1104*(1+(1+GA!$G$145)^(1/12)-1)</f>
        <v>166.66402078705818</v>
      </c>
    </row>
    <row r="1106" spans="1:2">
      <c r="A1106" s="18">
        <v>66780</v>
      </c>
      <c r="B1106" s="1175">
        <f>B1105*(1+(1+GA!$G$145)^(1/12)-1)</f>
        <v>166.76782943922856</v>
      </c>
    </row>
    <row r="1107" spans="1:2">
      <c r="A1107" s="18">
        <v>66810</v>
      </c>
      <c r="B1107" s="1175">
        <f>B1106*(1+(1+GA!$G$145)^(1/12)-1)</f>
        <v>166.87170274984302</v>
      </c>
    </row>
    <row r="1108" spans="1:2">
      <c r="A1108" s="18">
        <v>66841</v>
      </c>
      <c r="B1108" s="1175">
        <f>B1107*(1+(1+GA!$G$145)^(1/12)-1)</f>
        <v>166.97564075917481</v>
      </c>
    </row>
    <row r="1109" spans="1:2">
      <c r="A1109" s="18">
        <v>66872</v>
      </c>
      <c r="B1109" s="1175">
        <f>B1108*(1+(1+GA!$G$145)^(1/12)-1)</f>
        <v>167.07964350752229</v>
      </c>
    </row>
    <row r="1110" spans="1:2">
      <c r="A1110" s="18">
        <v>66900</v>
      </c>
      <c r="B1110" s="1175">
        <f>B1109*(1+(1+GA!$G$145)^(1/12)-1)</f>
        <v>167.18371103520894</v>
      </c>
    </row>
    <row r="1111" spans="1:2">
      <c r="A1111" s="18">
        <v>66931</v>
      </c>
      <c r="B1111" s="1175">
        <f>B1110*(1+(1+GA!$G$145)^(1/12)-1)</f>
        <v>167.28784338258333</v>
      </c>
    </row>
    <row r="1112" spans="1:2">
      <c r="A1112" s="18">
        <v>66961</v>
      </c>
      <c r="B1112" s="1175">
        <f>B1111*(1+(1+GA!$G$145)^(1/12)-1)</f>
        <v>167.39204059001915</v>
      </c>
    </row>
    <row r="1113" spans="1:2">
      <c r="A1113" s="18">
        <v>66992</v>
      </c>
      <c r="B1113" s="1175">
        <f>B1112*(1+(1+GA!$G$145)^(1/12)-1)</f>
        <v>167.49630269791527</v>
      </c>
    </row>
    <row r="1114" spans="1:2">
      <c r="A1114" s="18">
        <v>67022</v>
      </c>
      <c r="B1114" s="1175">
        <f>B1113*(1+(1+GA!$G$145)^(1/12)-1)</f>
        <v>167.60062974669569</v>
      </c>
    </row>
    <row r="1115" spans="1:2">
      <c r="A1115" s="18">
        <v>67053</v>
      </c>
      <c r="B1115" s="1175">
        <f>B1114*(1+(1+GA!$G$145)^(1/12)-1)</f>
        <v>167.70502177680962</v>
      </c>
    </row>
    <row r="1116" spans="1:2">
      <c r="A1116" s="18">
        <v>67084</v>
      </c>
      <c r="B1116" s="1175">
        <f>B1115*(1+(1+GA!$G$145)^(1/12)-1)</f>
        <v>167.80947882873144</v>
      </c>
    </row>
    <row r="1117" spans="1:2">
      <c r="A1117" s="18">
        <v>67114</v>
      </c>
      <c r="B1117" s="1175">
        <f>B1116*(1+(1+GA!$G$145)^(1/12)-1)</f>
        <v>167.91400094296077</v>
      </c>
    </row>
    <row r="1118" spans="1:2">
      <c r="A1118" s="18">
        <v>67145</v>
      </c>
      <c r="B1118" s="1175">
        <f>B1117*(1+(1+GA!$G$145)^(1/12)-1)</f>
        <v>168.01858816002243</v>
      </c>
    </row>
    <row r="1119" spans="1:2">
      <c r="A1119" s="18">
        <v>67175</v>
      </c>
      <c r="B1119" s="1175">
        <f>B1118*(1+(1+GA!$G$145)^(1/12)-1)</f>
        <v>168.12324052046648</v>
      </c>
    </row>
    <row r="1120" spans="1:2">
      <c r="A1120" s="18">
        <v>67206</v>
      </c>
      <c r="B1120" s="1175">
        <f>B1119*(1+(1+GA!$G$145)^(1/12)-1)</f>
        <v>168.22795806486826</v>
      </c>
    </row>
    <row r="1121" spans="1:2">
      <c r="A1121" s="18">
        <v>67237</v>
      </c>
      <c r="B1121" s="1175">
        <f>B1120*(1+(1+GA!$G$145)^(1/12)-1)</f>
        <v>168.33274083382835</v>
      </c>
    </row>
    <row r="1122" spans="1:2">
      <c r="A1122" s="18">
        <v>67266</v>
      </c>
      <c r="B1122" s="1175">
        <f>B1121*(1+(1+GA!$G$145)^(1/12)-1)</f>
        <v>168.43758886797264</v>
      </c>
    </row>
    <row r="1123" spans="1:2">
      <c r="A1123" s="18">
        <v>67297</v>
      </c>
      <c r="B1123" s="1175">
        <f>B1122*(1+(1+GA!$G$145)^(1/12)-1)</f>
        <v>168.54250220795231</v>
      </c>
    </row>
    <row r="1124" spans="1:2">
      <c r="A1124" s="18">
        <v>67327</v>
      </c>
      <c r="B1124" s="1175">
        <f>B1123*(1+(1+GA!$G$145)^(1/12)-1)</f>
        <v>168.6474808944439</v>
      </c>
    </row>
    <row r="1125" spans="1:2">
      <c r="A1125" s="18">
        <v>67358</v>
      </c>
      <c r="B1125" s="1175">
        <f>B1124*(1+(1+GA!$G$145)^(1/12)-1)</f>
        <v>168.75252496814923</v>
      </c>
    </row>
    <row r="1126" spans="1:2">
      <c r="A1126" s="18">
        <v>67388</v>
      </c>
      <c r="B1126" s="1175">
        <f>B1125*(1+(1+GA!$G$145)^(1/12)-1)</f>
        <v>168.85763446979553</v>
      </c>
    </row>
    <row r="1127" spans="1:2">
      <c r="A1127" s="18">
        <v>67419</v>
      </c>
      <c r="B1127" s="1175">
        <f>B1126*(1+(1+GA!$G$145)^(1/12)-1)</f>
        <v>168.96280944013532</v>
      </c>
    </row>
    <row r="1128" spans="1:2">
      <c r="A1128" s="18">
        <v>67450</v>
      </c>
      <c r="B1128" s="1175">
        <f>B1127*(1+(1+GA!$G$145)^(1/12)-1)</f>
        <v>169.06804991994656</v>
      </c>
    </row>
    <row r="1129" spans="1:2">
      <c r="A1129" s="18">
        <v>67480</v>
      </c>
      <c r="B1129" s="1175">
        <f>B1128*(1+(1+GA!$G$145)^(1/12)-1)</f>
        <v>169.17335595003263</v>
      </c>
    </row>
    <row r="1130" spans="1:2">
      <c r="A1130" s="18">
        <v>67511</v>
      </c>
      <c r="B1130" s="1175">
        <f>B1129*(1+(1+GA!$G$145)^(1/12)-1)</f>
        <v>169.27872757122225</v>
      </c>
    </row>
    <row r="1131" spans="1:2">
      <c r="A1131" s="18">
        <v>67541</v>
      </c>
      <c r="B1131" s="1175">
        <f>B1130*(1+(1+GA!$G$145)^(1/12)-1)</f>
        <v>169.38416482436963</v>
      </c>
    </row>
    <row r="1132" spans="1:2">
      <c r="A1132" s="18">
        <v>67572</v>
      </c>
      <c r="B1132" s="1175">
        <f>B1131*(1+(1+GA!$G$145)^(1/12)-1)</f>
        <v>169.48966775035441</v>
      </c>
    </row>
    <row r="1133" spans="1:2">
      <c r="A1133" s="18">
        <v>67603</v>
      </c>
      <c r="B1133" s="1175">
        <f>B1132*(1+(1+GA!$G$145)^(1/12)-1)</f>
        <v>169.59523639008171</v>
      </c>
    </row>
    <row r="1134" spans="1:2">
      <c r="A1134" s="18">
        <v>67631</v>
      </c>
      <c r="B1134" s="1175">
        <f>B1133*(1+(1+GA!$G$145)^(1/12)-1)</f>
        <v>169.70087078448208</v>
      </c>
    </row>
    <row r="1135" spans="1:2">
      <c r="A1135" s="18">
        <v>67662</v>
      </c>
      <c r="B1135" s="1175">
        <f>B1134*(1+(1+GA!$G$145)^(1/12)-1)</f>
        <v>169.8065709745116</v>
      </c>
    </row>
    <row r="1136" spans="1:2">
      <c r="A1136" s="18">
        <v>67692</v>
      </c>
      <c r="B1136" s="1175">
        <f>B1135*(1+(1+GA!$G$145)^(1/12)-1)</f>
        <v>169.91233700115188</v>
      </c>
    </row>
    <row r="1137" spans="1:2">
      <c r="A1137" s="18">
        <v>67723</v>
      </c>
      <c r="B1137" s="1175">
        <f>B1136*(1+(1+GA!$G$145)^(1/12)-1)</f>
        <v>170.01816890541002</v>
      </c>
    </row>
    <row r="1138" spans="1:2">
      <c r="A1138" s="18">
        <v>67753</v>
      </c>
      <c r="B1138" s="1175">
        <f>B1137*(1+(1+GA!$G$145)^(1/12)-1)</f>
        <v>170.12406672831864</v>
      </c>
    </row>
    <row r="1139" spans="1:2">
      <c r="A1139" s="18">
        <v>67784</v>
      </c>
      <c r="B1139" s="1175">
        <f>B1138*(1+(1+GA!$G$145)^(1/12)-1)</f>
        <v>170.23003051093599</v>
      </c>
    </row>
    <row r="1140" spans="1:2">
      <c r="A1140" s="18">
        <v>67815</v>
      </c>
      <c r="B1140" s="1175">
        <f>B1139*(1+(1+GA!$G$145)^(1/12)-1)</f>
        <v>170.33606029434583</v>
      </c>
    </row>
    <row r="1141" spans="1:2">
      <c r="A1141" s="18">
        <v>67845</v>
      </c>
      <c r="B1141" s="1175">
        <f>B1140*(1+(1+GA!$G$145)^(1/12)-1)</f>
        <v>170.44215611965754</v>
      </c>
    </row>
    <row r="1142" spans="1:2">
      <c r="A1142" s="18">
        <v>67876</v>
      </c>
      <c r="B1142" s="1175">
        <f>B1141*(1+(1+GA!$G$145)^(1/12)-1)</f>
        <v>170.54831802800609</v>
      </c>
    </row>
    <row r="1143" spans="1:2">
      <c r="A1143" s="18">
        <v>67906</v>
      </c>
      <c r="B1143" s="1175">
        <f>B1142*(1+(1+GA!$G$145)^(1/12)-1)</f>
        <v>170.65454606055209</v>
      </c>
    </row>
    <row r="1144" spans="1:2">
      <c r="A1144" s="18">
        <v>67937</v>
      </c>
      <c r="B1144" s="1175">
        <f>B1143*(1+(1+GA!$G$145)^(1/12)-1)</f>
        <v>170.76084025848178</v>
      </c>
    </row>
    <row r="1145" spans="1:2">
      <c r="A1145" s="18">
        <v>67968</v>
      </c>
      <c r="B1145" s="1175">
        <f>B1144*(1+(1+GA!$G$145)^(1/12)-1)</f>
        <v>170.86720066300703</v>
      </c>
    </row>
    <row r="1146" spans="1:2">
      <c r="A1146" s="18">
        <v>67996</v>
      </c>
      <c r="B1146" s="1175">
        <f>B1145*(1+(1+GA!$G$145)^(1/12)-1)</f>
        <v>170.97362731536541</v>
      </c>
    </row>
    <row r="1147" spans="1:2">
      <c r="A1147" s="18">
        <v>68027</v>
      </c>
      <c r="B1147" s="1175">
        <f>B1146*(1+(1+GA!$G$145)^(1/12)-1)</f>
        <v>171.08012025682015</v>
      </c>
    </row>
    <row r="1148" spans="1:2">
      <c r="A1148" s="18">
        <v>68057</v>
      </c>
      <c r="B1148" s="1175">
        <f>B1147*(1+(1+GA!$G$145)^(1/12)-1)</f>
        <v>171.18667952866022</v>
      </c>
    </row>
    <row r="1149" spans="1:2">
      <c r="A1149" s="18">
        <v>68088</v>
      </c>
      <c r="B1149" s="1175">
        <f>B1148*(1+(1+GA!$G$145)^(1/12)-1)</f>
        <v>171.29330517220029</v>
      </c>
    </row>
    <row r="1150" spans="1:2">
      <c r="A1150" s="18">
        <v>68118</v>
      </c>
      <c r="B1150" s="1175">
        <f>B1149*(1+(1+GA!$G$145)^(1/12)-1)</f>
        <v>171.39999722878073</v>
      </c>
    </row>
    <row r="1151" spans="1:2">
      <c r="A1151" s="18">
        <v>68149</v>
      </c>
      <c r="B1151" s="1175">
        <f>B1150*(1+(1+GA!$G$145)^(1/12)-1)</f>
        <v>171.5067557397677</v>
      </c>
    </row>
    <row r="1152" spans="1:2">
      <c r="A1152" s="18">
        <v>68180</v>
      </c>
      <c r="B1152" s="1175">
        <f>B1151*(1+(1+GA!$G$145)^(1/12)-1)</f>
        <v>171.61358074655311</v>
      </c>
    </row>
    <row r="1153" spans="1:2">
      <c r="A1153" s="18">
        <v>68210</v>
      </c>
      <c r="B1153" s="1175">
        <f>B1152*(1+(1+GA!$G$145)^(1/12)-1)</f>
        <v>171.72047229055465</v>
      </c>
    </row>
    <row r="1154" spans="1:2">
      <c r="A1154" s="18">
        <v>68241</v>
      </c>
      <c r="B1154" s="1175">
        <f>B1153*(1+(1+GA!$G$145)^(1/12)-1)</f>
        <v>171.82743041321581</v>
      </c>
    </row>
    <row r="1155" spans="1:2">
      <c r="A1155" s="18">
        <v>68271</v>
      </c>
      <c r="B1155" s="1175">
        <f>B1154*(1+(1+GA!$G$145)^(1/12)-1)</f>
        <v>171.9344551560059</v>
      </c>
    </row>
    <row r="1156" spans="1:2">
      <c r="A1156" s="18">
        <v>68302</v>
      </c>
      <c r="B1156" s="1175">
        <f>B1155*(1+(1+GA!$G$145)^(1/12)-1)</f>
        <v>172.04154656042004</v>
      </c>
    </row>
    <row r="1157" spans="1:2">
      <c r="A1157" s="18">
        <v>68333</v>
      </c>
      <c r="B1157" s="1175">
        <f>B1156*(1+(1+GA!$G$145)^(1/12)-1)</f>
        <v>172.14870466797925</v>
      </c>
    </row>
    <row r="1158" spans="1:2">
      <c r="A1158" s="18">
        <v>68361</v>
      </c>
      <c r="B1158" s="1175">
        <f>B1157*(1+(1+GA!$G$145)^(1/12)-1)</f>
        <v>172.25592952023032</v>
      </c>
    </row>
    <row r="1159" spans="1:2">
      <c r="A1159" s="18">
        <v>68392</v>
      </c>
      <c r="B1159" s="1175">
        <f>B1158*(1+(1+GA!$G$145)^(1/12)-1)</f>
        <v>172.363221158746</v>
      </c>
    </row>
    <row r="1160" spans="1:2">
      <c r="A1160" s="18">
        <v>68422</v>
      </c>
      <c r="B1160" s="1175">
        <f>B1159*(1+(1+GA!$G$145)^(1/12)-1)</f>
        <v>172.47057962512488</v>
      </c>
    </row>
    <row r="1161" spans="1:2">
      <c r="A1161" s="18">
        <v>68453</v>
      </c>
      <c r="B1161" s="1175">
        <f>B1160*(1+(1+GA!$G$145)^(1/12)-1)</f>
        <v>172.57800496099151</v>
      </c>
    </row>
    <row r="1162" spans="1:2">
      <c r="A1162" s="18">
        <v>68483</v>
      </c>
      <c r="B1162" s="1175">
        <f>B1161*(1+(1+GA!$G$145)^(1/12)-1)</f>
        <v>172.68549720799629</v>
      </c>
    </row>
    <row r="1163" spans="1:2">
      <c r="A1163" s="18">
        <v>68514</v>
      </c>
      <c r="B1163" s="1175">
        <f>B1162*(1+(1+GA!$G$145)^(1/12)-1)</f>
        <v>172.79305640781567</v>
      </c>
    </row>
    <row r="1164" spans="1:2">
      <c r="A1164" s="18">
        <v>68545</v>
      </c>
      <c r="B1164" s="1175">
        <f>B1163*(1+(1+GA!$G$145)^(1/12)-1)</f>
        <v>172.90068260215196</v>
      </c>
    </row>
    <row r="1165" spans="1:2">
      <c r="A1165" s="18">
        <v>68575</v>
      </c>
      <c r="B1165" s="1175">
        <f>B1164*(1+(1+GA!$G$145)^(1/12)-1)</f>
        <v>173.00837583273352</v>
      </c>
    </row>
    <row r="1166" spans="1:2">
      <c r="A1166" s="18">
        <v>68606</v>
      </c>
      <c r="B1166" s="1175">
        <f>B1165*(1+(1+GA!$G$145)^(1/12)-1)</f>
        <v>173.11613614131466</v>
      </c>
    </row>
    <row r="1167" spans="1:2">
      <c r="A1167" s="18">
        <v>68636</v>
      </c>
      <c r="B1167" s="1175">
        <f>B1166*(1+(1+GA!$G$145)^(1/12)-1)</f>
        <v>173.22396356967567</v>
      </c>
    </row>
    <row r="1168" spans="1:2">
      <c r="A1168" s="18">
        <v>68667</v>
      </c>
      <c r="B1168" s="1175">
        <f>B1167*(1+(1+GA!$G$145)^(1/12)-1)</f>
        <v>173.33185815962293</v>
      </c>
    </row>
    <row r="1169" spans="1:2">
      <c r="A1169" s="18">
        <v>68698</v>
      </c>
      <c r="B1169" s="1175">
        <f>B1168*(1+(1+GA!$G$145)^(1/12)-1)</f>
        <v>173.43981995298881</v>
      </c>
    </row>
    <row r="1170" spans="1:2">
      <c r="A1170" s="18">
        <v>68727</v>
      </c>
      <c r="B1170" s="1175">
        <f>B1169*(1+(1+GA!$G$145)^(1/12)-1)</f>
        <v>173.54784899163175</v>
      </c>
    </row>
    <row r="1171" spans="1:2">
      <c r="A1171" s="18">
        <v>68758</v>
      </c>
      <c r="B1171" s="1175">
        <f>B1170*(1+(1+GA!$G$145)^(1/12)-1)</f>
        <v>173.65594531743628</v>
      </c>
    </row>
    <row r="1172" spans="1:2">
      <c r="A1172" s="18">
        <v>68788</v>
      </c>
      <c r="B1172" s="1175">
        <f>B1171*(1+(1+GA!$G$145)^(1/12)-1)</f>
        <v>173.76410897231301</v>
      </c>
    </row>
    <row r="1173" spans="1:2">
      <c r="A1173" s="18">
        <v>68819</v>
      </c>
      <c r="B1173" s="1175">
        <f>B1172*(1+(1+GA!$G$145)^(1/12)-1)</f>
        <v>173.87233999819861</v>
      </c>
    </row>
    <row r="1174" spans="1:2">
      <c r="A1174" s="18">
        <v>68849</v>
      </c>
      <c r="B1174" s="1175">
        <f>B1173*(1+(1+GA!$G$145)^(1/12)-1)</f>
        <v>173.98063843705594</v>
      </c>
    </row>
    <row r="1175" spans="1:2">
      <c r="A1175" s="18">
        <v>68880</v>
      </c>
      <c r="B1175" s="1175">
        <f>B1174*(1+(1+GA!$G$145)^(1/12)-1)</f>
        <v>174.08900433087396</v>
      </c>
    </row>
    <row r="1176" spans="1:2">
      <c r="A1176" s="18">
        <v>68911</v>
      </c>
      <c r="B1176" s="1175">
        <f>B1175*(1+(1+GA!$G$145)^(1/12)-1)</f>
        <v>174.1974377216678</v>
      </c>
    </row>
    <row r="1177" spans="1:2">
      <c r="A1177" s="18">
        <v>68941</v>
      </c>
      <c r="B1177" s="1175">
        <f>B1176*(1+(1+GA!$G$145)^(1/12)-1)</f>
        <v>174.3059386514787</v>
      </c>
    </row>
    <row r="1178" spans="1:2">
      <c r="A1178" s="18">
        <v>68972</v>
      </c>
      <c r="B1178" s="1175">
        <f>B1177*(1+(1+GA!$G$145)^(1/12)-1)</f>
        <v>174.41450716237418</v>
      </c>
    </row>
    <row r="1179" spans="1:2">
      <c r="A1179" s="18">
        <v>69002</v>
      </c>
      <c r="B1179" s="1175">
        <f>B1178*(1+(1+GA!$G$145)^(1/12)-1)</f>
        <v>174.5231432964479</v>
      </c>
    </row>
    <row r="1180" spans="1:2">
      <c r="A1180" s="18">
        <v>69033</v>
      </c>
      <c r="B1180" s="1175">
        <f>B1179*(1+(1+GA!$G$145)^(1/12)-1)</f>
        <v>174.63184709581975</v>
      </c>
    </row>
    <row r="1181" spans="1:2">
      <c r="A1181" s="18">
        <v>69064</v>
      </c>
      <c r="B1181" s="1175">
        <f>B1180*(1+(1+GA!$G$145)^(1/12)-1)</f>
        <v>174.74061860263586</v>
      </c>
    </row>
    <row r="1182" spans="1:2">
      <c r="A1182" s="18">
        <v>69092</v>
      </c>
      <c r="B1182" s="1175">
        <f>B1181*(1+(1+GA!$G$145)^(1/12)-1)</f>
        <v>174.84945785906862</v>
      </c>
    </row>
    <row r="1183" spans="1:2">
      <c r="A1183" s="18">
        <v>69123</v>
      </c>
      <c r="B1183" s="1175">
        <f>B1182*(1+(1+GA!$G$145)^(1/12)-1)</f>
        <v>174.95836490731668</v>
      </c>
    </row>
    <row r="1184" spans="1:2">
      <c r="A1184" s="18">
        <v>69153</v>
      </c>
      <c r="B1184" s="1175">
        <f>B1183*(1+(1+GA!$G$145)^(1/12)-1)</f>
        <v>175.06733978960497</v>
      </c>
    </row>
    <row r="1185" spans="1:2">
      <c r="A1185" s="18">
        <v>69184</v>
      </c>
      <c r="B1185" s="1175">
        <f>B1184*(1+(1+GA!$G$145)^(1/12)-1)</f>
        <v>175.17638254818473</v>
      </c>
    </row>
    <row r="1186" spans="1:2">
      <c r="A1186" s="18">
        <v>69214</v>
      </c>
      <c r="B1186" s="1175">
        <f>B1185*(1+(1+GA!$G$145)^(1/12)-1)</f>
        <v>175.28549322533348</v>
      </c>
    </row>
    <row r="1187" spans="1:2">
      <c r="A1187" s="18">
        <v>69245</v>
      </c>
      <c r="B1187" s="1175">
        <f>B1186*(1+(1+GA!$G$145)^(1/12)-1)</f>
        <v>175.39467186335514</v>
      </c>
    </row>
    <row r="1188" spans="1:2">
      <c r="A1188" s="18">
        <v>69276</v>
      </c>
      <c r="B1188" s="1175">
        <f>B1187*(1+(1+GA!$G$145)^(1/12)-1)</f>
        <v>175.50391850457993</v>
      </c>
    </row>
    <row r="1189" spans="1:2">
      <c r="A1189" s="18">
        <v>69306</v>
      </c>
      <c r="B1189" s="1175">
        <f>B1188*(1+(1+GA!$G$145)^(1/12)-1)</f>
        <v>175.61323319136443</v>
      </c>
    </row>
    <row r="1190" spans="1:2">
      <c r="A1190" s="18">
        <v>69337</v>
      </c>
      <c r="B1190" s="1175">
        <f>B1189*(1+(1+GA!$G$145)^(1/12)-1)</f>
        <v>175.72261596609164</v>
      </c>
    </row>
    <row r="1191" spans="1:2">
      <c r="A1191" s="18">
        <v>69367</v>
      </c>
      <c r="B1191" s="1175">
        <f>B1190*(1+(1+GA!$G$145)^(1/12)-1)</f>
        <v>175.83206687117092</v>
      </c>
    </row>
    <row r="1192" spans="1:2">
      <c r="A1192" s="18">
        <v>69398</v>
      </c>
      <c r="B1192" s="1175">
        <f>B1191*(1+(1+GA!$G$145)^(1/12)-1)</f>
        <v>175.94158594903809</v>
      </c>
    </row>
    <row r="1193" spans="1:2">
      <c r="A1193" s="18">
        <v>69429</v>
      </c>
      <c r="B1193" s="1175">
        <f>B1192*(1+(1+GA!$G$145)^(1/12)-1)</f>
        <v>176.05117324215533</v>
      </c>
    </row>
    <row r="1194" spans="1:2">
      <c r="A1194" s="18">
        <v>69457</v>
      </c>
      <c r="B1194" s="1175">
        <f>B1193*(1+(1+GA!$G$145)^(1/12)-1)</f>
        <v>176.16082879301135</v>
      </c>
    </row>
    <row r="1195" spans="1:2">
      <c r="A1195" s="18">
        <v>69488</v>
      </c>
      <c r="B1195" s="1175">
        <f>B1194*(1+(1+GA!$G$145)^(1/12)-1)</f>
        <v>176.27055264412127</v>
      </c>
    </row>
    <row r="1196" spans="1:2">
      <c r="A1196" s="18">
        <v>69518</v>
      </c>
      <c r="B1196" s="1175">
        <f>B1195*(1+(1+GA!$G$145)^(1/12)-1)</f>
        <v>176.38034483802673</v>
      </c>
    </row>
    <row r="1197" spans="1:2">
      <c r="A1197" s="18">
        <v>69549</v>
      </c>
      <c r="B1197" s="1175">
        <f>B1196*(1+(1+GA!$G$145)^(1/12)-1)</f>
        <v>176.49020541729584</v>
      </c>
    </row>
    <row r="1198" spans="1:2">
      <c r="A1198" s="18">
        <v>69579</v>
      </c>
      <c r="B1198" s="1175">
        <f>B1197*(1+(1+GA!$G$145)^(1/12)-1)</f>
        <v>176.60013442452322</v>
      </c>
    </row>
    <row r="1199" spans="1:2">
      <c r="A1199" s="18">
        <v>69610</v>
      </c>
      <c r="B1199" s="1175">
        <f>B1198*(1+(1+GA!$G$145)^(1/12)-1)</f>
        <v>176.71013190233003</v>
      </c>
    </row>
    <row r="1200" spans="1:2">
      <c r="A1200" s="18">
        <v>69641</v>
      </c>
      <c r="B1200" s="1175">
        <f>B1199*(1+(1+GA!$G$145)^(1/12)-1)</f>
        <v>176.820197893364</v>
      </c>
    </row>
    <row r="1201" spans="1:2">
      <c r="A1201" s="18">
        <v>69671</v>
      </c>
      <c r="B1201" s="1175">
        <f>B1200*(1+(1+GA!$G$145)^(1/12)-1)</f>
        <v>176.93033244029937</v>
      </c>
    </row>
    <row r="1202" spans="1:2">
      <c r="A1202" s="18">
        <v>69702</v>
      </c>
      <c r="B1202" s="1175">
        <f>B1201*(1+(1+GA!$G$145)^(1/12)-1)</f>
        <v>177.04053558583701</v>
      </c>
    </row>
    <row r="1203" spans="1:2">
      <c r="A1203" s="18">
        <v>69732</v>
      </c>
      <c r="B1203" s="1175">
        <f>B1202*(1+(1+GA!$G$145)^(1/12)-1)</f>
        <v>177.15080737270438</v>
      </c>
    </row>
    <row r="1204" spans="1:2">
      <c r="A1204" s="18">
        <v>69763</v>
      </c>
      <c r="B1204" s="1175">
        <f>B1203*(1+(1+GA!$G$145)^(1/12)-1)</f>
        <v>177.26114784365552</v>
      </c>
    </row>
    <row r="1205" spans="1:2">
      <c r="A1205" s="18">
        <v>69794</v>
      </c>
      <c r="B1205" s="1175">
        <f>B1204*(1+(1+GA!$G$145)^(1/12)-1)</f>
        <v>177.37155704147114</v>
      </c>
    </row>
    <row r="1206" spans="1:2">
      <c r="A1206" s="18">
        <v>69822</v>
      </c>
      <c r="B1206" s="1175">
        <f>B1205*(1+(1+GA!$G$145)^(1/12)-1)</f>
        <v>177.48203500895858</v>
      </c>
    </row>
    <row r="1207" spans="1:2">
      <c r="A1207" s="18">
        <v>69853</v>
      </c>
      <c r="B1207" s="1175">
        <f>B1206*(1+(1+GA!$G$145)^(1/12)-1)</f>
        <v>177.59258178895183</v>
      </c>
    </row>
    <row r="1208" spans="1:2">
      <c r="A1208" s="18">
        <v>69883</v>
      </c>
      <c r="B1208" s="1175">
        <f>B1207*(1+(1+GA!$G$145)^(1/12)-1)</f>
        <v>177.70319742431158</v>
      </c>
    </row>
    <row r="1209" spans="1:2">
      <c r="A1209" s="18">
        <v>69914</v>
      </c>
      <c r="B1209" s="1175">
        <f>B1208*(1+(1+GA!$G$145)^(1/12)-1)</f>
        <v>177.81388195792519</v>
      </c>
    </row>
    <row r="1210" spans="1:2">
      <c r="A1210" s="18">
        <v>69944</v>
      </c>
      <c r="B1210" s="1175">
        <f>B1209*(1+(1+GA!$G$145)^(1/12)-1)</f>
        <v>177.92463543270676</v>
      </c>
    </row>
    <row r="1211" spans="1:2">
      <c r="A1211" s="18">
        <v>69975</v>
      </c>
      <c r="B1211" s="1175">
        <f>B1210*(1+(1+GA!$G$145)^(1/12)-1)</f>
        <v>178.03545789159713</v>
      </c>
    </row>
    <row r="1212" spans="1:2">
      <c r="A1212" s="18">
        <v>70006</v>
      </c>
      <c r="B1212" s="1175">
        <f>B1211*(1+(1+GA!$G$145)^(1/12)-1)</f>
        <v>178.14634937756384</v>
      </c>
    </row>
    <row r="1213" spans="1:2">
      <c r="A1213" s="18">
        <v>70036</v>
      </c>
      <c r="B1213" s="1175">
        <f>B1212*(1+(1+GA!$G$145)^(1/12)-1)</f>
        <v>178.25730993360122</v>
      </c>
    </row>
    <row r="1214" spans="1:2">
      <c r="A1214" s="18">
        <v>70067</v>
      </c>
      <c r="B1214" s="1175">
        <f>B1213*(1+(1+GA!$G$145)^(1/12)-1)</f>
        <v>178.3683396027304</v>
      </c>
    </row>
    <row r="1215" spans="1:2">
      <c r="A1215" s="18">
        <v>70097</v>
      </c>
      <c r="B1215" s="1175">
        <f>B1214*(1+(1+GA!$G$145)^(1/12)-1)</f>
        <v>178.47943842799927</v>
      </c>
    </row>
    <row r="1216" spans="1:2">
      <c r="A1216" s="18">
        <v>70128</v>
      </c>
      <c r="B1216" s="1175">
        <f>B1215*(1+(1+GA!$G$145)^(1/12)-1)</f>
        <v>178.59060645248255</v>
      </c>
    </row>
    <row r="1217" spans="1:2">
      <c r="A1217" s="18">
        <v>70159</v>
      </c>
      <c r="B1217" s="1175">
        <f>B1216*(1+(1+GA!$G$145)^(1/12)-1)</f>
        <v>178.70184371928178</v>
      </c>
    </row>
    <row r="1218" spans="1:2">
      <c r="A1218" s="18">
        <v>70188</v>
      </c>
      <c r="B1218" s="1175">
        <f>B1217*(1+(1+GA!$G$145)^(1/12)-1)</f>
        <v>178.81315027152539</v>
      </c>
    </row>
    <row r="1219" spans="1:2">
      <c r="A1219" s="18">
        <v>70219</v>
      </c>
      <c r="B1219" s="1175">
        <f>B1218*(1+(1+GA!$G$145)^(1/12)-1)</f>
        <v>178.9245261523686</v>
      </c>
    </row>
    <row r="1220" spans="1:2">
      <c r="A1220" s="18">
        <v>70249</v>
      </c>
      <c r="B1220" s="1175">
        <f>B1219*(1+(1+GA!$G$145)^(1/12)-1)</f>
        <v>179.03597140499355</v>
      </c>
    </row>
    <row r="1221" spans="1:2">
      <c r="A1221" s="18">
        <v>70280</v>
      </c>
      <c r="B1221" s="1175">
        <f>B1220*(1+(1+GA!$G$145)^(1/12)-1)</f>
        <v>179.14748607260927</v>
      </c>
    </row>
    <row r="1222" spans="1:2">
      <c r="A1222" s="18">
        <v>70310</v>
      </c>
      <c r="B1222" s="1175">
        <f>B1221*(1+(1+GA!$G$145)^(1/12)-1)</f>
        <v>179.25907019845172</v>
      </c>
    </row>
    <row r="1223" spans="1:2">
      <c r="A1223" s="18">
        <v>70341</v>
      </c>
      <c r="B1223" s="1175">
        <f>B1222*(1+(1+GA!$G$145)^(1/12)-1)</f>
        <v>179.37072382578376</v>
      </c>
    </row>
    <row r="1224" spans="1:2">
      <c r="A1224" s="18">
        <v>70372</v>
      </c>
      <c r="B1224" s="1175">
        <f>B1223*(1+(1+GA!$G$145)^(1/12)-1)</f>
        <v>179.48244699789521</v>
      </c>
    </row>
    <row r="1225" spans="1:2">
      <c r="A1225" s="18">
        <v>70402</v>
      </c>
      <c r="B1225" s="1175">
        <f>B1224*(1+(1+GA!$G$145)^(1/12)-1)</f>
        <v>179.59423975810287</v>
      </c>
    </row>
    <row r="1226" spans="1:2">
      <c r="A1226" s="18">
        <v>70433</v>
      </c>
      <c r="B1226" s="1175">
        <f>B1225*(1+(1+GA!$G$145)^(1/12)-1)</f>
        <v>179.70610214975054</v>
      </c>
    </row>
    <row r="1227" spans="1:2">
      <c r="A1227" s="18">
        <v>70463</v>
      </c>
      <c r="B1227" s="1175">
        <f>B1226*(1+(1+GA!$G$145)^(1/12)-1)</f>
        <v>179.81803421620893</v>
      </c>
    </row>
    <row r="1228" spans="1:2">
      <c r="A1228" s="18">
        <v>70494</v>
      </c>
      <c r="B1228" s="1175">
        <f>B1227*(1+(1+GA!$G$145)^(1/12)-1)</f>
        <v>179.93003600087584</v>
      </c>
    </row>
    <row r="1229" spans="1:2">
      <c r="A1229" s="18">
        <v>70525</v>
      </c>
      <c r="B1229" s="1175">
        <f>B1228*(1+(1+GA!$G$145)^(1/12)-1)</f>
        <v>180.04210754717607</v>
      </c>
    </row>
    <row r="1230" spans="1:2">
      <c r="A1230" s="18">
        <v>70553</v>
      </c>
      <c r="B1230" s="1175">
        <f>B1229*(1+(1+GA!$G$145)^(1/12)-1)</f>
        <v>180.15424889856149</v>
      </c>
    </row>
    <row r="1231" spans="1:2">
      <c r="A1231" s="18">
        <v>70584</v>
      </c>
      <c r="B1231" s="1175">
        <f>B1230*(1+(1+GA!$G$145)^(1/12)-1)</f>
        <v>180.266460098511</v>
      </c>
    </row>
    <row r="1232" spans="1:2">
      <c r="A1232" s="18">
        <v>70614</v>
      </c>
      <c r="B1232" s="1175">
        <f>B1231*(1+(1+GA!$G$145)^(1/12)-1)</f>
        <v>180.37874119053063</v>
      </c>
    </row>
    <row r="1233" spans="1:2">
      <c r="A1233" s="18">
        <v>70645</v>
      </c>
      <c r="B1233" s="1175">
        <f>B1232*(1+(1+GA!$G$145)^(1/12)-1)</f>
        <v>180.49109221815348</v>
      </c>
    </row>
    <row r="1234" spans="1:2">
      <c r="A1234" s="18">
        <v>70675</v>
      </c>
      <c r="B1234" s="1175">
        <f>B1233*(1+(1+GA!$G$145)^(1/12)-1)</f>
        <v>180.60351322493975</v>
      </c>
    </row>
    <row r="1235" spans="1:2">
      <c r="A1235" s="18">
        <v>70706</v>
      </c>
      <c r="B1235" s="1175">
        <f>B1234*(1+(1+GA!$G$145)^(1/12)-1)</f>
        <v>180.71600425447679</v>
      </c>
    </row>
    <row r="1236" spans="1:2">
      <c r="A1236" s="18">
        <v>70737</v>
      </c>
      <c r="B1236" s="1175">
        <f>B1235*(1+(1+GA!$G$145)^(1/12)-1)</f>
        <v>180.82856535037908</v>
      </c>
    </row>
    <row r="1237" spans="1:2">
      <c r="A1237" s="18">
        <v>70767</v>
      </c>
      <c r="B1237" s="1175">
        <f>B1236*(1+(1+GA!$G$145)^(1/12)-1)</f>
        <v>180.9411965562883</v>
      </c>
    </row>
    <row r="1238" spans="1:2">
      <c r="A1238" s="18">
        <v>70798</v>
      </c>
      <c r="B1238" s="1175">
        <f>B1237*(1+(1+GA!$G$145)^(1/12)-1)</f>
        <v>181.05389791587331</v>
      </c>
    </row>
    <row r="1239" spans="1:2">
      <c r="A1239" s="18">
        <v>70828</v>
      </c>
      <c r="B1239" s="1175">
        <f>B1238*(1+(1+GA!$G$145)^(1/12)-1)</f>
        <v>181.16666947283014</v>
      </c>
    </row>
    <row r="1240" spans="1:2">
      <c r="A1240" s="18">
        <v>70859</v>
      </c>
      <c r="B1240" s="1175">
        <f>B1239*(1+(1+GA!$G$145)^(1/12)-1)</f>
        <v>181.27951127088204</v>
      </c>
    </row>
    <row r="1241" spans="1:2">
      <c r="A1241" s="18">
        <v>70890</v>
      </c>
      <c r="B1241" s="1175">
        <f>B1240*(1+(1+GA!$G$145)^(1/12)-1)</f>
        <v>181.39242335377952</v>
      </c>
    </row>
    <row r="1242" spans="1:2">
      <c r="A1242" s="18">
        <v>70918</v>
      </c>
      <c r="B1242" s="1175">
        <f>B1241*(1+(1+GA!$G$145)^(1/12)-1)</f>
        <v>181.50540576530034</v>
      </c>
    </row>
    <row r="1243" spans="1:2">
      <c r="A1243" s="18">
        <v>70949</v>
      </c>
      <c r="B1243" s="1175">
        <f>B1242*(1+(1+GA!$G$145)^(1/12)-1)</f>
        <v>181.61845854924948</v>
      </c>
    </row>
    <row r="1244" spans="1:2">
      <c r="A1244" s="18">
        <v>70979</v>
      </c>
      <c r="B1244" s="1175">
        <f>B1243*(1+(1+GA!$G$145)^(1/12)-1)</f>
        <v>181.73158174945925</v>
      </c>
    </row>
    <row r="1245" spans="1:2">
      <c r="A1245" s="18">
        <v>71010</v>
      </c>
      <c r="B1245" s="1175">
        <f>B1244*(1+(1+GA!$G$145)^(1/12)-1)</f>
        <v>181.84477540978926</v>
      </c>
    </row>
    <row r="1246" spans="1:2">
      <c r="A1246" s="18">
        <v>71040</v>
      </c>
      <c r="B1246" s="1175">
        <f>B1245*(1+(1+GA!$G$145)^(1/12)-1)</f>
        <v>181.95803957412642</v>
      </c>
    </row>
    <row r="1247" spans="1:2">
      <c r="A1247" s="18">
        <v>71071</v>
      </c>
      <c r="B1247" s="1175">
        <f>B1246*(1+(1+GA!$G$145)^(1/12)-1)</f>
        <v>182.07137428638498</v>
      </c>
    </row>
    <row r="1248" spans="1:2">
      <c r="A1248" s="18">
        <v>71102</v>
      </c>
      <c r="B1248" s="1175">
        <f>B1247*(1+(1+GA!$G$145)^(1/12)-1)</f>
        <v>182.18477959050654</v>
      </c>
    </row>
    <row r="1249" spans="1:2">
      <c r="A1249" s="18">
        <v>71132</v>
      </c>
      <c r="B1249" s="1175">
        <f>B1248*(1+(1+GA!$G$145)^(1/12)-1)</f>
        <v>182.2982555304601</v>
      </c>
    </row>
    <row r="1250" spans="1:2">
      <c r="A1250" s="18">
        <v>71163</v>
      </c>
      <c r="B1250" s="1175">
        <f>B1249*(1+(1+GA!$G$145)^(1/12)-1)</f>
        <v>182.41180215024198</v>
      </c>
    </row>
    <row r="1251" spans="1:2">
      <c r="A1251" s="18">
        <v>71193</v>
      </c>
      <c r="B1251" s="1175">
        <f>B1250*(1+(1+GA!$G$145)^(1/12)-1)</f>
        <v>182.525419493876</v>
      </c>
    </row>
    <row r="1252" spans="1:2">
      <c r="A1252" s="18">
        <v>71224</v>
      </c>
      <c r="B1252" s="1175">
        <f>B1251*(1+(1+GA!$G$145)^(1/12)-1)</f>
        <v>182.6391076054133</v>
      </c>
    </row>
    <row r="1253" spans="1:2">
      <c r="A1253" s="18">
        <v>71255</v>
      </c>
      <c r="B1253" s="1175">
        <f>B1252*(1+(1+GA!$G$145)^(1/12)-1)</f>
        <v>182.75286652893251</v>
      </c>
    </row>
    <row r="1254" spans="1:2">
      <c r="A1254" s="18">
        <v>71283</v>
      </c>
      <c r="B1254" s="1175">
        <f>B1253*(1+(1+GA!$G$145)^(1/12)-1)</f>
        <v>182.86669630853973</v>
      </c>
    </row>
    <row r="1255" spans="1:2">
      <c r="A1255" s="18">
        <v>71314</v>
      </c>
      <c r="B1255" s="1175">
        <f>B1254*(1+(1+GA!$G$145)^(1/12)-1)</f>
        <v>182.98059698836849</v>
      </c>
    </row>
    <row r="1256" spans="1:2">
      <c r="A1256" s="18">
        <v>71344</v>
      </c>
      <c r="B1256" s="1175">
        <f>B1255*(1+(1+GA!$G$145)^(1/12)-1)</f>
        <v>183.09456861257985</v>
      </c>
    </row>
    <row r="1257" spans="1:2">
      <c r="A1257" s="18">
        <v>71375</v>
      </c>
      <c r="B1257" s="1175">
        <f>B1256*(1+(1+GA!$G$145)^(1/12)-1)</f>
        <v>183.20861122536235</v>
      </c>
    </row>
    <row r="1258" spans="1:2">
      <c r="A1258" s="18">
        <v>71405</v>
      </c>
      <c r="B1258" s="1175">
        <f>B1257*(1+(1+GA!$G$145)^(1/12)-1)</f>
        <v>183.32272487093203</v>
      </c>
    </row>
    <row r="1259" spans="1:2">
      <c r="A1259" s="18">
        <v>71436</v>
      </c>
      <c r="B1259" s="1175">
        <f>B1258*(1+(1+GA!$G$145)^(1/12)-1)</f>
        <v>183.43690959353253</v>
      </c>
    </row>
    <row r="1260" spans="1:2">
      <c r="A1260" s="18">
        <v>71467</v>
      </c>
      <c r="B1260" s="1175">
        <f>B1259*(1+(1+GA!$G$145)^(1/12)-1)</f>
        <v>183.551165437435</v>
      </c>
    </row>
    <row r="1261" spans="1:2">
      <c r="A1261" s="18">
        <v>71497</v>
      </c>
      <c r="B1261" s="1175">
        <f>B1260*(1+(1+GA!$G$145)^(1/12)-1)</f>
        <v>183.6654924469382</v>
      </c>
    </row>
    <row r="1262" spans="1:2">
      <c r="A1262" s="18">
        <v>71528</v>
      </c>
      <c r="B1262" s="1175">
        <f>B1261*(1+(1+GA!$G$145)^(1/12)-1)</f>
        <v>183.77989066636846</v>
      </c>
    </row>
    <row r="1263" spans="1:2">
      <c r="A1263" s="18">
        <v>71558</v>
      </c>
      <c r="B1263" s="1175">
        <f>B1262*(1+(1+GA!$G$145)^(1/12)-1)</f>
        <v>183.89436014007973</v>
      </c>
    </row>
    <row r="1264" spans="1:2">
      <c r="A1264" s="18">
        <v>71589</v>
      </c>
      <c r="B1264" s="1175">
        <f>B1263*(1+(1+GA!$G$145)^(1/12)-1)</f>
        <v>184.00890091245356</v>
      </c>
    </row>
    <row r="1265" spans="1:2">
      <c r="A1265" s="18">
        <v>71620</v>
      </c>
      <c r="B1265" s="1175">
        <f>B1264*(1+(1+GA!$G$145)^(1/12)-1)</f>
        <v>184.12351302789918</v>
      </c>
    </row>
    <row r="1266" spans="1:2">
      <c r="A1266" s="18">
        <v>71649</v>
      </c>
      <c r="B1266" s="1175">
        <f>B1265*(1+(1+GA!$G$145)^(1/12)-1)</f>
        <v>184.23819653085346</v>
      </c>
    </row>
    <row r="1267" spans="1:2">
      <c r="A1267" s="18">
        <v>71680</v>
      </c>
      <c r="B1267" s="1175">
        <f>B1266*(1+(1+GA!$G$145)^(1/12)-1)</f>
        <v>184.35295146578093</v>
      </c>
    </row>
    <row r="1268" spans="1:2">
      <c r="A1268" s="18">
        <v>71710</v>
      </c>
      <c r="B1268" s="1175">
        <f>B1267*(1+(1+GA!$G$145)^(1/12)-1)</f>
        <v>184.46777787717386</v>
      </c>
    </row>
    <row r="1269" spans="1:2">
      <c r="A1269" s="18">
        <v>71741</v>
      </c>
      <c r="B1269" s="1175">
        <f>B1268*(1+(1+GA!$G$145)^(1/12)-1)</f>
        <v>184.5826758095522</v>
      </c>
    </row>
    <row r="1270" spans="1:2">
      <c r="A1270" s="18">
        <v>71771</v>
      </c>
      <c r="B1270" s="1175">
        <f>B1269*(1+(1+GA!$G$145)^(1/12)-1)</f>
        <v>184.69764530746366</v>
      </c>
    </row>
    <row r="1271" spans="1:2">
      <c r="A1271" s="18">
        <v>71802</v>
      </c>
      <c r="B1271" s="1175">
        <f>B1270*(1+(1+GA!$G$145)^(1/12)-1)</f>
        <v>184.81268641548365</v>
      </c>
    </row>
    <row r="1272" spans="1:2">
      <c r="A1272" s="18">
        <v>71833</v>
      </c>
      <c r="B1272" s="1175">
        <f>B1271*(1+(1+GA!$G$145)^(1/12)-1)</f>
        <v>184.92779917821539</v>
      </c>
    </row>
    <row r="1273" spans="1:2">
      <c r="A1273" s="18">
        <v>71863</v>
      </c>
      <c r="B1273" s="1175">
        <f>B1272*(1+(1+GA!$G$145)^(1/12)-1)</f>
        <v>185.04298364028986</v>
      </c>
    </row>
    <row r="1274" spans="1:2">
      <c r="A1274" s="18">
        <v>71894</v>
      </c>
      <c r="B1274" s="1175">
        <f>B1273*(1+(1+GA!$G$145)^(1/12)-1)</f>
        <v>185.15823984636586</v>
      </c>
    </row>
    <row r="1275" spans="1:2">
      <c r="A1275" s="18">
        <v>71924</v>
      </c>
      <c r="B1275" s="1175">
        <f>B1274*(1+(1+GA!$G$145)^(1/12)-1)</f>
        <v>185.27356784112996</v>
      </c>
    </row>
    <row r="1276" spans="1:2">
      <c r="A1276" s="18">
        <v>71955</v>
      </c>
      <c r="B1276" s="1175">
        <f>B1275*(1+(1+GA!$G$145)^(1/12)-1)</f>
        <v>185.38896766929659</v>
      </c>
    </row>
    <row r="1277" spans="1:2">
      <c r="A1277" s="18">
        <v>71986</v>
      </c>
      <c r="B1277" s="1175">
        <f>B1276*(1+(1+GA!$G$145)^(1/12)-1)</f>
        <v>185.50443937560806</v>
      </c>
    </row>
    <row r="1278" spans="1:2">
      <c r="A1278" s="18">
        <v>72014</v>
      </c>
      <c r="B1278" s="1175">
        <f>B1277*(1+(1+GA!$G$145)^(1/12)-1)</f>
        <v>185.61998300483449</v>
      </c>
    </row>
    <row r="1279" spans="1:2">
      <c r="A1279" s="18">
        <v>72045</v>
      </c>
      <c r="B1279" s="1175">
        <f>B1278*(1+(1+GA!$G$145)^(1/12)-1)</f>
        <v>185.73559860177394</v>
      </c>
    </row>
    <row r="1280" spans="1:2">
      <c r="A1280" s="18">
        <v>72075</v>
      </c>
      <c r="B1280" s="1175">
        <f>B1279*(1+(1+GA!$G$145)^(1/12)-1)</f>
        <v>185.85128621125233</v>
      </c>
    </row>
    <row r="1281" spans="1:2">
      <c r="A1281" s="18">
        <v>72106</v>
      </c>
      <c r="B1281" s="1175">
        <f>B1280*(1+(1+GA!$G$145)^(1/12)-1)</f>
        <v>185.96704587812351</v>
      </c>
    </row>
    <row r="1282" spans="1:2">
      <c r="A1282" s="18">
        <v>72136</v>
      </c>
      <c r="B1282" s="1175">
        <f>B1281*(1+(1+GA!$G$145)^(1/12)-1)</f>
        <v>186.0828776472693</v>
      </c>
    </row>
    <row r="1283" spans="1:2">
      <c r="A1283" s="18">
        <v>72167</v>
      </c>
      <c r="B1283" s="1175">
        <f>B1282*(1+(1+GA!$G$145)^(1/12)-1)</f>
        <v>186.19878156359945</v>
      </c>
    </row>
    <row r="1284" spans="1:2">
      <c r="A1284" s="18">
        <v>72198</v>
      </c>
      <c r="B1284" s="1175">
        <f>B1283*(1+(1+GA!$G$145)^(1/12)-1)</f>
        <v>186.31475767205168</v>
      </c>
    </row>
    <row r="1285" spans="1:2">
      <c r="A1285" s="18">
        <v>72228</v>
      </c>
      <c r="B1285" s="1175">
        <f>B1284*(1+(1+GA!$G$145)^(1/12)-1)</f>
        <v>186.43080601759172</v>
      </c>
    </row>
    <row r="1286" spans="1:2">
      <c r="A1286" s="18">
        <v>72259</v>
      </c>
      <c r="B1286" s="1175">
        <f>B1285*(1+(1+GA!$G$145)^(1/12)-1)</f>
        <v>186.54692664521329</v>
      </c>
    </row>
    <row r="1287" spans="1:2">
      <c r="A1287" s="18">
        <v>72289</v>
      </c>
      <c r="B1287" s="1175">
        <f>B1286*(1+(1+GA!$G$145)^(1/12)-1)</f>
        <v>186.66311959993811</v>
      </c>
    </row>
    <row r="1288" spans="1:2">
      <c r="A1288" s="18">
        <v>72320</v>
      </c>
      <c r="B1288" s="1175">
        <f>B1287*(1+(1+GA!$G$145)^(1/12)-1)</f>
        <v>186.77938492681599</v>
      </c>
    </row>
    <row r="1289" spans="1:2">
      <c r="A1289" s="18">
        <v>72351</v>
      </c>
      <c r="B1289" s="1175">
        <f>B1288*(1+(1+GA!$G$145)^(1/12)-1)</f>
        <v>186.89572267092478</v>
      </c>
    </row>
    <row r="1290" spans="1:2">
      <c r="A1290" s="18">
        <v>72379</v>
      </c>
      <c r="B1290" s="1175">
        <f>B1289*(1+(1+GA!$G$145)^(1/12)-1)</f>
        <v>187.01213287737042</v>
      </c>
    </row>
    <row r="1291" spans="1:2">
      <c r="A1291" s="18">
        <v>72410</v>
      </c>
      <c r="B1291" s="1175">
        <f>B1290*(1+(1+GA!$G$145)^(1/12)-1)</f>
        <v>187.12861559128689</v>
      </c>
    </row>
    <row r="1292" spans="1:2">
      <c r="A1292" s="18">
        <v>72440</v>
      </c>
      <c r="B1292" s="1175">
        <f>B1291*(1+(1+GA!$G$145)^(1/12)-1)</f>
        <v>187.24517085783637</v>
      </c>
    </row>
    <row r="1293" spans="1:2">
      <c r="A1293" s="18">
        <v>72471</v>
      </c>
      <c r="B1293" s="1175">
        <f>B1292*(1+(1+GA!$G$145)^(1/12)-1)</f>
        <v>187.3617987222091</v>
      </c>
    </row>
    <row r="1294" spans="1:2">
      <c r="A1294" s="18">
        <v>72501</v>
      </c>
      <c r="B1294" s="1175">
        <f>B1293*(1+(1+GA!$G$145)^(1/12)-1)</f>
        <v>187.47849922962348</v>
      </c>
    </row>
    <row r="1295" spans="1:2">
      <c r="A1295" s="18">
        <v>72532</v>
      </c>
      <c r="B1295" s="1175">
        <f>B1294*(1+(1+GA!$G$145)^(1/12)-1)</f>
        <v>187.5952724253261</v>
      </c>
    </row>
    <row r="1296" spans="1:2">
      <c r="A1296" s="18">
        <v>72563</v>
      </c>
      <c r="B1296" s="1175">
        <f>B1295*(1+(1+GA!$G$145)^(1/12)-1)</f>
        <v>187.71211835459172</v>
      </c>
    </row>
    <row r="1297" spans="1:2">
      <c r="A1297" s="18">
        <v>72593</v>
      </c>
      <c r="B1297" s="1175">
        <f>B1296*(1+(1+GA!$G$145)^(1/12)-1)</f>
        <v>187.8290370627233</v>
      </c>
    </row>
    <row r="1298" spans="1:2">
      <c r="A1298" s="18">
        <v>72624</v>
      </c>
      <c r="B1298" s="1175">
        <f>B1297*(1+(1+GA!$G$145)^(1/12)-1)</f>
        <v>187.94602859505201</v>
      </c>
    </row>
    <row r="1299" spans="1:2">
      <c r="A1299" s="18">
        <v>72654</v>
      </c>
      <c r="B1299" s="1175">
        <f>B1298*(1+(1+GA!$G$145)^(1/12)-1)</f>
        <v>188.06309299693729</v>
      </c>
    </row>
    <row r="1300" spans="1:2">
      <c r="A1300" s="18">
        <v>72685</v>
      </c>
      <c r="B1300" s="1175">
        <f>B1299*(1+(1+GA!$G$145)^(1/12)-1)</f>
        <v>188.18023031376674</v>
      </c>
    </row>
    <row r="1301" spans="1:2">
      <c r="A1301" s="18">
        <v>72716</v>
      </c>
      <c r="B1301" s="1175">
        <f>B1300*(1+(1+GA!$G$145)^(1/12)-1)</f>
        <v>188.29744059095634</v>
      </c>
    </row>
    <row r="1302" spans="1:2">
      <c r="A1302" s="18">
        <v>72744</v>
      </c>
      <c r="B1302" s="1175">
        <f>B1301*(1+(1+GA!$G$145)^(1/12)-1)</f>
        <v>188.41472387395032</v>
      </c>
    </row>
    <row r="1303" spans="1:2">
      <c r="A1303" s="18">
        <v>72775</v>
      </c>
      <c r="B1303" s="1175">
        <f>B1302*(1+(1+GA!$G$145)^(1/12)-1)</f>
        <v>188.53208020822117</v>
      </c>
    </row>
    <row r="1304" spans="1:2">
      <c r="A1304" s="18">
        <v>72805</v>
      </c>
      <c r="B1304" s="1175">
        <f>B1303*(1+(1+GA!$G$145)^(1/12)-1)</f>
        <v>188.64950963926978</v>
      </c>
    </row>
    <row r="1305" spans="1:2">
      <c r="A1305" s="18">
        <v>72836</v>
      </c>
      <c r="B1305" s="1175">
        <f>B1304*(1+(1+GA!$G$145)^(1/12)-1)</f>
        <v>188.7670122126253</v>
      </c>
    </row>
    <row r="1306" spans="1:2">
      <c r="A1306" s="18">
        <v>72866</v>
      </c>
      <c r="B1306" s="1175">
        <f>B1305*(1+(1+GA!$G$145)^(1/12)-1)</f>
        <v>188.8845879738453</v>
      </c>
    </row>
    <row r="1307" spans="1:2">
      <c r="A1307" s="18">
        <v>72897</v>
      </c>
      <c r="B1307" s="1175">
        <f>B1306*(1+(1+GA!$G$145)^(1/12)-1)</f>
        <v>189.00223696851569</v>
      </c>
    </row>
    <row r="1308" spans="1:2">
      <c r="A1308" s="18">
        <v>72928</v>
      </c>
      <c r="B1308" s="1175">
        <f>B1307*(1+(1+GA!$G$145)^(1/12)-1)</f>
        <v>189.11995924225081</v>
      </c>
    </row>
    <row r="1309" spans="1:2">
      <c r="A1309" s="18">
        <v>72958</v>
      </c>
      <c r="B1309" s="1175">
        <f>B1308*(1+(1+GA!$G$145)^(1/12)-1)</f>
        <v>189.23775484069338</v>
      </c>
    </row>
    <row r="1310" spans="1:2">
      <c r="A1310" s="18">
        <v>72989</v>
      </c>
      <c r="B1310" s="1175">
        <f>B1309*(1+(1+GA!$G$145)^(1/12)-1)</f>
        <v>189.35562380951455</v>
      </c>
    </row>
    <row r="1311" spans="1:2">
      <c r="A1311" s="18">
        <v>73019</v>
      </c>
      <c r="B1311" s="1175">
        <f>B1310*(1+(1+GA!$G$145)^(1/12)-1)</f>
        <v>189.47356619441396</v>
      </c>
    </row>
    <row r="1312" spans="1:2">
      <c r="A1312" s="18">
        <v>73050</v>
      </c>
      <c r="B1312" s="1175">
        <f>B1311*(1+(1+GA!$G$145)^(1/12)-1)</f>
        <v>189.59158204111964</v>
      </c>
    </row>
    <row r="1313" spans="1:2">
      <c r="A1313" s="18">
        <v>73081</v>
      </c>
      <c r="B1313" s="1175">
        <f>B1312*(1+(1+GA!$G$145)^(1/12)-1)</f>
        <v>189.70967139538817</v>
      </c>
    </row>
    <row r="1314" spans="1:2">
      <c r="A1314" s="18">
        <v>73109</v>
      </c>
      <c r="B1314" s="1175">
        <f>B1313*(1+(1+GA!$G$145)^(1/12)-1)</f>
        <v>189.82783430300458</v>
      </c>
    </row>
    <row r="1315" spans="1:2">
      <c r="A1315" s="18">
        <v>73140</v>
      </c>
      <c r="B1315" s="1175">
        <f>B1314*(1+(1+GA!$G$145)^(1/12)-1)</f>
        <v>189.94607080978247</v>
      </c>
    </row>
    <row r="1316" spans="1:2">
      <c r="A1316" s="18">
        <v>73170</v>
      </c>
      <c r="B1316" s="1175">
        <f>B1315*(1+(1+GA!$G$145)^(1/12)-1)</f>
        <v>190.06438096156393</v>
      </c>
    </row>
    <row r="1317" spans="1:2">
      <c r="A1317" s="18">
        <v>73201</v>
      </c>
      <c r="B1317" s="1175">
        <f>B1316*(1+(1+GA!$G$145)^(1/12)-1)</f>
        <v>190.1827648042196</v>
      </c>
    </row>
    <row r="1318" spans="1:2">
      <c r="A1318" s="18">
        <v>73231</v>
      </c>
      <c r="B1318" s="1175">
        <f>B1317*(1+(1+GA!$G$145)^(1/12)-1)</f>
        <v>190.30122238364874</v>
      </c>
    </row>
    <row r="1319" spans="1:2">
      <c r="A1319" s="18">
        <v>73262</v>
      </c>
      <c r="B1319" s="1175">
        <f>B1318*(1+(1+GA!$G$145)^(1/12)-1)</f>
        <v>190.41975374577916</v>
      </c>
    </row>
    <row r="1320" spans="1:2">
      <c r="A1320" s="18">
        <v>73293</v>
      </c>
      <c r="B1320" s="1175">
        <f>B1319*(1+(1+GA!$G$145)^(1/12)-1)</f>
        <v>190.53835893656731</v>
      </c>
    </row>
    <row r="1321" spans="1:2">
      <c r="A1321" s="18">
        <v>73323</v>
      </c>
      <c r="B1321" s="1175">
        <f>B1320*(1+(1+GA!$G$145)^(1/12)-1)</f>
        <v>190.65703800199819</v>
      </c>
    </row>
    <row r="1322" spans="1:2">
      <c r="A1322" s="18">
        <v>73354</v>
      </c>
      <c r="B1322" s="1175">
        <f>B1321*(1+(1+GA!$G$145)^(1/12)-1)</f>
        <v>190.77579098808553</v>
      </c>
    </row>
    <row r="1323" spans="1:2">
      <c r="A1323" s="18">
        <v>73384</v>
      </c>
      <c r="B1323" s="1175">
        <f>B1322*(1+(1+GA!$G$145)^(1/12)-1)</f>
        <v>190.89461794087168</v>
      </c>
    </row>
    <row r="1324" spans="1:2">
      <c r="A1324" s="18">
        <v>73415</v>
      </c>
      <c r="B1324" s="1175">
        <f>B1323*(1+(1+GA!$G$145)^(1/12)-1)</f>
        <v>191.01351890642766</v>
      </c>
    </row>
    <row r="1325" spans="1:2">
      <c r="A1325" s="18">
        <v>73446</v>
      </c>
      <c r="B1325" s="1175">
        <f>B1324*(1+(1+GA!$G$145)^(1/12)-1)</f>
        <v>191.1324939308532</v>
      </c>
    </row>
    <row r="1326" spans="1:2">
      <c r="A1326" s="18">
        <v>73474</v>
      </c>
      <c r="B1326" s="1175">
        <f>B1325*(1+(1+GA!$G$145)^(1/12)-1)</f>
        <v>191.25154306027676</v>
      </c>
    </row>
    <row r="1327" spans="1:2">
      <c r="A1327" s="18">
        <v>73505</v>
      </c>
      <c r="B1327" s="1175">
        <f>B1326*(1+(1+GA!$G$145)^(1/12)-1)</f>
        <v>191.37066634085548</v>
      </c>
    </row>
    <row r="1328" spans="1:2">
      <c r="A1328" s="18">
        <v>73535</v>
      </c>
      <c r="B1328" s="1175">
        <f>B1327*(1+(1+GA!$G$145)^(1/12)-1)</f>
        <v>191.48986381877529</v>
      </c>
    </row>
    <row r="1329" spans="1:2">
      <c r="A1329" s="18">
        <v>73566</v>
      </c>
      <c r="B1329" s="1175">
        <f>B1328*(1+(1+GA!$G$145)^(1/12)-1)</f>
        <v>191.60913554025089</v>
      </c>
    </row>
    <row r="1330" spans="1:2">
      <c r="A1330" s="18">
        <v>73596</v>
      </c>
      <c r="B1330" s="1175">
        <f>B1329*(1+(1+GA!$G$145)^(1/12)-1)</f>
        <v>191.72848155152576</v>
      </c>
    </row>
    <row r="1331" spans="1:2">
      <c r="A1331" s="18">
        <v>73627</v>
      </c>
      <c r="B1331" s="1175">
        <f>B1330*(1+(1+GA!$G$145)^(1/12)-1)</f>
        <v>191.84790189887218</v>
      </c>
    </row>
    <row r="1332" spans="1:2">
      <c r="A1332" s="18">
        <v>73658</v>
      </c>
      <c r="B1332" s="1175">
        <f>B1331*(1+(1+GA!$G$145)^(1/12)-1)</f>
        <v>191.96739662859122</v>
      </c>
    </row>
    <row r="1333" spans="1:2">
      <c r="A1333" s="18">
        <v>73688</v>
      </c>
      <c r="B1333" s="1175">
        <f>B1332*(1+(1+GA!$G$145)^(1/12)-1)</f>
        <v>192.08696578701284</v>
      </c>
    </row>
    <row r="1334" spans="1:2">
      <c r="A1334" s="18">
        <v>73719</v>
      </c>
      <c r="B1334" s="1175">
        <f>B1333*(1+(1+GA!$G$145)^(1/12)-1)</f>
        <v>192.20660942049585</v>
      </c>
    </row>
    <row r="1335" spans="1:2">
      <c r="A1335" s="18">
        <v>73749</v>
      </c>
      <c r="B1335" s="1175">
        <f>B1334*(1+(1+GA!$G$145)^(1/12)-1)</f>
        <v>192.32632757542788</v>
      </c>
    </row>
    <row r="1336" spans="1:2">
      <c r="A1336" s="18">
        <v>73780</v>
      </c>
      <c r="B1336" s="1175">
        <f>B1335*(1+(1+GA!$G$145)^(1/12)-1)</f>
        <v>192.44612029822554</v>
      </c>
    </row>
    <row r="1337" spans="1:2">
      <c r="A1337" s="18">
        <v>73811</v>
      </c>
      <c r="B1337" s="1175">
        <f>B1336*(1+(1+GA!$G$145)^(1/12)-1)</f>
        <v>192.56598763533427</v>
      </c>
    </row>
    <row r="1338" spans="1:2">
      <c r="A1338" s="18">
        <v>73839</v>
      </c>
      <c r="B1338" s="1175">
        <f>B1337*(1+(1+GA!$G$145)^(1/12)-1)</f>
        <v>192.68592963322848</v>
      </c>
    </row>
    <row r="1339" spans="1:2">
      <c r="A1339" s="18">
        <v>73870</v>
      </c>
      <c r="B1339" s="1175">
        <f>B1338*(1+(1+GA!$G$145)^(1/12)-1)</f>
        <v>192.80594633841153</v>
      </c>
    </row>
    <row r="1340" spans="1:2">
      <c r="A1340" s="18">
        <v>73900</v>
      </c>
      <c r="B1340" s="1175">
        <f>B1339*(1+(1+GA!$G$145)^(1/12)-1)</f>
        <v>192.92603779741574</v>
      </c>
    </row>
    <row r="1341" spans="1:2">
      <c r="A1341" s="18">
        <v>73931</v>
      </c>
      <c r="B1341" s="1175">
        <f>B1340*(1+(1+GA!$G$145)^(1/12)-1)</f>
        <v>193.04620405680242</v>
      </c>
    </row>
    <row r="1342" spans="1:2">
      <c r="A1342" s="18">
        <v>73961</v>
      </c>
      <c r="B1342" s="1175">
        <f>B1341*(1+(1+GA!$G$145)^(1/12)-1)</f>
        <v>193.16644516316185</v>
      </c>
    </row>
    <row r="1343" spans="1:2">
      <c r="A1343" s="18">
        <v>73992</v>
      </c>
      <c r="B1343" s="1175">
        <f>B1342*(1+(1+GA!$G$145)^(1/12)-1)</f>
        <v>193.28676116311337</v>
      </c>
    </row>
    <row r="1344" spans="1:2">
      <c r="A1344" s="18">
        <v>74023</v>
      </c>
      <c r="B1344" s="1175">
        <f>B1343*(1+(1+GA!$G$145)^(1/12)-1)</f>
        <v>193.40715210330529</v>
      </c>
    </row>
    <row r="1345" spans="1:2">
      <c r="A1345" s="18">
        <v>74053</v>
      </c>
      <c r="B1345" s="1175">
        <f>B1344*(1+(1+GA!$G$145)^(1/12)-1)</f>
        <v>193.52761803041508</v>
      </c>
    </row>
    <row r="1346" spans="1:2">
      <c r="A1346" s="18">
        <v>74084</v>
      </c>
      <c r="B1346" s="1175">
        <f>B1345*(1+(1+GA!$G$145)^(1/12)-1)</f>
        <v>193.64815899114922</v>
      </c>
    </row>
    <row r="1347" spans="1:2">
      <c r="A1347" s="18">
        <v>74114</v>
      </c>
      <c r="B1347" s="1175">
        <f>B1346*(1+(1+GA!$G$145)^(1/12)-1)</f>
        <v>193.76877503224324</v>
      </c>
    </row>
    <row r="1348" spans="1:2">
      <c r="A1348" s="18">
        <v>74145</v>
      </c>
      <c r="B1348" s="1175">
        <f>B1347*(1+(1+GA!$G$145)^(1/12)-1)</f>
        <v>193.88946620046187</v>
      </c>
    </row>
    <row r="1349" spans="1:2">
      <c r="A1349" s="18">
        <v>74176</v>
      </c>
      <c r="B1349" s="1175">
        <f>B1348*(1+(1+GA!$G$145)^(1/12)-1)</f>
        <v>194.01023254259891</v>
      </c>
    </row>
    <row r="1350" spans="1:2">
      <c r="A1350" s="18">
        <v>74204</v>
      </c>
      <c r="B1350" s="1175">
        <f>B1349*(1+(1+GA!$G$145)^(1/12)-1)</f>
        <v>194.13107410547735</v>
      </c>
    </row>
    <row r="1351" spans="1:2">
      <c r="A1351" s="18">
        <v>74235</v>
      </c>
      <c r="B1351" s="1175">
        <f>B1350*(1+(1+GA!$G$145)^(1/12)-1)</f>
        <v>194.25199093594929</v>
      </c>
    </row>
    <row r="1352" spans="1:2">
      <c r="A1352" s="18">
        <v>74265</v>
      </c>
      <c r="B1352" s="1175">
        <f>B1351*(1+(1+GA!$G$145)^(1/12)-1)</f>
        <v>194.37298308089603</v>
      </c>
    </row>
    <row r="1353" spans="1:2">
      <c r="A1353" s="18">
        <v>74296</v>
      </c>
      <c r="B1353" s="1175">
        <f>B1352*(1+(1+GA!$G$145)^(1/12)-1)</f>
        <v>194.49405058722812</v>
      </c>
    </row>
    <row r="1354" spans="1:2">
      <c r="A1354" s="18">
        <v>74326</v>
      </c>
      <c r="B1354" s="1175">
        <f>B1353*(1+(1+GA!$G$145)^(1/12)-1)</f>
        <v>194.61519350188524</v>
      </c>
    </row>
    <row r="1355" spans="1:2">
      <c r="A1355" s="18">
        <v>74357</v>
      </c>
      <c r="B1355" s="1175">
        <f>B1354*(1+(1+GA!$G$145)^(1/12)-1)</f>
        <v>194.7364118718364</v>
      </c>
    </row>
    <row r="1356" spans="1:2">
      <c r="A1356" s="18">
        <v>74388</v>
      </c>
      <c r="B1356" s="1175">
        <f>B1355*(1+(1+GA!$G$145)^(1/12)-1)</f>
        <v>194.85770574407977</v>
      </c>
    </row>
    <row r="1357" spans="1:2">
      <c r="A1357" s="18">
        <v>74418</v>
      </c>
      <c r="B1357" s="1175">
        <f>B1356*(1+(1+GA!$G$145)^(1/12)-1)</f>
        <v>194.97907516564288</v>
      </c>
    </row>
    <row r="1358" spans="1:2">
      <c r="A1358" s="18">
        <v>74449</v>
      </c>
      <c r="B1358" s="1175">
        <f>B1357*(1+(1+GA!$G$145)^(1/12)-1)</f>
        <v>195.10052018358252</v>
      </c>
    </row>
    <row r="1359" spans="1:2">
      <c r="A1359" s="18">
        <v>74479</v>
      </c>
      <c r="B1359" s="1175">
        <f>B1358*(1+(1+GA!$G$145)^(1/12)-1)</f>
        <v>195.22204084498475</v>
      </c>
    </row>
    <row r="1360" spans="1:2">
      <c r="A1360" s="18">
        <v>74510</v>
      </c>
      <c r="B1360" s="1175">
        <f>B1359*(1+(1+GA!$G$145)^(1/12)-1)</f>
        <v>195.34363719696501</v>
      </c>
    </row>
    <row r="1361" spans="1:2">
      <c r="A1361" s="18">
        <v>74541</v>
      </c>
      <c r="B1361" s="1175">
        <f>B1360*(1+(1+GA!$G$145)^(1/12)-1)</f>
        <v>195.46530928666809</v>
      </c>
    </row>
    <row r="1362" spans="1:2">
      <c r="A1362" s="18">
        <v>74570</v>
      </c>
      <c r="B1362" s="1175">
        <f>B1361*(1+(1+GA!$G$145)^(1/12)-1)</f>
        <v>195.58705716126809</v>
      </c>
    </row>
    <row r="1363" spans="1:2">
      <c r="A1363" s="18">
        <v>74601</v>
      </c>
      <c r="B1363" s="1175">
        <f>B1362*(1+(1+GA!$G$145)^(1/12)-1)</f>
        <v>195.70888086796856</v>
      </c>
    </row>
    <row r="1364" spans="1:2">
      <c r="A1364" s="18">
        <v>74631</v>
      </c>
      <c r="B1364" s="1175">
        <f>B1363*(1+(1+GA!$G$145)^(1/12)-1)</f>
        <v>195.83078045400239</v>
      </c>
    </row>
    <row r="1365" spans="1:2">
      <c r="A1365" s="18">
        <v>74662</v>
      </c>
      <c r="B1365" s="1175">
        <f>B1364*(1+(1+GA!$G$145)^(1/12)-1)</f>
        <v>195.95275596663197</v>
      </c>
    </row>
    <row r="1366" spans="1:2">
      <c r="A1366" s="18">
        <v>74692</v>
      </c>
      <c r="B1366" s="1175">
        <f>B1365*(1+(1+GA!$G$145)^(1/12)-1)</f>
        <v>196.07480745314902</v>
      </c>
    </row>
    <row r="1367" spans="1:2">
      <c r="A1367" s="18">
        <v>74723</v>
      </c>
      <c r="B1367" s="1175">
        <f>B1366*(1+(1+GA!$G$145)^(1/12)-1)</f>
        <v>196.19693496087478</v>
      </c>
    </row>
    <row r="1368" spans="1:2">
      <c r="A1368" s="18">
        <v>74754</v>
      </c>
      <c r="B1368" s="1175">
        <f>B1367*(1+(1+GA!$G$145)^(1/12)-1)</f>
        <v>196.31913853716</v>
      </c>
    </row>
    <row r="1369" spans="1:2">
      <c r="A1369" s="18">
        <v>74784</v>
      </c>
      <c r="B1369" s="1175">
        <f>B1368*(1+(1+GA!$G$145)^(1/12)-1)</f>
        <v>196.44141822938482</v>
      </c>
    </row>
    <row r="1370" spans="1:2">
      <c r="A1370" s="18">
        <v>74815</v>
      </c>
      <c r="B1370" s="1175">
        <f>B1369*(1+(1+GA!$G$145)^(1/12)-1)</f>
        <v>196.56377408495899</v>
      </c>
    </row>
    <row r="1371" spans="1:2">
      <c r="A1371" s="18">
        <v>74845</v>
      </c>
      <c r="B1371" s="1175">
        <f>B1370*(1+(1+GA!$G$145)^(1/12)-1)</f>
        <v>196.68620615132176</v>
      </c>
    </row>
    <row r="1372" spans="1:2">
      <c r="A1372" s="18">
        <v>74876</v>
      </c>
      <c r="B1372" s="1175">
        <f>B1371*(1+(1+GA!$G$145)^(1/12)-1)</f>
        <v>196.80871447594188</v>
      </c>
    </row>
    <row r="1373" spans="1:2">
      <c r="A1373" s="18">
        <v>74907</v>
      </c>
      <c r="B1373" s="1175">
        <f>B1372*(1+(1+GA!$G$145)^(1/12)-1)</f>
        <v>196.93129910631774</v>
      </c>
    </row>
    <row r="1374" spans="1:2">
      <c r="A1374" s="18">
        <v>74935</v>
      </c>
      <c r="B1374" s="1175">
        <f>B1373*(1+(1+GA!$G$145)^(1/12)-1)</f>
        <v>197.05396008997727</v>
      </c>
    </row>
    <row r="1375" spans="1:2">
      <c r="A1375" s="18">
        <v>74966</v>
      </c>
      <c r="B1375" s="1175">
        <f>B1374*(1+(1+GA!$G$145)^(1/12)-1)</f>
        <v>197.176697474478</v>
      </c>
    </row>
    <row r="1376" spans="1:2">
      <c r="A1376" s="18">
        <v>74996</v>
      </c>
      <c r="B1376" s="1175">
        <f>B1375*(1+(1+GA!$G$145)^(1/12)-1)</f>
        <v>197.2995113074071</v>
      </c>
    </row>
    <row r="1377" spans="1:2">
      <c r="A1377" s="18">
        <v>75027</v>
      </c>
      <c r="B1377" s="1175">
        <f>B1376*(1+(1+GA!$G$145)^(1/12)-1)</f>
        <v>197.42240163638138</v>
      </c>
    </row>
    <row r="1378" spans="1:2">
      <c r="A1378" s="18">
        <v>75057</v>
      </c>
      <c r="B1378" s="1175">
        <f>B1377*(1+(1+GA!$G$145)^(1/12)-1)</f>
        <v>197.54536850904731</v>
      </c>
    </row>
    <row r="1379" spans="1:2">
      <c r="A1379" s="18">
        <v>75088</v>
      </c>
      <c r="B1379" s="1175">
        <f>B1378*(1+(1+GA!$G$145)^(1/12)-1)</f>
        <v>197.66841197308102</v>
      </c>
    </row>
    <row r="1380" spans="1:2">
      <c r="A1380" s="18">
        <v>75119</v>
      </c>
      <c r="B1380" s="1175">
        <f>B1379*(1+(1+GA!$G$145)^(1/12)-1)</f>
        <v>197.79153207618836</v>
      </c>
    </row>
    <row r="1381" spans="1:2">
      <c r="A1381" s="18">
        <v>75149</v>
      </c>
      <c r="B1381" s="1175">
        <f>B1380*(1+(1+GA!$G$145)^(1/12)-1)</f>
        <v>197.91472886610487</v>
      </c>
    </row>
    <row r="1382" spans="1:2">
      <c r="A1382" s="18">
        <v>75180</v>
      </c>
      <c r="B1382" s="1175">
        <f>B1381*(1+(1+GA!$G$145)^(1/12)-1)</f>
        <v>198.03800239059584</v>
      </c>
    </row>
    <row r="1383" spans="1:2">
      <c r="A1383" s="18">
        <v>75210</v>
      </c>
      <c r="B1383" s="1175">
        <f>B1382*(1+(1+GA!$G$145)^(1/12)-1)</f>
        <v>198.16135269745629</v>
      </c>
    </row>
    <row r="1384" spans="1:2">
      <c r="A1384" s="18">
        <v>75241</v>
      </c>
      <c r="B1384" s="1175">
        <f>B1383*(1+(1+GA!$G$145)^(1/12)-1)</f>
        <v>198.28477983451106</v>
      </c>
    </row>
    <row r="1385" spans="1:2">
      <c r="A1385" s="18">
        <v>75272</v>
      </c>
      <c r="B1385" s="1175">
        <f>B1384*(1+(1+GA!$G$145)^(1/12)-1)</f>
        <v>198.40828384961472</v>
      </c>
    </row>
    <row r="1386" spans="1:2">
      <c r="A1386" s="18">
        <v>75300</v>
      </c>
      <c r="B1386" s="1175">
        <f>B1385*(1+(1+GA!$G$145)^(1/12)-1)</f>
        <v>198.53186479065167</v>
      </c>
    </row>
    <row r="1387" spans="1:2">
      <c r="A1387" s="18">
        <v>75331</v>
      </c>
      <c r="B1387" s="1175">
        <f>B1386*(1+(1+GA!$G$145)^(1/12)-1)</f>
        <v>198.65552270553616</v>
      </c>
    </row>
    <row r="1388" spans="1:2">
      <c r="A1388" s="18">
        <v>75361</v>
      </c>
      <c r="B1388" s="1175">
        <f>B1387*(1+(1+GA!$G$145)^(1/12)-1)</f>
        <v>198.77925764221223</v>
      </c>
    </row>
    <row r="1389" spans="1:2">
      <c r="A1389" s="18">
        <v>75392</v>
      </c>
      <c r="B1389" s="1175">
        <f>B1388*(1+(1+GA!$G$145)^(1/12)-1)</f>
        <v>198.90306964865383</v>
      </c>
    </row>
    <row r="1390" spans="1:2">
      <c r="A1390" s="18">
        <v>75422</v>
      </c>
      <c r="B1390" s="1175">
        <f>B1389*(1+(1+GA!$G$145)^(1/12)-1)</f>
        <v>199.02695877286476</v>
      </c>
    </row>
    <row r="1391" spans="1:2">
      <c r="A1391" s="18">
        <v>75453</v>
      </c>
      <c r="B1391" s="1175">
        <f>B1390*(1+(1+GA!$G$145)^(1/12)-1)</f>
        <v>199.15092506287874</v>
      </c>
    </row>
    <row r="1392" spans="1:2">
      <c r="A1392" s="18">
        <v>75484</v>
      </c>
      <c r="B1392" s="1175">
        <f>B1391*(1+(1+GA!$G$145)^(1/12)-1)</f>
        <v>199.27496856675938</v>
      </c>
    </row>
    <row r="1393" spans="1:2">
      <c r="A1393" s="18">
        <v>75514</v>
      </c>
      <c r="B1393" s="1175">
        <f>B1392*(1+(1+GA!$G$145)^(1/12)-1)</f>
        <v>199.39908933260028</v>
      </c>
    </row>
    <row r="1394" spans="1:2">
      <c r="A1394" s="18">
        <v>75545</v>
      </c>
      <c r="B1394" s="1175">
        <f>B1393*(1+(1+GA!$G$145)^(1/12)-1)</f>
        <v>199.52328740852494</v>
      </c>
    </row>
    <row r="1395" spans="1:2">
      <c r="A1395" s="18">
        <v>75575</v>
      </c>
      <c r="B1395" s="1175">
        <f>B1394*(1+(1+GA!$G$145)^(1/12)-1)</f>
        <v>199.64756284268685</v>
      </c>
    </row>
    <row r="1396" spans="1:2">
      <c r="A1396" s="18">
        <v>75606</v>
      </c>
      <c r="B1396" s="1175">
        <f>B1395*(1+(1+GA!$G$145)^(1/12)-1)</f>
        <v>199.77191568326953</v>
      </c>
    </row>
    <row r="1397" spans="1:2">
      <c r="A1397" s="18">
        <v>75637</v>
      </c>
      <c r="B1397" s="1175">
        <f>B1396*(1+(1+GA!$G$145)^(1/12)-1)</f>
        <v>199.89634597848647</v>
      </c>
    </row>
    <row r="1398" spans="1:2">
      <c r="A1398" s="18">
        <v>75665</v>
      </c>
      <c r="B1398" s="1175">
        <f>B1397*(1+(1+GA!$G$145)^(1/12)-1)</f>
        <v>200.02085377658119</v>
      </c>
    </row>
    <row r="1399" spans="1:2">
      <c r="A1399" s="18">
        <v>75696</v>
      </c>
      <c r="B1399" s="1175">
        <f>B1398*(1+(1+GA!$G$145)^(1/12)-1)</f>
        <v>200.14543912582729</v>
      </c>
    </row>
    <row r="1400" spans="1:2">
      <c r="A1400" s="18">
        <v>75726</v>
      </c>
      <c r="B1400" s="1175">
        <f>B1399*(1+(1+GA!$G$145)^(1/12)-1)</f>
        <v>200.27010207452844</v>
      </c>
    </row>
    <row r="1401" spans="1:2">
      <c r="A1401" s="18">
        <v>75757</v>
      </c>
      <c r="B1401" s="1175">
        <f>B1400*(1+(1+GA!$G$145)^(1/12)-1)</f>
        <v>200.39484267101835</v>
      </c>
    </row>
    <row r="1402" spans="1:2">
      <c r="A1402" s="18">
        <v>75787</v>
      </c>
      <c r="B1402" s="1175">
        <f>B1401*(1+(1+GA!$G$145)^(1/12)-1)</f>
        <v>200.51966096366087</v>
      </c>
    </row>
    <row r="1403" spans="1:2">
      <c r="A1403" s="18">
        <v>75818</v>
      </c>
      <c r="B1403" s="1175">
        <f>B1402*(1+(1+GA!$G$145)^(1/12)-1)</f>
        <v>200.64455700084994</v>
      </c>
    </row>
    <row r="1404" spans="1:2">
      <c r="A1404" s="18">
        <v>75849</v>
      </c>
      <c r="B1404" s="1175">
        <f>B1403*(1+(1+GA!$G$145)^(1/12)-1)</f>
        <v>200.76953083100969</v>
      </c>
    </row>
    <row r="1405" spans="1:2">
      <c r="A1405" s="18">
        <v>75879</v>
      </c>
      <c r="B1405" s="1175">
        <f>B1404*(1+(1+GA!$G$145)^(1/12)-1)</f>
        <v>200.89458250259437</v>
      </c>
    </row>
    <row r="1406" spans="1:2">
      <c r="A1406" s="18">
        <v>75910</v>
      </c>
      <c r="B1406" s="1175">
        <f>B1405*(1+(1+GA!$G$145)^(1/12)-1)</f>
        <v>201.01971206408848</v>
      </c>
    </row>
    <row r="1407" spans="1:2">
      <c r="A1407" s="18">
        <v>75940</v>
      </c>
      <c r="B1407" s="1175">
        <f>B1406*(1+(1+GA!$G$145)^(1/12)-1)</f>
        <v>201.14491956400661</v>
      </c>
    </row>
    <row r="1408" spans="1:2">
      <c r="A1408" s="18">
        <v>75971</v>
      </c>
      <c r="B1408" s="1175">
        <f>B1407*(1+(1+GA!$G$145)^(1/12)-1)</f>
        <v>201.27020505089368</v>
      </c>
    </row>
    <row r="1409" spans="1:2">
      <c r="A1409" s="18">
        <v>76002</v>
      </c>
      <c r="B1409" s="1175">
        <f>B1408*(1+(1+GA!$G$145)^(1/12)-1)</f>
        <v>201.39556857332474</v>
      </c>
    </row>
    <row r="1410" spans="1:2">
      <c r="A1410" s="18">
        <v>76031</v>
      </c>
      <c r="B1410" s="1175">
        <f>B1409*(1+(1+GA!$G$145)^(1/12)-1)</f>
        <v>201.52101017990518</v>
      </c>
    </row>
    <row r="1411" spans="1:2">
      <c r="A1411" s="18">
        <v>76062</v>
      </c>
      <c r="B1411" s="1175">
        <f>B1410*(1+(1+GA!$G$145)^(1/12)-1)</f>
        <v>201.64652991927065</v>
      </c>
    </row>
    <row r="1412" spans="1:2">
      <c r="A1412" s="18">
        <v>76092</v>
      </c>
      <c r="B1412" s="1175">
        <f>B1411*(1+(1+GA!$G$145)^(1/12)-1)</f>
        <v>201.77212784008705</v>
      </c>
    </row>
    <row r="1413" spans="1:2">
      <c r="A1413" s="18">
        <v>76123</v>
      </c>
      <c r="B1413" s="1175">
        <f>B1412*(1+(1+GA!$G$145)^(1/12)-1)</f>
        <v>201.89780399105064</v>
      </c>
    </row>
    <row r="1414" spans="1:2">
      <c r="A1414" s="18">
        <v>76153</v>
      </c>
      <c r="B1414" s="1175">
        <f>B1413*(1+(1+GA!$G$145)^(1/12)-1)</f>
        <v>202.02355842088795</v>
      </c>
    </row>
    <row r="1415" spans="1:2">
      <c r="A1415" s="18">
        <v>76184</v>
      </c>
      <c r="B1415" s="1175">
        <f>B1414*(1+(1+GA!$G$145)^(1/12)-1)</f>
        <v>202.14939117835596</v>
      </c>
    </row>
    <row r="1416" spans="1:2">
      <c r="A1416" s="18">
        <v>76215</v>
      </c>
      <c r="B1416" s="1175">
        <f>B1415*(1+(1+GA!$G$145)^(1/12)-1)</f>
        <v>202.27530231224191</v>
      </c>
    </row>
    <row r="1417" spans="1:2">
      <c r="A1417" s="18">
        <v>76245</v>
      </c>
      <c r="B1417" s="1175">
        <f>B1416*(1+(1+GA!$G$145)^(1/12)-1)</f>
        <v>202.4012918713635</v>
      </c>
    </row>
    <row r="1418" spans="1:2">
      <c r="A1418" s="18">
        <v>76276</v>
      </c>
      <c r="B1418" s="1175">
        <f>B1417*(1+(1+GA!$G$145)^(1/12)-1)</f>
        <v>202.52735990456881</v>
      </c>
    </row>
    <row r="1419" spans="1:2">
      <c r="A1419" s="18">
        <v>76306</v>
      </c>
      <c r="B1419" s="1175">
        <f>B1418*(1+(1+GA!$G$145)^(1/12)-1)</f>
        <v>202.65350646073634</v>
      </c>
    </row>
    <row r="1420" spans="1:2">
      <c r="A1420" s="18">
        <v>76337</v>
      </c>
      <c r="B1420" s="1175">
        <f>B1419*(1+(1+GA!$G$145)^(1/12)-1)</f>
        <v>202.77973158877504</v>
      </c>
    </row>
    <row r="1421" spans="1:2">
      <c r="A1421" s="18">
        <v>76368</v>
      </c>
      <c r="B1421" s="1175">
        <f>B1420*(1+(1+GA!$G$145)^(1/12)-1)</f>
        <v>202.90603533762433</v>
      </c>
    </row>
    <row r="1422" spans="1:2">
      <c r="A1422" s="18">
        <v>76396</v>
      </c>
      <c r="B1422" s="1175">
        <f>B1421*(1+(1+GA!$G$145)^(1/12)-1)</f>
        <v>203.03241775625412</v>
      </c>
    </row>
    <row r="1423" spans="1:2">
      <c r="A1423" s="18">
        <v>76427</v>
      </c>
      <c r="B1423" s="1175">
        <f>B1422*(1+(1+GA!$G$145)^(1/12)-1)</f>
        <v>203.15887889366482</v>
      </c>
    </row>
    <row r="1424" spans="1:2">
      <c r="A1424" s="18">
        <v>76457</v>
      </c>
      <c r="B1424" s="1175">
        <f>B1423*(1+(1+GA!$G$145)^(1/12)-1)</f>
        <v>203.28541879888735</v>
      </c>
    </row>
    <row r="1425" spans="1:2">
      <c r="A1425" s="18">
        <v>76488</v>
      </c>
      <c r="B1425" s="1175">
        <f>B1424*(1+(1+GA!$G$145)^(1/12)-1)</f>
        <v>203.41203752098315</v>
      </c>
    </row>
    <row r="1426" spans="1:2">
      <c r="A1426" s="18">
        <v>76518</v>
      </c>
      <c r="B1426" s="1175">
        <f>B1425*(1+(1+GA!$G$145)^(1/12)-1)</f>
        <v>203.53873510904424</v>
      </c>
    </row>
    <row r="1427" spans="1:2">
      <c r="A1427" s="18">
        <v>76549</v>
      </c>
      <c r="B1427" s="1175">
        <f>B1426*(1+(1+GA!$G$145)^(1/12)-1)</f>
        <v>203.66551161219323</v>
      </c>
    </row>
    <row r="1428" spans="1:2">
      <c r="A1428" s="18">
        <v>76580</v>
      </c>
      <c r="B1428" s="1175">
        <f>B1427*(1+(1+GA!$G$145)^(1/12)-1)</f>
        <v>203.79236707958333</v>
      </c>
    </row>
    <row r="1429" spans="1:2">
      <c r="A1429" s="18">
        <v>76610</v>
      </c>
      <c r="B1429" s="1175">
        <f>B1428*(1+(1+GA!$G$145)^(1/12)-1)</f>
        <v>203.91930156039831</v>
      </c>
    </row>
    <row r="1430" spans="1:2">
      <c r="A1430" s="18">
        <v>76641</v>
      </c>
      <c r="B1430" s="1175">
        <f>B1429*(1+(1+GA!$G$145)^(1/12)-1)</f>
        <v>204.04631510385266</v>
      </c>
    </row>
    <row r="1431" spans="1:2">
      <c r="A1431" s="18">
        <v>76671</v>
      </c>
      <c r="B1431" s="1175">
        <f>B1430*(1+(1+GA!$G$145)^(1/12)-1)</f>
        <v>204.17340775919143</v>
      </c>
    </row>
    <row r="1432" spans="1:2">
      <c r="A1432" s="18">
        <v>76702</v>
      </c>
      <c r="B1432" s="1175">
        <f>B1431*(1+(1+GA!$G$145)^(1/12)-1)</f>
        <v>204.30057957569042</v>
      </c>
    </row>
    <row r="1433" spans="1:2">
      <c r="A1433" s="18">
        <v>76733</v>
      </c>
      <c r="B1433" s="1175">
        <f>B1432*(1+(1+GA!$G$145)^(1/12)-1)</f>
        <v>204.42783060265609</v>
      </c>
    </row>
    <row r="1434" spans="1:2">
      <c r="A1434" s="18">
        <v>76761</v>
      </c>
      <c r="B1434" s="1175">
        <f>B1433*(1+(1+GA!$G$145)^(1/12)-1)</f>
        <v>204.55516088942562</v>
      </c>
    </row>
    <row r="1435" spans="1:2">
      <c r="A1435" s="18">
        <v>76792</v>
      </c>
      <c r="B1435" s="1175">
        <f>B1434*(1+(1+GA!$G$145)^(1/12)-1)</f>
        <v>204.68257048536691</v>
      </c>
    </row>
    <row r="1436" spans="1:2">
      <c r="A1436" s="18">
        <v>76822</v>
      </c>
      <c r="B1436" s="1175">
        <f>B1435*(1+(1+GA!$G$145)^(1/12)-1)</f>
        <v>204.81005943987859</v>
      </c>
    </row>
    <row r="1437" spans="1:2">
      <c r="A1437" s="18">
        <v>76853</v>
      </c>
      <c r="B1437" s="1175">
        <f>B1436*(1+(1+GA!$G$145)^(1/12)-1)</f>
        <v>204.9376278023901</v>
      </c>
    </row>
    <row r="1438" spans="1:2">
      <c r="A1438" s="18">
        <v>76883</v>
      </c>
      <c r="B1438" s="1175">
        <f>B1437*(1+(1+GA!$G$145)^(1/12)-1)</f>
        <v>205.06527562236167</v>
      </c>
    </row>
    <row r="1439" spans="1:2">
      <c r="A1439" s="18">
        <v>76914</v>
      </c>
      <c r="B1439" s="1175">
        <f>B1438*(1+(1+GA!$G$145)^(1/12)-1)</f>
        <v>205.19300294928428</v>
      </c>
    </row>
    <row r="1440" spans="1:2">
      <c r="A1440" s="18">
        <v>76945</v>
      </c>
      <c r="B1440" s="1175">
        <f>B1439*(1+(1+GA!$G$145)^(1/12)-1)</f>
        <v>205.3208098326798</v>
      </c>
    </row>
    <row r="1441" spans="1:2">
      <c r="A1441" s="18">
        <v>76975</v>
      </c>
      <c r="B1441" s="1175">
        <f>B1440*(1+(1+GA!$G$145)^(1/12)-1)</f>
        <v>205.44869632210091</v>
      </c>
    </row>
    <row r="1442" spans="1:2">
      <c r="A1442" s="18">
        <v>77006</v>
      </c>
      <c r="B1442" s="1175">
        <f>B1441*(1+(1+GA!$G$145)^(1/12)-1)</f>
        <v>205.57666246713117</v>
      </c>
    </row>
    <row r="1443" spans="1:2">
      <c r="A1443" s="18">
        <v>77036</v>
      </c>
      <c r="B1443" s="1175">
        <f>B1442*(1+(1+GA!$G$145)^(1/12)-1)</f>
        <v>205.70470831738498</v>
      </c>
    </row>
    <row r="1444" spans="1:2">
      <c r="A1444" s="18">
        <v>77067</v>
      </c>
      <c r="B1444" s="1175">
        <f>B1443*(1+(1+GA!$G$145)^(1/12)-1)</f>
        <v>205.83283392250772</v>
      </c>
    </row>
    <row r="1445" spans="1:2">
      <c r="A1445" s="18">
        <v>77098</v>
      </c>
      <c r="B1445" s="1175">
        <f>B1444*(1+(1+GA!$G$145)^(1/12)-1)</f>
        <v>205.96103933217563</v>
      </c>
    </row>
    <row r="1446" spans="1:2">
      <c r="A1446" s="18">
        <v>77126</v>
      </c>
      <c r="B1446" s="1175">
        <f>B1445*(1+(1+GA!$G$145)^(1/12)-1)</f>
        <v>206.08932459609593</v>
      </c>
    </row>
    <row r="1447" spans="1:2">
      <c r="A1447" s="18">
        <v>77157</v>
      </c>
      <c r="B1447" s="1175">
        <f>B1446*(1+(1+GA!$G$145)^(1/12)-1)</f>
        <v>206.21768976400676</v>
      </c>
    </row>
    <row r="1448" spans="1:2">
      <c r="A1448" s="18">
        <v>77187</v>
      </c>
      <c r="B1448" s="1175">
        <f>B1447*(1+(1+GA!$G$145)^(1/12)-1)</f>
        <v>206.34613488567729</v>
      </c>
    </row>
    <row r="1449" spans="1:2">
      <c r="A1449" s="18">
        <v>77218</v>
      </c>
      <c r="B1449" s="1175">
        <f>B1448*(1+(1+GA!$G$145)^(1/12)-1)</f>
        <v>206.47466001090766</v>
      </c>
    </row>
    <row r="1450" spans="1:2">
      <c r="A1450" s="18">
        <v>77248</v>
      </c>
      <c r="B1450" s="1175">
        <f>B1449*(1+(1+GA!$G$145)^(1/12)-1)</f>
        <v>206.603265189529</v>
      </c>
    </row>
    <row r="1451" spans="1:2">
      <c r="A1451" s="18">
        <v>77279</v>
      </c>
      <c r="B1451" s="1175">
        <f>B1450*(1+(1+GA!$G$145)^(1/12)-1)</f>
        <v>206.73195047140354</v>
      </c>
    </row>
    <row r="1452" spans="1:2">
      <c r="A1452" s="18">
        <v>77310</v>
      </c>
      <c r="B1452" s="1175">
        <f>B1451*(1+(1+GA!$G$145)^(1/12)-1)</f>
        <v>206.86071590642453</v>
      </c>
    </row>
    <row r="1453" spans="1:2">
      <c r="A1453" s="18">
        <v>77340</v>
      </c>
      <c r="B1453" s="1175">
        <f>B1452*(1+(1+GA!$G$145)^(1/12)-1)</f>
        <v>206.98956154451631</v>
      </c>
    </row>
    <row r="1454" spans="1:2">
      <c r="A1454" s="18">
        <v>77371</v>
      </c>
      <c r="B1454" s="1175">
        <f>B1453*(1+(1+GA!$G$145)^(1/12)-1)</f>
        <v>207.11848743563428</v>
      </c>
    </row>
    <row r="1455" spans="1:2">
      <c r="A1455" s="18">
        <v>77401</v>
      </c>
      <c r="B1455" s="1175">
        <f>B1454*(1+(1+GA!$G$145)^(1/12)-1)</f>
        <v>207.24749362976502</v>
      </c>
    </row>
    <row r="1456" spans="1:2">
      <c r="A1456" s="18">
        <v>77432</v>
      </c>
      <c r="B1456" s="1175">
        <f>B1455*(1+(1+GA!$G$145)^(1/12)-1)</f>
        <v>207.37658017692618</v>
      </c>
    </row>
    <row r="1457" spans="1:2">
      <c r="A1457" s="18">
        <v>77463</v>
      </c>
      <c r="B1457" s="1175">
        <f>B1456*(1+(1+GA!$G$145)^(1/12)-1)</f>
        <v>207.50574712716661</v>
      </c>
    </row>
    <row r="1458" spans="1:2">
      <c r="A1458" s="18">
        <v>77492</v>
      </c>
      <c r="B1458" s="1175">
        <f>B1457*(1+(1+GA!$G$145)^(1/12)-1)</f>
        <v>207.6349945305663</v>
      </c>
    </row>
    <row r="1459" spans="1:2">
      <c r="A1459" s="18">
        <v>77523</v>
      </c>
      <c r="B1459" s="1175">
        <f>B1458*(1+(1+GA!$G$145)^(1/12)-1)</f>
        <v>207.76432243723647</v>
      </c>
    </row>
    <row r="1460" spans="1:2">
      <c r="A1460" s="18">
        <v>77553</v>
      </c>
      <c r="B1460" s="1175">
        <f>B1459*(1+(1+GA!$G$145)^(1/12)-1)</f>
        <v>207.89373089731953</v>
      </c>
    </row>
    <row r="1461" spans="1:2">
      <c r="A1461" s="18">
        <v>77584</v>
      </c>
      <c r="B1461" s="1175">
        <f>B1460*(1+(1+GA!$G$145)^(1/12)-1)</f>
        <v>208.02321996098911</v>
      </c>
    </row>
    <row r="1462" spans="1:2">
      <c r="A1462" s="18">
        <v>77614</v>
      </c>
      <c r="B1462" s="1175">
        <f>B1461*(1+(1+GA!$G$145)^(1/12)-1)</f>
        <v>208.15278967845012</v>
      </c>
    </row>
    <row r="1463" spans="1:2">
      <c r="A1463" s="18">
        <v>77645</v>
      </c>
      <c r="B1463" s="1175">
        <f>B1462*(1+(1+GA!$G$145)^(1/12)-1)</f>
        <v>208.28244009993873</v>
      </c>
    </row>
    <row r="1464" spans="1:2">
      <c r="A1464" s="18">
        <v>77676</v>
      </c>
      <c r="B1464" s="1175">
        <f>B1463*(1+(1+GA!$G$145)^(1/12)-1)</f>
        <v>208.41217127572236</v>
      </c>
    </row>
    <row r="1465" spans="1:2">
      <c r="A1465" s="18">
        <v>77706</v>
      </c>
      <c r="B1465" s="1175">
        <f>B1464*(1+(1+GA!$G$145)^(1/12)-1)</f>
        <v>208.5419832560998</v>
      </c>
    </row>
    <row r="1466" spans="1:2">
      <c r="A1466" s="18">
        <v>77737</v>
      </c>
      <c r="B1466" s="1175">
        <f>B1465*(1+(1+GA!$G$145)^(1/12)-1)</f>
        <v>208.67187609140115</v>
      </c>
    </row>
    <row r="1467" spans="1:2">
      <c r="A1467" s="18">
        <v>77767</v>
      </c>
      <c r="B1467" s="1175">
        <f>B1466*(1+(1+GA!$G$145)^(1/12)-1)</f>
        <v>208.80184983198785</v>
      </c>
    </row>
    <row r="1468" spans="1:2">
      <c r="A1468" s="18">
        <v>77798</v>
      </c>
      <c r="B1468" s="1175">
        <f>B1467*(1+(1+GA!$G$145)^(1/12)-1)</f>
        <v>208.93190452825272</v>
      </c>
    </row>
    <row r="1469" spans="1:2">
      <c r="A1469" s="18">
        <v>77829</v>
      </c>
      <c r="B1469" s="1175">
        <f>B1468*(1+(1+GA!$G$145)^(1/12)-1)</f>
        <v>209.06204023061994</v>
      </c>
    </row>
    <row r="1470" spans="1:2">
      <c r="A1470" s="18">
        <v>77857</v>
      </c>
      <c r="B1470" s="1175">
        <f>B1469*(1+(1+GA!$G$145)^(1/12)-1)</f>
        <v>209.19225698954514</v>
      </c>
    </row>
    <row r="1471" spans="1:2">
      <c r="A1471" s="18">
        <v>77888</v>
      </c>
      <c r="B1471" s="1175">
        <f>B1470*(1+(1+GA!$G$145)^(1/12)-1)</f>
        <v>209.32255485551534</v>
      </c>
    </row>
    <row r="1472" spans="1:2">
      <c r="A1472" s="18">
        <v>77918</v>
      </c>
      <c r="B1472" s="1175">
        <f>B1471*(1+(1+GA!$G$145)^(1/12)-1)</f>
        <v>209.45293387904903</v>
      </c>
    </row>
    <row r="1473" spans="1:2">
      <c r="A1473" s="18">
        <v>77949</v>
      </c>
      <c r="B1473" s="1175">
        <f>B1472*(1+(1+GA!$G$145)^(1/12)-1)</f>
        <v>209.58339411069613</v>
      </c>
    </row>
    <row r="1474" spans="1:2">
      <c r="A1474" s="18">
        <v>77979</v>
      </c>
      <c r="B1474" s="1175">
        <f>B1473*(1+(1+GA!$G$145)^(1/12)-1)</f>
        <v>209.71393560103809</v>
      </c>
    </row>
    <row r="1475" spans="1:2">
      <c r="A1475" s="18">
        <v>78010</v>
      </c>
      <c r="B1475" s="1175">
        <f>B1474*(1+(1+GA!$G$145)^(1/12)-1)</f>
        <v>209.84455840068784</v>
      </c>
    </row>
    <row r="1476" spans="1:2">
      <c r="A1476" s="18">
        <v>78041</v>
      </c>
      <c r="B1476" s="1175">
        <f>B1475*(1+(1+GA!$G$145)^(1/12)-1)</f>
        <v>209.97526256028988</v>
      </c>
    </row>
    <row r="1477" spans="1:2">
      <c r="A1477" s="18">
        <v>78071</v>
      </c>
      <c r="B1477" s="1175">
        <f>B1476*(1+(1+GA!$G$145)^(1/12)-1)</f>
        <v>210.10604813052015</v>
      </c>
    </row>
    <row r="1478" spans="1:2">
      <c r="A1478" s="18">
        <v>78102</v>
      </c>
      <c r="B1478" s="1175">
        <f>B1477*(1+(1+GA!$G$145)^(1/12)-1)</f>
        <v>210.23691516208626</v>
      </c>
    </row>
    <row r="1479" spans="1:2">
      <c r="A1479" s="18">
        <v>78132</v>
      </c>
      <c r="B1479" s="1175">
        <f>B1478*(1+(1+GA!$G$145)^(1/12)-1)</f>
        <v>210.36786370572736</v>
      </c>
    </row>
    <row r="1480" spans="1:2">
      <c r="A1480" s="18">
        <v>78163</v>
      </c>
      <c r="B1480" s="1175">
        <f>B1479*(1+(1+GA!$G$145)^(1/12)-1)</f>
        <v>210.49889381221422</v>
      </c>
    </row>
    <row r="1481" spans="1:2">
      <c r="A1481" s="18">
        <v>78194</v>
      </c>
      <c r="B1481" s="1175">
        <f>B1480*(1+(1+GA!$G$145)^(1/12)-1)</f>
        <v>210.6300055323492</v>
      </c>
    </row>
    <row r="1482" spans="1:2">
      <c r="A1482" s="18">
        <v>78222</v>
      </c>
      <c r="B1482" s="1175">
        <f>B1481*(1+(1+GA!$G$145)^(1/12)-1)</f>
        <v>210.76119891696635</v>
      </c>
    </row>
    <row r="1483" spans="1:2">
      <c r="A1483" s="18">
        <v>78253</v>
      </c>
      <c r="B1483" s="1175">
        <f>B1482*(1+(1+GA!$G$145)^(1/12)-1)</f>
        <v>210.89247401693132</v>
      </c>
    </row>
    <row r="1484" spans="1:2">
      <c r="A1484" s="18">
        <v>78283</v>
      </c>
      <c r="B1484" s="1175">
        <f>B1483*(1+(1+GA!$G$145)^(1/12)-1)</f>
        <v>211.0238308831415</v>
      </c>
    </row>
    <row r="1485" spans="1:2">
      <c r="A1485" s="18">
        <v>78314</v>
      </c>
      <c r="B1485" s="1175">
        <f>B1484*(1+(1+GA!$G$145)^(1/12)-1)</f>
        <v>211.15526956652596</v>
      </c>
    </row>
    <row r="1486" spans="1:2">
      <c r="A1486" s="18">
        <v>78344</v>
      </c>
      <c r="B1486" s="1175">
        <f>B1485*(1+(1+GA!$G$145)^(1/12)-1)</f>
        <v>211.2867901180455</v>
      </c>
    </row>
    <row r="1487" spans="1:2">
      <c r="A1487" s="18">
        <v>78375</v>
      </c>
      <c r="B1487" s="1175">
        <f>B1486*(1+(1+GA!$G$145)^(1/12)-1)</f>
        <v>211.41839258869263</v>
      </c>
    </row>
    <row r="1488" spans="1:2">
      <c r="A1488" s="18">
        <v>78406</v>
      </c>
      <c r="B1488" s="1175">
        <f>B1487*(1+(1+GA!$G$145)^(1/12)-1)</f>
        <v>211.55007702949166</v>
      </c>
    </row>
    <row r="1489" spans="1:2">
      <c r="A1489" s="18">
        <v>78436</v>
      </c>
      <c r="B1489" s="1175">
        <f>B1488*(1+(1+GA!$G$145)^(1/12)-1)</f>
        <v>211.68184349149868</v>
      </c>
    </row>
    <row r="1490" spans="1:2">
      <c r="A1490" s="18">
        <v>78467</v>
      </c>
      <c r="B1490" s="1175">
        <f>B1489*(1+(1+GA!$G$145)^(1/12)-1)</f>
        <v>211.81369202580154</v>
      </c>
    </row>
    <row r="1491" spans="1:2">
      <c r="A1491" s="18">
        <v>78497</v>
      </c>
      <c r="B1491" s="1175">
        <f>B1490*(1+(1+GA!$G$145)^(1/12)-1)</f>
        <v>211.94562268351996</v>
      </c>
    </row>
    <row r="1492" spans="1:2">
      <c r="A1492" s="18">
        <v>78528</v>
      </c>
      <c r="B1492" s="1175">
        <f>B1491*(1+(1+GA!$G$145)^(1/12)-1)</f>
        <v>212.07763551580547</v>
      </c>
    </row>
    <row r="1493" spans="1:2">
      <c r="A1493" s="18">
        <v>78559</v>
      </c>
      <c r="B1493" s="1175">
        <f>B1492*(1+(1+GA!$G$145)^(1/12)-1)</f>
        <v>212.20973057384145</v>
      </c>
    </row>
    <row r="1494" spans="1:2">
      <c r="A1494" s="18">
        <v>78587</v>
      </c>
      <c r="B1494" s="1175">
        <f>B1493*(1+(1+GA!$G$145)^(1/12)-1)</f>
        <v>212.34190790884321</v>
      </c>
    </row>
    <row r="1495" spans="1:2">
      <c r="A1495" s="18">
        <v>78618</v>
      </c>
      <c r="B1495" s="1175">
        <f>B1494*(1+(1+GA!$G$145)^(1/12)-1)</f>
        <v>212.47416757205792</v>
      </c>
    </row>
    <row r="1496" spans="1:2">
      <c r="A1496" s="18">
        <v>78648</v>
      </c>
      <c r="B1496" s="1175">
        <f>B1495*(1+(1+GA!$G$145)^(1/12)-1)</f>
        <v>212.60650961476469</v>
      </c>
    </row>
    <row r="1497" spans="1:2">
      <c r="A1497" s="18">
        <v>78679</v>
      </c>
      <c r="B1497" s="1175">
        <f>B1496*(1+(1+GA!$G$145)^(1/12)-1)</f>
        <v>212.73893408827453</v>
      </c>
    </row>
    <row r="1498" spans="1:2">
      <c r="A1498" s="18">
        <v>78709</v>
      </c>
      <c r="B1498" s="1175">
        <f>B1497*(1+(1+GA!$G$145)^(1/12)-1)</f>
        <v>212.87144104393045</v>
      </c>
    </row>
    <row r="1499" spans="1:2">
      <c r="A1499" s="18">
        <v>78740</v>
      </c>
      <c r="B1499" s="1175">
        <f>B1498*(1+(1+GA!$G$145)^(1/12)-1)</f>
        <v>213.00403053310743</v>
      </c>
    </row>
    <row r="1500" spans="1:2">
      <c r="A1500" s="18">
        <v>78771</v>
      </c>
      <c r="B1500" s="1175">
        <f>B1499*(1+(1+GA!$G$145)^(1/12)-1)</f>
        <v>213.13670260721244</v>
      </c>
    </row>
    <row r="1501" spans="1:2">
      <c r="A1501" s="18">
        <v>78801</v>
      </c>
      <c r="B1501" s="1175">
        <f>B1500*(1+(1+GA!$G$145)^(1/12)-1)</f>
        <v>213.2694573176845</v>
      </c>
    </row>
    <row r="1502" spans="1:2">
      <c r="A1502" s="18">
        <v>78832</v>
      </c>
      <c r="B1502" s="1175">
        <f>B1501*(1+(1+GA!$G$145)^(1/12)-1)</f>
        <v>213.40229471599463</v>
      </c>
    </row>
    <row r="1503" spans="1:2">
      <c r="A1503" s="18">
        <v>78862</v>
      </c>
      <c r="B1503" s="1175">
        <f>B1502*(1+(1+GA!$G$145)^(1/12)-1)</f>
        <v>213.53521485364593</v>
      </c>
    </row>
    <row r="1504" spans="1:2">
      <c r="A1504" s="18">
        <v>78893</v>
      </c>
      <c r="B1504" s="1175">
        <f>B1503*(1+(1+GA!$G$145)^(1/12)-1)</f>
        <v>213.66821778217357</v>
      </c>
    </row>
    <row r="1505" spans="1:2">
      <c r="A1505" s="18">
        <v>78924</v>
      </c>
      <c r="B1505" s="1175">
        <f>B1504*(1+(1+GA!$G$145)^(1/12)-1)</f>
        <v>213.80130355314483</v>
      </c>
    </row>
    <row r="1506" spans="1:2">
      <c r="A1506" s="18">
        <v>78953</v>
      </c>
      <c r="B1506" s="1175">
        <f>B1505*(1+(1+GA!$G$145)^(1/12)-1)</f>
        <v>213.9344722181591</v>
      </c>
    </row>
    <row r="1507" spans="1:2">
      <c r="A1507" s="18">
        <v>78984</v>
      </c>
      <c r="B1507" s="1175">
        <f>B1506*(1+(1+GA!$G$145)^(1/12)-1)</f>
        <v>214.06772382884793</v>
      </c>
    </row>
    <row r="1508" spans="1:2">
      <c r="A1508" s="18">
        <v>79014</v>
      </c>
      <c r="B1508" s="1175">
        <f>B1507*(1+(1+GA!$G$145)^(1/12)-1)</f>
        <v>214.201058436875</v>
      </c>
    </row>
    <row r="1509" spans="1:2">
      <c r="A1509" s="18">
        <v>79045</v>
      </c>
      <c r="B1509" s="1175">
        <f>B1508*(1+(1+GA!$G$145)^(1/12)-1)</f>
        <v>214.33447609393616</v>
      </c>
    </row>
    <row r="1510" spans="1:2">
      <c r="A1510" s="18">
        <v>79075</v>
      </c>
      <c r="B1510" s="1175">
        <f>B1509*(1+(1+GA!$G$145)^(1/12)-1)</f>
        <v>214.46797685175952</v>
      </c>
    </row>
    <row r="1511" spans="1:2">
      <c r="A1511" s="18">
        <v>79106</v>
      </c>
      <c r="B1511" s="1175">
        <f>B1510*(1+(1+GA!$G$145)^(1/12)-1)</f>
        <v>214.60156076210532</v>
      </c>
    </row>
    <row r="1512" spans="1:2">
      <c r="A1512" s="18">
        <v>79137</v>
      </c>
      <c r="B1512" s="1175">
        <f>B1511*(1+(1+GA!$G$145)^(1/12)-1)</f>
        <v>214.73522787676615</v>
      </c>
    </row>
    <row r="1513" spans="1:2">
      <c r="A1513" s="18">
        <v>79167</v>
      </c>
      <c r="B1513" s="1175">
        <f>B1512*(1+(1+GA!$G$145)^(1/12)-1)</f>
        <v>214.86897824756676</v>
      </c>
    </row>
    <row r="1514" spans="1:2">
      <c r="A1514" s="18">
        <v>79198</v>
      </c>
      <c r="B1514" s="1175">
        <f>B1513*(1+(1+GA!$G$145)^(1/12)-1)</f>
        <v>215.00281192636422</v>
      </c>
    </row>
    <row r="1515" spans="1:2">
      <c r="A1515" s="18">
        <v>79228</v>
      </c>
      <c r="B1515" s="1175">
        <f>B1514*(1+(1+GA!$G$145)^(1/12)-1)</f>
        <v>215.13672896504789</v>
      </c>
    </row>
    <row r="1516" spans="1:2">
      <c r="A1516" s="18">
        <v>79259</v>
      </c>
      <c r="B1516" s="1175">
        <f>B1515*(1+(1+GA!$G$145)^(1/12)-1)</f>
        <v>215.27072941553951</v>
      </c>
    </row>
    <row r="1517" spans="1:2">
      <c r="A1517" s="18">
        <v>79290</v>
      </c>
      <c r="B1517" s="1175">
        <f>B1516*(1+(1+GA!$G$145)^(1/12)-1)</f>
        <v>215.40481332979306</v>
      </c>
    </row>
    <row r="1518" spans="1:2">
      <c r="A1518" s="18">
        <v>79318</v>
      </c>
      <c r="B1518" s="1175">
        <f>B1517*(1+(1+GA!$G$145)^(1/12)-1)</f>
        <v>215.53898075979495</v>
      </c>
    </row>
    <row r="1519" spans="1:2">
      <c r="A1519" s="18">
        <v>79349</v>
      </c>
      <c r="B1519" s="1175">
        <f>B1518*(1+(1+GA!$G$145)^(1/12)-1)</f>
        <v>215.67323175756394</v>
      </c>
    </row>
    <row r="1520" spans="1:2">
      <c r="A1520" s="18">
        <v>79379</v>
      </c>
      <c r="B1520" s="1175">
        <f>B1519*(1+(1+GA!$G$145)^(1/12)-1)</f>
        <v>215.8075663751512</v>
      </c>
    </row>
    <row r="1521" spans="1:2">
      <c r="A1521" s="18">
        <v>79410</v>
      </c>
      <c r="B1521" s="1175">
        <f>B1520*(1+(1+GA!$G$145)^(1/12)-1)</f>
        <v>215.94198466464033</v>
      </c>
    </row>
    <row r="1522" spans="1:2">
      <c r="A1522" s="18">
        <v>79440</v>
      </c>
      <c r="B1522" s="1175">
        <f>B1521*(1+(1+GA!$G$145)^(1/12)-1)</f>
        <v>216.07648667814735</v>
      </c>
    </row>
    <row r="1523" spans="1:2">
      <c r="A1523" s="18">
        <v>79471</v>
      </c>
      <c r="B1523" s="1175">
        <f>B1522*(1+(1+GA!$G$145)^(1/12)-1)</f>
        <v>216.21107246782074</v>
      </c>
    </row>
    <row r="1524" spans="1:2">
      <c r="A1524" s="18">
        <v>79502</v>
      </c>
      <c r="B1524" s="1175">
        <f>B1523*(1+(1+GA!$G$145)^(1/12)-1)</f>
        <v>216.34574208584152</v>
      </c>
    </row>
    <row r="1525" spans="1:2">
      <c r="A1525" s="18">
        <v>79532</v>
      </c>
      <c r="B1525" s="1175">
        <f>B1524*(1+(1+GA!$G$145)^(1/12)-1)</f>
        <v>216.48049558442312</v>
      </c>
    </row>
    <row r="1526" spans="1:2">
      <c r="A1526" s="18">
        <v>79563</v>
      </c>
      <c r="B1526" s="1175">
        <f>B1525*(1+(1+GA!$G$145)^(1/12)-1)</f>
        <v>216.61533301581156</v>
      </c>
    </row>
    <row r="1527" spans="1:2">
      <c r="A1527" s="18">
        <v>79593</v>
      </c>
      <c r="B1527" s="1175">
        <f>B1526*(1+(1+GA!$G$145)^(1/12)-1)</f>
        <v>216.75025443228537</v>
      </c>
    </row>
    <row r="1528" spans="1:2">
      <c r="A1528" s="18">
        <v>79624</v>
      </c>
      <c r="B1528" s="1175">
        <f>B1527*(1+(1+GA!$G$145)^(1/12)-1)</f>
        <v>216.88525988615567</v>
      </c>
    </row>
    <row r="1529" spans="1:2">
      <c r="A1529" s="18">
        <v>79655</v>
      </c>
      <c r="B1529" s="1175">
        <f>B1528*(1+(1+GA!$G$145)^(1/12)-1)</f>
        <v>217.02034942976613</v>
      </c>
    </row>
    <row r="1530" spans="1:2">
      <c r="A1530" s="18">
        <v>79683</v>
      </c>
      <c r="B1530" s="1175">
        <f>B1529*(1+(1+GA!$G$145)^(1/12)-1)</f>
        <v>217.15552311549303</v>
      </c>
    </row>
    <row r="1531" spans="1:2">
      <c r="A1531" s="18">
        <v>79714</v>
      </c>
      <c r="B1531" s="1175">
        <f>B1530*(1+(1+GA!$G$145)^(1/12)-1)</f>
        <v>217.29078099574528</v>
      </c>
    </row>
    <row r="1532" spans="1:2">
      <c r="A1532" s="18">
        <v>79744</v>
      </c>
      <c r="B1532" s="1175">
        <f>B1531*(1+(1+GA!$G$145)^(1/12)-1)</f>
        <v>217.42612312296444</v>
      </c>
    </row>
    <row r="1533" spans="1:2">
      <c r="A1533" s="18">
        <v>79775</v>
      </c>
      <c r="B1533" s="1175">
        <f>B1532*(1+(1+GA!$G$145)^(1/12)-1)</f>
        <v>217.56154954962474</v>
      </c>
    </row>
    <row r="1534" spans="1:2">
      <c r="A1534" s="18">
        <v>79805</v>
      </c>
      <c r="B1534" s="1175">
        <f>B1533*(1+(1+GA!$G$145)^(1/12)-1)</f>
        <v>217.69706032823308</v>
      </c>
    </row>
    <row r="1535" spans="1:2">
      <c r="A1535" s="18">
        <v>79836</v>
      </c>
      <c r="B1535" s="1175">
        <f>B1534*(1+(1+GA!$G$145)^(1/12)-1)</f>
        <v>217.83265551132902</v>
      </c>
    </row>
    <row r="1536" spans="1:2">
      <c r="A1536" s="18">
        <v>79867</v>
      </c>
      <c r="B1536" s="1175">
        <f>B1535*(1+(1+GA!$G$145)^(1/12)-1)</f>
        <v>217.96833515148495</v>
      </c>
    </row>
    <row r="1537" spans="1:2">
      <c r="A1537" s="18">
        <v>79897</v>
      </c>
      <c r="B1537" s="1175">
        <f>B1536*(1+(1+GA!$G$145)^(1/12)-1)</f>
        <v>218.10409930130592</v>
      </c>
    </row>
    <row r="1538" spans="1:2">
      <c r="A1538" s="18">
        <v>79928</v>
      </c>
      <c r="B1538" s="1175">
        <f>B1537*(1+(1+GA!$G$145)^(1/12)-1)</f>
        <v>218.23994801342977</v>
      </c>
    </row>
    <row r="1539" spans="1:2">
      <c r="A1539" s="18">
        <v>79958</v>
      </c>
      <c r="B1539" s="1175">
        <f>B1538*(1+(1+GA!$G$145)^(1/12)-1)</f>
        <v>218.37588134052714</v>
      </c>
    </row>
    <row r="1540" spans="1:2">
      <c r="A1540" s="18">
        <v>79989</v>
      </c>
      <c r="B1540" s="1175">
        <f>B1539*(1+(1+GA!$G$145)^(1/12)-1)</f>
        <v>218.51189933530145</v>
      </c>
    </row>
    <row r="1541" spans="1:2">
      <c r="A1541" s="18">
        <v>80020</v>
      </c>
      <c r="B1541" s="1175">
        <f>B1540*(1+(1+GA!$G$145)^(1/12)-1)</f>
        <v>218.64800205048897</v>
      </c>
    </row>
    <row r="1542" spans="1:2">
      <c r="A1542" s="18">
        <v>80048</v>
      </c>
      <c r="B1542" s="1175">
        <f>B1541*(1+(1+GA!$G$145)^(1/12)-1)</f>
        <v>218.78418953885881</v>
      </c>
    </row>
    <row r="1543" spans="1:2">
      <c r="A1543" s="18">
        <v>80079</v>
      </c>
      <c r="B1543" s="1175">
        <f>B1542*(1+(1+GA!$G$145)^(1/12)-1)</f>
        <v>218.92046185321297</v>
      </c>
    </row>
    <row r="1544" spans="1:2">
      <c r="A1544" s="18">
        <v>80109</v>
      </c>
      <c r="B1544" s="1175">
        <f>B1543*(1+(1+GA!$G$145)^(1/12)-1)</f>
        <v>219.05681904638627</v>
      </c>
    </row>
    <row r="1545" spans="1:2">
      <c r="A1545" s="18">
        <v>80140</v>
      </c>
      <c r="B1545" s="1175">
        <f>B1544*(1+(1+GA!$G$145)^(1/12)-1)</f>
        <v>219.19326117124652</v>
      </c>
    </row>
    <row r="1546" spans="1:2">
      <c r="A1546" s="18">
        <v>80170</v>
      </c>
      <c r="B1546" s="1175">
        <f>B1545*(1+(1+GA!$G$145)^(1/12)-1)</f>
        <v>219.3297882806944</v>
      </c>
    </row>
    <row r="1547" spans="1:2">
      <c r="A1547" s="18">
        <v>80201</v>
      </c>
      <c r="B1547" s="1175">
        <f>B1546*(1+(1+GA!$G$145)^(1/12)-1)</f>
        <v>219.46640042766359</v>
      </c>
    </row>
    <row r="1548" spans="1:2">
      <c r="A1548" s="18">
        <v>80232</v>
      </c>
      <c r="B1548" s="1175">
        <f>B1547*(1+(1+GA!$G$145)^(1/12)-1)</f>
        <v>219.60309766512069</v>
      </c>
    </row>
    <row r="1549" spans="1:2">
      <c r="A1549" s="18">
        <v>80262</v>
      </c>
      <c r="B1549" s="1175">
        <f>B1548*(1+(1+GA!$G$145)^(1/12)-1)</f>
        <v>219.73988004606531</v>
      </c>
    </row>
    <row r="1550" spans="1:2">
      <c r="A1550" s="18">
        <v>80293</v>
      </c>
      <c r="B1550" s="1175">
        <f>B1549*(1+(1+GA!$G$145)^(1/12)-1)</f>
        <v>219.87674762353009</v>
      </c>
    </row>
    <row r="1551" spans="1:2">
      <c r="A1551" s="18">
        <v>80323</v>
      </c>
      <c r="B1551" s="1175">
        <f>B1550*(1+(1+GA!$G$145)^(1/12)-1)</f>
        <v>220.0137004505807</v>
      </c>
    </row>
    <row r="1552" spans="1:2">
      <c r="A1552" s="18">
        <v>80354</v>
      </c>
      <c r="B1552" s="1175">
        <f>B1551*(1+(1+GA!$G$145)^(1/12)-1)</f>
        <v>220.15073858031582</v>
      </c>
    </row>
    <row r="1553" spans="1:2">
      <c r="A1553" s="18">
        <v>80385</v>
      </c>
      <c r="B1553" s="1175">
        <f>B1552*(1+(1+GA!$G$145)^(1/12)-1)</f>
        <v>220.28786206586724</v>
      </c>
    </row>
    <row r="1554" spans="1:2">
      <c r="A1554" s="18">
        <v>80414</v>
      </c>
      <c r="B1554" s="1175">
        <f>B1553*(1+(1+GA!$G$145)^(1/12)-1)</f>
        <v>220.42507096039986</v>
      </c>
    </row>
    <row r="1555" spans="1:2">
      <c r="A1555" s="18">
        <v>80445</v>
      </c>
      <c r="B1555" s="1175">
        <f>B1554*(1+(1+GA!$G$145)^(1/12)-1)</f>
        <v>220.56236531711167</v>
      </c>
    </row>
    <row r="1556" spans="1:2">
      <c r="A1556" s="18">
        <v>80475</v>
      </c>
      <c r="B1556" s="1175">
        <f>B1555*(1+(1+GA!$G$145)^(1/12)-1)</f>
        <v>220.69974518923377</v>
      </c>
    </row>
    <row r="1557" spans="1:2">
      <c r="A1557" s="18">
        <v>80506</v>
      </c>
      <c r="B1557" s="1175">
        <f>B1556*(1+(1+GA!$G$145)^(1/12)-1)</f>
        <v>220.83721063003046</v>
      </c>
    </row>
    <row r="1558" spans="1:2">
      <c r="A1558" s="18">
        <v>80536</v>
      </c>
      <c r="B1558" s="1175">
        <f>B1557*(1+(1+GA!$G$145)^(1/12)-1)</f>
        <v>220.97476169279921</v>
      </c>
    </row>
    <row r="1559" spans="1:2">
      <c r="A1559" s="18">
        <v>80567</v>
      </c>
      <c r="B1559" s="1175">
        <f>B1558*(1+(1+GA!$G$145)^(1/12)-1)</f>
        <v>221.11239843087066</v>
      </c>
    </row>
    <row r="1560" spans="1:2">
      <c r="A1560" s="18">
        <v>80598</v>
      </c>
      <c r="B1560" s="1175">
        <f>B1559*(1+(1+GA!$G$145)^(1/12)-1)</f>
        <v>221.25012089760867</v>
      </c>
    </row>
    <row r="1561" spans="1:2">
      <c r="A1561" s="18">
        <v>80628</v>
      </c>
      <c r="B1561" s="1175">
        <f>B1560*(1+(1+GA!$G$145)^(1/12)-1)</f>
        <v>221.38792914641039</v>
      </c>
    </row>
    <row r="1562" spans="1:2">
      <c r="A1562" s="18">
        <v>80659</v>
      </c>
      <c r="B1562" s="1175">
        <f>B1561*(1+(1+GA!$G$145)^(1/12)-1)</f>
        <v>221.52582323070615</v>
      </c>
    </row>
    <row r="1563" spans="1:2">
      <c r="A1563" s="18">
        <v>80689</v>
      </c>
      <c r="B1563" s="1175">
        <f>B1562*(1+(1+GA!$G$145)^(1/12)-1)</f>
        <v>221.66380320395962</v>
      </c>
    </row>
    <row r="1564" spans="1:2">
      <c r="A1564" s="18">
        <v>80720</v>
      </c>
      <c r="B1564" s="1175">
        <f>B1563*(1+(1+GA!$G$145)^(1/12)-1)</f>
        <v>221.80186911966774</v>
      </c>
    </row>
    <row r="1565" spans="1:2">
      <c r="A1565" s="18">
        <v>80751</v>
      </c>
      <c r="B1565" s="1175">
        <f>B1564*(1+(1+GA!$G$145)^(1/12)-1)</f>
        <v>221.9400210313608</v>
      </c>
    </row>
    <row r="1566" spans="1:2">
      <c r="A1566" s="18">
        <v>80779</v>
      </c>
      <c r="B1566" s="1175">
        <f>B1565*(1+(1+GA!$G$145)^(1/12)-1)</f>
        <v>222.07825899260243</v>
      </c>
    </row>
    <row r="1567" spans="1:2">
      <c r="A1567" s="18">
        <v>80810</v>
      </c>
      <c r="B1567" s="1175">
        <f>B1566*(1+(1+GA!$G$145)^(1/12)-1)</f>
        <v>222.21658305698958</v>
      </c>
    </row>
    <row r="1568" spans="1:2">
      <c r="A1568" s="18">
        <v>80840</v>
      </c>
      <c r="B1568" s="1175">
        <f>B1567*(1+(1+GA!$G$145)^(1/12)-1)</f>
        <v>222.35499327815259</v>
      </c>
    </row>
    <row r="1569" spans="1:2">
      <c r="A1569" s="18">
        <v>80871</v>
      </c>
      <c r="B1569" s="1175">
        <f>B1568*(1+(1+GA!$G$145)^(1/12)-1)</f>
        <v>222.49348970975527</v>
      </c>
    </row>
    <row r="1570" spans="1:2">
      <c r="A1570" s="18">
        <v>80901</v>
      </c>
      <c r="B1570" s="1175">
        <f>B1569*(1+(1+GA!$G$145)^(1/12)-1)</f>
        <v>222.63207240549477</v>
      </c>
    </row>
    <row r="1571" spans="1:2">
      <c r="A1571" s="18">
        <v>80932</v>
      </c>
      <c r="B1571" s="1175">
        <f>B1570*(1+(1+GA!$G$145)^(1/12)-1)</f>
        <v>222.77074141910174</v>
      </c>
    </row>
    <row r="1572" spans="1:2">
      <c r="A1572" s="18">
        <v>80963</v>
      </c>
      <c r="B1572" s="1175">
        <f>B1571*(1+(1+GA!$G$145)^(1/12)-1)</f>
        <v>222.90949680434031</v>
      </c>
    </row>
    <row r="1573" spans="1:2">
      <c r="A1573" s="18">
        <v>80993</v>
      </c>
      <c r="B1573" s="1175">
        <f>B1572*(1+(1+GA!$G$145)^(1/12)-1)</f>
        <v>223.04833861500802</v>
      </c>
    </row>
    <row r="1574" spans="1:2">
      <c r="A1574" s="18">
        <v>81024</v>
      </c>
      <c r="B1574" s="1175">
        <f>B1573*(1+(1+GA!$G$145)^(1/12)-1)</f>
        <v>223.187266904936</v>
      </c>
    </row>
    <row r="1575" spans="1:2">
      <c r="A1575" s="18">
        <v>81054</v>
      </c>
      <c r="B1575" s="1175">
        <f>B1574*(1+(1+GA!$G$145)^(1/12)-1)</f>
        <v>223.32628172798888</v>
      </c>
    </row>
    <row r="1576" spans="1:2">
      <c r="A1576" s="18">
        <v>81085</v>
      </c>
      <c r="B1576" s="1175">
        <f>B1575*(1+(1+GA!$G$145)^(1/12)-1)</f>
        <v>223.46538313806482</v>
      </c>
    </row>
    <row r="1577" spans="1:2">
      <c r="A1577" s="18">
        <v>81116</v>
      </c>
      <c r="B1577" s="1175">
        <f>B1576*(1+(1+GA!$G$145)^(1/12)-1)</f>
        <v>223.60457118909559</v>
      </c>
    </row>
    <row r="1578" spans="1:2">
      <c r="A1578" s="18">
        <v>81144</v>
      </c>
      <c r="B1578" s="1175">
        <f>B1577*(1+(1+GA!$G$145)^(1/12)-1)</f>
        <v>223.74384593504652</v>
      </c>
    </row>
    <row r="1579" spans="1:2">
      <c r="A1579" s="18">
        <v>81175</v>
      </c>
      <c r="B1579" s="1175">
        <f>B1578*(1+(1+GA!$G$145)^(1/12)-1)</f>
        <v>223.88320742991655</v>
      </c>
    </row>
    <row r="1580" spans="1:2">
      <c r="A1580" s="18">
        <v>81205</v>
      </c>
      <c r="B1580" s="1175">
        <f>B1579*(1+(1+GA!$G$145)^(1/12)-1)</f>
        <v>224.02265572773831</v>
      </c>
    </row>
    <row r="1581" spans="1:2">
      <c r="A1581" s="18">
        <v>81236</v>
      </c>
      <c r="B1581" s="1175">
        <f>B1580*(1+(1+GA!$G$145)^(1/12)-1)</f>
        <v>224.16219088257799</v>
      </c>
    </row>
    <row r="1582" spans="1:2">
      <c r="A1582" s="18">
        <v>81266</v>
      </c>
      <c r="B1582" s="1175">
        <f>B1581*(1+(1+GA!$G$145)^(1/12)-1)</f>
        <v>224.30181294853554</v>
      </c>
    </row>
    <row r="1583" spans="1:2">
      <c r="A1583" s="18">
        <v>81297</v>
      </c>
      <c r="B1583" s="1175">
        <f>B1582*(1+(1+GA!$G$145)^(1/12)-1)</f>
        <v>224.44152197974458</v>
      </c>
    </row>
    <row r="1584" spans="1:2">
      <c r="A1584" s="18">
        <v>81328</v>
      </c>
      <c r="B1584" s="1175">
        <f>B1583*(1+(1+GA!$G$145)^(1/12)-1)</f>
        <v>224.58131803037242</v>
      </c>
    </row>
    <row r="1585" spans="1:2">
      <c r="A1585" s="18">
        <v>81358</v>
      </c>
      <c r="B1585" s="1175">
        <f>B1584*(1+(1+GA!$G$145)^(1/12)-1)</f>
        <v>224.72120115462013</v>
      </c>
    </row>
    <row r="1586" spans="1:2">
      <c r="A1586" s="18">
        <v>81389</v>
      </c>
      <c r="B1586" s="1175">
        <f>B1585*(1+(1+GA!$G$145)^(1/12)-1)</f>
        <v>224.86117140672258</v>
      </c>
    </row>
    <row r="1587" spans="1:2">
      <c r="A1587" s="18">
        <v>81419</v>
      </c>
      <c r="B1587" s="1175">
        <f>B1586*(1+(1+GA!$G$145)^(1/12)-1)</f>
        <v>225.00122884094836</v>
      </c>
    </row>
    <row r="1588" spans="1:2">
      <c r="A1588" s="18">
        <v>81450</v>
      </c>
      <c r="B1588" s="1175">
        <f>B1587*(1+(1+GA!$G$145)^(1/12)-1)</f>
        <v>225.14137351159988</v>
      </c>
    </row>
    <row r="1589" spans="1:2">
      <c r="A1589" s="18">
        <v>81481</v>
      </c>
      <c r="B1589" s="1175">
        <f>B1588*(1+(1+GA!$G$145)^(1/12)-1)</f>
        <v>225.28160547301337</v>
      </c>
    </row>
    <row r="1590" spans="1:2">
      <c r="A1590" s="18">
        <v>81509</v>
      </c>
      <c r="B1590" s="1175">
        <f>B1589*(1+(1+GA!$G$145)^(1/12)-1)</f>
        <v>225.42192477955894</v>
      </c>
    </row>
    <row r="1591" spans="1:2">
      <c r="A1591" s="18">
        <v>81540</v>
      </c>
      <c r="B1591" s="1175">
        <f>B1590*(1+(1+GA!$G$145)^(1/12)-1)</f>
        <v>225.5623314856405</v>
      </c>
    </row>
    <row r="1592" spans="1:2">
      <c r="A1592" s="18">
        <v>81570</v>
      </c>
      <c r="B1592" s="1175">
        <f>B1591*(1+(1+GA!$G$145)^(1/12)-1)</f>
        <v>225.7028256456959</v>
      </c>
    </row>
    <row r="1593" spans="1:2">
      <c r="A1593" s="18">
        <v>81601</v>
      </c>
      <c r="B1593" s="1175">
        <f>B1592*(1+(1+GA!$G$145)^(1/12)-1)</f>
        <v>225.8434073141969</v>
      </c>
    </row>
    <row r="1594" spans="1:2">
      <c r="A1594" s="18">
        <v>81631</v>
      </c>
      <c r="B1594" s="1175">
        <f>B1593*(1+(1+GA!$G$145)^(1/12)-1)</f>
        <v>225.98407654564912</v>
      </c>
    </row>
    <row r="1595" spans="1:2">
      <c r="A1595" s="18">
        <v>81662</v>
      </c>
      <c r="B1595" s="1175">
        <f>B1594*(1+(1+GA!$G$145)^(1/12)-1)</f>
        <v>226.12483339459223</v>
      </c>
    </row>
    <row r="1596" spans="1:2">
      <c r="A1596" s="18">
        <v>81693</v>
      </c>
      <c r="B1596" s="1175">
        <f>B1595*(1+(1+GA!$G$145)^(1/12)-1)</f>
        <v>226.26567791559978</v>
      </c>
    </row>
    <row r="1597" spans="1:2">
      <c r="A1597" s="18">
        <v>81723</v>
      </c>
      <c r="B1597" s="1175">
        <f>B1596*(1+(1+GA!$G$145)^(1/12)-1)</f>
        <v>226.40661016327937</v>
      </c>
    </row>
    <row r="1598" spans="1:2">
      <c r="A1598" s="18">
        <v>81754</v>
      </c>
      <c r="B1598" s="1175">
        <f>B1597*(1+(1+GA!$G$145)^(1/12)-1)</f>
        <v>226.54763019227258</v>
      </c>
    </row>
    <row r="1599" spans="1:2">
      <c r="A1599" s="18">
        <v>81784</v>
      </c>
      <c r="B1599" s="1175">
        <f>B1598*(1+(1+GA!$G$145)^(1/12)-1)</f>
        <v>226.68873805725505</v>
      </c>
    </row>
    <row r="1600" spans="1:2">
      <c r="A1600" s="18">
        <v>81815</v>
      </c>
      <c r="B1600" s="1175">
        <f>B1599*(1+(1+GA!$G$145)^(1/12)-1)</f>
        <v>226.82993381293645</v>
      </c>
    </row>
    <row r="1601" spans="1:2">
      <c r="A1601" s="18">
        <v>81846</v>
      </c>
      <c r="B1601" s="1175">
        <f>B1600*(1+(1+GA!$G$145)^(1/12)-1)</f>
        <v>226.97121751406056</v>
      </c>
    </row>
    <row r="1602" spans="1:2">
      <c r="A1602" s="18">
        <v>81875</v>
      </c>
      <c r="B1602" s="1175">
        <f>B1601*(1+(1+GA!$G$145)^(1/12)-1)</f>
        <v>227.11258921540519</v>
      </c>
    </row>
    <row r="1603" spans="1:2">
      <c r="A1603" s="18">
        <v>81906</v>
      </c>
      <c r="B1603" s="1175">
        <f>B1602*(1+(1+GA!$G$145)^(1/12)-1)</f>
        <v>227.25404897178237</v>
      </c>
    </row>
    <row r="1604" spans="1:2">
      <c r="A1604" s="18">
        <v>81936</v>
      </c>
      <c r="B1604" s="1175">
        <f>B1603*(1+(1+GA!$G$145)^(1/12)-1)</f>
        <v>227.39559683803819</v>
      </c>
    </row>
    <row r="1605" spans="1:2">
      <c r="A1605" s="18">
        <v>81967</v>
      </c>
      <c r="B1605" s="1175">
        <f>B1604*(1+(1+GA!$G$145)^(1/12)-1)</f>
        <v>227.53723286905293</v>
      </c>
    </row>
    <row r="1606" spans="1:2">
      <c r="A1606" s="18">
        <v>81997</v>
      </c>
      <c r="B1606" s="1175">
        <f>B1605*(1+(1+GA!$G$145)^(1/12)-1)</f>
        <v>227.67895711974106</v>
      </c>
    </row>
    <row r="1607" spans="1:2">
      <c r="A1607" s="18">
        <v>82028</v>
      </c>
      <c r="B1607" s="1175">
        <f>B1606*(1+(1+GA!$G$145)^(1/12)-1)</f>
        <v>227.82076964505123</v>
      </c>
    </row>
    <row r="1608" spans="1:2">
      <c r="A1608" s="18">
        <v>82059</v>
      </c>
      <c r="B1608" s="1175">
        <f>B1607*(1+(1+GA!$G$145)^(1/12)-1)</f>
        <v>227.96267049996635</v>
      </c>
    </row>
    <row r="1609" spans="1:2">
      <c r="A1609" s="18">
        <v>82089</v>
      </c>
      <c r="B1609" s="1175">
        <f>B1608*(1+(1+GA!$G$145)^(1/12)-1)</f>
        <v>228.10465973950355</v>
      </c>
    </row>
    <row r="1610" spans="1:2">
      <c r="A1610" s="18">
        <v>82120</v>
      </c>
      <c r="B1610" s="1175">
        <f>B1609*(1+(1+GA!$G$145)^(1/12)-1)</f>
        <v>228.24673741871422</v>
      </c>
    </row>
    <row r="1611" spans="1:2">
      <c r="A1611" s="18">
        <v>82150</v>
      </c>
      <c r="B1611" s="1175">
        <f>B1610*(1+(1+GA!$G$145)^(1/12)-1)</f>
        <v>228.38890359268404</v>
      </c>
    </row>
    <row r="1612" spans="1:2">
      <c r="A1612" s="18">
        <v>82181</v>
      </c>
      <c r="B1612" s="1175">
        <f>B1611*(1+(1+GA!$G$145)^(1/12)-1)</f>
        <v>228.53115831653307</v>
      </c>
    </row>
    <row r="1613" spans="1:2">
      <c r="A1613" s="18">
        <v>82212</v>
      </c>
      <c r="B1613" s="1175">
        <f>B1612*(1+(1+GA!$G$145)^(1/12)-1)</f>
        <v>228.6735016454156</v>
      </c>
    </row>
    <row r="1614" spans="1:2">
      <c r="A1614" s="18">
        <v>82240</v>
      </c>
      <c r="B1614" s="1175">
        <f>B1613*(1+(1+GA!$G$145)^(1/12)-1)</f>
        <v>228.81593363452032</v>
      </c>
    </row>
    <row r="1615" spans="1:2">
      <c r="A1615" s="18">
        <v>82271</v>
      </c>
      <c r="B1615" s="1175">
        <f>B1614*(1+(1+GA!$G$145)^(1/12)-1)</f>
        <v>228.95845433907033</v>
      </c>
    </row>
    <row r="1616" spans="1:2">
      <c r="A1616" s="18">
        <v>82301</v>
      </c>
      <c r="B1616" s="1175">
        <f>B1615*(1+(1+GA!$G$145)^(1/12)-1)</f>
        <v>229.10106381432308</v>
      </c>
    </row>
    <row r="1617" spans="1:2">
      <c r="A1617" s="18">
        <v>82332</v>
      </c>
      <c r="B1617" s="1175">
        <f>B1616*(1+(1+GA!$G$145)^(1/12)-1)</f>
        <v>229.24376211557043</v>
      </c>
    </row>
    <row r="1618" spans="1:2">
      <c r="A1618" s="18">
        <v>82362</v>
      </c>
      <c r="B1618" s="1175">
        <f>B1617*(1+(1+GA!$G$145)^(1/12)-1)</f>
        <v>229.38654929813873</v>
      </c>
    </row>
    <row r="1619" spans="1:2">
      <c r="A1619" s="18">
        <v>82393</v>
      </c>
      <c r="B1619" s="1175">
        <f>B1618*(1+(1+GA!$G$145)^(1/12)-1)</f>
        <v>229.52942541738872</v>
      </c>
    </row>
    <row r="1620" spans="1:2">
      <c r="A1620" s="18">
        <v>82424</v>
      </c>
      <c r="B1620" s="1175">
        <f>B1619*(1+(1+GA!$G$145)^(1/12)-1)</f>
        <v>229.67239052871571</v>
      </c>
    </row>
    <row r="1621" spans="1:2">
      <c r="A1621" s="18">
        <v>82454</v>
      </c>
      <c r="B1621" s="1175">
        <f>B1620*(1+(1+GA!$G$145)^(1/12)-1)</f>
        <v>229.81544468754942</v>
      </c>
    </row>
    <row r="1622" spans="1:2">
      <c r="A1622" s="18">
        <v>82485</v>
      </c>
      <c r="B1622" s="1175">
        <f>B1621*(1+(1+GA!$G$145)^(1/12)-1)</f>
        <v>229.95858794935415</v>
      </c>
    </row>
    <row r="1623" spans="1:2">
      <c r="A1623" s="18">
        <v>82515</v>
      </c>
      <c r="B1623" s="1175">
        <f>B1622*(1+(1+GA!$G$145)^(1/12)-1)</f>
        <v>230.10182036962877</v>
      </c>
    </row>
    <row r="1624" spans="1:2">
      <c r="A1624" s="18">
        <v>82546</v>
      </c>
      <c r="B1624" s="1175">
        <f>B1623*(1+(1+GA!$G$145)^(1/12)-1)</f>
        <v>230.24514200390664</v>
      </c>
    </row>
    <row r="1625" spans="1:2">
      <c r="A1625" s="18">
        <v>82577</v>
      </c>
      <c r="B1625" s="1175">
        <f>B1624*(1+(1+GA!$G$145)^(1/12)-1)</f>
        <v>230.38855290775578</v>
      </c>
    </row>
    <row r="1626" spans="1:2">
      <c r="A1626" s="18">
        <v>82605</v>
      </c>
      <c r="B1626" s="1175">
        <f>B1625*(1+(1+GA!$G$145)^(1/12)-1)</f>
        <v>230.53205313677881</v>
      </c>
    </row>
    <row r="1627" spans="1:2">
      <c r="A1627" s="18">
        <v>82636</v>
      </c>
      <c r="B1627" s="1175">
        <f>B1626*(1+(1+GA!$G$145)^(1/12)-1)</f>
        <v>230.67564274661294</v>
      </c>
    </row>
    <row r="1628" spans="1:2">
      <c r="A1628" s="18">
        <v>82666</v>
      </c>
      <c r="B1628" s="1175">
        <f>B1627*(1+(1+GA!$G$145)^(1/12)-1)</f>
        <v>230.81932179293008</v>
      </c>
    </row>
    <row r="1629" spans="1:2">
      <c r="A1629" s="18">
        <v>82697</v>
      </c>
      <c r="B1629" s="1175">
        <f>B1628*(1+(1+GA!$G$145)^(1/12)-1)</f>
        <v>230.9630903314368</v>
      </c>
    </row>
    <row r="1630" spans="1:2">
      <c r="A1630" s="18">
        <v>82727</v>
      </c>
      <c r="B1630" s="1175">
        <f>B1629*(1+(1+GA!$G$145)^(1/12)-1)</f>
        <v>231.10694841787435</v>
      </c>
    </row>
    <row r="1631" spans="1:2">
      <c r="A1631" s="18">
        <v>82758</v>
      </c>
      <c r="B1631" s="1175">
        <f>B1630*(1+(1+GA!$G$145)^(1/12)-1)</f>
        <v>231.25089610801874</v>
      </c>
    </row>
    <row r="1632" spans="1:2">
      <c r="A1632" s="18">
        <v>82789</v>
      </c>
      <c r="B1632" s="1175">
        <f>B1631*(1+(1+GA!$G$145)^(1/12)-1)</f>
        <v>231.39493345768065</v>
      </c>
    </row>
    <row r="1633" spans="1:2">
      <c r="A1633" s="18">
        <v>82819</v>
      </c>
      <c r="B1633" s="1175">
        <f>B1632*(1+(1+GA!$G$145)^(1/12)-1)</f>
        <v>231.53906052270563</v>
      </c>
    </row>
    <row r="1634" spans="1:2">
      <c r="A1634" s="18">
        <v>82850</v>
      </c>
      <c r="B1634" s="1175">
        <f>B1633*(1+(1+GA!$G$145)^(1/12)-1)</f>
        <v>231.6832773589739</v>
      </c>
    </row>
    <row r="1635" spans="1:2">
      <c r="A1635" s="18">
        <v>82880</v>
      </c>
      <c r="B1635" s="1175">
        <f>B1634*(1+(1+GA!$G$145)^(1/12)-1)</f>
        <v>231.82758402240057</v>
      </c>
    </row>
    <row r="1636" spans="1:2">
      <c r="A1636" s="18">
        <v>82911</v>
      </c>
      <c r="B1636" s="1175">
        <f>B1635*(1+(1+GA!$G$145)^(1/12)-1)</f>
        <v>231.97198056893555</v>
      </c>
    </row>
    <row r="1637" spans="1:2">
      <c r="A1637" s="18">
        <v>82942</v>
      </c>
      <c r="B1637" s="1175">
        <f>B1636*(1+(1+GA!$G$145)^(1/12)-1)</f>
        <v>232.11646705456357</v>
      </c>
    </row>
    <row r="1638" spans="1:2">
      <c r="A1638" s="18">
        <v>82970</v>
      </c>
      <c r="B1638" s="1175">
        <f>B1637*(1+(1+GA!$G$145)^(1/12)-1)</f>
        <v>232.26104353530425</v>
      </c>
    </row>
    <row r="1639" spans="1:2">
      <c r="A1639" s="18">
        <v>83001</v>
      </c>
      <c r="B1639" s="1175">
        <f>B1638*(1+(1+GA!$G$145)^(1/12)-1)</f>
        <v>232.40571006721214</v>
      </c>
    </row>
    <row r="1640" spans="1:2">
      <c r="A1640" s="18">
        <v>83031</v>
      </c>
      <c r="B1640" s="1175">
        <f>B1639*(1+(1+GA!$G$145)^(1/12)-1)</f>
        <v>232.55046670637665</v>
      </c>
    </row>
    <row r="1641" spans="1:2">
      <c r="A1641" s="18">
        <v>83062</v>
      </c>
      <c r="B1641" s="1175">
        <f>B1640*(1+(1+GA!$G$145)^(1/12)-1)</f>
        <v>232.69531350892217</v>
      </c>
    </row>
    <row r="1642" spans="1:2">
      <c r="A1642" s="18">
        <v>83092</v>
      </c>
      <c r="B1642" s="1175">
        <f>B1641*(1+(1+GA!$G$145)^(1/12)-1)</f>
        <v>232.840250531008</v>
      </c>
    </row>
    <row r="1643" spans="1:2">
      <c r="A1643" s="18">
        <v>83123</v>
      </c>
      <c r="B1643" s="1175">
        <f>B1642*(1+(1+GA!$G$145)^(1/12)-1)</f>
        <v>232.98527782882846</v>
      </c>
    </row>
    <row r="1644" spans="1:2">
      <c r="A1644" s="18">
        <v>83154</v>
      </c>
      <c r="B1644" s="1175">
        <f>B1643*(1+(1+GA!$G$145)^(1/12)-1)</f>
        <v>233.13039545861284</v>
      </c>
    </row>
    <row r="1645" spans="1:2">
      <c r="A1645" s="18">
        <v>83184</v>
      </c>
      <c r="B1645" s="1175">
        <f>B1644*(1+(1+GA!$G$145)^(1/12)-1)</f>
        <v>233.27560347662549</v>
      </c>
    </row>
    <row r="1646" spans="1:2">
      <c r="A1646" s="18">
        <v>83215</v>
      </c>
      <c r="B1646" s="1175">
        <f>B1645*(1+(1+GA!$G$145)^(1/12)-1)</f>
        <v>233.42090193916579</v>
      </c>
    </row>
    <row r="1647" spans="1:2">
      <c r="A1647" s="18">
        <v>83245</v>
      </c>
      <c r="B1647" s="1175">
        <f>B1646*(1+(1+GA!$G$145)^(1/12)-1)</f>
        <v>233.56629090256817</v>
      </c>
    </row>
    <row r="1648" spans="1:2">
      <c r="A1648" s="18">
        <v>83276</v>
      </c>
      <c r="B1648" s="1175">
        <f>B1647*(1+(1+GA!$G$145)^(1/12)-1)</f>
        <v>233.71177042320215</v>
      </c>
    </row>
    <row r="1649" spans="1:2">
      <c r="A1649" s="18">
        <v>83307</v>
      </c>
      <c r="B1649" s="1175">
        <f>B1648*(1+(1+GA!$G$145)^(1/12)-1)</f>
        <v>233.85734055747238</v>
      </c>
    </row>
    <row r="1650" spans="1:2">
      <c r="A1650" s="18">
        <v>83336</v>
      </c>
      <c r="B1650" s="1175">
        <f>B1649*(1+(1+GA!$G$145)^(1/12)-1)</f>
        <v>234.00300136181863</v>
      </c>
    </row>
    <row r="1651" spans="1:2">
      <c r="A1651" s="18">
        <v>83367</v>
      </c>
      <c r="B1651" s="1175">
        <f>B1650*(1+(1+GA!$G$145)^(1/12)-1)</f>
        <v>234.14875289271583</v>
      </c>
    </row>
    <row r="1652" spans="1:2">
      <c r="A1652" s="18">
        <v>83397</v>
      </c>
      <c r="B1652" s="1175">
        <f>B1651*(1+(1+GA!$G$145)^(1/12)-1)</f>
        <v>234.29459520667407</v>
      </c>
    </row>
    <row r="1653" spans="1:2">
      <c r="A1653" s="18">
        <v>83428</v>
      </c>
      <c r="B1653" s="1175">
        <f>B1652*(1+(1+GA!$G$145)^(1/12)-1)</f>
        <v>234.44052836023869</v>
      </c>
    </row>
    <row r="1654" spans="1:2">
      <c r="A1654" s="18">
        <v>83458</v>
      </c>
      <c r="B1654" s="1175">
        <f>B1653*(1+(1+GA!$G$145)^(1/12)-1)</f>
        <v>234.58655240999016</v>
      </c>
    </row>
    <row r="1655" spans="1:2">
      <c r="A1655" s="18">
        <v>83489</v>
      </c>
      <c r="B1655" s="1175">
        <f>B1654*(1+(1+GA!$G$145)^(1/12)-1)</f>
        <v>234.73266741254426</v>
      </c>
    </row>
    <row r="1656" spans="1:2">
      <c r="A1656" s="18">
        <v>83520</v>
      </c>
      <c r="B1656" s="1175">
        <f>B1655*(1+(1+GA!$G$145)^(1/12)-1)</f>
        <v>234.87887342455204</v>
      </c>
    </row>
    <row r="1657" spans="1:2">
      <c r="A1657" s="18">
        <v>83550</v>
      </c>
      <c r="B1657" s="1175">
        <f>B1656*(1+(1+GA!$G$145)^(1/12)-1)</f>
        <v>235.02517050269978</v>
      </c>
    </row>
    <row r="1658" spans="1:2">
      <c r="A1658" s="18">
        <v>83581</v>
      </c>
      <c r="B1658" s="1175">
        <f>B1657*(1+(1+GA!$G$145)^(1/12)-1)</f>
        <v>235.17155870370911</v>
      </c>
    </row>
    <row r="1659" spans="1:2">
      <c r="A1659" s="18">
        <v>83611</v>
      </c>
      <c r="B1659" s="1175">
        <f>B1658*(1+(1+GA!$G$145)^(1/12)-1)</f>
        <v>235.31803808433699</v>
      </c>
    </row>
    <row r="1660" spans="1:2">
      <c r="A1660" s="18">
        <v>83642</v>
      </c>
      <c r="B1660" s="1175">
        <f>B1659*(1+(1+GA!$G$145)^(1/12)-1)</f>
        <v>235.46460870137571</v>
      </c>
    </row>
    <row r="1661" spans="1:2">
      <c r="A1661" s="18">
        <v>83673</v>
      </c>
      <c r="B1661" s="1175">
        <f>B1660*(1+(1+GA!$G$145)^(1/12)-1)</f>
        <v>235.61127061165297</v>
      </c>
    </row>
    <row r="1662" spans="1:2">
      <c r="A1662" s="18">
        <v>83701</v>
      </c>
      <c r="B1662" s="1175">
        <f>B1661*(1+(1+GA!$G$145)^(1/12)-1)</f>
        <v>235.75802387203183</v>
      </c>
    </row>
    <row r="1663" spans="1:2">
      <c r="A1663" s="18">
        <v>83732</v>
      </c>
      <c r="B1663" s="1175">
        <f>B1662*(1+(1+GA!$G$145)^(1/12)-1)</f>
        <v>235.90486853941076</v>
      </c>
    </row>
    <row r="1664" spans="1:2">
      <c r="A1664" s="18">
        <v>83762</v>
      </c>
      <c r="B1664" s="1175">
        <f>B1663*(1+(1+GA!$G$145)^(1/12)-1)</f>
        <v>236.0518046707237</v>
      </c>
    </row>
    <row r="1665" spans="1:2">
      <c r="A1665" s="18">
        <v>83793</v>
      </c>
      <c r="B1665" s="1175">
        <f>B1664*(1+(1+GA!$G$145)^(1/12)-1)</f>
        <v>236.19883232294004</v>
      </c>
    </row>
    <row r="1666" spans="1:2">
      <c r="A1666" s="18">
        <v>83823</v>
      </c>
      <c r="B1666" s="1175">
        <f>B1665*(1+(1+GA!$G$145)^(1/12)-1)</f>
        <v>236.34595155306465</v>
      </c>
    </row>
    <row r="1667" spans="1:2">
      <c r="A1667" s="18">
        <v>83854</v>
      </c>
      <c r="B1667" s="1175">
        <f>B1666*(1+(1+GA!$G$145)^(1/12)-1)</f>
        <v>236.49316241813793</v>
      </c>
    </row>
    <row r="1668" spans="1:2">
      <c r="A1668" s="18">
        <v>83885</v>
      </c>
      <c r="B1668" s="1175">
        <f>B1667*(1+(1+GA!$G$145)^(1/12)-1)</f>
        <v>236.64046497523574</v>
      </c>
    </row>
    <row r="1669" spans="1:2">
      <c r="A1669" s="18">
        <v>83915</v>
      </c>
      <c r="B1669" s="1175">
        <f>B1668*(1+(1+GA!$G$145)^(1/12)-1)</f>
        <v>236.78785928146959</v>
      </c>
    </row>
    <row r="1670" spans="1:2">
      <c r="A1670" s="18">
        <v>83946</v>
      </c>
      <c r="B1670" s="1175">
        <f>B1669*(1+(1+GA!$G$145)^(1/12)-1)</f>
        <v>236.93534539398649</v>
      </c>
    </row>
    <row r="1671" spans="1:2">
      <c r="A1671" s="18">
        <v>83976</v>
      </c>
      <c r="B1671" s="1175">
        <f>B1670*(1+(1+GA!$G$145)^(1/12)-1)</f>
        <v>237.08292336996908</v>
      </c>
    </row>
    <row r="1672" spans="1:2">
      <c r="A1672" s="18">
        <v>84007</v>
      </c>
      <c r="B1672" s="1175">
        <f>B1671*(1+(1+GA!$G$145)^(1/12)-1)</f>
        <v>237.23059326663559</v>
      </c>
    </row>
    <row r="1673" spans="1:2">
      <c r="A1673" s="18">
        <v>84038</v>
      </c>
      <c r="B1673" s="1175">
        <f>B1672*(1+(1+GA!$G$145)^(1/12)-1)</f>
        <v>237.37835514123992</v>
      </c>
    </row>
    <row r="1674" spans="1:2">
      <c r="A1674" s="18">
        <v>84066</v>
      </c>
      <c r="B1674" s="1175">
        <f>B1673*(1+(1+GA!$G$145)^(1/12)-1)</f>
        <v>237.52620905107162</v>
      </c>
    </row>
    <row r="1675" spans="1:2">
      <c r="A1675" s="18">
        <v>84097</v>
      </c>
      <c r="B1675" s="1175">
        <f>B1674*(1+(1+GA!$G$145)^(1/12)-1)</f>
        <v>237.67415505345588</v>
      </c>
    </row>
    <row r="1676" spans="1:2">
      <c r="A1676" s="18">
        <v>84127</v>
      </c>
      <c r="B1676" s="1175">
        <f>B1675*(1+(1+GA!$G$145)^(1/12)-1)</f>
        <v>237.82219320575365</v>
      </c>
    </row>
    <row r="1677" spans="1:2">
      <c r="A1677" s="18">
        <v>84158</v>
      </c>
      <c r="B1677" s="1175">
        <f>B1676*(1+(1+GA!$G$145)^(1/12)-1)</f>
        <v>237.97032356536161</v>
      </c>
    </row>
    <row r="1678" spans="1:2">
      <c r="A1678" s="18">
        <v>84188</v>
      </c>
      <c r="B1678" s="1175">
        <f>B1677*(1+(1+GA!$G$145)^(1/12)-1)</f>
        <v>238.11854618971216</v>
      </c>
    </row>
    <row r="1679" spans="1:2">
      <c r="A1679" s="18">
        <v>84219</v>
      </c>
      <c r="B1679" s="1175">
        <f>B1678*(1+(1+GA!$G$145)^(1/12)-1)</f>
        <v>238.26686113627349</v>
      </c>
    </row>
    <row r="1680" spans="1:2">
      <c r="A1680" s="18">
        <v>84250</v>
      </c>
      <c r="B1680" s="1175">
        <f>B1679*(1+(1+GA!$G$145)^(1/12)-1)</f>
        <v>238.41526846254956</v>
      </c>
    </row>
    <row r="1681" spans="1:2">
      <c r="A1681" s="18">
        <v>84280</v>
      </c>
      <c r="B1681" s="1175">
        <f>B1680*(1+(1+GA!$G$145)^(1/12)-1)</f>
        <v>238.56376822608019</v>
      </c>
    </row>
    <row r="1682" spans="1:2">
      <c r="A1682" s="18">
        <v>84311</v>
      </c>
      <c r="B1682" s="1175">
        <f>B1681*(1+(1+GA!$G$145)^(1/12)-1)</f>
        <v>238.71236048444098</v>
      </c>
    </row>
    <row r="1683" spans="1:2">
      <c r="A1683" s="18">
        <v>84341</v>
      </c>
      <c r="B1683" s="1175">
        <f>B1682*(1+(1+GA!$G$145)^(1/12)-1)</f>
        <v>238.86104529524343</v>
      </c>
    </row>
    <row r="1684" spans="1:2">
      <c r="A1684" s="18">
        <v>84372</v>
      </c>
      <c r="B1684" s="1175">
        <f>B1683*(1+(1+GA!$G$145)^(1/12)-1)</f>
        <v>239.00982271613495</v>
      </c>
    </row>
    <row r="1685" spans="1:2">
      <c r="A1685" s="18">
        <v>84403</v>
      </c>
      <c r="B1685" s="1175">
        <f>B1684*(1+(1+GA!$G$145)^(1/12)-1)</f>
        <v>239.15869280479882</v>
      </c>
    </row>
    <row r="1686" spans="1:2">
      <c r="A1686" s="18">
        <v>84431</v>
      </c>
      <c r="B1686" s="1175">
        <f>B1685*(1+(1+GA!$G$145)^(1/12)-1)</f>
        <v>239.30765561895424</v>
      </c>
    </row>
    <row r="1687" spans="1:2">
      <c r="A1687" s="18">
        <v>84462</v>
      </c>
      <c r="B1687" s="1175">
        <f>B1686*(1+(1+GA!$G$145)^(1/12)-1)</f>
        <v>239.45671121635638</v>
      </c>
    </row>
    <row r="1688" spans="1:2">
      <c r="A1688" s="18">
        <v>84492</v>
      </c>
      <c r="B1688" s="1175">
        <f>B1687*(1+(1+GA!$G$145)^(1/12)-1)</f>
        <v>239.6058596547964</v>
      </c>
    </row>
    <row r="1689" spans="1:2">
      <c r="A1689" s="18">
        <v>84523</v>
      </c>
      <c r="B1689" s="1175">
        <f>B1688*(1+(1+GA!$G$145)^(1/12)-1)</f>
        <v>239.75510099210143</v>
      </c>
    </row>
    <row r="1690" spans="1:2">
      <c r="A1690" s="18">
        <v>84553</v>
      </c>
      <c r="B1690" s="1175">
        <f>B1689*(1+(1+GA!$G$145)^(1/12)-1)</f>
        <v>239.9044352861346</v>
      </c>
    </row>
    <row r="1691" spans="1:2">
      <c r="A1691" s="18">
        <v>84584</v>
      </c>
      <c r="B1691" s="1175">
        <f>B1690*(1+(1+GA!$G$145)^(1/12)-1)</f>
        <v>240.05386259479513</v>
      </c>
    </row>
    <row r="1692" spans="1:2">
      <c r="A1692" s="18">
        <v>84615</v>
      </c>
      <c r="B1692" s="1175">
        <f>B1691*(1+(1+GA!$G$145)^(1/12)-1)</f>
        <v>240.20338297601828</v>
      </c>
    </row>
    <row r="1693" spans="1:2">
      <c r="A1693" s="18">
        <v>84645</v>
      </c>
      <c r="B1693" s="1175">
        <f>B1692*(1+(1+GA!$G$145)^(1/12)-1)</f>
        <v>240.35299648777536</v>
      </c>
    </row>
    <row r="1694" spans="1:2">
      <c r="A1694" s="18">
        <v>84676</v>
      </c>
      <c r="B1694" s="1175">
        <f>B1693*(1+(1+GA!$G$145)^(1/12)-1)</f>
        <v>240.50270318807384</v>
      </c>
    </row>
    <row r="1695" spans="1:2">
      <c r="A1695" s="18">
        <v>84706</v>
      </c>
      <c r="B1695" s="1175">
        <f>B1694*(1+(1+GA!$G$145)^(1/12)-1)</f>
        <v>240.65250313495733</v>
      </c>
    </row>
    <row r="1696" spans="1:2">
      <c r="A1696" s="18">
        <v>84737</v>
      </c>
      <c r="B1696" s="1175">
        <f>B1695*(1+(1+GA!$G$145)^(1/12)-1)</f>
        <v>240.80239638650554</v>
      </c>
    </row>
    <row r="1697" spans="1:2">
      <c r="A1697" s="18">
        <v>84768</v>
      </c>
      <c r="B1697" s="1175">
        <f>B1696*(1+(1+GA!$G$145)^(1/12)-1)</f>
        <v>240.95238300083437</v>
      </c>
    </row>
    <row r="1698" spans="1:2">
      <c r="A1698" s="18">
        <v>84797</v>
      </c>
      <c r="B1698" s="1175">
        <f>B1697*(1+(1+GA!$G$145)^(1/12)-1)</f>
        <v>241.10246303609597</v>
      </c>
    </row>
    <row r="1699" spans="1:2">
      <c r="A1699" s="18">
        <v>84828</v>
      </c>
      <c r="B1699" s="1175">
        <f>B1698*(1+(1+GA!$G$145)^(1/12)-1)</f>
        <v>241.25263655047863</v>
      </c>
    </row>
    <row r="1700" spans="1:2">
      <c r="A1700" s="18">
        <v>84858</v>
      </c>
      <c r="B1700" s="1175">
        <f>B1699*(1+(1+GA!$G$145)^(1/12)-1)</f>
        <v>241.40290360220695</v>
      </c>
    </row>
    <row r="1701" spans="1:2">
      <c r="A1701" s="18">
        <v>84889</v>
      </c>
      <c r="B1701" s="1175">
        <f>B1700*(1+(1+GA!$G$145)^(1/12)-1)</f>
        <v>241.55326424954174</v>
      </c>
    </row>
    <row r="1702" spans="1:2">
      <c r="A1702" s="18">
        <v>84919</v>
      </c>
      <c r="B1702" s="1175">
        <f>B1701*(1+(1+GA!$G$145)^(1/12)-1)</f>
        <v>241.70371855078017</v>
      </c>
    </row>
    <row r="1703" spans="1:2">
      <c r="A1703" s="18">
        <v>84950</v>
      </c>
      <c r="B1703" s="1175">
        <f>B1702*(1+(1+GA!$G$145)^(1/12)-1)</f>
        <v>241.85426656425565</v>
      </c>
    </row>
    <row r="1704" spans="1:2">
      <c r="A1704" s="18">
        <v>84981</v>
      </c>
      <c r="B1704" s="1175">
        <f>B1703*(1+(1+GA!$G$145)^(1/12)-1)</f>
        <v>242.00490834833795</v>
      </c>
    </row>
    <row r="1705" spans="1:2">
      <c r="A1705" s="18">
        <v>85011</v>
      </c>
      <c r="B1705" s="1175">
        <f>B1704*(1+(1+GA!$G$145)^(1/12)-1)</f>
        <v>242.15564396143321</v>
      </c>
    </row>
    <row r="1706" spans="1:2">
      <c r="A1706" s="18">
        <v>85042</v>
      </c>
      <c r="B1706" s="1175">
        <f>B1705*(1+(1+GA!$G$145)^(1/12)-1)</f>
        <v>242.30647346198396</v>
      </c>
    </row>
    <row r="1707" spans="1:2">
      <c r="A1707" s="18">
        <v>85072</v>
      </c>
      <c r="B1707" s="1175">
        <f>B1706*(1+(1+GA!$G$145)^(1/12)-1)</f>
        <v>242.45739690846906</v>
      </c>
    </row>
    <row r="1708" spans="1:2">
      <c r="A1708" s="18">
        <v>85103</v>
      </c>
      <c r="B1708" s="1175">
        <f>B1707*(1+(1+GA!$G$145)^(1/12)-1)</f>
        <v>242.60841435940389</v>
      </c>
    </row>
    <row r="1709" spans="1:2">
      <c r="A1709" s="18">
        <v>85134</v>
      </c>
      <c r="B1709" s="1175">
        <f>B1708*(1+(1+GA!$G$145)^(1/12)-1)</f>
        <v>242.75952587334021</v>
      </c>
    </row>
    <row r="1710" spans="1:2">
      <c r="A1710" s="18">
        <v>85162</v>
      </c>
      <c r="B1710" s="1175">
        <f>B1709*(1+(1+GA!$G$145)^(1/12)-1)</f>
        <v>242.91073150886626</v>
      </c>
    </row>
    <row r="1711" spans="1:2">
      <c r="A1711" s="18">
        <v>85193</v>
      </c>
      <c r="B1711" s="1175">
        <f>B1710*(1+(1+GA!$G$145)^(1/12)-1)</f>
        <v>243.06203132460681</v>
      </c>
    </row>
    <row r="1712" spans="1:2">
      <c r="A1712" s="18">
        <v>85223</v>
      </c>
      <c r="B1712" s="1175">
        <f>B1711*(1+(1+GA!$G$145)^(1/12)-1)</f>
        <v>243.21342537922308</v>
      </c>
    </row>
    <row r="1713" spans="1:2">
      <c r="A1713" s="18">
        <v>85254</v>
      </c>
      <c r="B1713" s="1175">
        <f>B1712*(1+(1+GA!$G$145)^(1/12)-1)</f>
        <v>243.36491373141288</v>
      </c>
    </row>
    <row r="1714" spans="1:2">
      <c r="A1714" s="18">
        <v>85284</v>
      </c>
      <c r="B1714" s="1175">
        <f>B1713*(1+(1+GA!$G$145)^(1/12)-1)</f>
        <v>243.51649643991058</v>
      </c>
    </row>
    <row r="1715" spans="1:2">
      <c r="A1715" s="18">
        <v>85315</v>
      </c>
      <c r="B1715" s="1175">
        <f>B1714*(1+(1+GA!$G$145)^(1/12)-1)</f>
        <v>243.66817356348713</v>
      </c>
    </row>
    <row r="1716" spans="1:2">
      <c r="A1716" s="18">
        <v>85346</v>
      </c>
      <c r="B1716" s="1175">
        <f>B1715*(1+(1+GA!$G$145)^(1/12)-1)</f>
        <v>243.81994516095006</v>
      </c>
    </row>
    <row r="1717" spans="1:2">
      <c r="A1717" s="18">
        <v>85376</v>
      </c>
      <c r="B1717" s="1175">
        <f>B1716*(1+(1+GA!$G$145)^(1/12)-1)</f>
        <v>243.97181129114352</v>
      </c>
    </row>
    <row r="1718" spans="1:2">
      <c r="A1718" s="18">
        <v>85407</v>
      </c>
      <c r="B1718" s="1175">
        <f>B1717*(1+(1+GA!$G$145)^(1/12)-1)</f>
        <v>244.12377201294839</v>
      </c>
    </row>
    <row r="1719" spans="1:2">
      <c r="A1719" s="18">
        <v>85437</v>
      </c>
      <c r="B1719" s="1175">
        <f>B1718*(1+(1+GA!$G$145)^(1/12)-1)</f>
        <v>244.27582738528213</v>
      </c>
    </row>
    <row r="1720" spans="1:2">
      <c r="A1720" s="18">
        <v>85468</v>
      </c>
      <c r="B1720" s="1175">
        <f>B1719*(1+(1+GA!$G$145)^(1/12)-1)</f>
        <v>244.42797746709897</v>
      </c>
    </row>
    <row r="1721" spans="1:2">
      <c r="A1721" s="18">
        <v>85499</v>
      </c>
      <c r="B1721" s="1175">
        <f>B1720*(1+(1+GA!$G$145)^(1/12)-1)</f>
        <v>244.5802223173898</v>
      </c>
    </row>
    <row r="1722" spans="1:2">
      <c r="A1722" s="18">
        <v>85527</v>
      </c>
      <c r="B1722" s="1175">
        <f>B1721*(1+(1+GA!$G$145)^(1/12)-1)</f>
        <v>244.73256199518229</v>
      </c>
    </row>
    <row r="1723" spans="1:2">
      <c r="A1723" s="18">
        <v>85558</v>
      </c>
      <c r="B1723" s="1175">
        <f>B1722*(1+(1+GA!$G$145)^(1/12)-1)</f>
        <v>244.88499655954089</v>
      </c>
    </row>
    <row r="1724" spans="1:2">
      <c r="A1724" s="18">
        <v>85588</v>
      </c>
      <c r="B1724" s="1175">
        <f>B1723*(1+(1+GA!$G$145)^(1/12)-1)</f>
        <v>245.03752606956678</v>
      </c>
    </row>
    <row r="1725" spans="1:2">
      <c r="A1725" s="18">
        <v>85619</v>
      </c>
      <c r="B1725" s="1175">
        <f>B1724*(1+(1+GA!$G$145)^(1/12)-1)</f>
        <v>245.19015058439803</v>
      </c>
    </row>
    <row r="1726" spans="1:2">
      <c r="A1726" s="18">
        <v>85649</v>
      </c>
      <c r="B1726" s="1175">
        <f>B1725*(1+(1+GA!$G$145)^(1/12)-1)</f>
        <v>245.34287016320945</v>
      </c>
    </row>
    <row r="1727" spans="1:2">
      <c r="A1727" s="18">
        <v>85680</v>
      </c>
      <c r="B1727" s="1175">
        <f>B1726*(1+(1+GA!$G$145)^(1/12)-1)</f>
        <v>245.49568486521281</v>
      </c>
    </row>
    <row r="1728" spans="1:2">
      <c r="A1728" s="18">
        <v>85711</v>
      </c>
      <c r="B1728" s="1175">
        <f>B1727*(1+(1+GA!$G$145)^(1/12)-1)</f>
        <v>245.6485947496567</v>
      </c>
    </row>
    <row r="1729" spans="1:2">
      <c r="A1729" s="18">
        <v>85741</v>
      </c>
      <c r="B1729" s="1175">
        <f>B1728*(1+(1+GA!$G$145)^(1/12)-1)</f>
        <v>245.80159987582664</v>
      </c>
    </row>
    <row r="1730" spans="1:2">
      <c r="A1730" s="18">
        <v>85772</v>
      </c>
      <c r="B1730" s="1175">
        <f>B1729*(1+(1+GA!$G$145)^(1/12)-1)</f>
        <v>245.95470030304503</v>
      </c>
    </row>
    <row r="1731" spans="1:2">
      <c r="A1731" s="18">
        <v>85802</v>
      </c>
      <c r="B1731" s="1175">
        <f>B1730*(1+(1+GA!$G$145)^(1/12)-1)</f>
        <v>246.10789609067129</v>
      </c>
    </row>
    <row r="1732" spans="1:2">
      <c r="A1732" s="18">
        <v>85833</v>
      </c>
      <c r="B1732" s="1175">
        <f>B1731*(1+(1+GA!$G$145)^(1/12)-1)</f>
        <v>246.26118729810173</v>
      </c>
    </row>
    <row r="1733" spans="1:2">
      <c r="A1733" s="18">
        <v>85864</v>
      </c>
      <c r="B1733" s="1175">
        <f>B1732*(1+(1+GA!$G$145)^(1/12)-1)</f>
        <v>246.41457398476973</v>
      </c>
    </row>
    <row r="1734" spans="1:2">
      <c r="A1734" s="18">
        <v>85892</v>
      </c>
      <c r="B1734" s="1175">
        <f>B1733*(1+(1+GA!$G$145)^(1/12)-1)</f>
        <v>246.56805621014567</v>
      </c>
    </row>
    <row r="1735" spans="1:2">
      <c r="A1735" s="18">
        <v>85923</v>
      </c>
      <c r="B1735" s="1175">
        <f>B1734*(1+(1+GA!$G$145)^(1/12)-1)</f>
        <v>246.72163403373696</v>
      </c>
    </row>
    <row r="1736" spans="1:2">
      <c r="A1736" s="18">
        <v>85953</v>
      </c>
      <c r="B1736" s="1175">
        <f>B1735*(1+(1+GA!$G$145)^(1/12)-1)</f>
        <v>246.87530751508805</v>
      </c>
    </row>
    <row r="1737" spans="1:2">
      <c r="A1737" s="18">
        <v>85984</v>
      </c>
      <c r="B1737" s="1175">
        <f>B1736*(1+(1+GA!$G$145)^(1/12)-1)</f>
        <v>247.02907671378051</v>
      </c>
    </row>
    <row r="1738" spans="1:2">
      <c r="A1738" s="18">
        <v>86014</v>
      </c>
      <c r="B1738" s="1175">
        <f>B1737*(1+(1+GA!$G$145)^(1/12)-1)</f>
        <v>247.18294168943305</v>
      </c>
    </row>
    <row r="1739" spans="1:2">
      <c r="A1739" s="18">
        <v>86045</v>
      </c>
      <c r="B1739" s="1175">
        <f>B1738*(1+(1+GA!$G$145)^(1/12)-1)</f>
        <v>247.33690250170145</v>
      </c>
    </row>
    <row r="1740" spans="1:2">
      <c r="A1740" s="18">
        <v>86076</v>
      </c>
      <c r="B1740" s="1175">
        <f>B1739*(1+(1+GA!$G$145)^(1/12)-1)</f>
        <v>247.49095921027867</v>
      </c>
    </row>
    <row r="1741" spans="1:2">
      <c r="A1741" s="18">
        <v>86106</v>
      </c>
      <c r="B1741" s="1175">
        <f>B1740*(1+(1+GA!$G$145)^(1/12)-1)</f>
        <v>247.64511187489487</v>
      </c>
    </row>
    <row r="1742" spans="1:2">
      <c r="A1742" s="18">
        <v>86137</v>
      </c>
      <c r="B1742" s="1175">
        <f>B1741*(1+(1+GA!$G$145)^(1/12)-1)</f>
        <v>247.79936055531741</v>
      </c>
    </row>
    <row r="1743" spans="1:2">
      <c r="A1743" s="18">
        <v>86167</v>
      </c>
      <c r="B1743" s="1175">
        <f>B1742*(1+(1+GA!$G$145)^(1/12)-1)</f>
        <v>247.95370531135086</v>
      </c>
    </row>
    <row r="1744" spans="1:2">
      <c r="A1744" s="18">
        <v>86198</v>
      </c>
      <c r="B1744" s="1175">
        <f>B1743*(1+(1+GA!$G$145)^(1/12)-1)</f>
        <v>248.10814620283705</v>
      </c>
    </row>
    <row r="1745" spans="1:2">
      <c r="A1745" s="18">
        <v>86229</v>
      </c>
      <c r="B1745" s="1175">
        <f>B1744*(1+(1+GA!$G$145)^(1/12)-1)</f>
        <v>248.26268328965506</v>
      </c>
    </row>
    <row r="1746" spans="1:2">
      <c r="A1746" s="18">
        <v>86258</v>
      </c>
      <c r="B1746" s="1175">
        <f>B1745*(1+(1+GA!$G$145)^(1/12)-1)</f>
        <v>248.41731663172132</v>
      </c>
    </row>
    <row r="1747" spans="1:2">
      <c r="A1747" s="18"/>
      <c r="B1747" s="1175"/>
    </row>
    <row r="1748" spans="1:2">
      <c r="A1748" s="18"/>
      <c r="B1748" s="1175"/>
    </row>
    <row r="1749" spans="1:2">
      <c r="A1749" s="18"/>
      <c r="B1749" s="1175"/>
    </row>
    <row r="1750" spans="1:2">
      <c r="A1750" s="18"/>
      <c r="B1750" s="1175"/>
    </row>
    <row r="1751" spans="1:2">
      <c r="A1751" s="18"/>
      <c r="B1751" s="1175"/>
    </row>
    <row r="1752" spans="1:2">
      <c r="A1752" s="18"/>
      <c r="B1752" s="1175"/>
    </row>
  </sheetData>
  <phoneticPr fontId="5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37</vt:i4>
      </vt:variant>
      <vt:variant>
        <vt:lpstr>Benannte Bereiche</vt:lpstr>
      </vt:variant>
      <vt:variant>
        <vt:i4>56</vt:i4>
      </vt:variant>
    </vt:vector>
  </HeadingPairs>
  <TitlesOfParts>
    <vt:vector size="93" baseType="lpstr">
      <vt:lpstr>Cov</vt:lpstr>
      <vt:lpstr>ES</vt:lpstr>
      <vt:lpstr>ICF</vt:lpstr>
      <vt:lpstr>ICFQ</vt:lpstr>
      <vt:lpstr>IC</vt:lpstr>
      <vt:lpstr>FO</vt:lpstr>
      <vt:lpstr>DCF</vt:lpstr>
      <vt:lpstr>POP</vt:lpstr>
      <vt:lpstr>ACF</vt:lpstr>
      <vt:lpstr>AO</vt:lpstr>
      <vt:lpstr>GA</vt:lpstr>
      <vt:lpstr>AA</vt:lpstr>
      <vt:lpstr>TA</vt:lpstr>
      <vt:lpstr>TDCF</vt:lpstr>
      <vt:lpstr>PCF</vt:lpstr>
      <vt:lpstr>IP</vt:lpstr>
      <vt:lpstr>RN</vt:lpstr>
      <vt:lpstr>RL</vt:lpstr>
      <vt:lpstr>LU</vt:lpstr>
      <vt:lpstr>RR</vt:lpstr>
      <vt:lpstr>OV</vt:lpstr>
      <vt:lpstr>AL</vt:lpstr>
      <vt:lpstr>RE</vt:lpstr>
      <vt:lpstr>MA</vt:lpstr>
      <vt:lpstr>CC</vt:lpstr>
      <vt:lpstr>PD</vt:lpstr>
      <vt:lpstr>SU</vt:lpstr>
      <vt:lpstr>CA</vt:lpstr>
      <vt:lpstr>PCA</vt:lpstr>
      <vt:lpstr>LE</vt:lpstr>
      <vt:lpstr>TT</vt:lpstr>
      <vt:lpstr>CV</vt:lpstr>
      <vt:lpstr>BB</vt:lpstr>
      <vt:lpstr>VC</vt:lpstr>
      <vt:lpstr>VO</vt:lpstr>
      <vt:lpstr>IM</vt:lpstr>
      <vt:lpstr>Side Calk</vt:lpstr>
      <vt:lpstr>AICSeniorMacro</vt:lpstr>
      <vt:lpstr>AssetList</vt:lpstr>
      <vt:lpstr>ACF!Druckbereich</vt:lpstr>
      <vt:lpstr>AL!Druckbereich</vt:lpstr>
      <vt:lpstr>CA!Druckbereich</vt:lpstr>
      <vt:lpstr>CC!Druckbereich</vt:lpstr>
      <vt:lpstr>CV!Druckbereich</vt:lpstr>
      <vt:lpstr>DCF!Druckbereich</vt:lpstr>
      <vt:lpstr>ES!Druckbereich</vt:lpstr>
      <vt:lpstr>ICF!Druckbereich</vt:lpstr>
      <vt:lpstr>ICFQ!Druckbereich</vt:lpstr>
      <vt:lpstr>MA!Druckbereich</vt:lpstr>
      <vt:lpstr>OV!Druckbereich</vt:lpstr>
      <vt:lpstr>PD!Druckbereich</vt:lpstr>
      <vt:lpstr>POP!Druckbereich</vt:lpstr>
      <vt:lpstr>RE!Druckbereich</vt:lpstr>
      <vt:lpstr>RR!Druckbereich</vt:lpstr>
      <vt:lpstr>SU!Druckbereich</vt:lpstr>
      <vt:lpstr>TT!Druckbereich</vt:lpstr>
      <vt:lpstr>VC!Druckbereich</vt:lpstr>
      <vt:lpstr>ERVFlex</vt:lpstr>
      <vt:lpstr>GDPflex</vt:lpstr>
      <vt:lpstr>GDPSeniorMacro</vt:lpstr>
      <vt:lpstr>LTPPflex</vt:lpstr>
      <vt:lpstr>Marginflex</vt:lpstr>
      <vt:lpstr>Multipleflex</vt:lpstr>
      <vt:lpstr>PP</vt:lpstr>
      <vt:lpstr>Quarterflex</vt:lpstr>
      <vt:lpstr>Sensiinput1</vt:lpstr>
      <vt:lpstr>Sensiinput10</vt:lpstr>
      <vt:lpstr>Sensiinput11</vt:lpstr>
      <vt:lpstr>Sensiinput12</vt:lpstr>
      <vt:lpstr>Sensiinput13</vt:lpstr>
      <vt:lpstr>Sensiinput14</vt:lpstr>
      <vt:lpstr>Sensiinput2</vt:lpstr>
      <vt:lpstr>Sensiinput3</vt:lpstr>
      <vt:lpstr>Sensiinput4</vt:lpstr>
      <vt:lpstr>Sensiinput5</vt:lpstr>
      <vt:lpstr>Sensiinput6</vt:lpstr>
      <vt:lpstr>Sensiinput7</vt:lpstr>
      <vt:lpstr>Sensiinput8</vt:lpstr>
      <vt:lpstr>Sensiinput9</vt:lpstr>
      <vt:lpstr>Sensioutput1</vt:lpstr>
      <vt:lpstr>Sensioutput10</vt:lpstr>
      <vt:lpstr>Sensioutput11</vt:lpstr>
      <vt:lpstr>Sensioutput12</vt:lpstr>
      <vt:lpstr>Sensioutput13</vt:lpstr>
      <vt:lpstr>Sensioutput14</vt:lpstr>
      <vt:lpstr>Sensioutput2</vt:lpstr>
      <vt:lpstr>Sensioutput3</vt:lpstr>
      <vt:lpstr>Sensioutput4</vt:lpstr>
      <vt:lpstr>Sensioutput5</vt:lpstr>
      <vt:lpstr>Sensioutput6</vt:lpstr>
      <vt:lpstr>Sensioutput7</vt:lpstr>
      <vt:lpstr>Sensioutput8</vt:lpstr>
      <vt:lpstr>Sensioutput9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SJH</dc:creator>
  <cp:lastModifiedBy>Qi Lutter-Yin</cp:lastModifiedBy>
  <cp:lastPrinted>2021-07-06T15:40:53Z</cp:lastPrinted>
  <dcterms:created xsi:type="dcterms:W3CDTF">2019-07-09T09:40:55Z</dcterms:created>
  <dcterms:modified xsi:type="dcterms:W3CDTF">2022-09-27T13:45:51Z</dcterms:modified>
</cp:coreProperties>
</file>